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comments8.xml" ContentType="application/vnd.openxmlformats-officedocument.spreadsheetml.comments+xml"/>
  <Override PartName="/xl/theme/theme1.xml" ContentType="application/vnd.openxmlformats-officedocument.theme+xml"/>
  <Override PartName="/xl/comments6.xml" ContentType="application/vnd.openxmlformats-officedocument.spreadsheetml.comments+xml"/>
  <Override PartName="/xl/styles.xml" ContentType="application/vnd.openxmlformats-officedocument.spreadsheetml.styles+xml"/>
  <Override PartName="/xl/comments16.xml" ContentType="application/vnd.openxmlformats-officedocument.spreadsheetml.comments+xml"/>
  <Override PartName="/xl/workbook.xml" ContentType="application/vnd.openxmlformats-officedocument.spreadsheetml.sheet.main+xml"/>
  <Override PartName="/xl/drawings/vmlDrawing8.vml" ContentType="application/vnd.openxmlformats-officedocument.vmlDrawing"/>
  <Override PartName="/xl/drawings/drawing9.xml" ContentType="application/vnd.openxmlformats-officedocument.drawing+xml"/>
  <Override PartName="/xl/drawings/vmlDrawing7.vml" ContentType="application/vnd.openxmlformats-officedocument.vmlDrawing"/>
  <Override PartName="/xl/drawings/vmlDrawing10.vml" ContentType="application/vnd.openxmlformats-officedocument.vmlDrawing"/>
  <Override PartName="/xl/drawings/vmlDrawing9.vml" ContentType="application/vnd.openxmlformats-officedocument.vmlDrawing"/>
  <Override PartName="/xl/drawings/drawing1.xml" ContentType="application/vnd.openxmlformats-officedocument.drawing+xml"/>
  <Override PartName="/xl/drawings/vmlDrawing5.vml" ContentType="application/vnd.openxmlformats-officedocument.vmlDrawing"/>
  <Override PartName="/xl/drawings/_rels/drawing13.xml.rels" ContentType="application/vnd.openxmlformats-package.relationships+xml"/>
  <Override PartName="/xl/drawings/_rels/drawing14.xml.rels" ContentType="application/vnd.openxmlformats-package.relationships+xml"/>
  <Override PartName="/xl/drawings/_rels/drawing9.xml.rels" ContentType="application/vnd.openxmlformats-package.relationships+xml"/>
  <Override PartName="/xl/drawings/drawing3.xml" ContentType="application/vnd.openxmlformats-officedocument.drawing+xml"/>
  <Override PartName="/xl/drawings/vmlDrawing2.vml" ContentType="application/vnd.openxmlformats-officedocument.vmlDrawing"/>
  <Override PartName="/xl/drawings/vmlDrawing3.vml" ContentType="application/vnd.openxmlformats-officedocument.vmlDrawing"/>
  <Override PartName="/xl/drawings/drawing13.xml" ContentType="application/vnd.openxmlformats-officedocument.drawing+xml"/>
  <Override PartName="/xl/drawings/drawing11.xml" ContentType="application/vnd.openxmlformats-officedocument.drawing+xml"/>
  <Override PartName="/xl/drawings/vmlDrawing1.vml" ContentType="application/vnd.openxmlformats-officedocument.vmlDrawing"/>
  <Override PartName="/xl/drawings/drawing14.xml" ContentType="application/vnd.openxmlformats-officedocument.drawing+xml"/>
  <Override PartName="/xl/drawings/vmlDrawing4.vml" ContentType="application/vnd.openxmlformats-officedocument.vmlDrawing"/>
  <Override PartName="/xl/drawings/vmlDrawing6.vml" ContentType="application/vnd.openxmlformats-officedocument.vmlDrawing"/>
  <Override PartName="/xl/comments13.xml" ContentType="application/vnd.openxmlformats-officedocument.spreadsheetml.comments+xml"/>
  <Override PartName="/xl/comments3.xml" ContentType="application/vnd.openxmlformats-officedocument.spreadsheetml.comments+xml"/>
  <Override PartName="/xl/comments9.xml" ContentType="application/vnd.openxmlformats-officedocument.spreadsheetml.comments+xml"/>
  <Override PartName="/xl/worksheets/_rels/sheet17.xml.rels" ContentType="application/vnd.openxmlformats-package.relationships+xml"/>
  <Override PartName="/xl/worksheets/_rels/sheet16.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12.xml.rels" ContentType="application/vnd.openxmlformats-package.relationships+xml"/>
  <Override PartName="/xl/worksheets/_rels/sheet6.xml.rels" ContentType="application/vnd.openxmlformats-package.relationships+xml"/>
  <Override PartName="/xl/worksheets/_rels/sheet13.xml.rels" ContentType="application/vnd.openxmlformats-package.relationships+xml"/>
  <Override PartName="/xl/worksheets/_rels/sheet8.xml.rels" ContentType="application/vnd.openxmlformats-package.relationships+xml"/>
  <Override PartName="/xl/worksheets/_rels/sheet14.xml.rels" ContentType="application/vnd.openxmlformats-package.relationships+xml"/>
  <Override PartName="/xl/worksheets/_rels/sheet9.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8.xml" ContentType="application/vnd.ms-excel.controlproperties+xml"/>
  <Override PartName="/xl/ctrlProps/ctrlProps10.xml" ContentType="application/vnd.ms-excel.controlproperties+xml"/>
  <Override PartName="/xl/ctrlProps/ctrlProps12.xml" ContentType="application/vnd.ms-excel.controlproperties+xml"/>
  <Override PartName="/xl/comments12.xml" ContentType="application/vnd.openxmlformats-officedocument.spreadsheetml.comments+xml"/>
  <Override PartName="/xl/comments2.xml" ContentType="application/vnd.openxmlformats-officedocument.spreadsheetml.comments+xml"/>
  <Override PartName="/xl/comments14.xml" ContentType="application/vnd.openxmlformats-officedocument.spreadsheetml.comments+xml"/>
  <Override PartName="/xl/comments4.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true" date1904="true"/>
  <workbookProtection/>
  <bookViews>
    <workbookView showHorizontalScroll="true" showVerticalScroll="true" showSheetTabs="true" xWindow="0" yWindow="0" windowWidth="16384" windowHeight="8192" tabRatio="500" firstSheet="1" activeTab="1"/>
  </bookViews>
  <sheets>
    <sheet name="XXXXX" sheetId="1" state="hidden" r:id="rId3"/>
    <sheet name="Internal" sheetId="2" state="visible" r:id="rId4"/>
    <sheet name="Assum" sheetId="3" state="visible" r:id="rId5"/>
    <sheet name="EWCSum" sheetId="4" state="visible" r:id="rId6"/>
    <sheet name="Srcs_Uses" sheetId="5" state="visible" r:id="rId7"/>
    <sheet name="CashFlow" sheetId="6" state="visible" r:id="rId8"/>
    <sheet name="Revolver" sheetId="7" state="visible" r:id="rId9"/>
    <sheet name="SrDebt" sheetId="8" state="visible" r:id="rId10"/>
    <sheet name="JrDebt" sheetId="9" state="visible" r:id="rId11"/>
    <sheet name="Income" sheetId="10" state="visible" r:id="rId12"/>
    <sheet name="CapAcc" sheetId="11" state="visible" r:id="rId13"/>
    <sheet name="Basis" sheetId="12" state="visible" r:id="rId14"/>
    <sheet name="Outside" sheetId="13" state="visible" r:id="rId15"/>
    <sheet name="EWC" sheetId="14" state="visible" r:id="rId16"/>
    <sheet name="RAC" sheetId="15" state="visible" r:id="rId17"/>
    <sheet name="Draw" sheetId="16" state="visible" r:id="rId18"/>
    <sheet name="ExecSum" sheetId="17" state="visible" r:id="rId19"/>
  </sheets>
  <definedNames>
    <definedName function="false" hidden="false" localSheetId="5" name="_xlnm.Print_Area" vbProcedure="false">CashFlow!$A$1:$AI$72</definedName>
    <definedName function="false" hidden="false" localSheetId="15" name="_xlnm.Print_Area" vbProcedure="false">Draw!$B$1:$S$127</definedName>
    <definedName function="false" hidden="false" localSheetId="3" name="_xlnm.Print_Area" vbProcedure="false">EWCSum!$1:$65536</definedName>
    <definedName function="false" hidden="false" localSheetId="9" name="_xlnm.Print_Area" vbProcedure="false">Income!$A$1:$X$89</definedName>
    <definedName function="false" hidden="false" localSheetId="7" name="_xlnm.Print_Titles" vbProcedure="false">SrDebt!$A:$B,SrDebt!$1:$2</definedName>
    <definedName function="false" hidden="false" name="Assum1" vbProcedure="false">Assum!$A$1:$M$84</definedName>
    <definedName function="false" hidden="false" name="Assum2" vbProcedure="false">Assum!$A$85:$N$145</definedName>
    <definedName function="false" hidden="false" name="Assum3" vbProcedure="false">Assum!$A$146:$N$221</definedName>
    <definedName function="false" hidden="false" name="Assum4" vbProcedure="false">Assum!$A$226:$P$308</definedName>
    <definedName function="false" hidden="false" name="Assum5" vbProcedure="false">Assum!$A$309:$N$345</definedName>
    <definedName function="false" hidden="false" name="Basis" vbProcedure="false">Basis!$A$1:$W$40</definedName>
    <definedName function="false" hidden="false" name="BS" vbProcedure="false">Income!$A$52:$X$89</definedName>
    <definedName function="false" hidden="false" name="CapAcc" vbProcedure="false">CapAcc!$A$1:$W$56</definedName>
    <definedName function="false" hidden="false" name="Cashflow" vbProcedure="false">CashFlow!$A$1:$X$72</definedName>
    <definedName function="false" hidden="false" name="Draw" vbProcedure="false">Draw!$A$1:$V$128</definedName>
    <definedName function="false" hidden="false" name="EWC" vbProcedure="false">EWC!$A$1:$X$74</definedName>
    <definedName function="false" hidden="false" name="EWCSum" vbProcedure="false">EWCSum!$A$1:$Q$82</definedName>
    <definedName function="false" hidden="false" name="ExecSum" vbProcedure="false">ExecSum!$A$1:$Q$82</definedName>
    <definedName function="false" hidden="false" name="Income" vbProcedure="false">Income!$A$1:$X$50</definedName>
    <definedName function="false" hidden="false" name="INFL" vbProcedure="false">Assum!$E$129:$AL$135</definedName>
    <definedName function="false" hidden="false" name="InternAssum1" vbProcedure="false">Internal!$A$1:$U$89</definedName>
    <definedName function="false" hidden="false" name="InternAssum2" vbProcedure="false">Internal!$A$90:$H$117</definedName>
    <definedName function="false" hidden="false" name="JRDebt" vbProcedure="false">JrDebt!$A$1:$X$76</definedName>
    <definedName function="false" hidden="false" name="JR_COVRATIO" vbProcedure="false">JrDebt!$E$28:$AI$30</definedName>
    <definedName function="false" hidden="false" name="MinGain" vbProcedure="false">Basis!$A$42:$W$86</definedName>
    <definedName function="false" hidden="false" name="Outside" vbProcedure="false">Outside!$A$1:$X$75</definedName>
    <definedName function="false" hidden="false" name="RAC" vbProcedure="false">RAC!$B$1:$W$58</definedName>
    <definedName function="false" hidden="false" name="secure_index" vbProcedure="false">Internal!$B$121</definedName>
    <definedName function="false" hidden="false" name="Sources_Uses" vbProcedure="false">Srcs_Uses!$A$1:$K$34</definedName>
    <definedName function="false" hidden="false" name="SRDebt" vbProcedure="false">SrDebt!$A$1:$X$92</definedName>
    <definedName function="false" hidden="false" name="SR_COVRATIO" vbProcedure="false">SrDebt!$E$10:$AI$12</definedName>
    <definedName function="false" hidden="false" name="SR_COVRATIO_A" vbProcedure="false">SrDebt!$E$10:$AI$12</definedName>
    <definedName function="false" hidden="false" name="SR_COVRATIO_B" vbProcedure="false">SrDebt!$E$55:$AI$57</definedName>
    <definedName function="false" hidden="false" name="zcell1" vbProcedure="false">Assum!$H$28</definedName>
    <definedName function="false" hidden="false" name="zcell10" vbProcedure="false">Assum!$F$36</definedName>
    <definedName function="false" hidden="false" name="zcell11" vbProcedure="false">#REF!</definedName>
    <definedName function="false" hidden="false" name="zcell12" vbProcedure="false">#REF!</definedName>
    <definedName function="false" hidden="false" name="zcell13" vbProcedure="false">#REF!</definedName>
    <definedName function="false" hidden="false" name="zcell14" vbProcedure="false">#REF!</definedName>
    <definedName function="false" hidden="false" name="zcell15" vbProcedure="false">Assum!$E$159</definedName>
    <definedName function="false" hidden="false" name="zcell2" vbProcedure="false">Assum!$I$28</definedName>
    <definedName function="false" hidden="false" name="zcell3" vbProcedure="false">Assum!$J$28</definedName>
    <definedName function="false" hidden="false" name="zcell4" vbProcedure="false">Assum!$H$29</definedName>
    <definedName function="false" hidden="false" name="zcell5" vbProcedure="false">Assum!$I$29</definedName>
    <definedName function="false" hidden="false" name="zcell6" vbProcedure="false">Assum!$J$29</definedName>
    <definedName function="false" hidden="false" name="zcell7" vbProcedure="false">Assum!$H$30</definedName>
    <definedName function="false" hidden="false" name="zcell8" vbProcedure="false">Assum!$I$30</definedName>
    <definedName function="false" hidden="false" name="zcell9" vbProcedure="false">Assum!$J$30</definedName>
    <definedName function="false" hidden="false" localSheetId="2" name="TABLE" vbProcedure="false">Assum!$C$239</definedName>
    <definedName function="false" hidden="false" localSheetId="2" name="TABLE_2" vbProcedure="false">Assum!$R$57</definedName>
    <definedName function="false" hidden="false" localSheetId="2" name="TABLE_3" vbProcedure="false">Assum!$R$57</definedName>
    <definedName function="false" hidden="false" localSheetId="2" name="TABLE_4" vbProcedure="false">Assum!$C$239</definedName>
  </definedNames>
  <calcPr iterateCount="100" refMode="A1" iterate="true" iterateDelta="0.001"/>
  <extLst>
    <ext xmlns:loext="http://schemas.libreoffice.org/" uri="{7626C862-2A13-11E5-B345-FEFF819CDC9F}">
      <loext:extCalcPr stringRefSyntax="CalcA1"/>
    </ext>
  </extLst>
</workbook>
</file>

<file path=xl/comments1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19" authorId="0">
      <text>
        <r>
          <rPr>
            <b val="true"/>
            <sz val="7"/>
            <color rgb="FF000000"/>
            <rFont val="Tahoma"/>
            <family val="0"/>
          </rPr>
          <t xml:space="preserve">Eddie Moses:
</t>
        </r>
        <r>
          <rPr>
            <sz val="7"/>
            <color rgb="FF000000"/>
            <rFont val="Tahoma"/>
            <family val="0"/>
          </rPr>
          <t xml:space="preserve">If Income and Beginning Basis are both (+) then re-use suspended losses up to the amount of Basis
If both are (-) then suspend all the losses
If Income (-) and Basis (+) then if ABS(Income) &lt; Basis then 0 else if ABS(Income) &gt; Basis suspend any losses exceeding the Basis
If Income (+) and Basis (-) then 0</t>
        </r>
      </text>
      <mc:AlternateContent>
        <mc:Choice Requires="v2">
          <commentPr autoFill="true" autoScale="false" colHidden="false" locked="false" rowHidden="false" textHAlign="justify" textVAlign="top">
            <anchor moveWithCells="false" sizeWithCells="false">
              <xdr:from>
                <xdr:col>1</xdr:col>
                <xdr:colOff>274</xdr:colOff>
                <xdr:row>17</xdr:row>
                <xdr:rowOff>6</xdr:rowOff>
              </xdr:from>
              <xdr:to>
                <xdr:col>4</xdr:col>
                <xdr:colOff>1</xdr:colOff>
                <xdr:row>88</xdr:row>
                <xdr:rowOff>5</xdr:rowOff>
              </xdr:to>
            </anchor>
          </commentPr>
        </mc:Choice>
        <mc:Fallback/>
      </mc:AlternateContent>
    </comment>
    <comment ref="B37" authorId="0">
      <text>
        <r>
          <rPr>
            <b val="true"/>
            <sz val="7"/>
            <color rgb="FF000000"/>
            <rFont val="Tahoma"/>
            <family val="0"/>
          </rPr>
          <t xml:space="preserve">Eddie Moses:
</t>
        </r>
        <r>
          <rPr>
            <sz val="7"/>
            <color rgb="FF000000"/>
            <rFont val="Tahoma"/>
            <family val="0"/>
          </rPr>
          <t xml:space="preserve">If Income and Beginning Basis are both (+) then re-use suspended losses up to the amount of Basis
If both are (-) then suspend all the losses
If Income (-) and Basis (+) then if ABS(Income) &lt; Basis then 0 else if ABS(Income) &gt; Basis suspend any losses exceeding the Basis
If Income (+) and Basis (-) then 0</t>
        </r>
      </text>
      <mc:AlternateContent>
        <mc:Choice Requires="v2">
          <commentPr autoFill="true" autoScale="false" colHidden="false" locked="false" rowHidden="false" textHAlign="justify" textVAlign="top">
            <anchor moveWithCells="false" sizeWithCells="false">
              <xdr:from>
                <xdr:col>1</xdr:col>
                <xdr:colOff>274</xdr:colOff>
                <xdr:row>35</xdr:row>
                <xdr:rowOff>6</xdr:rowOff>
              </xdr:from>
              <xdr:to>
                <xdr:col>4</xdr:col>
                <xdr:colOff>1</xdr:colOff>
                <xdr:row>43</xdr:row>
                <xdr:rowOff>12</xdr:rowOff>
              </xdr:to>
            </anchor>
          </commentPr>
        </mc:Choice>
        <mc:Fallback/>
      </mc:AlternateContent>
    </comment>
  </commentList>
</comments>
</file>

<file path=xl/comments1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6" authorId="0">
      <text>
        <r>
          <rPr>
            <b val="true"/>
            <sz val="7"/>
            <color rgb="FF000000"/>
            <rFont val="Tahoma"/>
            <family val="0"/>
          </rPr>
          <t xml:space="preserve">Eddie Moses:
</t>
        </r>
        <r>
          <rPr>
            <sz val="7"/>
            <color rgb="FF000000"/>
            <rFont val="Tahoma"/>
            <family val="0"/>
          </rPr>
          <t xml:space="preserve">If Income and Basis are both (+) then re-use suspended losses up to the amount of Basis
If both are (-) then suspend all the losses
If Income (-) and Basis (+) then if ABS(Income) &lt; Basis then 0 else if ABS(Income) &gt; Basis suspend any losses exceeding the Basis
If Income (+) and Basis (-) then 0</t>
        </r>
      </text>
      <mc:AlternateContent>
        <mc:Choice Requires="v2">
          <commentPr autoFill="true" autoScale="false" colHidden="false" locked="false" rowHidden="false" textHAlign="justify" textVAlign="top">
            <anchor moveWithCells="false" sizeWithCells="false">
              <xdr:from>
                <xdr:col>2</xdr:col>
                <xdr:colOff>24</xdr:colOff>
                <xdr:row>4</xdr:row>
                <xdr:rowOff>9</xdr:rowOff>
              </xdr:from>
              <xdr:to>
                <xdr:col>5</xdr:col>
                <xdr:colOff>21</xdr:colOff>
                <xdr:row>12</xdr:row>
                <xdr:rowOff>16</xdr:rowOff>
              </xdr:to>
            </anchor>
          </commentPr>
        </mc:Choice>
        <mc:Fallback/>
      </mc:AlternateContent>
    </comment>
    <comment ref="B25" authorId="0">
      <text>
        <r>
          <rPr>
            <b val="true"/>
            <sz val="7"/>
            <color rgb="FF000000"/>
            <rFont val="Tahoma"/>
            <family val="0"/>
          </rPr>
          <t xml:space="preserve">Eddie Moses:
</t>
        </r>
        <r>
          <rPr>
            <sz val="7"/>
            <color rgb="FF000000"/>
            <rFont val="Tahoma"/>
            <family val="0"/>
          </rPr>
          <t xml:space="preserve">Assumes Additional Equity is an after-tax event due to PTC Monetization
</t>
        </r>
      </text>
      <mc:AlternateContent>
        <mc:Choice Requires="v2">
          <commentPr autoFill="true" autoScale="false" colHidden="false" locked="false" rowHidden="false" textHAlign="justify" textVAlign="top">
            <anchor moveWithCells="false" sizeWithCells="false">
              <xdr:from>
                <xdr:col>2</xdr:col>
                <xdr:colOff>24</xdr:colOff>
                <xdr:row>23</xdr:row>
                <xdr:rowOff>10</xdr:rowOff>
              </xdr:from>
              <xdr:to>
                <xdr:col>3</xdr:col>
                <xdr:colOff>77</xdr:colOff>
                <xdr:row>29</xdr:row>
                <xdr:rowOff>6</xdr:rowOff>
              </xdr:to>
            </anchor>
          </commentPr>
        </mc:Choice>
        <mc:Fallback/>
      </mc:AlternateContent>
    </comment>
    <comment ref="E47" authorId="0">
      <text>
        <r>
          <rPr>
            <b val="true"/>
            <sz val="8"/>
            <color rgb="FF000000"/>
            <rFont val="Tahoma"/>
            <family val="0"/>
          </rPr>
          <t xml:space="preserve">Eddie Moses:
</t>
        </r>
        <r>
          <rPr>
            <sz val="8"/>
            <color rgb="FF000000"/>
            <rFont val="Tahoma"/>
            <family val="0"/>
          </rPr>
          <t xml:space="preserve">THIS SECTION ALTERED FOR FIRST YEAR START DATE</t>
        </r>
      </text>
      <mc:AlternateContent>
        <mc:Choice Requires="v2">
          <commentPr autoFill="true" autoScale="false" colHidden="false" locked="false" rowHidden="false" textHAlign="justify" textVAlign="top">
            <anchor moveWithCells="false" sizeWithCells="false">
              <xdr:from>
                <xdr:col>5</xdr:col>
                <xdr:colOff>8</xdr:colOff>
                <xdr:row>45</xdr:row>
                <xdr:rowOff>7</xdr:rowOff>
              </xdr:from>
              <xdr:to>
                <xdr:col>6</xdr:col>
                <xdr:colOff>52</xdr:colOff>
                <xdr:row>49</xdr:row>
                <xdr:rowOff>12</xdr:rowOff>
              </xdr:to>
            </anchor>
          </commentPr>
        </mc:Choice>
        <mc:Fallback/>
      </mc:AlternateContent>
    </comment>
    <comment ref="E54" authorId="0">
      <text>
        <r>
          <rPr>
            <b val="true"/>
            <sz val="8"/>
            <color rgb="FF000000"/>
            <rFont val="Tahoma"/>
            <family val="0"/>
          </rPr>
          <t xml:space="preserve">Eddie Moses:
</t>
        </r>
        <r>
          <rPr>
            <sz val="8"/>
            <color rgb="FF000000"/>
            <rFont val="Tahoma"/>
            <family val="0"/>
          </rPr>
          <t xml:space="preserve">THIS SECTION ALTERED FOR FIRST YEAR START DATE</t>
        </r>
      </text>
      <mc:AlternateContent>
        <mc:Choice Requires="v2">
          <commentPr autoFill="true" autoScale="false" colHidden="false" locked="false" rowHidden="false" textHAlign="justify" textVAlign="top">
            <anchor moveWithCells="false" sizeWithCells="false">
              <xdr:from>
                <xdr:col>5</xdr:col>
                <xdr:colOff>8</xdr:colOff>
                <xdr:row>52</xdr:row>
                <xdr:rowOff>7</xdr:rowOff>
              </xdr:from>
              <xdr:to>
                <xdr:col>6</xdr:col>
                <xdr:colOff>52</xdr:colOff>
                <xdr:row>56</xdr:row>
                <xdr:rowOff>12</xdr:rowOff>
              </xdr:to>
            </anchor>
          </commentPr>
        </mc:Choice>
        <mc:Fallback/>
      </mc:AlternateContent>
    </comment>
  </commentList>
</comments>
</file>

<file path=xl/comments1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6" authorId="0">
      <text>
        <r>
          <rPr>
            <b val="true"/>
            <sz val="7"/>
            <color rgb="FF000000"/>
            <rFont val="Tahoma"/>
            <family val="0"/>
          </rPr>
          <t xml:space="preserve">Eddie Moses:
</t>
        </r>
        <r>
          <rPr>
            <sz val="7"/>
            <color rgb="FF000000"/>
            <rFont val="Tahoma"/>
            <family val="0"/>
          </rPr>
          <t xml:space="preserve">If Income and Basis are both (+) then re-use suspended losses up to the amount of Basis
If both are (-) then suspend all the losses
If Income (-) and Basis (+) then if ABS(Income) &lt; Basis then 0 else if ABS(Income) &gt; Basis suspend any losses exceeding the Basis
If Income (+) and Basis (-) then 0</t>
        </r>
      </text>
      <mc:AlternateContent>
        <mc:Choice Requires="v2">
          <commentPr autoFill="true" autoScale="false" colHidden="false" locked="false" rowHidden="false" textHAlign="justify" textVAlign="top">
            <anchor moveWithCells="false" sizeWithCells="false">
              <xdr:from>
                <xdr:col>2</xdr:col>
                <xdr:colOff>15</xdr:colOff>
                <xdr:row>4</xdr:row>
                <xdr:rowOff>11</xdr:rowOff>
              </xdr:from>
              <xdr:to>
                <xdr:col>5</xdr:col>
                <xdr:colOff>11</xdr:colOff>
                <xdr:row>13</xdr:row>
                <xdr:rowOff>1</xdr:rowOff>
              </xdr:to>
            </anchor>
          </commentPr>
        </mc:Choice>
        <mc:Fallback/>
      </mc:AlternateContent>
    </comment>
    <comment ref="B25" authorId="0">
      <text>
        <r>
          <rPr>
            <b val="true"/>
            <sz val="7"/>
            <color rgb="FF000000"/>
            <rFont val="Tahoma"/>
            <family val="0"/>
          </rPr>
          <t xml:space="preserve">Eddie Moses:
</t>
        </r>
        <r>
          <rPr>
            <sz val="7"/>
            <color rgb="FF000000"/>
            <rFont val="Tahoma"/>
            <family val="0"/>
          </rPr>
          <t xml:space="preserve">Assumes Additional Equity is an after-tax event due to PTC Monetization
</t>
        </r>
      </text>
      <mc:AlternateContent>
        <mc:Choice Requires="v2">
          <commentPr autoFill="true" autoScale="false" colHidden="false" locked="false" rowHidden="false" textHAlign="justify" textVAlign="top">
            <anchor moveWithCells="false" sizeWithCells="false">
              <xdr:from>
                <xdr:col>2</xdr:col>
                <xdr:colOff>15</xdr:colOff>
                <xdr:row>23</xdr:row>
                <xdr:rowOff>13</xdr:rowOff>
              </xdr:from>
              <xdr:to>
                <xdr:col>3</xdr:col>
                <xdr:colOff>70</xdr:colOff>
                <xdr:row>29</xdr:row>
                <xdr:rowOff>17</xdr:rowOff>
              </xdr:to>
            </anchor>
          </commentPr>
        </mc:Choice>
        <mc:Fallback/>
      </mc:AlternateContent>
    </comment>
    <comment ref="E47" authorId="0">
      <text>
        <r>
          <rPr>
            <b val="true"/>
            <sz val="8"/>
            <color rgb="FF000000"/>
            <rFont val="Tahoma"/>
            <family val="0"/>
          </rPr>
          <t xml:space="preserve">Eddie Moses:
</t>
        </r>
        <r>
          <rPr>
            <sz val="8"/>
            <color rgb="FF000000"/>
            <rFont val="Tahoma"/>
            <family val="0"/>
          </rPr>
          <t xml:space="preserve">THIS SECTION IS ALTERED FOR FIRST YEAR START DATE
</t>
        </r>
      </text>
      <mc:AlternateContent>
        <mc:Choice Requires="v2">
          <commentPr autoFill="true" autoScale="false" colHidden="false" locked="false" rowHidden="false" textHAlign="justify" textVAlign="top">
            <anchor moveWithCells="false" sizeWithCells="false">
              <xdr:from>
                <xdr:col>5</xdr:col>
                <xdr:colOff>16</xdr:colOff>
                <xdr:row>45</xdr:row>
                <xdr:rowOff>7</xdr:rowOff>
              </xdr:from>
              <xdr:to>
                <xdr:col>6</xdr:col>
                <xdr:colOff>59</xdr:colOff>
                <xdr:row>49</xdr:row>
                <xdr:rowOff>12</xdr:rowOff>
              </xdr:to>
            </anchor>
          </commentPr>
        </mc:Choice>
        <mc:Fallback/>
      </mc:AlternateContent>
    </comment>
    <comment ref="E54" authorId="0">
      <text>
        <r>
          <rPr>
            <b val="true"/>
            <sz val="8"/>
            <color rgb="FF000000"/>
            <rFont val="Tahoma"/>
            <family val="0"/>
          </rPr>
          <t xml:space="preserve">Eddie Moses:
</t>
        </r>
        <r>
          <rPr>
            <sz val="8"/>
            <color rgb="FF000000"/>
            <rFont val="Tahoma"/>
            <family val="0"/>
          </rPr>
          <t xml:space="preserve">THIS SECTION IS ALTERED FOR FIRST YEAR START DATE
</t>
        </r>
      </text>
      <mc:AlternateContent>
        <mc:Choice Requires="v2">
          <commentPr autoFill="true" autoScale="false" colHidden="false" locked="false" rowHidden="false" textHAlign="justify" textVAlign="top">
            <anchor moveWithCells="false" sizeWithCells="false">
              <xdr:from>
                <xdr:col>5</xdr:col>
                <xdr:colOff>16</xdr:colOff>
                <xdr:row>52</xdr:row>
                <xdr:rowOff>7</xdr:rowOff>
              </xdr:from>
              <xdr:to>
                <xdr:col>6</xdr:col>
                <xdr:colOff>59</xdr:colOff>
                <xdr:row>56</xdr:row>
                <xdr:rowOff>12</xdr:rowOff>
              </xdr:to>
            </anchor>
          </commentPr>
        </mc:Choice>
        <mc:Fallback/>
      </mc:AlternateContent>
    </comment>
  </commentList>
</comments>
</file>

<file path=xl/comments1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C11" authorId="0">
      <text>
        <r>
          <rPr>
            <b val="true"/>
            <sz val="7"/>
            <color rgb="FF000000"/>
            <rFont val="Tahoma"/>
            <family val="0"/>
          </rPr>
          <t xml:space="preserve">Eddie Moses:
</t>
        </r>
        <r>
          <rPr>
            <sz val="7"/>
            <color rgb="FF000000"/>
            <rFont val="Tahoma"/>
            <family val="0"/>
          </rPr>
          <t xml:space="preserve">default = 750
connect to Z48 rated capacity cell</t>
        </r>
      </text>
      <mc:AlternateContent>
        <mc:Choice Requires="v2">
          <commentPr autoFill="true" autoScale="false" colHidden="false" locked="false" rowHidden="false" textHAlign="justify" textVAlign="top">
            <anchor moveWithCells="false" sizeWithCells="false">
              <xdr:from>
                <xdr:col>3</xdr:col>
                <xdr:colOff>41</xdr:colOff>
                <xdr:row>9</xdr:row>
                <xdr:rowOff>4</xdr:rowOff>
              </xdr:from>
              <xdr:to>
                <xdr:col>5</xdr:col>
                <xdr:colOff>10</xdr:colOff>
                <xdr:row>14</xdr:row>
                <xdr:rowOff>3</xdr:rowOff>
              </xdr:to>
            </anchor>
          </commentPr>
        </mc:Choice>
        <mc:Fallback/>
      </mc:AlternateContent>
    </comment>
    <comment ref="C12" authorId="0">
      <text>
        <r>
          <rPr>
            <b val="true"/>
            <sz val="7"/>
            <color rgb="FF000000"/>
            <rFont val="Tahoma"/>
            <family val="0"/>
          </rPr>
          <t xml:space="preserve">Eddie Moses:
</t>
        </r>
        <r>
          <rPr>
            <sz val="7"/>
            <color rgb="FF000000"/>
            <rFont val="Tahoma"/>
            <family val="0"/>
          </rPr>
          <t xml:space="preserve">Default = 1/12
See Rich Simon for more complete data</t>
        </r>
      </text>
      <mc:AlternateContent>
        <mc:Choice Requires="v2">
          <commentPr autoFill="true" autoScale="false" colHidden="false" locked="false" rowHidden="false" textHAlign="justify" textVAlign="top">
            <anchor moveWithCells="false" sizeWithCells="false">
              <xdr:from>
                <xdr:col>3</xdr:col>
                <xdr:colOff>41</xdr:colOff>
                <xdr:row>10</xdr:row>
                <xdr:rowOff>1</xdr:rowOff>
              </xdr:from>
              <xdr:to>
                <xdr:col>5</xdr:col>
                <xdr:colOff>10</xdr:colOff>
                <xdr:row>14</xdr:row>
                <xdr:rowOff>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89" authorId="0">
      <text>
        <r>
          <rPr>
            <b val="true"/>
            <sz val="9"/>
            <color rgb="FF000000"/>
            <rFont val="Geneva"/>
            <family val="0"/>
          </rPr>
          <t xml:space="preserve">Eddie Moses:
</t>
        </r>
        <r>
          <rPr>
            <sz val="9"/>
            <color rgb="FF000000"/>
            <rFont val="Geneva"/>
            <family val="0"/>
          </rPr>
          <t xml:space="preserve">Payment for late start due to development delays, is also added to 1st year revenue</t>
        </r>
      </text>
      <mc:AlternateContent>
        <mc:Choice Requires="v2">
          <commentPr autoFill="true" autoScale="false" colHidden="false" locked="false" rowHidden="false" textHAlign="justify" textVAlign="top">
            <anchor moveWithCells="false" sizeWithCells="false">
              <xdr:from>
                <xdr:col>1</xdr:col>
                <xdr:colOff>93</xdr:colOff>
                <xdr:row>86</xdr:row>
                <xdr:rowOff>7</xdr:rowOff>
              </xdr:from>
              <xdr:to>
                <xdr:col>4</xdr:col>
                <xdr:colOff>4</xdr:colOff>
                <xdr:row>92</xdr:row>
                <xdr:rowOff>7</xdr:rowOff>
              </xdr:to>
            </anchor>
          </commentPr>
        </mc:Choice>
        <mc:Fallback/>
      </mc:AlternateContent>
    </comment>
    <comment ref="F41" authorId="0">
      <text>
        <r>
          <rPr>
            <b val="true"/>
            <sz val="10"/>
            <color rgb="FF000000"/>
            <rFont val="Tahoma"/>
            <family val="2"/>
          </rPr>
          <t xml:space="preserve">Eddie Moses:
</t>
        </r>
        <r>
          <rPr>
            <sz val="10"/>
            <color rgb="FF000000"/>
            <rFont val="Tahoma"/>
            <family val="2"/>
          </rPr>
          <t xml:space="preserve">per WTG calculations will not be average with mixed WTG configuration</t>
        </r>
      </text>
      <mc:AlternateContent>
        <mc:Choice Requires="v2">
          <commentPr autoFill="true" autoScale="false" colHidden="false" locked="false" rowHidden="false" textHAlign="justify" textVAlign="top">
            <anchor moveWithCells="false" sizeWithCells="false">
              <xdr:from>
                <xdr:col>6</xdr:col>
                <xdr:colOff>95</xdr:colOff>
                <xdr:row>38</xdr:row>
                <xdr:rowOff>7</xdr:rowOff>
              </xdr:from>
              <xdr:to>
                <xdr:col>7</xdr:col>
                <xdr:colOff>93</xdr:colOff>
                <xdr:row>47</xdr:row>
                <xdr:rowOff>16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21" authorId="0">
      <text>
        <r>
          <rPr>
            <b val="true"/>
            <sz val="9"/>
            <color rgb="FF000000"/>
            <rFont val="Geneva"/>
            <family val="0"/>
          </rPr>
          <t xml:space="preserve">Eddie Moses:
</t>
        </r>
        <r>
          <rPr>
            <sz val="9"/>
            <color rgb="FF000000"/>
            <rFont val="Geneva"/>
            <family val="0"/>
          </rPr>
          <t xml:space="preserve">The currency toggle allows viewing results in other than the base currency. (there are slight rounding differences)
The toggle effects the Sources_Uses  and Cashflow sheets (as well as PTC's on the Income sheet just for consistency) ONLY. All other values are changed through these two sheets. RAC cells are not included, be wary if you RAROC with the toggle≠1.0
Caveat Emptor - If you must alter the basic workings of the model, particularly Sources_Uses, Cashflow orDebt, the toggle may not work unless you work it into your alterations and trace it thru the model. If you don't plan on switching currencies, don't worry about it.
 </t>
        </r>
      </text>
      <mc:AlternateContent>
        <mc:Choice Requires="v2">
          <commentPr autoFill="true" autoScale="false" colHidden="false" locked="false" rowHidden="false" textHAlign="justify" textVAlign="top">
            <anchor moveWithCells="false" sizeWithCells="false">
              <xdr:from>
                <xdr:col>1</xdr:col>
                <xdr:colOff>0</xdr:colOff>
                <xdr:row>17</xdr:row>
                <xdr:rowOff>11</xdr:rowOff>
              </xdr:from>
              <xdr:to>
                <xdr:col>4</xdr:col>
                <xdr:colOff>51</xdr:colOff>
                <xdr:row>37</xdr:row>
                <xdr:rowOff>17</xdr:rowOff>
              </xdr:to>
            </anchor>
          </commentPr>
        </mc:Choice>
        <mc:Fallback/>
      </mc:AlternateContent>
    </comment>
    <comment ref="B204" authorId="0">
      <text>
        <r>
          <rPr>
            <b val="true"/>
            <sz val="9"/>
            <color rgb="FF000000"/>
            <rFont val="Geneva"/>
            <family val="0"/>
          </rPr>
          <t xml:space="preserve">Eddie Moses:
</t>
        </r>
        <r>
          <rPr>
            <sz val="9"/>
            <color rgb="FF000000"/>
            <rFont val="Geneva"/>
            <family val="0"/>
          </rPr>
          <t xml:space="preserve">Default = Connected to Quarter Start. 
In general an Outside Investor starts depreciation on the day of investment which can be assumed to be the Commissioning Date for the entire project.
Projects 100% owned by EWC may need a pro rata treatment but would require a separate sheet for all the calculations</t>
        </r>
      </text>
      <mc:AlternateContent>
        <mc:Choice Requires="v2">
          <commentPr autoFill="true" autoScale="false" colHidden="false" locked="false" rowHidden="false" textHAlign="justify" textVAlign="top">
            <anchor moveWithCells="false" sizeWithCells="false">
              <xdr:from>
                <xdr:col>1</xdr:col>
                <xdr:colOff>0</xdr:colOff>
                <xdr:row>202</xdr:row>
                <xdr:rowOff>8</xdr:rowOff>
              </xdr:from>
              <xdr:to>
                <xdr:col>2</xdr:col>
                <xdr:colOff>-46</xdr:colOff>
                <xdr:row>211</xdr:row>
                <xdr:rowOff>12</xdr:rowOff>
              </xdr:to>
            </anchor>
          </commentPr>
        </mc:Choice>
        <mc:Fallback/>
      </mc:AlternateContent>
    </comment>
    <comment ref="B232" authorId="0">
      <text>
        <r>
          <rPr>
            <b val="true"/>
            <sz val="9"/>
            <color rgb="FF000000"/>
            <rFont val="Geneva"/>
            <family val="0"/>
          </rPr>
          <t xml:space="preserve">Eddie Moses:
</t>
        </r>
        <r>
          <rPr>
            <sz val="9"/>
            <color rgb="FF000000"/>
            <rFont val="Geneva"/>
            <family val="0"/>
          </rPr>
          <t xml:space="preserve">HLOOKUP offsets are sometime messed up when cells are inserted into the target range - correct if necessary</t>
        </r>
      </text>
      <mc:AlternateContent>
        <mc:Choice Requires="v2">
          <commentPr autoFill="true" autoScale="false" colHidden="false" locked="false" rowHidden="false" textHAlign="justify" textVAlign="top">
            <anchor moveWithCells="false" sizeWithCells="false">
              <xdr:from>
                <xdr:col>1</xdr:col>
                <xdr:colOff>0</xdr:colOff>
                <xdr:row>231</xdr:row>
                <xdr:rowOff>5</xdr:rowOff>
              </xdr:from>
              <xdr:to>
                <xdr:col>2</xdr:col>
                <xdr:colOff>-192</xdr:colOff>
                <xdr:row>238</xdr:row>
                <xdr:rowOff>7</xdr:rowOff>
              </xdr:to>
            </anchor>
          </commentPr>
        </mc:Choice>
        <mc:Fallback/>
      </mc:AlternateContent>
    </comment>
    <comment ref="B239" authorId="0">
      <text>
        <r>
          <rPr>
            <sz val="8"/>
            <color rgb="FF000000"/>
            <rFont val="Tahoma"/>
            <family val="2"/>
          </rPr>
          <t xml:space="preserve">Eddie Moses/EWC/Enron   11/18/98  09:11:55 AM
Debt Fine Tuner adds money to the PV of Cash for Debt. The formula which solves for Debt (=PV of Cash Available for Debt after coverage  solved at the interest rate and then summed) comes up with a larger final coverage ratio, the longer the Debt Term. The Tuner is needed to adjust this.</t>
        </r>
      </text>
      <mc:AlternateContent>
        <mc:Choice Requires="v2">
          <commentPr autoFill="true" autoScale="false" colHidden="false" locked="false" rowHidden="false" textHAlign="justify" textVAlign="top">
            <anchor moveWithCells="false" sizeWithCells="false">
              <xdr:from>
                <xdr:col>2</xdr:col>
                <xdr:colOff>16</xdr:colOff>
                <xdr:row>237</xdr:row>
                <xdr:rowOff>11</xdr:rowOff>
              </xdr:from>
              <xdr:to>
                <xdr:col>5</xdr:col>
                <xdr:colOff>160</xdr:colOff>
                <xdr:row>246</xdr:row>
                <xdr:rowOff>13</xdr:rowOff>
              </xdr:to>
            </anchor>
          </commentPr>
        </mc:Choice>
        <mc:Fallback/>
      </mc:AlternateContent>
    </comment>
    <comment ref="B243" authorId="0">
      <text>
        <r>
          <rPr>
            <b val="true"/>
            <sz val="8"/>
            <color rgb="FF000000"/>
            <rFont val="Tahoma"/>
            <family val="0"/>
          </rPr>
          <t xml:space="preserve">Eddie Moses:
</t>
        </r>
        <r>
          <rPr>
            <sz val="8"/>
            <color rgb="FF000000"/>
            <rFont val="Tahoma"/>
            <family val="0"/>
          </rPr>
          <t xml:space="preserve">Option for weighting either half of a year by semi-annual payments. 
For closing Debt, accurate Semi Annual model Net Operating Cash can be directly connecte to SR Debt sheet S.A. Repayment Cash</t>
        </r>
      </text>
      <mc:AlternateContent>
        <mc:Choice Requires="v2">
          <commentPr autoFill="true" autoScale="false" colHidden="false" locked="false" rowHidden="false" textHAlign="justify" textVAlign="top">
            <anchor moveWithCells="false" sizeWithCells="false">
              <xdr:from>
                <xdr:col>4</xdr:col>
                <xdr:colOff>40</xdr:colOff>
                <xdr:row>238</xdr:row>
                <xdr:rowOff>9</xdr:rowOff>
              </xdr:from>
              <xdr:to>
                <xdr:col>5</xdr:col>
                <xdr:colOff>69</xdr:colOff>
                <xdr:row>247</xdr:row>
                <xdr:rowOff>7</xdr:rowOff>
              </xdr:to>
            </anchor>
          </commentPr>
        </mc:Choice>
        <mc:Fallback/>
      </mc:AlternateContent>
    </comment>
    <comment ref="B258" authorId="0">
      <text>
        <r>
          <rPr>
            <sz val="8"/>
            <color rgb="FF000000"/>
            <rFont val="Tahoma"/>
            <family val="2"/>
          </rPr>
          <t xml:space="preserve">Eddie Moses/EWC/Enron   11/18/98  09:11:55 AM
Debt Fine Tuner adds money to the PV of Cash for Debt. The formula which solves for Debt (=PV of Cash Available for Debt after coverage  solved at the interest rate and then summed) comes up with a larger final coverage ratio, the longer the Debt Term. The Tuner is needed to adjust this.</t>
        </r>
      </text>
      <mc:AlternateContent>
        <mc:Choice Requires="v2">
          <commentPr autoFill="true" autoScale="false" colHidden="false" locked="false" rowHidden="false" textHAlign="justify" textVAlign="top">
            <anchor moveWithCells="false" sizeWithCells="false">
              <xdr:from>
                <xdr:col>2</xdr:col>
                <xdr:colOff>16</xdr:colOff>
                <xdr:row>256</xdr:row>
                <xdr:rowOff>7</xdr:rowOff>
              </xdr:from>
              <xdr:to>
                <xdr:col>5</xdr:col>
                <xdr:colOff>160</xdr:colOff>
                <xdr:row>265</xdr:row>
                <xdr:rowOff>9</xdr:rowOff>
              </xdr:to>
            </anchor>
          </commentPr>
        </mc:Choice>
        <mc:Fallback/>
      </mc:AlternateContent>
    </comment>
    <comment ref="B262" authorId="0">
      <text>
        <r>
          <rPr>
            <b val="true"/>
            <sz val="8"/>
            <color rgb="FF000000"/>
            <rFont val="Tahoma"/>
            <family val="0"/>
          </rPr>
          <t xml:space="preserve">Eddie Moses:
</t>
        </r>
        <r>
          <rPr>
            <sz val="8"/>
            <color rgb="FF000000"/>
            <rFont val="Tahoma"/>
            <family val="0"/>
          </rPr>
          <t xml:space="preserve">Option for weighting either half of a year by semi-annual payments. 
For closing Debt, accurate Semi Annual model Net Operating Cash can be directly connecte to SR Debt sheet S.A. Repayment Cash</t>
        </r>
      </text>
      <mc:AlternateContent>
        <mc:Choice Requires="v2">
          <commentPr autoFill="true" autoScale="false" colHidden="false" locked="false" rowHidden="false" textHAlign="justify" textVAlign="top">
            <anchor moveWithCells="false" sizeWithCells="false">
              <xdr:from>
                <xdr:col>2</xdr:col>
                <xdr:colOff>16</xdr:colOff>
                <xdr:row>260</xdr:row>
                <xdr:rowOff>11</xdr:rowOff>
              </xdr:from>
              <xdr:to>
                <xdr:col>4</xdr:col>
                <xdr:colOff>68</xdr:colOff>
                <xdr:row>269</xdr:row>
                <xdr:rowOff>7</xdr:rowOff>
              </xdr:to>
            </anchor>
          </commentPr>
        </mc:Choice>
        <mc:Fallback/>
      </mc:AlternateContent>
    </comment>
    <comment ref="B288" authorId="0">
      <text>
        <r>
          <rPr>
            <b val="true"/>
            <sz val="8"/>
            <color rgb="FF000000"/>
            <rFont val="Tahoma"/>
            <family val="0"/>
          </rPr>
          <t xml:space="preserve">Eddie Moses:
</t>
        </r>
        <r>
          <rPr>
            <sz val="8"/>
            <color rgb="FF000000"/>
            <rFont val="Tahoma"/>
            <family val="0"/>
          </rPr>
          <t xml:space="preserve">First year, first semi-annual payment if applicable</t>
        </r>
      </text>
      <mc:AlternateContent>
        <mc:Choice Requires="v2">
          <commentPr autoFill="true" autoScale="false" colHidden="false" locked="false" rowHidden="false" textHAlign="justify" textVAlign="top">
            <anchor moveWithCells="false" sizeWithCells="false">
              <xdr:from>
                <xdr:col>2</xdr:col>
                <xdr:colOff>16</xdr:colOff>
                <xdr:row>286</xdr:row>
                <xdr:rowOff>9</xdr:rowOff>
              </xdr:from>
              <xdr:to>
                <xdr:col>4</xdr:col>
                <xdr:colOff>16</xdr:colOff>
                <xdr:row>291</xdr:row>
                <xdr:rowOff>3</xdr:rowOff>
              </xdr:to>
            </anchor>
          </commentPr>
        </mc:Choice>
        <mc:Fallback/>
      </mc:AlternateContent>
    </comment>
    <comment ref="B289" authorId="0">
      <text>
        <r>
          <rPr>
            <b val="true"/>
            <sz val="8"/>
            <color rgb="FF000000"/>
            <rFont val="Tahoma"/>
            <family val="0"/>
          </rPr>
          <t xml:space="preserve">Eddie Moses:
</t>
        </r>
        <r>
          <rPr>
            <sz val="8"/>
            <color rgb="FF000000"/>
            <rFont val="Tahoma"/>
            <family val="0"/>
          </rPr>
          <t xml:space="preserve">Option for weighting either half of a year by semi-annual payments. May not be useful if payments do not match annual wind patterns.</t>
        </r>
      </text>
      <mc:AlternateContent>
        <mc:Choice Requires="v2">
          <commentPr autoFill="true" autoScale="false" colHidden="false" locked="false" rowHidden="false" textHAlign="justify" textVAlign="top">
            <anchor moveWithCells="false" sizeWithCells="false">
              <xdr:from>
                <xdr:col>2</xdr:col>
                <xdr:colOff>16</xdr:colOff>
                <xdr:row>287</xdr:row>
                <xdr:rowOff>9</xdr:rowOff>
              </xdr:from>
              <xdr:to>
                <xdr:col>4</xdr:col>
                <xdr:colOff>75</xdr:colOff>
                <xdr:row>293</xdr:row>
                <xdr:rowOff>17</xdr:rowOff>
              </xdr:to>
            </anchor>
          </commentPr>
        </mc:Choice>
        <mc:Fallback/>
      </mc:AlternateContent>
    </comment>
    <comment ref="B300" authorId="0">
      <text>
        <r>
          <rPr>
            <b val="true"/>
            <sz val="8"/>
            <color rgb="FF000000"/>
            <rFont val="Tahoma"/>
            <family val="2"/>
          </rPr>
          <t xml:space="preserve">Eddie Moses:
</t>
        </r>
        <r>
          <rPr>
            <sz val="8"/>
            <color rgb="FF000000"/>
            <rFont val="Tahoma"/>
            <family val="2"/>
          </rPr>
          <t xml:space="preserve">If PTC and Cash Available Cov Ratios are used, set Total Cash Cov Ratio = 100%
You can also set the first two to 100% and us the Total Cash Cov Ratio the same as is used in Senior Debt
</t>
        </r>
      </text>
      <mc:AlternateContent>
        <mc:Choice Requires="v2">
          <commentPr autoFill="true" autoScale="false" colHidden="false" locked="false" rowHidden="false" textHAlign="justify" textVAlign="top">
            <anchor moveWithCells="false" sizeWithCells="false">
              <xdr:from>
                <xdr:col>1</xdr:col>
                <xdr:colOff>0</xdr:colOff>
                <xdr:row>298</xdr:row>
                <xdr:rowOff>11</xdr:rowOff>
              </xdr:from>
              <xdr:to>
                <xdr:col>2</xdr:col>
                <xdr:colOff>-87</xdr:colOff>
                <xdr:row>304</xdr:row>
                <xdr:rowOff>17</xdr:rowOff>
              </xdr:to>
            </anchor>
          </commentPr>
        </mc:Choice>
        <mc:Fallback/>
      </mc:AlternateContent>
    </comment>
    <comment ref="F61" authorId="0">
      <text>
        <r>
          <rPr>
            <b val="true"/>
            <sz val="8"/>
            <color rgb="FF000000"/>
            <rFont val="Tahoma"/>
            <family val="2"/>
          </rPr>
          <t xml:space="preserve">Eddie Moses:
</t>
        </r>
        <r>
          <rPr>
            <sz val="8"/>
            <color rgb="FF000000"/>
            <rFont val="Tahoma"/>
            <family val="2"/>
          </rPr>
          <t xml:space="preserve">calculation should include all Uses of funds except itselt
</t>
        </r>
      </text>
      <mc:AlternateContent>
        <mc:Choice Requires="v2">
          <commentPr autoFill="true" autoScale="false" colHidden="false" locked="false" rowHidden="false" textHAlign="justify" textVAlign="top">
            <anchor moveWithCells="false" sizeWithCells="false">
              <xdr:from>
                <xdr:col>5</xdr:col>
                <xdr:colOff>118</xdr:colOff>
                <xdr:row>59</xdr:row>
                <xdr:rowOff>15</xdr:rowOff>
              </xdr:from>
              <xdr:to>
                <xdr:col>6</xdr:col>
                <xdr:colOff>169</xdr:colOff>
                <xdr:row>62</xdr:row>
                <xdr:rowOff>18</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C65" authorId="0">
      <text>
        <r>
          <rPr>
            <b val="true"/>
            <sz val="8"/>
            <color rgb="FF000000"/>
            <rFont val="Tahoma"/>
            <family val="0"/>
          </rPr>
          <t xml:space="preserve">Eddie Moses:
</t>
        </r>
        <r>
          <rPr>
            <sz val="8"/>
            <color rgb="FF000000"/>
            <rFont val="Tahoma"/>
            <family val="0"/>
          </rPr>
          <t xml:space="preserve">if elimination &gt; 50% then gain on sale = 0</t>
        </r>
      </text>
      <mc:AlternateContent>
        <mc:Choice Requires="v2">
          <commentPr autoFill="true" autoScale="false" colHidden="false" locked="false" rowHidden="false" textHAlign="justify" textVAlign="top">
            <anchor moveWithCells="false" sizeWithCells="false">
              <xdr:from>
                <xdr:col>3</xdr:col>
                <xdr:colOff>16</xdr:colOff>
                <xdr:row>63</xdr:row>
                <xdr:rowOff>10</xdr:rowOff>
              </xdr:from>
              <xdr:to>
                <xdr:col>4</xdr:col>
                <xdr:colOff>46</xdr:colOff>
                <xdr:row>67</xdr:row>
                <xdr:rowOff>12</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E57" authorId="0">
      <text>
        <r>
          <rPr>
            <b val="true"/>
            <sz val="8"/>
            <color rgb="FF000000"/>
            <rFont val="Tahoma"/>
            <family val="0"/>
          </rPr>
          <t xml:space="preserve">Eddie Moses:
</t>
        </r>
        <r>
          <rPr>
            <sz val="8"/>
            <color rgb="FF000000"/>
            <rFont val="Tahoma"/>
            <family val="0"/>
          </rPr>
          <t xml:space="preserve">No distributions until 2nd annual SR Debt payment date  
You may alter this cell if the timing of distribution is closer to previous calendar year</t>
        </r>
      </text>
      <mc:AlternateContent>
        <mc:Choice Requires="v2">
          <commentPr autoFill="true" autoScale="false" colHidden="false" locked="false" rowHidden="false" textHAlign="justify" textVAlign="top">
            <anchor moveWithCells="false" sizeWithCells="false">
              <xdr:from>
                <xdr:col>3</xdr:col>
                <xdr:colOff>0</xdr:colOff>
                <xdr:row>54</xdr:row>
                <xdr:rowOff>7</xdr:rowOff>
              </xdr:from>
              <xdr:to>
                <xdr:col>5</xdr:col>
                <xdr:colOff>39</xdr:colOff>
                <xdr:row>61</xdr:row>
                <xdr:rowOff>13</xdr:rowOff>
              </xdr:to>
            </anchor>
          </commentPr>
        </mc:Choice>
        <mc:Fallback/>
      </mc:AlternateContent>
    </comment>
    <comment ref="O66" authorId="0">
      <text>
        <r>
          <rPr>
            <b val="true"/>
            <sz val="8"/>
            <color rgb="FF000000"/>
            <rFont val="Tahoma"/>
            <family val="0"/>
          </rPr>
          <t xml:space="preserve">Eddie Moses:
</t>
        </r>
        <r>
          <rPr>
            <sz val="8"/>
            <color rgb="FF000000"/>
            <rFont val="Tahoma"/>
            <family val="0"/>
          </rPr>
          <t xml:space="preserve">Adjusted for non-January production start
</t>
        </r>
      </text>
      <mc:AlternateContent>
        <mc:Choice Requires="v2">
          <commentPr autoFill="true" autoScale="false" colHidden="false" locked="false" rowHidden="false" textHAlign="justify" textVAlign="top">
            <anchor moveWithCells="false" sizeWithCells="false">
              <xdr:from>
                <xdr:col>14</xdr:col>
                <xdr:colOff>63</xdr:colOff>
                <xdr:row>64</xdr:row>
                <xdr:rowOff>9</xdr:rowOff>
              </xdr:from>
              <xdr:to>
                <xdr:col>16</xdr:col>
                <xdr:colOff>43</xdr:colOff>
                <xdr:row>68</xdr:row>
                <xdr:rowOff>16</xdr:rowOff>
              </xdr:to>
            </anchor>
          </commentPr>
        </mc:Choice>
        <mc:Fallback/>
      </mc:AlternateContent>
    </comment>
  </commentList>
</comments>
</file>

<file path=xl/comments8.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23" authorId="0">
      <text>
        <r>
          <rPr>
            <b val="true"/>
            <sz val="9"/>
            <color rgb="FF000000"/>
            <rFont val="Tahoma"/>
            <family val="2"/>
          </rPr>
          <t xml:space="preserve">Eddie Moses:
</t>
        </r>
        <r>
          <rPr>
            <sz val="9"/>
            <color rgb="FF000000"/>
            <rFont val="Tahoma"/>
            <family val="2"/>
          </rPr>
          <t xml:space="preserve">At Debt close you may hook accurate S.A. Net Operating Cash available for Debt Service here
</t>
        </r>
      </text>
      <mc:AlternateContent>
        <mc:Choice Requires="v2">
          <commentPr autoFill="true" autoScale="false" colHidden="false" locked="false" rowHidden="false" textHAlign="justify" textVAlign="top">
            <anchor moveWithCells="false" sizeWithCells="false">
              <xdr:from>
                <xdr:col>2</xdr:col>
                <xdr:colOff>17</xdr:colOff>
                <xdr:row>21</xdr:row>
                <xdr:rowOff>7</xdr:rowOff>
              </xdr:from>
              <xdr:to>
                <xdr:col>4</xdr:col>
                <xdr:colOff>14</xdr:colOff>
                <xdr:row>27</xdr:row>
                <xdr:rowOff>7</xdr:rowOff>
              </xdr:to>
            </anchor>
          </commentPr>
        </mc:Choice>
        <mc:Fallback/>
      </mc:AlternateContent>
    </comment>
    <comment ref="B68" authorId="0">
      <text>
        <r>
          <rPr>
            <b val="true"/>
            <sz val="9"/>
            <color rgb="FF000000"/>
            <rFont val="Tahoma"/>
            <family val="2"/>
          </rPr>
          <t xml:space="preserve">Eddie Moses:
</t>
        </r>
        <r>
          <rPr>
            <sz val="9"/>
            <color rgb="FF000000"/>
            <rFont val="Tahoma"/>
            <family val="2"/>
          </rPr>
          <t xml:space="preserve">At Debt close you may hook accurate S.A. Net Operating Cash available for Debt Service here
</t>
        </r>
      </text>
      <mc:AlternateContent>
        <mc:Choice Requires="v2">
          <commentPr autoFill="true" autoScale="false" colHidden="false" locked="false" rowHidden="false" textHAlign="justify" textVAlign="top">
            <anchor moveWithCells="false" sizeWithCells="false">
              <xdr:from>
                <xdr:col>2</xdr:col>
                <xdr:colOff>17</xdr:colOff>
                <xdr:row>66</xdr:row>
                <xdr:rowOff>7</xdr:rowOff>
              </xdr:from>
              <xdr:to>
                <xdr:col>4</xdr:col>
                <xdr:colOff>14</xdr:colOff>
                <xdr:row>72</xdr:row>
                <xdr:rowOff>7</xdr:rowOff>
              </xdr:to>
            </anchor>
          </commentPr>
        </mc:Choice>
        <mc:Fallback/>
      </mc:AlternateContent>
    </comment>
    <comment ref="D268" authorId="0">
      <text>
        <r>
          <rPr>
            <sz val="7"/>
            <color rgb="FF000000"/>
            <rFont val="Tahoma"/>
            <family val="0"/>
          </rPr>
          <t xml:space="preserve">Eddie Moses/EWC/Enron   11/18/98  09:11:55 AM
Debt Fine Tuner adds money to the PV of the last year of the Debt Term. The formula which solves for Debt (=PV of Cash Available for Debt after coverage ratio solved at the interest rate and then summed) comes up with a larger final coverage ratio, the longer the Debt Term. The Tuner is needed to adjust this.</t>
        </r>
      </text>
      <mc:AlternateContent>
        <mc:Choice Requires="v2">
          <commentPr autoFill="true" autoScale="false" colHidden="false" locked="false" rowHidden="false" textHAlign="justify" textVAlign="top">
            <anchor moveWithCells="false" sizeWithCells="false">
              <xdr:from>
                <xdr:col>3</xdr:col>
                <xdr:colOff>60</xdr:colOff>
                <xdr:row>264</xdr:row>
                <xdr:rowOff>4</xdr:rowOff>
              </xdr:from>
              <xdr:to>
                <xdr:col>4</xdr:col>
                <xdr:colOff>78</xdr:colOff>
                <xdr:row>268</xdr:row>
                <xdr:rowOff>13</xdr:rowOff>
              </xdr:to>
            </anchor>
          </commentPr>
        </mc:Choice>
        <mc:Fallback/>
      </mc:AlternateContent>
    </comment>
    <comment ref="E10" authorId="0">
      <text>
        <r>
          <rPr>
            <b val="true"/>
            <sz val="8"/>
            <color rgb="FF000000"/>
            <rFont val="Tahoma"/>
            <family val="0"/>
          </rPr>
          <t xml:space="preserve">Eddie Moses:
</t>
        </r>
        <r>
          <rPr>
            <sz val="8"/>
            <color rgb="FF000000"/>
            <rFont val="Tahoma"/>
            <family val="0"/>
          </rPr>
          <t xml:space="preserve">This line used for hlookup functions - do not remove
</t>
        </r>
      </text>
      <mc:AlternateContent>
        <mc:Choice Requires="v2">
          <commentPr autoFill="true" autoScale="false" colHidden="false" locked="false" rowHidden="false" textHAlign="justify" textVAlign="top">
            <anchor moveWithCells="false" sizeWithCells="false">
              <xdr:from>
                <xdr:col>4</xdr:col>
                <xdr:colOff>41</xdr:colOff>
                <xdr:row>8</xdr:row>
                <xdr:rowOff>16</xdr:rowOff>
              </xdr:from>
              <xdr:to>
                <xdr:col>5</xdr:col>
                <xdr:colOff>68</xdr:colOff>
                <xdr:row>13</xdr:row>
                <xdr:rowOff>16</xdr:rowOff>
              </xdr:to>
            </anchor>
          </commentPr>
        </mc:Choice>
        <mc:Fallback/>
      </mc:AlternateContent>
    </comment>
  </commentList>
</comments>
</file>

<file path=xl/comments9.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14" authorId="0">
      <text>
        <r>
          <rPr>
            <b val="true"/>
            <sz val="8"/>
            <color rgb="FF000000"/>
            <rFont val="Tahoma"/>
            <family val="0"/>
          </rPr>
          <t xml:space="preserve">Eddie Moses:
</t>
        </r>
        <r>
          <rPr>
            <sz val="8"/>
            <color rgb="FF000000"/>
            <rFont val="Tahoma"/>
            <family val="0"/>
          </rPr>
          <t xml:space="preserve">Do not use these cells as it effects the calendar year Add/Equity calc
</t>
        </r>
      </text>
      <mc:AlternateContent>
        <mc:Choice Requires="v2">
          <commentPr autoFill="true" autoScale="false" colHidden="false" locked="false" rowHidden="false" textHAlign="justify" textVAlign="top">
            <anchor moveWithCells="false" sizeWithCells="false">
              <xdr:from>
                <xdr:col>4</xdr:col>
                <xdr:colOff>16</xdr:colOff>
                <xdr:row>12</xdr:row>
                <xdr:rowOff>7</xdr:rowOff>
              </xdr:from>
              <xdr:to>
                <xdr:col>5</xdr:col>
                <xdr:colOff>69</xdr:colOff>
                <xdr:row>16</xdr:row>
                <xdr:rowOff>12</xdr:rowOff>
              </xdr:to>
            </anchor>
          </commentPr>
        </mc:Choice>
        <mc:Fallback/>
      </mc:AlternateContent>
    </comment>
    <comment ref="E28" authorId="0">
      <text>
        <r>
          <rPr>
            <b val="true"/>
            <sz val="8"/>
            <color rgb="FF000000"/>
            <rFont val="Tahoma"/>
            <family val="0"/>
          </rPr>
          <t xml:space="preserve">Eddie Moses:
</t>
        </r>
        <r>
          <rPr>
            <sz val="8"/>
            <color rgb="FF000000"/>
            <rFont val="Tahoma"/>
            <family val="0"/>
          </rPr>
          <t xml:space="preserve">These cells are used for HLOOKUP functions - please keep with coverage ratios</t>
        </r>
      </text>
      <mc:AlternateContent>
        <mc:Choice Requires="v2">
          <commentPr autoFill="true" autoScale="false" colHidden="false" locked="false" rowHidden="false" textHAlign="justify" textVAlign="top">
            <anchor moveWithCells="false" sizeWithCells="false">
              <xdr:from>
                <xdr:col>3</xdr:col>
                <xdr:colOff>46</xdr:colOff>
                <xdr:row>26</xdr:row>
                <xdr:rowOff>3</xdr:rowOff>
              </xdr:from>
              <xdr:to>
                <xdr:col>5</xdr:col>
                <xdr:colOff>29</xdr:colOff>
                <xdr:row>30</xdr:row>
                <xdr:rowOff>9</xdr:rowOff>
              </xdr:to>
            </anchor>
          </commentPr>
        </mc:Choice>
        <mc:Fallback/>
      </mc:AlternateContent>
    </comment>
  </commentList>
</comments>
</file>

<file path=xl/sharedStrings.xml><?xml version="1.0" encoding="utf-8"?>
<sst xmlns="http://schemas.openxmlformats.org/spreadsheetml/2006/main" count="1337" uniqueCount="892">
  <si>
    <t xml:space="preserve">Internal Assumption Sheet</t>
  </si>
  <si>
    <t xml:space="preserve">ENRON WIND CORP</t>
  </si>
  <si>
    <t xml:space="preserve">BlankExcel_Index_6.1 beta</t>
  </si>
  <si>
    <t xml:space="preserve">WIND TURBINES</t>
  </si>
  <si>
    <t xml:space="preserve">TZ 1.5</t>
  </si>
  <si>
    <t xml:space="preserve">WTG RATED CAPACITY</t>
  </si>
  <si>
    <t xml:space="preserve">WTG NUMBER</t>
  </si>
  <si>
    <t xml:space="preserve">WTG COST  </t>
  </si>
  <si>
    <t xml:space="preserve">per Peder Hansen 5/16/00 fax, items 1.0 + 2.0 + 7.0</t>
  </si>
  <si>
    <t xml:space="preserve">WTG COST ADDITIONS</t>
  </si>
  <si>
    <t xml:space="preserve">WTG TOTAL COST</t>
  </si>
  <si>
    <t xml:space="preserve">WTG MARK UP</t>
  </si>
  <si>
    <t xml:space="preserve">WTG TOTAL PRICE</t>
  </si>
  <si>
    <t xml:space="preserve">WTG TOTAL NET GAIN</t>
  </si>
  <si>
    <t xml:space="preserve">TOWERS</t>
  </si>
  <si>
    <t xml:space="preserve">TOWER TYPE</t>
  </si>
  <si>
    <t xml:space="preserve">65M Tube</t>
  </si>
  <si>
    <t xml:space="preserve">TOWER COST</t>
  </si>
  <si>
    <t xml:space="preserve">TOWER MARK-UP</t>
  </si>
  <si>
    <t xml:space="preserve">TOWER TOTAL PRICE</t>
  </si>
  <si>
    <t xml:space="preserve"> Total to Assum Sheet</t>
  </si>
  <si>
    <t xml:space="preserve">TOTAL TOWER NET GAIN</t>
  </si>
  <si>
    <t xml:space="preserve">WTG AND CONSTRUCTION COSTS</t>
  </si>
  <si>
    <t xml:space="preserve">TURBINE ACQUISITION COST:</t>
  </si>
  <si>
    <t xml:space="preserve">PER WTG</t>
  </si>
  <si>
    <t xml:space="preserve">AGGREGATE $(000)</t>
  </si>
  <si>
    <t xml:space="preserve">TURBINE PRICE</t>
  </si>
  <si>
    <t xml:space="preserve">TOWER</t>
  </si>
  <si>
    <t xml:space="preserve">WTG FREIGHT</t>
  </si>
  <si>
    <t xml:space="preserve"> per Rudnick quote + $1K</t>
  </si>
  <si>
    <t xml:space="preserve">BLADE FREIGHT</t>
  </si>
  <si>
    <t xml:space="preserve"> per Rudnick quote</t>
  </si>
  <si>
    <t xml:space="preserve">TOWER FREIGHT</t>
  </si>
  <si>
    <t xml:space="preserve">SERVICE OPTIONS</t>
  </si>
  <si>
    <t xml:space="preserve">SALES TAX</t>
  </si>
  <si>
    <t xml:space="preserve">TAX RATE</t>
  </si>
  <si>
    <t xml:space="preserve">Rate X WTG, Tower, Scada - TBD by State and County</t>
  </si>
  <si>
    <t xml:space="preserve">     TOTAL TURBINE ACQUISITION COST:</t>
  </si>
  <si>
    <t xml:space="preserve">TURBINE INSTALLATION COST:</t>
  </si>
  <si>
    <t xml:space="preserve"> Input either Per WTG or Aggregate but manually make sure the other is solved correctly using # WTGs</t>
  </si>
  <si>
    <t xml:space="preserve">MANUFACTURING COSTS</t>
  </si>
  <si>
    <t xml:space="preserve"> per Eli Bosco, 5/10/00</t>
  </si>
  <si>
    <t xml:space="preserve">CIVIL COSTS</t>
  </si>
  <si>
    <t xml:space="preserve">MECHANICAL/ERECTION</t>
  </si>
  <si>
    <t xml:space="preserve">ELECTRICAL DISTRIBUTION</t>
  </si>
  <si>
    <t xml:space="preserve">ENGINEERING</t>
  </si>
  <si>
    <t xml:space="preserve">O&amp;M BLDG</t>
  </si>
  <si>
    <t xml:space="preserve">FACILITY STARTUP</t>
  </si>
  <si>
    <t xml:space="preserve">     SUB TOTAL CONSTRUCTION COSTS</t>
  </si>
  <si>
    <t xml:space="preserve">SUBSTATION</t>
  </si>
  <si>
    <t xml:space="preserve">INTERCONNECT </t>
  </si>
  <si>
    <t xml:space="preserve">INTERCONNECT  - UTILITY TIE-IN</t>
  </si>
  <si>
    <t xml:space="preserve">     SUB TOTAL  CONNECTION COSTS</t>
  </si>
  <si>
    <t xml:space="preserve">OTHER CONSTRUCTION COSTS:</t>
  </si>
  <si>
    <t xml:space="preserve">SUPERVISION</t>
  </si>
  <si>
    <t xml:space="preserve">GENERAL</t>
  </si>
  <si>
    <t xml:space="preserve">PERMITS, BONDS, FAA LIGHTING</t>
  </si>
  <si>
    <t xml:space="preserve">CONSTRUCTION SALES TAX</t>
  </si>
  <si>
    <t xml:space="preserve">CONSTRUCTION OVERHEAD</t>
  </si>
  <si>
    <t xml:space="preserve">     SUB TOTAL OTHER CONSTRUCTION COST</t>
  </si>
  <si>
    <t xml:space="preserve">CONSTRUCTION BEFORE PROFIT &amp; CONTIGENTS</t>
  </si>
  <si>
    <t xml:space="preserve">CONTINGENCY</t>
  </si>
  <si>
    <t xml:space="preserve">TDB Construction Estimate</t>
  </si>
  <si>
    <t xml:space="preserve">INFLATION CONTINGENCY</t>
  </si>
  <si>
    <t xml:space="preserve">PROFIT MARGIN</t>
  </si>
  <si>
    <t xml:space="preserve">TOTAL CONSTRUCTION COSTS</t>
  </si>
  <si>
    <t xml:space="preserve">DEVELOPMENT COSTS</t>
  </si>
  <si>
    <t xml:space="preserve">Total Margins</t>
  </si>
  <si>
    <t xml:space="preserve">EPC WRAP FEE TO PRIMARY FACILITY COST</t>
  </si>
  <si>
    <t xml:space="preserve"> TBD</t>
  </si>
  <si>
    <t xml:space="preserve">EWC DEVELOPER FEE - MANUAL</t>
  </si>
  <si>
    <t xml:space="preserve">EWC DEVELOPER FEE - "GEC" CALCULATED</t>
  </si>
  <si>
    <t xml:space="preserve">DEVELOPER FEE SWITCH  (manual=0  calc'd=1 )</t>
  </si>
  <si>
    <t xml:space="preserve">    &gt;&gt;&gt;&gt;&gt;&gt;&gt;&gt;</t>
  </si>
  <si>
    <t xml:space="preserve">EWC DEVELOPER FEE TO PRIMARY FACILITY COST</t>
  </si>
  <si>
    <t xml:space="preserve">PRIMARY FACILITY COSTS</t>
  </si>
  <si>
    <t xml:space="preserve">$TOTAL (000)</t>
  </si>
  <si>
    <t xml:space="preserve">% OF TOTAL USES</t>
  </si>
  <si>
    <t xml:space="preserve">$ PER KW</t>
  </si>
  <si>
    <t xml:space="preserve">Depreciation &amp; Amort Colour Key</t>
  </si>
  <si>
    <t xml:space="preserve">FACILITY DEPRECIABLE BASE</t>
  </si>
  <si>
    <t xml:space="preserve">SHIPPING - WTG &amp; BLADES</t>
  </si>
  <si>
    <t xml:space="preserve">SPLIT AMONG SEVERAL AMORT</t>
  </si>
  <si>
    <t xml:space="preserve">LIFE OF LOAN AMORT                TERM</t>
  </si>
  <si>
    <t xml:space="preserve">LIFE OF PROJECT AMORT            YEARS</t>
  </si>
  <si>
    <t xml:space="preserve">INTERCONNECTION COSTS</t>
  </si>
  <si>
    <t xml:space="preserve">OTHER CONSTRUCTION COSTS</t>
  </si>
  <si>
    <t xml:space="preserve">EPC WRAP FEE</t>
  </si>
  <si>
    <t xml:space="preserve">EWC DEVELOPER FEE</t>
  </si>
  <si>
    <t xml:space="preserve">PRIMARY FACILITY COST</t>
  </si>
  <si>
    <t xml:space="preserve">Security Formula Index - Do not alter these cells</t>
  </si>
  <si>
    <t xml:space="preserve">securecell1</t>
  </si>
  <si>
    <t xml:space="preserve">securecell2</t>
  </si>
  <si>
    <t xml:space="preserve">securecell3</t>
  </si>
  <si>
    <t xml:space="preserve">securecell4</t>
  </si>
  <si>
    <t xml:space="preserve">securecell5</t>
  </si>
  <si>
    <t xml:space="preserve">securecell6</t>
  </si>
  <si>
    <t xml:space="preserve">securecell7</t>
  </si>
  <si>
    <t xml:space="preserve">securecell8</t>
  </si>
  <si>
    <t xml:space="preserve">securecell9</t>
  </si>
  <si>
    <t xml:space="preserve">securecell10</t>
  </si>
  <si>
    <t xml:space="preserve">securecell11</t>
  </si>
  <si>
    <t xml:space="preserve">securecell12</t>
  </si>
  <si>
    <t xml:space="preserve">securecell13</t>
  </si>
  <si>
    <t xml:space="preserve">securecell14</t>
  </si>
  <si>
    <t xml:space="preserve">Data List - Please do not remove</t>
  </si>
  <si>
    <t xml:space="preserve">Light Border is input cell</t>
  </si>
  <si>
    <t xml:space="preserve">Dark Border and/or  No Border are calculation cell NOT input cell</t>
  </si>
  <si>
    <t xml:space="preserve">Light Yellow goes to Sources_Uses sheet</t>
  </si>
  <si>
    <t xml:space="preserve">Deep Yellow = CB Distrbution cell (connected for internal RAC process)</t>
  </si>
  <si>
    <t xml:space="preserve">Part of an HLOOKUP funtion </t>
  </si>
  <si>
    <t xml:space="preserve">PROJECT NAME:</t>
  </si>
  <si>
    <t xml:space="preserve">SMUD - Solano</t>
  </si>
  <si>
    <t xml:space="preserve">LOCATION:</t>
  </si>
  <si>
    <t xml:space="preserve">California</t>
  </si>
  <si>
    <t xml:space="preserve">EXCHANGE RATE                 Local Currency  = </t>
  </si>
  <si>
    <t xml:space="preserve">  $</t>
  </si>
  <si>
    <t xml:space="preserve">PROJECT DURATION (YRS):</t>
  </si>
  <si>
    <t xml:space="preserve">1ST YEAR % PRODUCTION </t>
  </si>
  <si>
    <t xml:space="preserve">PROJECT START DATE</t>
  </si>
  <si>
    <t xml:space="preserve">QUARTER PRODUCTION START</t>
  </si>
  <si>
    <t xml:space="preserve">END OF FIRST YEAR DATE</t>
  </si>
  <si>
    <t xml:space="preserve">BEGINNING YEAR FOR PRODUCTION</t>
  </si>
  <si>
    <t xml:space="preserve">WTG NUMBER &amp; TYPE:</t>
  </si>
  <si>
    <t xml:space="preserve">&lt;&lt;&lt;&lt;&lt;&lt;&lt;&lt;&lt;&lt;&lt;&lt;&lt;&lt;&lt;&lt;&lt;&lt;&lt;&lt;&lt;</t>
  </si>
  <si>
    <t xml:space="preserve">PROJECT CAPACITY (MW):</t>
  </si>
  <si>
    <t xml:space="preserve">FACILITY COST</t>
  </si>
  <si>
    <t xml:space="preserve">WTG ACQUISITION, CONSTRUCTION, &amp; DEVELOPMENT</t>
  </si>
  <si>
    <t xml:space="preserve">SECONDARY FACILITY COSTS</t>
  </si>
  <si>
    <t xml:space="preserve">PREDEVELOPMENT EXPENSES</t>
  </si>
  <si>
    <t xml:space="preserve">ANEMOMETRY</t>
  </si>
  <si>
    <t xml:space="preserve">TBD   &lt;&lt;&lt;&lt;&lt;&lt;&lt;&lt;&lt;</t>
  </si>
  <si>
    <t xml:space="preserve">ALTA AND AS-BUILT SURVEYS, SITE</t>
  </si>
  <si>
    <t xml:space="preserve"> default per JH 1/9/00</t>
  </si>
  <si>
    <t xml:space="preserve">ENGINEERING &amp; CONSULTING</t>
  </si>
  <si>
    <t xml:space="preserve">ENVIRONMENTAL, AVIAN &amp; NOISE STUDIES</t>
  </si>
  <si>
    <t xml:space="preserve">DEVELOPMENT STAFF INCENTIVE</t>
  </si>
  <si>
    <t xml:space="preserve">see guidlines per BGates</t>
  </si>
  <si>
    <t xml:space="preserve">LEGAL PREDEV</t>
  </si>
  <si>
    <t xml:space="preserve">ACQUISITION COSTS</t>
  </si>
  <si>
    <t xml:space="preserve">LOBBYING AND PROMOTION</t>
  </si>
  <si>
    <t xml:space="preserve">LAND RESOURCE</t>
  </si>
  <si>
    <t xml:space="preserve">PERMITTING FEES</t>
  </si>
  <si>
    <t xml:space="preserve"> POWER CURVE TESTING</t>
  </si>
  <si>
    <t xml:space="preserve">PREDEVELOPMENT OVERHEAD ALLOCATION</t>
  </si>
  <si>
    <t xml:space="preserve">WIND RESOURCE</t>
  </si>
  <si>
    <t xml:space="preserve">DEDICATION COSTS</t>
  </si>
  <si>
    <t xml:space="preserve">ESTIMATED TO CLOSE/CONTINGENCY</t>
  </si>
  <si>
    <t xml:space="preserve">PREDEVELOPMENT EXPENSES TOTAL</t>
  </si>
  <si>
    <t xml:space="preserve">CONSTRUCTION INSURANCE </t>
  </si>
  <si>
    <t xml:space="preserve">Basis PD</t>
  </si>
  <si>
    <t xml:space="preserve">CONSTRUCTION LOAN TERMS:</t>
  </si>
  <si>
    <t xml:space="preserve">Basis BI</t>
  </si>
  <si>
    <t xml:space="preserve"> # MONTHS FOR CONSTRUCTION</t>
  </si>
  <si>
    <t xml:space="preserve">TBD</t>
  </si>
  <si>
    <t xml:space="preserve">ANNUALIZED</t>
  </si>
  <si>
    <t xml:space="preserve">RATES </t>
  </si>
  <si>
    <t xml:space="preserve">BASE INTEREST RATE</t>
  </si>
  <si>
    <t xml:space="preserve">as of 5/17/00</t>
  </si>
  <si>
    <t xml:space="preserve">CONSTRUCTION EXPENSES</t>
  </si>
  <si>
    <t xml:space="preserve">cents/$100</t>
  </si>
  <si>
    <t xml:space="preserve">PROPERTY (Basis PD)</t>
  </si>
  <si>
    <t xml:space="preserve">SPREAD OVER BASE RATE</t>
  </si>
  <si>
    <t xml:space="preserve">CONSTRUCTION INSURANCE</t>
  </si>
  <si>
    <t xml:space="preserve"> per Jane Gibbs 5/11/00</t>
  </si>
  <si>
    <t xml:space="preserve">BUSINESS INTERRUPT (Basis BI)</t>
  </si>
  <si>
    <t xml:space="preserve">TOTAL INTEREST RATE</t>
  </si>
  <si>
    <t xml:space="preserve">INTEREST DURING CONSTRUCTION</t>
  </si>
  <si>
    <t xml:space="preserve">&gt;&gt;&gt;&gt; SEE BOX &gt;&gt;&gt;&gt;</t>
  </si>
  <si>
    <t xml:space="preserve">$000/Year</t>
  </si>
  <si>
    <t xml:space="preserve">DELAY IN STARTUP</t>
  </si>
  <si>
    <t xml:space="preserve">AVERAGE BALANCE OUTSTANDING </t>
  </si>
  <si>
    <t xml:space="preserve">TBD - standard estimate</t>
  </si>
  <si>
    <t xml:space="preserve">EPC WARRANTY FEE</t>
  </si>
  <si>
    <t xml:space="preserve"> Calculation below</t>
  </si>
  <si>
    <t xml:space="preserve">$000/Year/wtg</t>
  </si>
  <si>
    <t xml:space="preserve">GENERAL LIABILITY</t>
  </si>
  <si>
    <t xml:space="preserve">CONST. INTEREST - (IF FIXED)</t>
  </si>
  <si>
    <t xml:space="preserve">CONSTRUCTION EXPENSES TOTAL</t>
  </si>
  <si>
    <t xml:space="preserve"> cents/$100</t>
  </si>
  <si>
    <t xml:space="preserve">BOILER &amp; MACHINERY (Basis PD+BI)</t>
  </si>
  <si>
    <t xml:space="preserve">ANNUALIZED CONST. INSURANCE </t>
  </si>
  <si>
    <t xml:space="preserve">CLOSING EXPENSES</t>
  </si>
  <si>
    <t xml:space="preserve">Default - connected to Assum:Months Construction / 12</t>
  </si>
  <si>
    <t xml:space="preserve">LEGAL CLOSING</t>
  </si>
  <si>
    <t xml:space="preserve">see note</t>
  </si>
  <si>
    <t xml:space="preserve">BANKING DUE DILIGENCE EXPENSES</t>
  </si>
  <si>
    <t xml:space="preserve">INDEPENDENT ENGINEER</t>
  </si>
  <si>
    <t xml:space="preserve">Note: legal, financing fees, bank monitor, due diliigence and other equity closing costs</t>
  </si>
  <si>
    <t xml:space="preserve">INSURANCE CONSULTANT FEES</t>
  </si>
  <si>
    <t xml:space="preserve">default per JH 1/9/00</t>
  </si>
  <si>
    <t xml:space="preserve">$300 K minimum + $15K per MW over 5 MW to a maximum of $2 million</t>
  </si>
  <si>
    <t xml:space="preserve">INITIAL WORKING CAPITAL </t>
  </si>
  <si>
    <t xml:space="preserve">LAND USE PAYMENT TO SMUD</t>
  </si>
  <si>
    <t xml:space="preserve">Predevelopment and closing costs checked by Al Davies 5/10/00 and deemed  "OK"</t>
  </si>
  <si>
    <t xml:space="preserve">EQUITY CLOSING EXPENSES</t>
  </si>
  <si>
    <t xml:space="preserve">UTILITY INTERCONNECT COSTS</t>
  </si>
  <si>
    <t xml:space="preserve">EQUITY FEE</t>
  </si>
  <si>
    <t xml:space="preserve"> per Jay Godfrey 5/12/00</t>
  </si>
  <si>
    <t xml:space="preserve">LIQUIDATED DAMAGES</t>
  </si>
  <si>
    <t xml:space="preserve">TITLE INSURANCE</t>
  </si>
  <si>
    <t xml:space="preserve">SR DEBT ARRANGEMENT FEE</t>
  </si>
  <si>
    <t xml:space="preserve">JR DEBT ARRANGEMENT FEE</t>
  </si>
  <si>
    <t xml:space="preserve">CLOSING EXPENSES TOTAL</t>
  </si>
  <si>
    <t xml:space="preserve">TOTAL PROJECT </t>
  </si>
  <si>
    <t xml:space="preserve"> Check Total Uses</t>
  </si>
  <si>
    <t xml:space="preserve">CAPACITY FACTOR </t>
  </si>
  <si>
    <t xml:space="preserve">kWh</t>
  </si>
  <si>
    <t xml:space="preserve">per Rich Simon 3/9/00</t>
  </si>
  <si>
    <t xml:space="preserve">RATED CAPACITY kWh</t>
  </si>
  <si>
    <t xml:space="preserve">CAPACITY FACTOR</t>
  </si>
  <si>
    <t xml:space="preserve">GROSS:</t>
  </si>
  <si>
    <t xml:space="preserve">TOPOGRAPHIC ENHANCEMENT</t>
  </si>
  <si>
    <t xml:space="preserve">WAKE REDUCTION</t>
  </si>
  <si>
    <t xml:space="preserve">LINE LOSS REDUCTION</t>
  </si>
  <si>
    <t xml:space="preserve">ICING REDUCTION </t>
  </si>
  <si>
    <t xml:space="preserve">BLADE CONTAMINATION</t>
  </si>
  <si>
    <t xml:space="preserve">AVAILABILITY REDUCTION </t>
  </si>
  <si>
    <t xml:space="preserve">TURBULANCE</t>
  </si>
  <si>
    <t xml:space="preserve">OTHER ADJUSTMENTS</t>
  </si>
  <si>
    <t xml:space="preserve">NET:</t>
  </si>
  <si>
    <t xml:space="preserve">RAROC VARIANCE - TOTAL PRODUCTION</t>
  </si>
  <si>
    <t xml:space="preserve">PROJECT TOTAL PRODUCTION  (MWh)</t>
  </si>
  <si>
    <t xml:space="preserve">OPERATING REVENUE</t>
  </si>
  <si>
    <t xml:space="preserve">per Eddie  Moses 5/16/00</t>
  </si>
  <si>
    <t xml:space="preserve">BID PRICE</t>
  </si>
  <si>
    <t xml:space="preserve">DEFAULT RATE </t>
  </si>
  <si>
    <t xml:space="preserve">OTHER ADDITIONS</t>
  </si>
  <si>
    <t xml:space="preserve">RATE TO CASHFLOW - BEFORE  TIME OF YEAR ADJUSTMENT</t>
  </si>
  <si>
    <t xml:space="preserve">Project Switches to Default beginning Year</t>
  </si>
  <si>
    <t xml:space="preserve">PRECEEDING YEAR</t>
  </si>
  <si>
    <t xml:space="preserve">CURRENT YEAR</t>
  </si>
  <si>
    <t xml:space="preserve">TIME OF YEAR ADJUSTMENT -- DO NOT ALTER</t>
  </si>
  <si>
    <t xml:space="preserve">20 YR LEVELIZED PAYMENTS   --        @ NPV</t>
  </si>
  <si>
    <t xml:space="preserve">WORKING CAP/MINIMUM CASH BALANCE</t>
  </si>
  <si>
    <t xml:space="preserve">Default = Working Capital-Other Facility Costs</t>
  </si>
  <si>
    <t xml:space="preserve">OTHER REVENUE</t>
  </si>
  <si>
    <t xml:space="preserve"> default = Predev Expense above</t>
  </si>
  <si>
    <t xml:space="preserve">OPERATING EXPENSES</t>
  </si>
  <si>
    <t xml:space="preserve">INFLATION FORECAST YEAR</t>
  </si>
  <si>
    <t xml:space="preserve">RAROC INFLATION</t>
  </si>
  <si>
    <t xml:space="preserve">RAROC GDPIPD</t>
  </si>
  <si>
    <t xml:space="preserve">INFLATION RATE FOR OPER. COSTS: CPI - Enron 3/27/00</t>
  </si>
  <si>
    <t xml:space="preserve">GDPIPD ESCALATION RATE - Enron 3/27/00</t>
  </si>
  <si>
    <t xml:space="preserve">INFLATION RATE TO MODEL</t>
  </si>
  <si>
    <t xml:space="preserve">GDPIPD ESCALATION RATE TO MODEL</t>
  </si>
  <si>
    <t xml:space="preserve">INFLATION SWITCH ( 1 = BCI Report   0 = RAROC)</t>
  </si>
  <si>
    <t xml:space="preserve">O&amp;M COST/WTG</t>
  </si>
  <si>
    <t xml:space="preserve">REGULAR  MAINTENANCE</t>
  </si>
  <si>
    <t xml:space="preserve">PARTS REPLACEMENT</t>
  </si>
  <si>
    <t xml:space="preserve">ELECTRICITY USAGE kWh / WTG / Year</t>
  </si>
  <si>
    <t xml:space="preserve">LAND LEASE TERMS</t>
  </si>
  <si>
    <t xml:space="preserve">ROYALTY        +</t>
  </si>
  <si>
    <t xml:space="preserve"> FIXED</t>
  </si>
  <si>
    <t xml:space="preserve">YEARS 1-30</t>
  </si>
  <si>
    <t xml:space="preserve"> per Al Davies 5/10/00</t>
  </si>
  <si>
    <t xml:space="preserve">OPERATING TAXES</t>
  </si>
  <si>
    <t xml:space="preserve">ENERGY SALES TAX RATE</t>
  </si>
  <si>
    <t xml:space="preserve">disconnected</t>
  </si>
  <si>
    <t xml:space="preserve">REAL PROPERTY TAX --- SPACEHOLDER</t>
  </si>
  <si>
    <t xml:space="preserve">Per annum</t>
  </si>
  <si>
    <t xml:space="preserve">Minimum</t>
  </si>
  <si>
    <t xml:space="preserve">PERSONAL PROPERTY TAX % DEPRECIATION SCHED.</t>
  </si>
  <si>
    <t xml:space="preserve">PERSONAL PROPERTY TAX</t>
  </si>
  <si>
    <t xml:space="preserve"> for Solano County from Jerry Holt 5/10/00</t>
  </si>
  <si>
    <t xml:space="preserve">PROPERTY TAX BASIS </t>
  </si>
  <si>
    <t xml:space="preserve">per Glen Nelson, Senior Assessor, 707-421-6232</t>
  </si>
  <si>
    <t xml:space="preserve">INSURANCE EXPENSE BASIS</t>
  </si>
  <si>
    <t xml:space="preserve">PD BASIS $ PER MW ESTIMATE</t>
  </si>
  <si>
    <t xml:space="preserve"> Insurable value averages $1000-1200 / MW</t>
  </si>
  <si>
    <t xml:space="preserve">PHYSICAL DAMAGE BASIS</t>
  </si>
  <si>
    <t xml:space="preserve">PD Basis</t>
  </si>
  <si>
    <t xml:space="preserve">BUSINESS INTERRUPTION BASIS</t>
  </si>
  <si>
    <t xml:space="preserve">BI Basis 1st full yr revenue + full yr 1 PTC</t>
  </si>
  <si>
    <t xml:space="preserve">OPERATING INSURANCE </t>
  </si>
  <si>
    <t xml:space="preserve">RATES</t>
  </si>
  <si>
    <t xml:space="preserve">PROPERTY - PRIMARY  &amp; BUS. INT. (Basis PD+BI)</t>
  </si>
  <si>
    <t xml:space="preserve">PROPERTY - EXCESS   (Basis PD)</t>
  </si>
  <si>
    <t xml:space="preserve">BUSINESS INTERRUPTION - EXCESS (BI)</t>
  </si>
  <si>
    <t xml:space="preserve"> thousands per WTG</t>
  </si>
  <si>
    <t xml:space="preserve">     TOTAL OPERATING INSURANCE - ANNUAL</t>
  </si>
  <si>
    <t xml:space="preserve">WARRANTIES &amp; FEES</t>
  </si>
  <si>
    <t xml:space="preserve">EPC PAYMENT TO ECM</t>
  </si>
  <si>
    <t xml:space="preserve">EPC PAYMENT TO ZOND CONSTRUCTORS</t>
  </si>
  <si>
    <t xml:space="preserve">TOTAL EPC WARRANTY PAYMENT  -----   PER WTG</t>
  </si>
  <si>
    <t xml:space="preserve">NPV OFTOTAL  EPC WARRANTY      @ DISCOUNT RATE</t>
  </si>
  <si>
    <t xml:space="preserve">FEE SWITCH (1=CASHFLOW FEE : 0=USE OF FUNDS)</t>
  </si>
  <si>
    <t xml:space="preserve"> OPERATING EXENSES - TOTALS TO CASHFLOW</t>
  </si>
  <si>
    <t xml:space="preserve">MAINTENANCE </t>
  </si>
  <si>
    <t xml:space="preserve">NONROUTINE MAINTENANCE</t>
  </si>
  <si>
    <t xml:space="preserve">ELECTRICITY USAGE</t>
  </si>
  <si>
    <t xml:space="preserve">LAND PAYMENTS (VARIABLE)</t>
  </si>
  <si>
    <t xml:space="preserve">LAND PAYMENTS (FIXED)</t>
  </si>
  <si>
    <t xml:space="preserve">TOTAL PROPERTY TAX </t>
  </si>
  <si>
    <t xml:space="preserve">INSURANCE </t>
  </si>
  <si>
    <t xml:space="preserve">AUDIT COSTS </t>
  </si>
  <si>
    <t xml:space="preserve">Per T.Schoen memo=$20 Audit, $15 Tax</t>
  </si>
  <si>
    <t xml:space="preserve">SR DEBT ANNUAL AGENCY FEE</t>
  </si>
  <si>
    <t xml:space="preserve">JR DEBT ANNUAL AGENCY FEE</t>
  </si>
  <si>
    <t xml:space="preserve">DEMOLITION FUND</t>
  </si>
  <si>
    <t xml:space="preserve">RAROC OPEX VARIANCE</t>
  </si>
  <si>
    <t xml:space="preserve">EPC WARRANTY PAYMENT</t>
  </si>
  <si>
    <t xml:space="preserve">EWC MANAGEMENT FEE</t>
  </si>
  <si>
    <t xml:space="preserve"> TAXES AND PTC:</t>
  </si>
  <si>
    <t xml:space="preserve">FEDERAL TAX </t>
  </si>
  <si>
    <t xml:space="preserve">TOTAL</t>
  </si>
  <si>
    <t xml:space="preserve">FEDERAL</t>
  </si>
  <si>
    <t xml:space="preserve">STATE</t>
  </si>
  <si>
    <t xml:space="preserve">OUTSIDE EQUITY TOTAL EFFECTIVE RATE</t>
  </si>
  <si>
    <t xml:space="preserve">35% per Jay Godfrey 5/12/00</t>
  </si>
  <si>
    <t xml:space="preserve">EWC TOTAL EFFECTIVE RATE</t>
  </si>
  <si>
    <t xml:space="preserve">MACRS DEPRECIATION SCHEDULE</t>
  </si>
  <si>
    <t xml:space="preserve">MID QUARTERT CONVENTION : Q4</t>
  </si>
  <si>
    <t xml:space="preserve">HALF YEAR  CONVENTION : Q1-Q3</t>
  </si>
  <si>
    <t xml:space="preserve">DEPRECIATION BASIS %</t>
  </si>
  <si>
    <t xml:space="preserve">VARIABLE AMORT</t>
  </si>
  <si>
    <t xml:space="preserve">LIFE OF LOAN AMORT</t>
  </si>
  <si>
    <t xml:space="preserve">LIFE OF PROJECT AMORT </t>
  </si>
  <si>
    <t xml:space="preserve">TOTAL DEPRECIABLE ASSETS</t>
  </si>
  <si>
    <t xml:space="preserve">PTC</t>
  </si>
  <si>
    <t xml:space="preserve">FEDERAL PROD. TAX CREDIT (1992 CENTS/kWh)</t>
  </si>
  <si>
    <t xml:space="preserve">GDP MULTIPLIER             YEAR</t>
  </si>
  <si>
    <t xml:space="preserve">OTHER ADJUSTMENT FOR LATER START YEAR</t>
  </si>
  <si>
    <t xml:space="preserve">FEDERAL PROD. TAX CREDIT CALCULATED</t>
  </si>
  <si>
    <t xml:space="preserve">FEDERAL PROD. TAX CREDIT - IRS ADJUSTED</t>
  </si>
  <si>
    <t xml:space="preserve">DEBT ASSUMPTIONS:</t>
  </si>
  <si>
    <t xml:space="preserve">SENIOR DEBT</t>
  </si>
  <si>
    <t xml:space="preserve">TRANCHE A</t>
  </si>
  <si>
    <t xml:space="preserve">TRANCHE B</t>
  </si>
  <si>
    <t xml:space="preserve">BEGINNING BALANCE</t>
  </si>
  <si>
    <t xml:space="preserve">TERM OF LOAN</t>
  </si>
  <si>
    <t xml:space="preserve">COVERAGE RATIO</t>
  </si>
  <si>
    <t xml:space="preserve">COVERAGE RATIO + 1</t>
  </si>
  <si>
    <t xml:space="preserve">OUTSIDE</t>
  </si>
  <si>
    <t xml:space="preserve">EWC</t>
  </si>
  <si>
    <t xml:space="preserve">PAYMENTS PER YEAR</t>
  </si>
  <si>
    <t xml:space="preserve">10 YR IRR</t>
  </si>
  <si>
    <t xml:space="preserve">20 YR 1RR</t>
  </si>
  <si>
    <t xml:space="preserve">SR DEBT TERM</t>
  </si>
  <si>
    <t xml:space="preserve">per ECMoses 12June</t>
  </si>
  <si>
    <t xml:space="preserve">SR DEBT FINE TUNER</t>
  </si>
  <si>
    <t xml:space="preserve">DAYS PER YEAR</t>
  </si>
  <si>
    <t xml:space="preserve">FIRST PAYMENT DATE</t>
  </si>
  <si>
    <t xml:space="preserve"> Default - 6 month from project start date</t>
  </si>
  <si>
    <t xml:space="preserve">2ND PAYMENT DATE</t>
  </si>
  <si>
    <t xml:space="preserve"> Default - 6 month from 1st payment date</t>
  </si>
  <si>
    <t xml:space="preserve">1st S.A. PERIOD PRODUCTION WEIGHT FACTOR BY PROJECT YEAR</t>
  </si>
  <si>
    <t xml:space="preserve">PMTS PER YEAR    (1=ANNUAL  2=SEMI-ANNUAL)</t>
  </si>
  <si>
    <t xml:space="preserve">TRANCHE A  COVERAGE RATIO:</t>
  </si>
  <si>
    <t xml:space="preserve">per Jay Godfrey 5/12/00</t>
  </si>
  <si>
    <t xml:space="preserve">Libor 1 Jul 2011 per Enron, 5/17/00</t>
  </si>
  <si>
    <t xml:space="preserve">COST TO FIX RATE</t>
  </si>
  <si>
    <t xml:space="preserve">SPREAD</t>
  </si>
  <si>
    <t xml:space="preserve">BANK NET INTEREST RATE:</t>
  </si>
  <si>
    <t xml:space="preserve"> TBD per Cutbirth/Gates</t>
  </si>
  <si>
    <t xml:space="preserve">TRANCHE WEIGHTING FACTORS</t>
  </si>
  <si>
    <t xml:space="preserve"> Default - same as Tranche A</t>
  </si>
  <si>
    <t xml:space="preserve">TRANCHE B COVERAGE RATIO:</t>
  </si>
  <si>
    <t xml:space="preserve"> 3 MONTH LIBOR Bloomberg 9/24/98</t>
  </si>
  <si>
    <t xml:space="preserve">JUNIOR DEBT:</t>
  </si>
  <si>
    <t xml:space="preserve">SUB-DEBT COVERAGE RATIO</t>
  </si>
  <si>
    <t xml:space="preserve">JR DEBT TOTAL</t>
  </si>
  <si>
    <t xml:space="preserve">TERM OF SUB-DEBT LOAN</t>
  </si>
  <si>
    <t xml:space="preserve">OUTSIDE 10yr IRR</t>
  </si>
  <si>
    <t xml:space="preserve">FIRST SEMI-ANNUAL PRINCIPLE PAYMENT</t>
  </si>
  <si>
    <t xml:space="preserve">EWC 10yr IRR</t>
  </si>
  <si>
    <t xml:space="preserve">JR DEBT SWITCH (1 = On   0 = Off)</t>
  </si>
  <si>
    <t xml:space="preserve">JR DEBT TERM</t>
  </si>
  <si>
    <t xml:space="preserve">JR DEBT FINE TUNER</t>
  </si>
  <si>
    <t xml:space="preserve">1st  PAYMENT DATE</t>
  </si>
  <si>
    <t xml:space="preserve">2nd PAYMENT DATE</t>
  </si>
  <si>
    <t xml:space="preserve">FIRST SEMI-ANNUAL PRINCIPLE PAYMENT (1=YES  0=NO)</t>
  </si>
  <si>
    <t xml:space="preserve">PRODUCTION WEIGHT FACTOR BY PROJECT YEAR</t>
  </si>
  <si>
    <t xml:space="preserve">BASE INTEREST RATE </t>
  </si>
  <si>
    <t xml:space="preserve">JR DEBT  NET INTEREST RATE:</t>
  </si>
  <si>
    <t xml:space="preserve">PTC REDUCTION % - for exclusion</t>
  </si>
  <si>
    <t xml:space="preserve">PTC GEC CHECK COV RATIO</t>
  </si>
  <si>
    <t xml:space="preserve">PROJECT CASH AVAILABLE FOR MONETIZATION COV RATIO</t>
  </si>
  <si>
    <t xml:space="preserve">TOTAL CASH AND PTC FOR JR DEBT COV RATIO</t>
  </si>
  <si>
    <t xml:space="preserve">INITIAL EXCLUDED PTC </t>
  </si>
  <si>
    <t xml:space="preserve">     # Years for which Baseline is exluded</t>
  </si>
  <si>
    <t xml:space="preserve">FINAL EXCLUDED PTC</t>
  </si>
  <si>
    <t xml:space="preserve">    Monetization Rate - Outside Equity</t>
  </si>
  <si>
    <t xml:space="preserve">    Monetization Rate - EWC</t>
  </si>
  <si>
    <t xml:space="preserve">RESERVES</t>
  </si>
  <si>
    <t xml:space="preserve">DEBT RESERVE:</t>
  </si>
  <si>
    <t xml:space="preserve">PROVISION FOR LETTER OF CREDIT - SR DEBT</t>
  </si>
  <si>
    <t xml:space="preserve">PROVISION FOR LETTER OF CREDIT - JR DEBT</t>
  </si>
  <si>
    <t xml:space="preserve"> % OF NEXT YEAR DEBT SERVICE</t>
  </si>
  <si>
    <t xml:space="preserve">O&amp;M RESERVE</t>
  </si>
  <si>
    <t xml:space="preserve">PROVISION FOR LETTER OF CREDIT - O&amp;M</t>
  </si>
  <si>
    <t xml:space="preserve">% OF NEXT YEAR'S O&amp;M</t>
  </si>
  <si>
    <t xml:space="preserve">EQUITY ASSUMPTIONS</t>
  </si>
  <si>
    <t xml:space="preserve">SEE NOTE     &gt;&gt;&gt;&gt;&gt;&gt;&gt;&gt;&gt;</t>
  </si>
  <si>
    <t xml:space="preserve">FIRST ANNUAL DISTRIBUTION DATE</t>
  </si>
  <si>
    <t xml:space="preserve"> default = 2nd Annual Debt Repayment Date</t>
  </si>
  <si>
    <t xml:space="preserve">NPV OF TOTAL EQUITY</t>
  </si>
  <si>
    <t xml:space="preserve">20 YR</t>
  </si>
  <si>
    <t xml:space="preserve">NPV CALC DISCOUNT RATE</t>
  </si>
  <si>
    <t xml:space="preserve"> Connected to Outside &amp; EWC sheets</t>
  </si>
  <si>
    <t xml:space="preserve">EQUITY SWITCH (1=User Input : 0=Model Solve)</t>
  </si>
  <si>
    <t xml:space="preserve">TOTAL EQUITY          --  USER INPUT</t>
  </si>
  <si>
    <t xml:space="preserve">OUTSIDE EQUITY      -- CONTRIBUTION %</t>
  </si>
  <si>
    <t xml:space="preserve">EWC                                 --  CONTRIBUTION %</t>
  </si>
  <si>
    <t xml:space="preserve">20 YR IRR</t>
  </si>
  <si>
    <t xml:space="preserve">   CASH DISTRIBUTIONS:</t>
  </si>
  <si>
    <t xml:space="preserve">  Default = Contribution %</t>
  </si>
  <si>
    <t xml:space="preserve">OUTSIDE SHARE</t>
  </si>
  <si>
    <t xml:space="preserve">EWC SHARE</t>
  </si>
  <si>
    <t xml:space="preserve">   TAX/BOOK INCOME:</t>
  </si>
  <si>
    <t xml:space="preserve">EWC BOOK ELIMINATION %</t>
  </si>
  <si>
    <t xml:space="preserve">Enron Wind Corp. Summary</t>
  </si>
  <si>
    <t xml:space="preserve">TOTAL NUMBER WTG</t>
  </si>
  <si>
    <t xml:space="preserve">&lt;&lt;&lt;&lt;&lt;&lt;&lt;&lt;</t>
  </si>
  <si>
    <t xml:space="preserve">NET CAPACITY FACTOR</t>
  </si>
  <si>
    <t xml:space="preserve">MWh PRODUCED</t>
  </si>
  <si>
    <t xml:space="preserve">LOCATION</t>
  </si>
  <si>
    <t xml:space="preserve">20 YR LEVELIZED  RATE @ </t>
  </si>
  <si>
    <t xml:space="preserve">FIRST YEAR BID RATE</t>
  </si>
  <si>
    <t xml:space="preserve">FIRST YEAR TOTAL RATE</t>
  </si>
  <si>
    <t xml:space="preserve">SOURCES OF FUNDS</t>
  </si>
  <si>
    <t xml:space="preserve">% VALUE</t>
  </si>
  <si>
    <t xml:space="preserve"> $ PER WTG</t>
  </si>
  <si>
    <t xml:space="preserve"> EQUITY RETURN:</t>
  </si>
  <si>
    <t xml:space="preserve">EQUITY RETURN:</t>
  </si>
  <si>
    <t xml:space="preserve">PRE TAX</t>
  </si>
  <si>
    <t xml:space="preserve">AFTER TAX</t>
  </si>
  <si>
    <t xml:space="preserve">10 YEAR IRR</t>
  </si>
  <si>
    <t xml:space="preserve">20 YEAR IRR</t>
  </si>
  <si>
    <t xml:space="preserve">30 YEAR IRR</t>
  </si>
  <si>
    <t xml:space="preserve">USES OF FUNDS</t>
  </si>
  <si>
    <t xml:space="preserve">NET GAIN</t>
  </si>
  <si>
    <t xml:space="preserve">% COST</t>
  </si>
  <si>
    <t xml:space="preserve">AFTER TAX @</t>
  </si>
  <si>
    <t xml:space="preserve">n/a</t>
  </si>
  <si>
    <t xml:space="preserve">10 YEAR NPV</t>
  </si>
  <si>
    <t xml:space="preserve">20 YEAR NPV</t>
  </si>
  <si>
    <t xml:space="preserve">30 YEAR NPV</t>
  </si>
  <si>
    <t xml:space="preserve">CONSTRUCTION COSTS</t>
  </si>
  <si>
    <t xml:space="preserve">CASH &amp; TAX ASSUMPTIONS SWITCH</t>
  </si>
  <si>
    <t xml:space="preserve">%</t>
  </si>
  <si>
    <t xml:space="preserve">EFF. TAX</t>
  </si>
  <si>
    <t xml:space="preserve">OUTSIDE EQUITY </t>
  </si>
  <si>
    <t xml:space="preserve">OUTSIDE </t>
  </si>
  <si>
    <t xml:space="preserve">ZOND/ENRON EQUITY  </t>
  </si>
  <si>
    <t xml:space="preserve">    1)  PTC'S ANNUALLY, CASH PAID ANNUALLY</t>
  </si>
  <si>
    <t xml:space="preserve">   TOTAL</t>
  </si>
  <si>
    <t xml:space="preserve">    2)  PTC'S QUARTERLY, CASH PAID ANNUALLY</t>
  </si>
  <si>
    <t xml:space="preserve">TOTAL FACILITY COST</t>
  </si>
  <si>
    <t xml:space="preserve">TOTAL PROJECT COST</t>
  </si>
  <si>
    <t xml:space="preserve">BEGINNING</t>
  </si>
  <si>
    <t xml:space="preserve">LOAN</t>
  </si>
  <si>
    <t xml:space="preserve">WTG MARKUP</t>
  </si>
  <si>
    <t xml:space="preserve">DEBT</t>
  </si>
  <si>
    <t xml:space="preserve">TERM</t>
  </si>
  <si>
    <t xml:space="preserve">INT. RATE</t>
  </si>
  <si>
    <t xml:space="preserve">AMOUNT</t>
  </si>
  <si>
    <t xml:space="preserve">PROJECT MARKUP</t>
  </si>
  <si>
    <t xml:space="preserve">$ COST / MWh PRODUCED (000)</t>
  </si>
  <si>
    <t xml:space="preserve"> JR DEBT</t>
  </si>
  <si>
    <t xml:space="preserve">AGGREGATE LOAN</t>
  </si>
  <si>
    <t xml:space="preserve">ALL IN EWC</t>
  </si>
  <si>
    <t xml:space="preserve">TOTAL PROJECT NET GAIN</t>
  </si>
  <si>
    <t xml:space="preserve">COVERAGE RATIOS</t>
  </si>
  <si>
    <t xml:space="preserve">LESS EWC EQUITY</t>
  </si>
  <si>
    <t xml:space="preserve">YEAR</t>
  </si>
  <si>
    <t xml:space="preserve">DATE</t>
  </si>
  <si>
    <t xml:space="preserve">JR DEBT</t>
  </si>
  <si>
    <t xml:space="preserve">EWC CASH GAIN</t>
  </si>
  <si>
    <t xml:space="preserve">PROJECT CASH TO EWC</t>
  </si>
  <si>
    <t xml:space="preserve">NPV@</t>
  </si>
  <si>
    <t xml:space="preserve">TAX BENEFITS </t>
  </si>
  <si>
    <t xml:space="preserve">TOTAL EWC  BENEFIT</t>
  </si>
  <si>
    <t xml:space="preserve">TOTAL EWC VALUE MARKUP</t>
  </si>
  <si>
    <t xml:space="preserve">EWC BOOK EARNINGS : 5 YEAR</t>
  </si>
  <si>
    <t xml:space="preserve">EWC NET GAIN</t>
  </si>
  <si>
    <t xml:space="preserve">LESS RESERVE FOR  WARRANTIES</t>
  </si>
  <si>
    <t xml:space="preserve">???</t>
  </si>
  <si>
    <t xml:space="preserve">BOOK ELIMINATION</t>
  </si>
  <si>
    <t xml:space="preserve">PROJECT INCOME</t>
  </si>
  <si>
    <t xml:space="preserve">TOTAL EARNINGS</t>
  </si>
  <si>
    <t xml:space="preserve">PROJECT OPEX EXPENSE</t>
  </si>
  <si>
    <t xml:space="preserve">EBITDA</t>
  </si>
  <si>
    <t xml:space="preserve">BOOK DEPRECIATION</t>
  </si>
  <si>
    <t xml:space="preserve">INTEREST EXPENSE</t>
  </si>
  <si>
    <t xml:space="preserve">EBT</t>
  </si>
  <si>
    <t xml:space="preserve">CURRENT PORTION OF TAX</t>
  </si>
  <si>
    <t xml:space="preserve">DEFERRED PORTION OF TAX</t>
  </si>
  <si>
    <t xml:space="preserve">PROJECT TAX BENEFIT (PMT)</t>
  </si>
  <si>
    <t xml:space="preserve">PROJECT PTC</t>
  </si>
  <si>
    <t xml:space="preserve">TOTAL PROJECT BOOK EFFECT </t>
  </si>
  <si>
    <t xml:space="preserve">Sources &amp; Uses Statement</t>
  </si>
  <si>
    <t xml:space="preserve">% TOTAL</t>
  </si>
  <si>
    <t xml:space="preserve">Total Required Cash Equity</t>
  </si>
  <si>
    <t xml:space="preserve">OUTSIDE EQUITY</t>
  </si>
  <si>
    <t xml:space="preserve">EWC EQUITY</t>
  </si>
  <si>
    <t xml:space="preserve">SENIOR BANK DEBT</t>
  </si>
  <si>
    <t xml:space="preserve">JUNIOR DEBT</t>
  </si>
  <si>
    <t xml:space="preserve">      CASH SUB-TOTAL</t>
  </si>
  <si>
    <t xml:space="preserve">BLANK</t>
  </si>
  <si>
    <t xml:space="preserve">     CASH &amp; NON-CASH TOTAL</t>
  </si>
  <si>
    <t xml:space="preserve">CONSTRUCTION INTEREST</t>
  </si>
  <si>
    <t xml:space="preserve">      TOTAL</t>
  </si>
  <si>
    <t xml:space="preserve">Cash Flow Statement</t>
  </si>
  <si>
    <t xml:space="preserve">PRODUCTION % PER  YEAR</t>
  </si>
  <si>
    <t xml:space="preserve">ENERGY PRODUCTION (MWh)</t>
  </si>
  <si>
    <t xml:space="preserve">ENERGY RATE</t>
  </si>
  <si>
    <t xml:space="preserve">REVENUE</t>
  </si>
  <si>
    <t xml:space="preserve">ELECTRICITY SALES</t>
  </si>
  <si>
    <t xml:space="preserve"> TOTAL OPERATING INFLOWS</t>
  </si>
  <si>
    <t xml:space="preserve">OPEX</t>
  </si>
  <si>
    <t xml:space="preserve">TOTAL OPEX </t>
  </si>
  <si>
    <t xml:space="preserve">NET OPERATING CASH</t>
  </si>
  <si>
    <t xml:space="preserve">INTEREST EXPENSE TRANCHE A</t>
  </si>
  <si>
    <t xml:space="preserve">PRINCIPAL PAYMENT TRANCHE A</t>
  </si>
  <si>
    <t xml:space="preserve">INTEREST EXPENSE TRANCHE B</t>
  </si>
  <si>
    <t xml:space="preserve">PRINCIPAL PAYMENT TRANCHE B</t>
  </si>
  <si>
    <t xml:space="preserve">    TOTAL SR DEBT PAYMENTS</t>
  </si>
  <si>
    <t xml:space="preserve">L/C FEE - SR DEBT</t>
  </si>
  <si>
    <t xml:space="preserve">NET CASH FLOW AFTER SR DEBT</t>
  </si>
  <si>
    <t xml:space="preserve">SUBORDINATE</t>
  </si>
  <si>
    <t xml:space="preserve">L/C FEE - O&amp;M</t>
  </si>
  <si>
    <t xml:space="preserve">PAYMENTS</t>
  </si>
  <si>
    <t xml:space="preserve">MANAGEMENT FEE</t>
  </si>
  <si>
    <t xml:space="preserve">    TOTAL SUBORDINATED PMTS</t>
  </si>
  <si>
    <t xml:space="preserve">NET CASH AFTER SUB-PMTS</t>
  </si>
  <si>
    <t xml:space="preserve">ADDITIONAL EQUITY - OUTSIDE</t>
  </si>
  <si>
    <t xml:space="preserve">ADDITIONAL EQUITY - EWC</t>
  </si>
  <si>
    <t xml:space="preserve">CASH AVAILABLE FOR JR DEBT</t>
  </si>
  <si>
    <t xml:space="preserve">PRINCIPLE PMT</t>
  </si>
  <si>
    <t xml:space="preserve">     TOTAL JR DEBT PMT</t>
  </si>
  <si>
    <t xml:space="preserve">L/C FEE JR DEBT</t>
  </si>
  <si>
    <t xml:space="preserve">NET CASH AFTER JR DEBT</t>
  </si>
  <si>
    <t xml:space="preserve">DEFICIT </t>
  </si>
  <si>
    <t xml:space="preserve">DEFICIT LOAN</t>
  </si>
  <si>
    <t xml:space="preserve">REVOLVER</t>
  </si>
  <si>
    <t xml:space="preserve">RETURN PAYMENT</t>
  </si>
  <si>
    <t xml:space="preserve">NET CASH AFTER REVOLVER</t>
  </si>
  <si>
    <t xml:space="preserve">BEGINNING CASH BALANCE</t>
  </si>
  <si>
    <t xml:space="preserve">PLUS : </t>
  </si>
  <si>
    <t xml:space="preserve">NET CASH</t>
  </si>
  <si>
    <t xml:space="preserve">LESS : </t>
  </si>
  <si>
    <t xml:space="preserve">WORKING CAPITAL MIN BALANCE</t>
  </si>
  <si>
    <t xml:space="preserve">CASH AVAILABLE FOR DISTRIBUTION </t>
  </si>
  <si>
    <t xml:space="preserve">CASH DISTRIBUTED</t>
  </si>
  <si>
    <t xml:space="preserve">ENDING CASH BALANCE</t>
  </si>
  <si>
    <t xml:space="preserve">DISTRIBUTIONS</t>
  </si>
  <si>
    <t xml:space="preserve">TOTAL CASH DISTRIBUTIONS</t>
  </si>
  <si>
    <t xml:space="preserve">PROD. TAX CREDIT RATE ¢/kWh</t>
  </si>
  <si>
    <t xml:space="preserve">TOTAL PROD TAX CREDIT</t>
  </si>
  <si>
    <t xml:space="preserve">Required Monetization</t>
  </si>
  <si>
    <t xml:space="preserve">Additional Equity</t>
  </si>
  <si>
    <t xml:space="preserve">Effective Monetization of Additional Equity</t>
  </si>
  <si>
    <t xml:space="preserve">Total Effective Monetization</t>
  </si>
  <si>
    <t xml:space="preserve">GREEN PREMIUM</t>
  </si>
  <si>
    <t xml:space="preserve">DEFICIT REVOLVER</t>
  </si>
  <si>
    <t xml:space="preserve">This revolver is used for sensitivity analysis</t>
  </si>
  <si>
    <t xml:space="preserve">Beginning Balance</t>
  </si>
  <si>
    <t xml:space="preserve">Deficit</t>
  </si>
  <si>
    <t xml:space="preserve">Interest</t>
  </si>
  <si>
    <t xml:space="preserve">Return</t>
  </si>
  <si>
    <t xml:space="preserve">Ending Balance</t>
  </si>
  <si>
    <t xml:space="preserve">Project Year</t>
  </si>
  <si>
    <t xml:space="preserve">Senior Debt</t>
  </si>
  <si>
    <t xml:space="preserve">Total Net Operating Cash - Calendar Year</t>
  </si>
  <si>
    <t xml:space="preserve">Total Net Operating Cash - Project Year</t>
  </si>
  <si>
    <t xml:space="preserve">Weight</t>
  </si>
  <si>
    <t xml:space="preserve">Cash Available for SR Debt -- Project Year</t>
  </si>
  <si>
    <t xml:space="preserve">Target Coverage Ratios</t>
  </si>
  <si>
    <t xml:space="preserve">Actual Coverage Ratios</t>
  </si>
  <si>
    <t xml:space="preserve">PVF</t>
  </si>
  <si>
    <t xml:space="preserve">Cash Available for Coverage</t>
  </si>
  <si>
    <t xml:space="preserve">Cash Used for SR Debt</t>
  </si>
  <si>
    <t xml:space="preserve">PV</t>
  </si>
  <si>
    <t xml:space="preserve">Total PV + Fine Tuner</t>
  </si>
  <si>
    <t xml:space="preserve">Target Term</t>
  </si>
  <si>
    <t xml:space="preserve">Actual Term</t>
  </si>
  <si>
    <t xml:space="preserve">1st S.A. Repayment Period </t>
  </si>
  <si>
    <t xml:space="preserve">2nd S.A. Repayment Period</t>
  </si>
  <si>
    <t xml:space="preserve">Year</t>
  </si>
  <si>
    <t xml:space="preserve">Project Start Date</t>
  </si>
  <si>
    <t xml:space="preserve">Days in Period</t>
  </si>
  <si>
    <t xml:space="preserve">Beginning Loan Balance</t>
  </si>
  <si>
    <t xml:space="preserve">Principal</t>
  </si>
  <si>
    <t xml:space="preserve">First Payment Date</t>
  </si>
  <si>
    <t xml:space="preserve">Mid-Year Loan Balance</t>
  </si>
  <si>
    <t xml:space="preserve">Second Payment Date</t>
  </si>
  <si>
    <t xml:space="preserve">Counter Beginning Period</t>
  </si>
  <si>
    <t xml:space="preserve">Counter Mid Year</t>
  </si>
  <si>
    <t xml:space="preserve">Average Life</t>
  </si>
  <si>
    <t xml:space="preserve">PROJECT YEAR TRANCHE A</t>
  </si>
  <si>
    <t xml:space="preserve">Annual Interest Payment</t>
  </si>
  <si>
    <t xml:space="preserve">Annual Principle Payment</t>
  </si>
  <si>
    <t xml:space="preserve">Total P &amp; I Payment</t>
  </si>
  <si>
    <t xml:space="preserve">ADJUSTMENT FOR CALENDAR YEAR TRANCHE A</t>
  </si>
  <si>
    <t xml:space="preserve">PROJECT YEAR TRANCHE B</t>
  </si>
  <si>
    <t xml:space="preserve">ADJUSTMENT FOR CALENDAR YEAR TRANCHE B</t>
  </si>
  <si>
    <t xml:space="preserve">PROJECT YEAR TOTAL</t>
  </si>
  <si>
    <t xml:space="preserve">Ending Loan Balance</t>
  </si>
  <si>
    <t xml:space="preserve">TOTALS TO MODEL</t>
  </si>
  <si>
    <t xml:space="preserve">CALENDAR YEAR TRANCHE A</t>
  </si>
  <si>
    <t xml:space="preserve">Total Annual Interest</t>
  </si>
  <si>
    <t xml:space="preserve">Total Annual Principle</t>
  </si>
  <si>
    <t xml:space="preserve">CALENDAR YEAR TRANCHE B</t>
  </si>
  <si>
    <t xml:space="preserve">CALENDAR YEAR TOTAL</t>
  </si>
  <si>
    <t xml:space="preserve">NOTE: Calendar Year Totals are hooked to rest of model by default. During Debt and Equity closing, Project Year totals may more accurately reflect the timing of cash flows</t>
  </si>
  <si>
    <t xml:space="preserve">Junior Debt - PTC Monetization</t>
  </si>
  <si>
    <t xml:space="preserve">PTC MONETIZATION</t>
  </si>
  <si>
    <t xml:space="preserve">Forecasted PTC -- Project Year</t>
  </si>
  <si>
    <t xml:space="preserve">Pre-Exclusion  PTC Subject to Monetization</t>
  </si>
  <si>
    <t xml:space="preserve">Initial Excluded PTC</t>
  </si>
  <si>
    <t xml:space="preserve">Final Excluded PTC</t>
  </si>
  <si>
    <t xml:space="preserve">PTC Subject to Monetization</t>
  </si>
  <si>
    <t xml:space="preserve">PTC Allocated for Monetization - Oustide Equity</t>
  </si>
  <si>
    <t xml:space="preserve">PTC Allocated for Monetization - EWC</t>
  </si>
  <si>
    <t xml:space="preserve">Monetization Rate / Additional Outside Equity</t>
  </si>
  <si>
    <t xml:space="preserve">Monetization Rate / Additional  EWC Equity</t>
  </si>
  <si>
    <t xml:space="preserve">Total Monetized PTC  for JR Debt</t>
  </si>
  <si>
    <t xml:space="preserve">PTC for Monetization - Test 1</t>
  </si>
  <si>
    <t xml:space="preserve">PROJECT CASH</t>
  </si>
  <si>
    <t xml:space="preserve">Net Project Cash Available for JR Debt -- Project Year</t>
  </si>
  <si>
    <t xml:space="preserve">Project Cash for JR Debt Coverage Ratio</t>
  </si>
  <si>
    <t xml:space="preserve">Total Project Cash for JR Debt </t>
  </si>
  <si>
    <t xml:space="preserve">Total Cash Available for JR Debt - Test 2</t>
  </si>
  <si>
    <t xml:space="preserve">JR Debt Interest Rate</t>
  </si>
  <si>
    <r>
      <rPr>
        <b val="true"/>
        <sz val="10"/>
        <rFont val="Arial MT"/>
        <family val="0"/>
      </rPr>
      <t xml:space="preserve">Total Cash for JR Debt = min(</t>
    </r>
    <r>
      <rPr>
        <b val="true"/>
        <sz val="10"/>
        <color rgb="FFFF6600"/>
        <rFont val="Arial MT"/>
        <family val="0"/>
      </rPr>
      <t xml:space="preserve">Test1</t>
    </r>
    <r>
      <rPr>
        <b val="true"/>
        <sz val="10"/>
        <rFont val="Arial MT"/>
        <family val="0"/>
      </rPr>
      <t xml:space="preserve">,</t>
    </r>
    <r>
      <rPr>
        <b val="true"/>
        <sz val="10"/>
        <color rgb="FF99CC00"/>
        <rFont val="Arial MT"/>
        <family val="0"/>
      </rPr>
      <t xml:space="preserve">Test2</t>
    </r>
    <r>
      <rPr>
        <b val="true"/>
        <sz val="10"/>
        <rFont val="Arial MT"/>
        <family val="0"/>
      </rPr>
      <t xml:space="preserve">)</t>
    </r>
  </si>
  <si>
    <t xml:space="preserve">PROJECT YEAR</t>
  </si>
  <si>
    <t xml:space="preserve">ADJUSTMENT FOR CALENDAR YEAR</t>
  </si>
  <si>
    <t xml:space="preserve">CALENDAR YEAR to rest of model</t>
  </si>
  <si>
    <t xml:space="preserve">Additional Equity --  Outside</t>
  </si>
  <si>
    <t xml:space="preserve">Additional Equity -- EWC</t>
  </si>
  <si>
    <t xml:space="preserve">Depreciation, Tax &amp; Book Income, Tax Balance Sheet</t>
  </si>
  <si>
    <t xml:space="preserve">TOTAL USES OF FUNDS</t>
  </si>
  <si>
    <t xml:space="preserve">LESS</t>
  </si>
  <si>
    <t xml:space="preserve">NET DEPRECIABLE BASE</t>
  </si>
  <si>
    <t xml:space="preserve">DEPRECIATION</t>
  </si>
  <si>
    <t xml:space="preserve">% PRODUCTION</t>
  </si>
  <si>
    <t xml:space="preserve">BOOK DEPRECIATION RATE : Life of Project</t>
  </si>
  <si>
    <t xml:space="preserve">TAX DEPRECIATION</t>
  </si>
  <si>
    <t xml:space="preserve">TAX &amp; BOOK AMORTIZATION</t>
  </si>
  <si>
    <t xml:space="preserve">10 YEAR AMORT</t>
  </si>
  <si>
    <t xml:space="preserve">LIFE OF LOAN AMORT EXPENSE</t>
  </si>
  <si>
    <t xml:space="preserve">LIFE OF PROJECT AMORT EXPENSE</t>
  </si>
  <si>
    <t xml:space="preserve">TOTAL AMORTISATION</t>
  </si>
  <si>
    <t xml:space="preserve">TOTAL DEP &amp; AMORT</t>
  </si>
  <si>
    <t xml:space="preserve">TAX INCOME</t>
  </si>
  <si>
    <t xml:space="preserve">COMMON SIZE TAXABLE INCOME</t>
  </si>
  <si>
    <t xml:space="preserve">EARNINGS</t>
  </si>
  <si>
    <t xml:space="preserve">LESS OPERATING EXPENSES</t>
  </si>
  <si>
    <t xml:space="preserve">L/C FEES (SR, JR, O&amp;M)</t>
  </si>
  <si>
    <t xml:space="preserve">TOTAL OPEX &amp; FEES</t>
  </si>
  <si>
    <t xml:space="preserve">DEPRECIATION EXPENSE</t>
  </si>
  <si>
    <t xml:space="preserve">AMORTIZATION EXPENSE</t>
  </si>
  <si>
    <t xml:space="preserve">TOTAL DEP. &amp; AMORT</t>
  </si>
  <si>
    <t xml:space="preserve">EBIT</t>
  </si>
  <si>
    <t xml:space="preserve">INTEREST EXPENSE - SR DEBT</t>
  </si>
  <si>
    <t xml:space="preserve">INTEREST EXPENSE - JR DEBT</t>
  </si>
  <si>
    <t xml:space="preserve">INTEREST EXPENSE - REVOLVER</t>
  </si>
  <si>
    <t xml:space="preserve">TOTAL INTEREST</t>
  </si>
  <si>
    <t xml:space="preserve">TAXABLE INCOME (LOSS)</t>
  </si>
  <si>
    <t xml:space="preserve">PROJECT TAX BALANCE SHEET </t>
  </si>
  <si>
    <t xml:space="preserve">COMMON SIZE BALANCE SHEET</t>
  </si>
  <si>
    <t xml:space="preserve">ASSETS</t>
  </si>
  <si>
    <t xml:space="preserve">Beginning</t>
  </si>
  <si>
    <t xml:space="preserve"> NON-CASH ASSETS</t>
  </si>
  <si>
    <t xml:space="preserve">CASH</t>
  </si>
  <si>
    <t xml:space="preserve">TOTAL ASSETS</t>
  </si>
  <si>
    <t xml:space="preserve">LIABILITES</t>
  </si>
  <si>
    <t xml:space="preserve">CURRENT PORTION OF TOTAL DEBT</t>
  </si>
  <si>
    <t xml:space="preserve">LONG-TERM SENIOR DEBT</t>
  </si>
  <si>
    <t xml:space="preserve">LONG-TERM JUNIOR DEBT</t>
  </si>
  <si>
    <t xml:space="preserve">REVOLVER </t>
  </si>
  <si>
    <t xml:space="preserve">TOTAL LIABILITIES</t>
  </si>
  <si>
    <t xml:space="preserve">INITIAL EQUITY</t>
  </si>
  <si>
    <t xml:space="preserve">ADDITIONAL EQUITY</t>
  </si>
  <si>
    <t xml:space="preserve">TAX EBT</t>
  </si>
  <si>
    <t xml:space="preserve">CASH DISTRIBUTIONS</t>
  </si>
  <si>
    <t xml:space="preserve">TOTAL EQUITY</t>
  </si>
  <si>
    <t xml:space="preserve">TOTAL LIABILITIES AND EQUITY</t>
  </si>
  <si>
    <t xml:space="preserve">CHECK -- ASSETS LESS TOTAL LIAB &amp; EQUITY</t>
  </si>
  <si>
    <t xml:space="preserve">PROJECT PRE-TAX BOOK INCOME </t>
  </si>
  <si>
    <t xml:space="preserve">COMMON SIZE BOOK INCOME</t>
  </si>
  <si>
    <t xml:space="preserve">OPERATING FEES</t>
  </si>
  <si>
    <t xml:space="preserve">TOTAL INTEREST EXPENSE</t>
  </si>
  <si>
    <r>
      <rPr>
        <b val="true"/>
        <sz val="10"/>
        <color rgb="FF000000"/>
        <rFont val="Arial"/>
        <family val="2"/>
      </rPr>
      <t xml:space="preserve">BOOK EBT</t>
    </r>
    <r>
      <rPr>
        <b val="true"/>
        <sz val="10"/>
        <rFont val="Arial"/>
        <family val="2"/>
      </rPr>
      <t xml:space="preserve"> (LOSS)</t>
    </r>
  </si>
  <si>
    <t xml:space="preserve">Tax Capital Accounts</t>
  </si>
  <si>
    <t xml:space="preserve">Sharing Ratio - Cash</t>
  </si>
  <si>
    <t xml:space="preserve">Sharing Ratio - Tax Income</t>
  </si>
  <si>
    <t xml:space="preserve">Beginning Capital Account</t>
  </si>
  <si>
    <t xml:space="preserve">Initial Equity Contribution</t>
  </si>
  <si>
    <t xml:space="preserve">Gross Income Allocation</t>
  </si>
  <si>
    <t xml:space="preserve">Depreciation Recapture</t>
  </si>
  <si>
    <t xml:space="preserve">Income</t>
  </si>
  <si>
    <t xml:space="preserve">Operating Expenses</t>
  </si>
  <si>
    <t xml:space="preserve">Total L/C &amp; Fees</t>
  </si>
  <si>
    <t xml:space="preserve">Tax Depreciation &amp; Amortization</t>
  </si>
  <si>
    <t xml:space="preserve">Interest Expense - Nonrecourse Total</t>
  </si>
  <si>
    <t xml:space="preserve">Interest Expense - Nonrecourse Junior</t>
  </si>
  <si>
    <t xml:space="preserve">Interest Expense - Revolver</t>
  </si>
  <si>
    <t xml:space="preserve">Special Loss Reallocation</t>
  </si>
  <si>
    <t xml:space="preserve">Cash Distributions</t>
  </si>
  <si>
    <t xml:space="preserve">Ending Capital Account</t>
  </si>
  <si>
    <t xml:space="preserve">Check</t>
  </si>
  <si>
    <t xml:space="preserve">Taxable Income (Loss)</t>
  </si>
  <si>
    <t xml:space="preserve">Interest Expense - Nonrecourse Senior</t>
  </si>
  <si>
    <t xml:space="preserve">TOTAL CAPITAL ACCOUNT</t>
  </si>
  <si>
    <t xml:space="preserve">Code 754 Adjustment</t>
  </si>
  <si>
    <t xml:space="preserve">Interest Expense - Nonrecourse SR</t>
  </si>
  <si>
    <t xml:space="preserve">Interest Expense - Nonrecourse JR</t>
  </si>
  <si>
    <r>
      <rPr>
        <b val="true"/>
        <sz val="10"/>
        <rFont val="Arial"/>
        <family val="2"/>
      </rPr>
      <t xml:space="preserve">Taxable Income </t>
    </r>
    <r>
      <rPr>
        <b val="true"/>
        <sz val="10"/>
        <color rgb="FFFF0000"/>
        <rFont val="Arial"/>
        <family val="2"/>
      </rPr>
      <t xml:space="preserve">(Loss)</t>
    </r>
  </si>
  <si>
    <t xml:space="preserve">CHECK FIGURES</t>
  </si>
  <si>
    <t xml:space="preserve">debt principle</t>
  </si>
  <si>
    <t xml:space="preserve">actual exp</t>
  </si>
  <si>
    <t xml:space="preserve">differences actual exp - principle pmts</t>
  </si>
  <si>
    <t xml:space="preserve">equity</t>
  </si>
  <si>
    <t xml:space="preserve">sum of differences should = working cap</t>
  </si>
  <si>
    <t xml:space="preserve">actual exp + equity</t>
  </si>
  <si>
    <t xml:space="preserve">total project</t>
  </si>
  <si>
    <t xml:space="preserve">should = working cap</t>
  </si>
  <si>
    <t xml:space="preserve">total depreciation</t>
  </si>
  <si>
    <t xml:space="preserve">ending capacc balance</t>
  </si>
  <si>
    <t xml:space="preserve">total project - depreciation</t>
  </si>
  <si>
    <t xml:space="preserve">total cash &amp; non cash value</t>
  </si>
  <si>
    <t xml:space="preserve">total depreciable assets</t>
  </si>
  <si>
    <t xml:space="preserve">difference</t>
  </si>
  <si>
    <t xml:space="preserve">working cap</t>
  </si>
  <si>
    <t xml:space="preserve">capacc residual</t>
  </si>
  <si>
    <t xml:space="preserve">Project Partners Basis</t>
  </si>
  <si>
    <t xml:space="preserve">Beginning Basis</t>
  </si>
  <si>
    <t xml:space="preserve">Beginning Capital Account </t>
  </si>
  <si>
    <t xml:space="preserve">Carry-over Basis of Contributed Property</t>
  </si>
  <si>
    <t xml:space="preserve">Initial Equity</t>
  </si>
  <si>
    <t xml:space="preserve">Positive Capital Account Adjustments</t>
  </si>
  <si>
    <t xml:space="preserve">Negative Capital Account Adjustments</t>
  </si>
  <si>
    <t xml:space="preserve">Share of Total NonRecourse Debt</t>
  </si>
  <si>
    <t xml:space="preserve">Total Ending Basis</t>
  </si>
  <si>
    <t xml:space="preserve">Loss Suspended (Re-Used)</t>
  </si>
  <si>
    <t xml:space="preserve">TOTAL BASIS</t>
  </si>
  <si>
    <t xml:space="preserve">Total NonRecourse Debt</t>
  </si>
  <si>
    <t xml:space="preserve">Outside Sharing Ratio - Tax Income</t>
  </si>
  <si>
    <t xml:space="preserve">EWC Sharing Ratio - Tax Income</t>
  </si>
  <si>
    <t xml:space="preserve">Min Gain</t>
  </si>
  <si>
    <t xml:space="preserve">Total Nonrecourse Debt </t>
  </si>
  <si>
    <t xml:space="preserve">Total Basis</t>
  </si>
  <si>
    <t xml:space="preserve">Total Minimum Gain</t>
  </si>
  <si>
    <t xml:space="preserve">Change in Min Gain</t>
  </si>
  <si>
    <t xml:space="preserve">Non Recourse Deduction</t>
  </si>
  <si>
    <t xml:space="preserve">Sum</t>
  </si>
  <si>
    <t xml:space="preserve">Oustide non recourse deductions</t>
  </si>
  <si>
    <t xml:space="preserve">EWC non recourse deductions</t>
  </si>
  <si>
    <t xml:space="preserve">Chargeback</t>
  </si>
  <si>
    <t xml:space="preserve">Outside</t>
  </si>
  <si>
    <t xml:space="preserve">Balance of Min Gain</t>
  </si>
  <si>
    <t xml:space="preserve">Chargeback %</t>
  </si>
  <si>
    <t xml:space="preserve">Amount of Chargeback Income (Sharing Ratios)</t>
  </si>
  <si>
    <t xml:space="preserve">Net Min Gain Adjustment</t>
  </si>
  <si>
    <t xml:space="preserve">Outside Equity Return</t>
  </si>
  <si>
    <t xml:space="preserve">TOTAL INCOME TAX</t>
  </si>
  <si>
    <t xml:space="preserve">Total Taxable Income</t>
  </si>
  <si>
    <t xml:space="preserve">Effective Tax Rate</t>
  </si>
  <si>
    <t xml:space="preserve">Total Income Tax Benefit (PMT)</t>
  </si>
  <si>
    <t xml:space="preserve">PTC </t>
  </si>
  <si>
    <t xml:space="preserve">Total PTC</t>
  </si>
  <si>
    <t xml:space="preserve">Share of PTC</t>
  </si>
  <si>
    <t xml:space="preserve">ANNUAL RETURN</t>
  </si>
  <si>
    <t xml:space="preserve">CASH DISTRIBUTION</t>
  </si>
  <si>
    <t xml:space="preserve">TOTAL INCOME TAX BENEFIT (PMT)</t>
  </si>
  <si>
    <t xml:space="preserve">TAX CREDIT- PTC</t>
  </si>
  <si>
    <t xml:space="preserve">TOTAL PRE-TAX CASH FLOW</t>
  </si>
  <si>
    <t xml:space="preserve">     CUMULATIVE P-T CASH FLOW</t>
  </si>
  <si>
    <t xml:space="preserve">TOTAL AFTER-TAX CASH FLOW</t>
  </si>
  <si>
    <t xml:space="preserve">     CUMULATIVE A-T CASH FLOW</t>
  </si>
  <si>
    <t xml:space="preserve">ANNUAL RESULTS</t>
  </si>
  <si>
    <t xml:space="preserve">IRR</t>
  </si>
  <si>
    <t xml:space="preserve">NPV</t>
  </si>
  <si>
    <t xml:space="preserve">10 YEAR</t>
  </si>
  <si>
    <t xml:space="preserve">20 YEAR</t>
  </si>
  <si>
    <t xml:space="preserve">30 YEAR </t>
  </si>
  <si>
    <t xml:space="preserve">QUARTERLY CASHFLOW DATES</t>
  </si>
  <si>
    <t xml:space="preserve">PRE TAX </t>
  </si>
  <si>
    <t xml:space="preserve">QUARTERLY CASHFLOW VALUES</t>
  </si>
  <si>
    <t xml:space="preserve">ANNUAL TOTAL</t>
  </si>
  <si>
    <t xml:space="preserve">QUARTERLY RESULTS</t>
  </si>
  <si>
    <t xml:space="preserve">PV Cashflow</t>
  </si>
  <si>
    <t xml:space="preserve">ANNUAL PAYMENT PARAMETERS</t>
  </si>
  <si>
    <t xml:space="preserve">OUTSIDE BOOK INCOME EFFECT</t>
  </si>
  <si>
    <t xml:space="preserve">OPERATING REVENUES</t>
  </si>
  <si>
    <t xml:space="preserve">LESS:  OPERATING EXPENSES</t>
  </si>
  <si>
    <t xml:space="preserve">           DEPRECIATION EXPENSE</t>
  </si>
  <si>
    <t xml:space="preserve">           AMORTIZATION EXPENSE</t>
  </si>
  <si>
    <t xml:space="preserve">           INTEREST EXPENSE</t>
  </si>
  <si>
    <t xml:space="preserve">TOTAL EXPENSES</t>
  </si>
  <si>
    <t xml:space="preserve">PRE-TAX BOOK INCOME</t>
  </si>
  <si>
    <t xml:space="preserve">CURRENT TAX BENEFIT (PMT)</t>
  </si>
  <si>
    <t xml:space="preserve">DEFERRED PORTION OF TAX EXPENSE</t>
  </si>
  <si>
    <t xml:space="preserve">TOTAL BOOK EFFECT</t>
  </si>
  <si>
    <t xml:space="preserve">TEMPORARY DIFFERENCE</t>
  </si>
  <si>
    <t xml:space="preserve">Enron Wind Corp Return</t>
  </si>
  <si>
    <t xml:space="preserve"> Effective Tax Rate</t>
  </si>
  <si>
    <t xml:space="preserve">RAROC Variances</t>
  </si>
  <si>
    <t xml:space="preserve">Red</t>
  </si>
  <si>
    <t xml:space="preserve"> light yellow or Red= connected to Sources Uses</t>
  </si>
  <si>
    <t xml:space="preserve">Orange</t>
  </si>
  <si>
    <t xml:space="preserve">light green or Orange = connected to Assumptions</t>
  </si>
  <si>
    <t xml:space="preserve"> yellow = distribution cell </t>
  </si>
  <si>
    <t xml:space="preserve"> clear = no distribution and/or not connected</t>
  </si>
  <si>
    <t xml:space="preserve">ACQUISITION &amp; INSTALLATION</t>
  </si>
  <si>
    <t xml:space="preserve">WTG Acquisition</t>
  </si>
  <si>
    <t xml:space="preserve">WTG Price</t>
  </si>
  <si>
    <t xml:space="preserve">Triangle</t>
  </si>
  <si>
    <t xml:space="preserve"> </t>
  </si>
  <si>
    <t xml:space="preserve">Tower Price</t>
  </si>
  <si>
    <t xml:space="preserve">Shipping Total</t>
  </si>
  <si>
    <t xml:space="preserve">WTG Installation</t>
  </si>
  <si>
    <t xml:space="preserve">Construction Total Variance</t>
  </si>
  <si>
    <t xml:space="preserve">Predevelopment Expenses</t>
  </si>
  <si>
    <t xml:space="preserve">TOTAL TO SOURCES_USES</t>
  </si>
  <si>
    <t xml:space="preserve">Other Installation Factors</t>
  </si>
  <si>
    <t xml:space="preserve">Months for Construction</t>
  </si>
  <si>
    <t xml:space="preserve">OPERATING VARIANCES</t>
  </si>
  <si>
    <t xml:space="preserve">Net kWh % Production </t>
  </si>
  <si>
    <t xml:space="preserve">Normal</t>
  </si>
  <si>
    <t xml:space="preserve">Std. Dev.</t>
  </si>
  <si>
    <t xml:space="preserve">CPI Inflation</t>
  </si>
  <si>
    <t xml:space="preserve">GBM</t>
  </si>
  <si>
    <r>
      <rPr>
        <sz val="10"/>
        <rFont val="Arial"/>
        <family val="0"/>
      </rPr>
      <t xml:space="preserve">Inflation Switch </t>
    </r>
    <r>
      <rPr>
        <sz val="8"/>
        <rFont val="Arial"/>
        <family val="2"/>
      </rPr>
      <t xml:space="preserve">(1=BCI report 0=Raroc)</t>
    </r>
  </si>
  <si>
    <t xml:space="preserve"> connected to Assum sheet</t>
  </si>
  <si>
    <t xml:space="preserve">Default Energy Rates</t>
  </si>
  <si>
    <t xml:space="preserve">Regular Maintenance</t>
  </si>
  <si>
    <t xml:space="preserve">Other Variances</t>
  </si>
  <si>
    <t xml:space="preserve">Raroc OPEX Variance Total</t>
  </si>
  <si>
    <t xml:space="preserve">CAPITAL STRUCTURE</t>
  </si>
  <si>
    <t xml:space="preserve">Interest Rates</t>
  </si>
  <si>
    <t xml:space="preserve">RESULTS</t>
  </si>
  <si>
    <t xml:space="preserve">Drawdown Schedule</t>
  </si>
  <si>
    <t xml:space="preserve">Drawdown  - Project Completion Inputs</t>
  </si>
  <si>
    <t xml:space="preserve">Months from project initiation &gt;&gt;&gt;&gt;&gt;&gt;&gt;</t>
  </si>
  <si>
    <t xml:space="preserve">Total</t>
  </si>
  <si>
    <t xml:space="preserve">No. of Completed Trubines</t>
  </si>
  <si>
    <t xml:space="preserve">No. Of Turbines Coming Online</t>
  </si>
  <si>
    <t xml:space="preserve">Turbine Rated Capacity </t>
  </si>
  <si>
    <t xml:space="preserve">Wind Adjustment Factor </t>
  </si>
  <si>
    <t xml:space="preserve">Project Completion %</t>
  </si>
  <si>
    <t xml:space="preserve">Should be Zero</t>
  </si>
  <si>
    <t xml:space="preserve">Months &gt;&gt;&gt;</t>
  </si>
  <si>
    <t xml:space="preserve">Uses of Funds</t>
  </si>
  <si>
    <t xml:space="preserve">Sources of Funds</t>
  </si>
  <si>
    <t xml:space="preserve">ECM Construction Loan  - Monthly</t>
  </si>
  <si>
    <t xml:space="preserve">                                    - Cumulative</t>
  </si>
  <si>
    <t xml:space="preserve">Revenue During Construction</t>
  </si>
  <si>
    <t xml:space="preserve">No. of Turbines Online /month</t>
  </si>
  <si>
    <t xml:space="preserve">Total Turbines Online</t>
  </si>
  <si>
    <t xml:space="preserve">Turbine Rated Capacity</t>
  </si>
  <si>
    <t xml:space="preserve">Monthly Energy Generated (kWh -/ month pro rata)</t>
  </si>
  <si>
    <t xml:space="preserve">Rate ($)</t>
  </si>
  <si>
    <t xml:space="preserve">Gross Monthly Revenue ($000)</t>
  </si>
  <si>
    <t xml:space="preserve">Maintenance</t>
  </si>
  <si>
    <t xml:space="preserve">Land Payments</t>
  </si>
  <si>
    <t xml:space="preserve">Insurance</t>
  </si>
  <si>
    <t xml:space="preserve">Total Operating Expenses</t>
  </si>
  <si>
    <t xml:space="preserve">Net Revenue after Expenses</t>
  </si>
  <si>
    <t xml:space="preserve">Net Funds Req'd During Constrn.</t>
  </si>
  <si>
    <t xml:space="preserve"> Cumulative</t>
  </si>
  <si>
    <t xml:space="preserve">EXECUTIVE SUMMARY </t>
  </si>
  <si>
    <t xml:space="preserve">&lt;&lt;&lt;&lt;</t>
  </si>
  <si>
    <t xml:space="preserve">                                   NET CAPACITY FACTOR</t>
  </si>
  <si>
    <t xml:space="preserve">20 YR LEVELIZED ENERGY RATE @ </t>
  </si>
  <si>
    <t xml:space="preserve">FIRST YEAR BID ENERGY RATE</t>
  </si>
  <si>
    <t xml:space="preserve">FIRST YEAR TOTAL ENERGY RATE</t>
  </si>
  <si>
    <t xml:space="preserve">EQUITY</t>
  </si>
  <si>
    <t xml:space="preserve">$</t>
  </si>
  <si>
    <t xml:space="preserve">EFFECTIVE TAX</t>
  </si>
  <si>
    <t xml:space="preserve"> OUTSIDE EQUITY</t>
  </si>
  <si>
    <t xml:space="preserve"> ZOND/ENRON EQUITY</t>
  </si>
  <si>
    <t xml:space="preserve">ZOND</t>
  </si>
  <si>
    <t xml:space="preserve">TAX</t>
  </si>
  <si>
    <t xml:space="preserve">SHARING RATIOS</t>
  </si>
  <si>
    <t xml:space="preserve">PRE-TAX</t>
  </si>
  <si>
    <t xml:space="preserve">    10 YEAR IRR</t>
  </si>
  <si>
    <t xml:space="preserve">    20 YEAR IRR</t>
  </si>
  <si>
    <t xml:space="preserve">    30 YEAR IRR</t>
  </si>
  <si>
    <t xml:space="preserve">PRE-TAX @</t>
  </si>
  <si>
    <t xml:space="preserve">    10 YEAR NPV</t>
  </si>
  <si>
    <t xml:space="preserve">    20 YEAR NPV</t>
  </si>
  <si>
    <t xml:space="preserve">    30 YEAR NPV</t>
  </si>
  <si>
    <t xml:space="preserve">BEG</t>
  </si>
  <si>
    <t xml:space="preserve">ANNUAL COVERAGE RATIOS</t>
  </si>
  <si>
    <t xml:space="preserve">    TERM OF LOAN - SR DEBT (YRS)</t>
  </si>
  <si>
    <t xml:space="preserve">BANK DEBT</t>
  </si>
  <si>
    <t xml:space="preserve">    TERM OF LOAN - JR DEBT (YRS)</t>
  </si>
  <si>
    <t xml:space="preserve">SUB-DEBT</t>
  </si>
  <si>
    <t xml:space="preserve">     AGGREGATE LOAN</t>
  </si>
</sst>
</file>

<file path=xl/styles.xml><?xml version="1.0" encoding="utf-8"?>
<styleSheet xmlns="http://schemas.openxmlformats.org/spreadsheetml/2006/main">
  <numFmts count="81">
    <numFmt numFmtId="164" formatCode="General"/>
    <numFmt numFmtId="165" formatCode="#,##0.00000___;;;"/>
    <numFmt numFmtId="166" formatCode="#,##0_);[RED]\(#,##0\);\-"/>
    <numFmt numFmtId="167" formatCode="&quot;$  &quot;#,##0_);[RED]&quot;($  &quot;#,##0\)"/>
    <numFmt numFmtId="168" formatCode="\$#,##0.0_);[RED]&quot;($&quot;#,##0.0\)"/>
    <numFmt numFmtId="169" formatCode="[$-409]#,##0_);[RED]\(#,##0\)"/>
    <numFmt numFmtId="170" formatCode="\$#,##0_);[RED]&quot;($&quot;#,##0\)"/>
    <numFmt numFmtId="171" formatCode="\$#,##0.00;&quot;-$&quot;#,##0.00"/>
    <numFmt numFmtId="172" formatCode="0.0_%;\(0.0\)%;&quot; -   &quot;"/>
    <numFmt numFmtId="173" formatCode="#,###.000000_);\(#,##0.000000\);&quot; - &quot;_ "/>
    <numFmt numFmtId="174" formatCode="\$#,##0;[RED]&quot;-$&quot;#,##0"/>
    <numFmt numFmtId="175" formatCode="#,##0_);\(#,##0\);_ &quot;-  &quot;"/>
    <numFmt numFmtId="176" formatCode="&quot;$  &quot;#,##0.00_);[RED]&quot;($  &quot;#,##0.00\)"/>
    <numFmt numFmtId="177" formatCode="&quot;$  &quot;#,##0.0_);[RED]&quot;($  &quot;#,##0.0\)"/>
    <numFmt numFmtId="178" formatCode="[$-409]#,##0.00_);[RED]\(#,##0.00\)"/>
    <numFmt numFmtId="179" formatCode="\$#,##0.00_);[RED]&quot;($&quot;#,##0.00\)"/>
    <numFmt numFmtId="180" formatCode="\$#,##0.00;[RED]&quot;-$&quot;#,##0.00"/>
    <numFmt numFmtId="181" formatCode="#,##0___);\(#,##0\);___-&quot;  &quot;"/>
    <numFmt numFmtId="182" formatCode="_(* #,##0_);_(* \(#,##0\);_(* \-_);_(@_)"/>
    <numFmt numFmtId="183" formatCode="_-* #,##0_-;\-* #,##0_-;_-* \-_-;_-@_-"/>
    <numFmt numFmtId="184" formatCode="#,##0.0000_);\(#,##0.0000\);_ &quot;-  &quot;"/>
    <numFmt numFmtId="185" formatCode="_(* #,##0.00_);_(* \(#,##0.00\);_(* \-??_);_(@_)"/>
    <numFmt numFmtId="186" formatCode="_-* #,##0.00_-;\-* #,##0.00_-;_-* \-??_-;_-@_-"/>
    <numFmt numFmtId="187" formatCode="#,##0.00"/>
    <numFmt numFmtId="188" formatCode="_-\$* #,##0_-;&quot;-$&quot;* #,##0_-;_-\$* \-_-;_-@_-"/>
    <numFmt numFmtId="189" formatCode="#,##0_____);\(#,##0\);_____-&quot;  &quot;"/>
    <numFmt numFmtId="190" formatCode="0.0%_;\(0\.0\)%;&quot; -   &quot;"/>
    <numFmt numFmtId="191" formatCode="#,###.00000_);\(#,##0.00000\);&quot; - &quot;_ "/>
    <numFmt numFmtId="192" formatCode="_(\$* #,##0_);_(\$* \(#,##0\);_(\$* \-_);_(@_)"/>
    <numFmt numFmtId="193" formatCode="&quot;$       &quot;#,###.00_);&quot;$        (&quot;#,###.00\);&quot;$                -&quot;"/>
    <numFmt numFmtId="194" formatCode="#,###.0000_);\(#,##0.0000\);&quot; - &quot;_ "/>
    <numFmt numFmtId="195" formatCode="\$#,##0;&quot;-$&quot;#,##0"/>
    <numFmt numFmtId="196" formatCode="#,##0.0____\);\(#,##0.0\);___ &quot;-  &quot;"/>
    <numFmt numFmtId="197" formatCode="#,###.000_);\(#,##0.000\);&quot; - &quot;_ "/>
    <numFmt numFmtId="198" formatCode="#,##0.000_);\(#,##0.000\);_ &quot;-  &quot;"/>
    <numFmt numFmtId="199" formatCode="\£#,##0;[RED]&quot;-£&quot;#,##0"/>
    <numFmt numFmtId="200" formatCode="_-\£* #,##0_-;&quot;-£&quot;* #,##0_-;_-\£* \-_-;_-@_-"/>
    <numFmt numFmtId="201" formatCode="_(* #,##0.0_);_(* \(#,##0.0\);_(* \-_);_(@_)"/>
    <numFmt numFmtId="202" formatCode="&quot;$         &quot;#,###.00_);&quot;$         (&quot;#,###.00\);&quot;$                -&quot;"/>
    <numFmt numFmtId="203" formatCode="_(\$* #,##0.00_);_(\$* \(#,##0.00\);_(\$* \-??_);_(@_)"/>
    <numFmt numFmtId="204" formatCode="&quot;$         &quot;#,###.00_);&quot;$       (&quot;#,###.00\);&quot;$                -&quot;"/>
    <numFmt numFmtId="205" formatCode="0.0_;;;"/>
    <numFmt numFmtId="206" formatCode="\£#,##0.00;[RED]&quot;-£&quot;#,##0.00"/>
    <numFmt numFmtId="207" formatCode="_-\£* #,##0.00_-;&quot;-£&quot;* #,##0.00_-;_-\£* \-??_-;_-@_-"/>
    <numFmt numFmtId="208" formatCode="_-\$* #,##0.00_-;&quot;-$&quot;* #,##0.00_-;_-\$* \-??_-;_-@_-"/>
    <numFmt numFmtId="209" formatCode="&quot;$        &quot;#,###.00_);&quot;$        (&quot;#,###.00\);&quot;$                -&quot;"/>
    <numFmt numFmtId="210" formatCode="0.00"/>
    <numFmt numFmtId="211" formatCode="&quot;$         &quot;#,###.00_);&quot;$         (&quot;#,###.00\);&quot;$              -&quot;"/>
    <numFmt numFmtId="212" formatCode="0.00_)"/>
    <numFmt numFmtId="213" formatCode="[$-409]#,##0_);\(#,##0\)"/>
    <numFmt numFmtId="214" formatCode="#,##0.0_);\(#,##0.0\)"/>
    <numFmt numFmtId="215" formatCode="#,##0"/>
    <numFmt numFmtId="216" formatCode="0.00%"/>
    <numFmt numFmtId="217" formatCode="0%"/>
    <numFmt numFmtId="218" formatCode="[$-409]d\-mmm\-yy"/>
    <numFmt numFmtId="219" formatCode="[$-409]h:mm\ AM/PM"/>
    <numFmt numFmtId="220" formatCode="[$-409]m/d/yyyy\ h:mm"/>
    <numFmt numFmtId="221" formatCode="0"/>
    <numFmt numFmtId="222" formatCode="0.00&quot; MW&quot;"/>
    <numFmt numFmtId="223" formatCode="#,##0.000_);[RED]\(#,##0.000\)"/>
    <numFmt numFmtId="224" formatCode="#,##0.000_);\(#,##0.000\)"/>
    <numFmt numFmtId="225" formatCode="_(* #,##0.000_);_(* \(#,##0.000\);_(* \-???_);_(@_)"/>
    <numFmt numFmtId="226" formatCode="[$-409]m/d/yyyy"/>
    <numFmt numFmtId="227" formatCode="0&quot; WTG&quot;"/>
    <numFmt numFmtId="228" formatCode="0.000"/>
    <numFmt numFmtId="229" formatCode="#,##0.00000_);[RED]\(#,##0.00000\)"/>
    <numFmt numFmtId="230" formatCode="[$-409]General"/>
    <numFmt numFmtId="231" formatCode="0.00000"/>
    <numFmt numFmtId="232" formatCode="_(* #,##0.000_);_(* \(#,##0.000\);_(* \-??_);_(@_)"/>
    <numFmt numFmtId="233" formatCode="#,##0.00000_);\(#,##0.00000\)"/>
    <numFmt numFmtId="234" formatCode="_(* #,##0.0000_);_(* \(#,##0.0000\);_(* \-??_);_(@_)"/>
    <numFmt numFmtId="235" formatCode="#,##0.0000_);\(#,##0.0000\)"/>
    <numFmt numFmtId="236" formatCode="&quot;Pmts per Year = &quot;0"/>
    <numFmt numFmtId="237" formatCode="&quot;First Period Days =   &quot;0"/>
    <numFmt numFmtId="238" formatCode="\$#,##0"/>
    <numFmt numFmtId="239" formatCode="#,##0.0000"/>
    <numFmt numFmtId="240" formatCode="#,##0.0"/>
    <numFmt numFmtId="241" formatCode="#,##0.000"/>
    <numFmt numFmtId="242" formatCode="[$-409]0%"/>
    <numFmt numFmtId="243" formatCode="_(* #,##0.0_);_(* \(#,##0.0\);_(* \-??_);_(@_)"/>
    <numFmt numFmtId="244" formatCode=";;;"/>
  </numFmts>
  <fonts count="148">
    <font>
      <sz val="10"/>
      <name val="Arial"/>
      <family val="0"/>
    </font>
    <font>
      <sz val="10"/>
      <name val="Arial"/>
      <family val="0"/>
    </font>
    <font>
      <sz val="10"/>
      <name val="Arial"/>
      <family val="0"/>
    </font>
    <font>
      <sz val="10"/>
      <name val="Arial"/>
      <family val="0"/>
    </font>
    <font>
      <sz val="10"/>
      <name val="MS Sans Serif"/>
      <family val="2"/>
    </font>
    <font>
      <sz val="12"/>
      <name val="___"/>
      <family val="3"/>
      <charset val="129"/>
    </font>
    <font>
      <sz val="12"/>
      <name val="___"/>
      <family val="1"/>
      <charset val="129"/>
    </font>
    <font>
      <sz val="11"/>
      <name val="__"/>
      <family val="3"/>
      <charset val="129"/>
    </font>
    <font>
      <sz val="10"/>
      <name val="___"/>
      <family val="3"/>
      <charset val="129"/>
    </font>
    <font>
      <sz val="10"/>
      <name val="Arial"/>
      <family val="2"/>
    </font>
    <font>
      <sz val="11"/>
      <name val="___"/>
      <family val="1"/>
      <charset val="129"/>
    </font>
    <font>
      <sz val="11"/>
      <name val="___"/>
      <family val="3"/>
      <charset val="129"/>
    </font>
    <font>
      <b val="true"/>
      <sz val="9.5"/>
      <name val="Courier New"/>
      <family val="0"/>
    </font>
    <font>
      <sz val="10"/>
      <name val="MS Sans Serif"/>
      <family val="0"/>
    </font>
    <font>
      <b val="true"/>
      <sz val="9.85"/>
      <name val="Times New Roman"/>
      <family val="0"/>
    </font>
    <font>
      <b val="true"/>
      <sz val="12"/>
      <name val="Times New Roman"/>
      <family val="0"/>
    </font>
    <font>
      <sz val="8"/>
      <name val="Arial"/>
      <family val="2"/>
    </font>
    <font>
      <b val="true"/>
      <u val="single"/>
      <sz val="11"/>
      <color rgb="FF800000"/>
      <name val="Arial"/>
      <family val="2"/>
    </font>
    <font>
      <b val="true"/>
      <sz val="12"/>
      <name val="Arial"/>
      <family val="2"/>
    </font>
    <font>
      <sz val="10"/>
      <color rgb="FF0000FF"/>
      <name val="Arial"/>
      <family val="2"/>
    </font>
    <font>
      <b val="true"/>
      <i val="true"/>
      <sz val="16"/>
      <name val="Arial"/>
      <family val="0"/>
    </font>
    <font>
      <sz val="12"/>
      <name val="SWISS"/>
      <family val="0"/>
    </font>
    <font>
      <sz val="8"/>
      <name val="Arial"/>
      <family val="0"/>
    </font>
    <font>
      <sz val="8"/>
      <name val="SWISS"/>
      <family val="0"/>
    </font>
    <font>
      <sz val="12"/>
      <name val="Arial"/>
      <family val="2"/>
    </font>
    <font>
      <sz val="10"/>
      <name val="SWISS"/>
      <family val="0"/>
    </font>
    <font>
      <sz val="12"/>
      <name val="Courier New"/>
      <family val="3"/>
    </font>
    <font>
      <sz val="8"/>
      <name val="Courier New"/>
      <family val="3"/>
    </font>
    <font>
      <sz val="10"/>
      <name val="Geneva"/>
      <family val="2"/>
    </font>
    <font>
      <sz val="10"/>
      <name val="Book Antiqua"/>
      <family val="1"/>
    </font>
    <font>
      <sz val="10"/>
      <name val="Times New Roman"/>
      <family val="0"/>
    </font>
    <font>
      <sz val="10"/>
      <name val="Times New Roman"/>
      <family val="1"/>
    </font>
    <font>
      <sz val="8"/>
      <name val=""/>
      <family val="0"/>
    </font>
    <font>
      <sz val="11"/>
      <name val="Arial"/>
      <family val="0"/>
    </font>
    <font>
      <sz val="12"/>
      <name val="Arial MT"/>
      <family val="0"/>
    </font>
    <font>
      <sz val="12"/>
      <name val="Arial"/>
      <family val="0"/>
    </font>
    <font>
      <sz val="8"/>
      <name val="MS Sans Serif"/>
      <family val="2"/>
    </font>
    <font>
      <sz val="12"/>
      <name val="Century Schoolbook"/>
      <family val="0"/>
    </font>
    <font>
      <sz val="9"/>
      <name val="Arial"/>
      <family val="0"/>
    </font>
    <font>
      <sz val="12"/>
      <name val="Times New Roman"/>
      <family val="1"/>
    </font>
    <font>
      <sz val="10"/>
      <name val="Courier New"/>
      <family val="3"/>
    </font>
    <font>
      <sz val="10"/>
      <name val="Univers (W1)"/>
      <family val="0"/>
    </font>
    <font>
      <sz val="12"/>
      <name val="Times New Roman"/>
      <family val="0"/>
    </font>
    <font>
      <sz val="10"/>
      <name val="Univers (W1)"/>
      <family val="2"/>
    </font>
    <font>
      <sz val="10"/>
      <name val="Geneva"/>
      <family val="0"/>
    </font>
    <font>
      <sz val="14"/>
      <name val="AngsanaUPC"/>
      <family val="1"/>
    </font>
    <font>
      <sz val="9"/>
      <name val="Arial Narrow"/>
      <family val="2"/>
    </font>
    <font>
      <sz val="12"/>
      <name val="EucrosiaUPC"/>
      <family val="1"/>
    </font>
    <font>
      <sz val="14"/>
      <name val="CordiaUPC"/>
      <family val="1"/>
    </font>
    <font>
      <sz val="10"/>
      <name val="Advisor SSi"/>
      <family val="1"/>
    </font>
    <font>
      <sz val="14"/>
      <name val="FreesiaUPC"/>
      <family val="1"/>
    </font>
    <font>
      <sz val="8.5"/>
      <name val="MS Sans Serif"/>
      <family val="2"/>
    </font>
    <font>
      <sz val="10"/>
      <name val="Arial Narrow"/>
      <family val="2"/>
    </font>
    <font>
      <sz val="11"/>
      <name val="Book Antiqua"/>
      <family val="1"/>
    </font>
    <font>
      <sz val="10"/>
      <color rgb="FF000000"/>
      <name val="MS Sans Serif"/>
      <family val="0"/>
    </font>
    <font>
      <sz val="8"/>
      <name val="Times New Roman"/>
      <family val="0"/>
    </font>
    <font>
      <sz val="10"/>
      <name val="TimesNewRomanPS"/>
      <family val="1"/>
    </font>
    <font>
      <sz val="10"/>
      <color rgb="FF000000"/>
      <name val="Arial"/>
      <family val="0"/>
    </font>
    <font>
      <sz val="9.85"/>
      <name val="Times New Roman"/>
      <family val="0"/>
    </font>
    <font>
      <sz val="12"/>
      <color rgb="FF008000"/>
      <name val="SWISS"/>
      <family val="2"/>
    </font>
    <font>
      <sz val="8"/>
      <color rgb="FF0000FF"/>
      <name val="Arial"/>
      <family val="2"/>
    </font>
    <font>
      <b val="true"/>
      <sz val="10"/>
      <name val="Arial"/>
      <family val="2"/>
    </font>
    <font>
      <b val="true"/>
      <sz val="10"/>
      <name val="Arial"/>
      <family val="0"/>
    </font>
    <font>
      <b val="true"/>
      <sz val="10"/>
      <color rgb="FF000000"/>
      <name val="Arial"/>
      <family val="0"/>
    </font>
    <font>
      <b val="true"/>
      <sz val="10"/>
      <color rgb="FF000000"/>
      <name val="Arial"/>
      <family val="2"/>
    </font>
    <font>
      <b val="true"/>
      <u val="single"/>
      <sz val="10"/>
      <name val="Arial"/>
      <family val="0"/>
    </font>
    <font>
      <b val="true"/>
      <u val="single"/>
      <sz val="10"/>
      <color rgb="FF000000"/>
      <name val="Arial"/>
      <family val="0"/>
    </font>
    <font>
      <b val="true"/>
      <i val="true"/>
      <sz val="10"/>
      <color rgb="FF000000"/>
      <name val="Arial"/>
      <family val="2"/>
    </font>
    <font>
      <sz val="10"/>
      <color rgb="FFFF0000"/>
      <name val="Arial"/>
      <family val="0"/>
    </font>
    <font>
      <sz val="10"/>
      <color rgb="FF000000"/>
      <name val="Arial"/>
      <family val="2"/>
    </font>
    <font>
      <sz val="10"/>
      <color rgb="FF99CCFF"/>
      <name val="Arial"/>
      <family val="0"/>
    </font>
    <font>
      <sz val="10"/>
      <color rgb="FFFF6600"/>
      <name val="Arial"/>
      <family val="0"/>
    </font>
    <font>
      <b val="true"/>
      <sz val="9"/>
      <color rgb="FF000000"/>
      <name val="Geneva"/>
      <family val="0"/>
    </font>
    <font>
      <sz val="9"/>
      <color rgb="FF000000"/>
      <name val="Geneva"/>
      <family val="0"/>
    </font>
    <font>
      <b val="true"/>
      <sz val="10"/>
      <color rgb="FF000000"/>
      <name val="Tahoma"/>
      <family val="2"/>
    </font>
    <font>
      <sz val="10"/>
      <color rgb="FF000000"/>
      <name val="Tahoma"/>
      <family val="2"/>
    </font>
    <font>
      <sz val="9"/>
      <name val="Arial"/>
      <family val="2"/>
    </font>
    <font>
      <sz val="10"/>
      <color rgb="FF0000FF"/>
      <name val="Arial"/>
      <family val="0"/>
    </font>
    <font>
      <b val="true"/>
      <u val="single"/>
      <sz val="10"/>
      <name val="Arial"/>
      <family val="2"/>
    </font>
    <font>
      <i val="true"/>
      <sz val="10"/>
      <name val="Arial"/>
      <family val="0"/>
    </font>
    <font>
      <u val="single"/>
      <sz val="10"/>
      <name val="Arial"/>
      <family val="0"/>
    </font>
    <font>
      <u val="single"/>
      <sz val="10"/>
      <name val="Arial"/>
      <family val="2"/>
    </font>
    <font>
      <sz val="10"/>
      <color rgb="FFFF0000"/>
      <name val="Arial"/>
      <family val="2"/>
    </font>
    <font>
      <b val="true"/>
      <sz val="10"/>
      <color rgb="FFFF0000"/>
      <name val="Arial"/>
      <family val="2"/>
    </font>
    <font>
      <u val="single"/>
      <sz val="10"/>
      <color rgb="FF0000FF"/>
      <name val="Arial"/>
      <family val="0"/>
    </font>
    <font>
      <b val="true"/>
      <i val="true"/>
      <sz val="10"/>
      <color rgb="FFFF0000"/>
      <name val="Arial"/>
      <family val="2"/>
    </font>
    <font>
      <b val="true"/>
      <i val="true"/>
      <sz val="10"/>
      <name val="Arial"/>
      <family val="2"/>
    </font>
    <font>
      <b val="true"/>
      <sz val="10"/>
      <color rgb="FFFFFFFF"/>
      <name val="Arial"/>
      <family val="2"/>
    </font>
    <font>
      <b val="true"/>
      <sz val="8"/>
      <name val="Arial"/>
      <family val="2"/>
    </font>
    <font>
      <sz val="10"/>
      <color rgb="FF008000"/>
      <name val="Arial"/>
      <family val="2"/>
    </font>
    <font>
      <u val="single"/>
      <sz val="10"/>
      <color rgb="FF000000"/>
      <name val="Arial"/>
      <family val="0"/>
    </font>
    <font>
      <sz val="10"/>
      <color rgb="FFC0C0C0"/>
      <name val="Arial"/>
      <family val="2"/>
    </font>
    <font>
      <sz val="8"/>
      <color rgb="FF000000"/>
      <name val="Tahoma"/>
      <family val="2"/>
    </font>
    <font>
      <b val="true"/>
      <sz val="8"/>
      <color rgb="FF000000"/>
      <name val="Tahoma"/>
      <family val="0"/>
    </font>
    <font>
      <sz val="8"/>
      <color rgb="FF000000"/>
      <name val="Tahoma"/>
      <family val="0"/>
    </font>
    <font>
      <b val="true"/>
      <sz val="8"/>
      <color rgb="FF000000"/>
      <name val="Tahoma"/>
      <family val="2"/>
    </font>
    <font>
      <sz val="14"/>
      <name val="Arial"/>
      <family val="2"/>
    </font>
    <font>
      <b val="true"/>
      <i val="true"/>
      <u val="single"/>
      <sz val="10"/>
      <color rgb="FF000000"/>
      <name val="Arial"/>
      <family val="2"/>
    </font>
    <font>
      <u val="single"/>
      <sz val="10"/>
      <color rgb="FF000000"/>
      <name val="Arial"/>
      <family val="2"/>
    </font>
    <font>
      <b val="true"/>
      <u val="single"/>
      <sz val="10"/>
      <color rgb="FF000000"/>
      <name val="Arial"/>
      <family val="2"/>
    </font>
    <font>
      <sz val="8"/>
      <color rgb="FF000000"/>
      <name val="Arial"/>
      <family val="2"/>
    </font>
    <font>
      <b val="true"/>
      <sz val="8"/>
      <color rgb="FF000000"/>
      <name val="Arial"/>
      <family val="2"/>
    </font>
    <font>
      <i val="true"/>
      <u val="single"/>
      <sz val="10"/>
      <color rgb="FF000000"/>
      <name val="Arial"/>
      <family val="2"/>
    </font>
    <font>
      <sz val="10"/>
      <color rgb="FFFF6600"/>
      <name val="Arial"/>
      <family val="2"/>
    </font>
    <font>
      <sz val="10"/>
      <color rgb="FFFFFF00"/>
      <name val="Arial"/>
      <family val="0"/>
    </font>
    <font>
      <sz val="10"/>
      <color rgb="FFFF8080"/>
      <name val="Arial"/>
      <family val="0"/>
    </font>
    <font>
      <b val="true"/>
      <sz val="12"/>
      <color rgb="FF000000"/>
      <name val="Arial"/>
      <family val="0"/>
    </font>
    <font>
      <i val="true"/>
      <sz val="10"/>
      <color rgb="FF000000"/>
      <name val="Arial"/>
      <family val="0"/>
    </font>
    <font>
      <i val="true"/>
      <u val="single"/>
      <sz val="10"/>
      <color rgb="FF0000FF"/>
      <name val="Arial"/>
      <family val="0"/>
    </font>
    <font>
      <b val="true"/>
      <i val="true"/>
      <sz val="10"/>
      <color rgb="FF800080"/>
      <name val="Arial"/>
      <family val="2"/>
    </font>
    <font>
      <sz val="10"/>
      <color rgb="FF800080"/>
      <name val="Arial"/>
      <family val="0"/>
    </font>
    <font>
      <b val="true"/>
      <sz val="10"/>
      <color rgb="FF800080"/>
      <name val="Arial"/>
      <family val="2"/>
    </font>
    <font>
      <sz val="10"/>
      <color rgb="FF800080"/>
      <name val="Arial"/>
      <family val="2"/>
    </font>
    <font>
      <sz val="10"/>
      <color rgb="FF3366FF"/>
      <name val="Arial"/>
      <family val="2"/>
    </font>
    <font>
      <sz val="10"/>
      <color rgb="FF969696"/>
      <name val="Arial"/>
      <family val="2"/>
    </font>
    <font>
      <sz val="10"/>
      <color rgb="FF808080"/>
      <name val="Arial"/>
      <family val="0"/>
    </font>
    <font>
      <i val="true"/>
      <sz val="10"/>
      <name val="Arial"/>
      <family val="2"/>
    </font>
    <font>
      <b val="true"/>
      <sz val="10"/>
      <name val="Arial MT"/>
      <family val="0"/>
    </font>
    <font>
      <sz val="10"/>
      <name val="Arial MT"/>
      <family val="0"/>
    </font>
    <font>
      <b val="true"/>
      <i val="true"/>
      <u val="single"/>
      <sz val="8"/>
      <color rgb="FF000000"/>
      <name val="Arial"/>
      <family val="0"/>
    </font>
    <font>
      <sz val="10"/>
      <color rgb="FF808000"/>
      <name val="Arial"/>
      <family val="0"/>
    </font>
    <font>
      <sz val="8"/>
      <color rgb="FF000000"/>
      <name val="Arial"/>
      <family val="0"/>
    </font>
    <font>
      <sz val="8"/>
      <color rgb="FF000000"/>
      <name val="Courier New"/>
      <family val="0"/>
    </font>
    <font>
      <b val="true"/>
      <sz val="8"/>
      <color rgb="FF000000"/>
      <name val="Arial"/>
      <family val="0"/>
    </font>
    <font>
      <b val="true"/>
      <sz val="9"/>
      <color rgb="FF000000"/>
      <name val="Tahoma"/>
      <family val="2"/>
    </font>
    <font>
      <sz val="9"/>
      <color rgb="FF000000"/>
      <name val="Tahoma"/>
      <family val="2"/>
    </font>
    <font>
      <sz val="7"/>
      <color rgb="FF000000"/>
      <name val="Tahoma"/>
      <family val="0"/>
    </font>
    <font>
      <b val="true"/>
      <sz val="20.5"/>
      <color rgb="FF000000"/>
      <name val="Arial"/>
      <family val="2"/>
    </font>
    <font>
      <sz val="11.75"/>
      <color rgb="FF000000"/>
      <name val="Arial"/>
      <family val="2"/>
    </font>
    <font>
      <b val="true"/>
      <sz val="11.75"/>
      <color rgb="FF000000"/>
      <name val="Arial"/>
      <family val="2"/>
    </font>
    <font>
      <sz val="9.75"/>
      <color rgb="FF000000"/>
      <name val="Arial"/>
      <family val="2"/>
    </font>
    <font>
      <b val="true"/>
      <sz val="10"/>
      <color rgb="FFFF6600"/>
      <name val="Arial"/>
      <family val="2"/>
    </font>
    <font>
      <sz val="10"/>
      <color rgb="FF99CC00"/>
      <name val="Arial"/>
      <family val="0"/>
    </font>
    <font>
      <b val="true"/>
      <sz val="10"/>
      <color rgb="FF99CC00"/>
      <name val="Arial MT"/>
      <family val="0"/>
    </font>
    <font>
      <b val="true"/>
      <sz val="10"/>
      <color rgb="FF99CC00"/>
      <name val="Arial"/>
      <family val="0"/>
    </font>
    <font>
      <b val="true"/>
      <sz val="10"/>
      <color rgb="FFFF6600"/>
      <name val="Arial MT"/>
      <family val="0"/>
    </font>
    <font>
      <i val="true"/>
      <sz val="10"/>
      <color rgb="FF000000"/>
      <name val="Arial"/>
      <family val="2"/>
    </font>
    <font>
      <b val="true"/>
      <i val="true"/>
      <u val="single"/>
      <sz val="12"/>
      <name val="Arial"/>
      <family val="0"/>
    </font>
    <font>
      <b val="true"/>
      <sz val="10"/>
      <color rgb="FF008000"/>
      <name val="Arial"/>
      <family val="2"/>
    </font>
    <font>
      <b val="true"/>
      <sz val="10"/>
      <color rgb="FF008000"/>
      <name val="Arial"/>
      <family val="0"/>
    </font>
    <font>
      <b val="true"/>
      <sz val="7"/>
      <color rgb="FF000000"/>
      <name val="Tahoma"/>
      <family val="0"/>
    </font>
    <font>
      <b val="true"/>
      <sz val="12"/>
      <color rgb="FF000000"/>
      <name val="Arial"/>
      <family val="2"/>
    </font>
    <font>
      <i val="true"/>
      <sz val="10"/>
      <color rgb="FFC0C0C0"/>
      <name val="Arial"/>
      <family val="2"/>
    </font>
    <font>
      <b val="true"/>
      <sz val="14"/>
      <name val="Arial"/>
      <family val="2"/>
    </font>
    <font>
      <b val="true"/>
      <sz val="11"/>
      <name val="Arial"/>
      <family val="2"/>
    </font>
    <font>
      <b val="true"/>
      <sz val="16"/>
      <name val="Arial"/>
      <family val="2"/>
    </font>
    <font>
      <b val="true"/>
      <i val="true"/>
      <u val="single"/>
      <sz val="12"/>
      <color rgb="FF000000"/>
      <name val="Arial"/>
      <family val="0"/>
    </font>
    <font>
      <b val="true"/>
      <sz val="12"/>
      <name val="Arial"/>
      <family val="0"/>
    </font>
  </fonts>
  <fills count="20">
    <fill>
      <patternFill patternType="none"/>
    </fill>
    <fill>
      <patternFill patternType="gray125"/>
    </fill>
    <fill>
      <patternFill patternType="solid">
        <fgColor rgb="FFC0C0C0"/>
        <bgColor rgb="FFDFDFDF"/>
      </patternFill>
    </fill>
    <fill>
      <patternFill patternType="solid">
        <fgColor rgb="FFFFFFCC"/>
        <bgColor rgb="FFFFFFFF"/>
      </patternFill>
    </fill>
    <fill>
      <patternFill patternType="solid">
        <fgColor rgb="FFFFFF99"/>
        <bgColor rgb="FFFFFFCC"/>
      </patternFill>
    </fill>
    <fill>
      <patternFill patternType="solid">
        <fgColor rgb="FF99CCFF"/>
        <bgColor rgb="FFC0C0C0"/>
      </patternFill>
    </fill>
    <fill>
      <patternFill patternType="solid">
        <fgColor rgb="FFFFFF00"/>
        <bgColor rgb="FFFFFF00"/>
      </patternFill>
    </fill>
    <fill>
      <patternFill patternType="solid">
        <fgColor rgb="FFFF8080"/>
        <bgColor rgb="FFFF99CC"/>
      </patternFill>
    </fill>
    <fill>
      <patternFill patternType="solid">
        <fgColor rgb="FFFF6600"/>
        <bgColor rgb="FFFF9900"/>
      </patternFill>
    </fill>
    <fill>
      <patternFill patternType="solid">
        <fgColor rgb="FFDFDFDF"/>
        <bgColor rgb="FFE3E3E3"/>
      </patternFill>
    </fill>
    <fill>
      <patternFill patternType="solid">
        <fgColor rgb="FFEFEFEF"/>
        <bgColor rgb="FFE3E3E3"/>
      </patternFill>
    </fill>
    <fill>
      <patternFill patternType="solid">
        <fgColor rgb="FFFFCC00"/>
        <bgColor rgb="FFFFFF00"/>
      </patternFill>
    </fill>
    <fill>
      <patternFill patternType="solid">
        <fgColor rgb="FF008000"/>
        <bgColor rgb="FF008080"/>
      </patternFill>
    </fill>
    <fill>
      <patternFill patternType="solid">
        <fgColor rgb="FFE3E3E3"/>
        <bgColor rgb="FFDFDFDF"/>
      </patternFill>
    </fill>
    <fill>
      <patternFill patternType="solid">
        <fgColor rgb="FF00FF00"/>
        <bgColor rgb="FF33CCCC"/>
      </patternFill>
    </fill>
    <fill>
      <patternFill patternType="solid">
        <fgColor rgb="FFFF99CC"/>
        <bgColor rgb="FFFF8080"/>
      </patternFill>
    </fill>
    <fill>
      <patternFill patternType="solid">
        <fgColor rgb="FF800080"/>
        <bgColor rgb="FF800080"/>
      </patternFill>
    </fill>
    <fill>
      <patternFill patternType="solid">
        <fgColor rgb="FFCCFFCC"/>
        <bgColor rgb="FFEFEFEF"/>
      </patternFill>
    </fill>
    <fill>
      <patternFill patternType="solid">
        <fgColor rgb="FFFFFFFF"/>
        <bgColor rgb="FFEFEFEF"/>
      </patternFill>
    </fill>
    <fill>
      <patternFill patternType="solid">
        <fgColor rgb="FF808080"/>
        <bgColor rgb="FF969696"/>
      </patternFill>
    </fill>
  </fills>
  <borders count="45">
    <border diagonalUp="false" diagonalDown="false">
      <left/>
      <right/>
      <top/>
      <bottom/>
      <diagonal/>
    </border>
    <border diagonalUp="false" diagonalDown="false">
      <left/>
      <right/>
      <top style="medium"/>
      <bottom style="medium"/>
      <diagonal/>
    </border>
    <border diagonalUp="false" diagonalDown="false">
      <left/>
      <right/>
      <top style="thin"/>
      <bottom style="thin"/>
      <diagonal/>
    </border>
    <border diagonalUp="false" diagonalDown="false">
      <left style="double"/>
      <right style="double"/>
      <top style="double"/>
      <bottom style="double"/>
      <diagonal/>
    </border>
    <border diagonalUp="false" diagonalDown="false">
      <left/>
      <right/>
      <top/>
      <bottom style="thin"/>
      <diagonal/>
    </border>
    <border diagonalUp="false" diagonalDown="false">
      <left/>
      <right/>
      <top style="thin"/>
      <bottom style="double"/>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style="thin"/>
      <diagonal/>
    </border>
    <border diagonalUp="false" diagonalDown="false">
      <left style="medium"/>
      <right style="medium"/>
      <top style="medium"/>
      <bottom style="medium"/>
      <diagonal/>
    </border>
    <border diagonalUp="false" diagonalDown="false">
      <left/>
      <right/>
      <top style="thin"/>
      <bottom style="medium"/>
      <diagonal/>
    </border>
    <border diagonalUp="false" diagonalDown="false">
      <left/>
      <right/>
      <top/>
      <bottom style="medium"/>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style="thin"/>
      <top/>
      <bottom style="thin"/>
      <diagonal/>
    </border>
    <border diagonalUp="false" diagonalDown="false">
      <left style="thin"/>
      <right/>
      <top/>
      <bottom/>
      <diagonal/>
    </border>
    <border diagonalUp="false" diagonalDown="false">
      <left/>
      <right style="thin"/>
      <top/>
      <bottom/>
      <diagonal/>
    </border>
    <border diagonalUp="false" diagonalDown="false">
      <left style="thin"/>
      <right/>
      <top style="thin"/>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style="medium"/>
      <right style="thin"/>
      <top style="thin"/>
      <bottom style="medium"/>
      <diagonal/>
    </border>
    <border diagonalUp="false" diagonalDown="false">
      <left/>
      <right style="medium"/>
      <top/>
      <bottom style="medium"/>
      <diagonal/>
    </border>
    <border diagonalUp="false" diagonalDown="false">
      <left/>
      <right style="thin"/>
      <top style="thin"/>
      <bottom style="thin"/>
      <diagonal/>
    </border>
    <border diagonalUp="false" diagonalDown="false">
      <left style="medium"/>
      <right/>
      <top/>
      <bottom style="medium"/>
      <diagonal/>
    </border>
    <border diagonalUp="false" diagonalDown="false">
      <left style="medium"/>
      <right/>
      <top style="thin"/>
      <bottom style="double"/>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right style="medium"/>
      <top style="thin"/>
      <bottom style="double"/>
      <diagonal/>
    </border>
    <border diagonalUp="false" diagonalDown="false">
      <left/>
      <right/>
      <top/>
      <bottom style="double"/>
      <diagonal/>
    </border>
    <border diagonalUp="false" diagonalDown="false">
      <left style="medium"/>
      <right/>
      <top style="medium"/>
      <bottom style="medium"/>
      <diagonal/>
    </border>
    <border diagonalUp="false" diagonalDown="false">
      <left/>
      <right style="medium"/>
      <top style="medium"/>
      <bottom style="medium"/>
      <diagonal/>
    </border>
    <border diagonalUp="false" diagonalDown="false">
      <left/>
      <right style="thin"/>
      <top/>
      <bottom style="medium"/>
      <diagonal/>
    </border>
    <border diagonalUp="false" diagonalDown="false">
      <left/>
      <right/>
      <top style="double"/>
      <bottom style="medium"/>
      <diagonal/>
    </border>
    <border diagonalUp="false" diagonalDown="false">
      <left style="medium"/>
      <right/>
      <top/>
      <bottom style="double"/>
      <diagonal/>
    </border>
    <border diagonalUp="false" diagonalDown="false">
      <left/>
      <right style="medium"/>
      <top/>
      <bottom style="double"/>
      <diagonal/>
    </border>
    <border diagonalUp="false" diagonalDown="false">
      <left style="medium"/>
      <right style="thin"/>
      <top style="thin"/>
      <bottom style="thin"/>
      <diagonal/>
    </border>
    <border diagonalUp="false" diagonalDown="false">
      <left style="thin"/>
      <right style="medium"/>
      <top style="thin"/>
      <bottom style="thin"/>
      <diagonal/>
    </border>
  </borders>
  <cellStyleXfs count="139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213" fontId="0" fillId="0" borderId="0" applyFont="true" applyBorder="false" applyAlignment="false" applyProtection="false"/>
    <xf numFmtId="41" fontId="1" fillId="0" borderId="0" applyFont="true" applyBorder="false" applyAlignment="false" applyProtection="false"/>
    <xf numFmtId="203" fontId="0" fillId="0" borderId="0" applyFont="true" applyBorder="false" applyAlignment="false" applyProtection="false"/>
    <xf numFmtId="42" fontId="1" fillId="0" borderId="0" applyFont="true" applyBorder="false" applyAlignment="false" applyProtection="false"/>
    <xf numFmtId="217" fontId="0" fillId="0" borderId="0" applyFont="true" applyBorder="false" applyAlignment="false" applyProtection="false"/>
    <xf numFmtId="16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9" fontId="0" fillId="0" borderId="0" applyFont="true" applyBorder="false" applyAlignment="false" applyProtection="false"/>
    <xf numFmtId="170" fontId="0" fillId="0" borderId="0" applyFont="true" applyBorder="false" applyAlignment="false" applyProtection="false"/>
    <xf numFmtId="171" fontId="0" fillId="0" borderId="0" applyFont="true" applyBorder="false" applyAlignment="false" applyProtection="false"/>
    <xf numFmtId="165" fontId="0" fillId="0" borderId="0" applyFont="true" applyBorder="false" applyAlignment="false" applyProtection="false"/>
    <xf numFmtId="172" fontId="0" fillId="0" borderId="0" applyFont="true" applyBorder="false" applyAlignment="false" applyProtection="false"/>
    <xf numFmtId="164" fontId="0" fillId="0" borderId="0" applyFont="true" applyBorder="false" applyAlignment="false" applyProtection="false"/>
    <xf numFmtId="165" fontId="0" fillId="0" borderId="0" applyFont="true" applyBorder="false" applyAlignment="false" applyProtection="false"/>
    <xf numFmtId="167" fontId="0" fillId="0" borderId="0" applyFont="true" applyBorder="false" applyAlignment="false" applyProtection="false"/>
    <xf numFmtId="164" fontId="0" fillId="0" borderId="0" applyFont="true" applyBorder="false" applyAlignment="false" applyProtection="false"/>
    <xf numFmtId="168" fontId="0" fillId="0" borderId="0" applyFont="true" applyBorder="false" applyAlignment="false" applyProtection="false"/>
    <xf numFmtId="173" fontId="0" fillId="0" borderId="0" applyFont="true" applyBorder="false" applyAlignment="false" applyProtection="false"/>
    <xf numFmtId="174" fontId="0" fillId="0" borderId="0" applyFont="true" applyBorder="false" applyAlignment="false" applyProtection="false"/>
    <xf numFmtId="17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6" fontId="0" fillId="0" borderId="0" applyFont="true" applyBorder="false" applyAlignment="false" applyProtection="false"/>
    <xf numFmtId="177" fontId="0" fillId="0" borderId="0" applyFont="true" applyBorder="false" applyAlignment="false" applyProtection="false"/>
    <xf numFmtId="164" fontId="7"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6"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76" fontId="0" fillId="0" borderId="0" applyFont="true" applyBorder="false" applyAlignment="false" applyProtection="false"/>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76" fontId="0" fillId="0" borderId="0" applyFont="true" applyBorder="false" applyAlignment="false" applyProtection="false"/>
    <xf numFmtId="164" fontId="8"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7"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6"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76" fontId="0" fillId="0" borderId="0" applyFont="true" applyBorder="false" applyAlignment="false" applyProtection="false"/>
    <xf numFmtId="178" fontId="0" fillId="0" borderId="0" applyFont="true" applyBorder="false" applyAlignment="false" applyProtection="false"/>
    <xf numFmtId="179"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1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false" applyAlignment="false" applyProtection="false"/>
    <xf numFmtId="172"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false" applyProtection="false"/>
    <xf numFmtId="164" fontId="7" fillId="0" borderId="0" applyFont="true" applyBorder="true" applyAlignment="true" applyProtection="true">
      <alignment horizontal="general" vertical="bottom" textRotation="0" wrapText="false" indent="0" shrinkToFit="false"/>
      <protection locked="true" hidden="false"/>
    </xf>
    <xf numFmtId="165" fontId="0" fillId="0" borderId="0" applyFont="true" applyBorder="false" applyAlignment="false" applyProtection="false"/>
    <xf numFmtId="176" fontId="0" fillId="0" borderId="0" applyFont="true" applyBorder="false" applyAlignment="false" applyProtection="false"/>
    <xf numFmtId="164" fontId="0" fillId="0" borderId="0" applyFont="true" applyBorder="false" applyAlignment="false" applyProtection="false"/>
    <xf numFmtId="164" fontId="9" fillId="0" borderId="0" applyFont="true" applyBorder="true" applyAlignment="true" applyProtection="true">
      <alignment horizontal="general" vertical="bottom" textRotation="0" wrapText="false" indent="0" shrinkToFit="false"/>
      <protection locked="true" hidden="false"/>
    </xf>
    <xf numFmtId="177" fontId="0" fillId="0" borderId="0" applyFont="true" applyBorder="false" applyAlignment="false" applyProtection="false"/>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81" fontId="0"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12" fillId="0" borderId="0" applyFont="true" applyBorder="true" applyAlignment="true" applyProtection="true">
      <alignment horizontal="general" vertical="bottom" textRotation="0" wrapText="false" indent="0" shrinkToFit="false"/>
      <protection locked="false" hidden="false"/>
    </xf>
    <xf numFmtId="182" fontId="0" fillId="0" borderId="0" applyFont="true" applyBorder="false" applyAlignment="false" applyProtection="false"/>
    <xf numFmtId="167" fontId="0" fillId="0" borderId="0" applyFont="true" applyBorder="false" applyAlignment="false" applyProtection="false"/>
    <xf numFmtId="183" fontId="0" fillId="0" borderId="0" applyFont="true" applyBorder="false" applyAlignment="false" applyProtection="false"/>
    <xf numFmtId="182"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3" fontId="0" fillId="0" borderId="0" applyFont="true" applyBorder="false" applyAlignment="false" applyProtection="false"/>
    <xf numFmtId="182" fontId="0" fillId="0" borderId="0" applyFont="true" applyBorder="false" applyAlignment="false" applyProtection="false"/>
    <xf numFmtId="182"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71"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3" fontId="0" fillId="0" borderId="0" applyFont="true" applyBorder="false" applyAlignment="false" applyProtection="false"/>
    <xf numFmtId="171" fontId="0" fillId="0" borderId="0" applyFont="true" applyBorder="false" applyAlignment="false" applyProtection="false"/>
    <xf numFmtId="182" fontId="0" fillId="0" borderId="0" applyFont="true" applyBorder="false" applyAlignment="false" applyProtection="false"/>
    <xf numFmtId="169" fontId="0" fillId="0" borderId="0" applyFont="true" applyBorder="false" applyAlignment="false" applyProtection="false"/>
    <xf numFmtId="182" fontId="0" fillId="0" borderId="0" applyFont="true" applyBorder="false" applyAlignment="false" applyProtection="false"/>
    <xf numFmtId="183"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2"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82"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2"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2"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8" fontId="0" fillId="0" borderId="0" applyFont="true" applyBorder="false" applyAlignment="false" applyProtection="false"/>
    <xf numFmtId="182"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81" fontId="0" fillId="0" borderId="0" applyFont="true" applyBorder="false" applyAlignment="false" applyProtection="false"/>
    <xf numFmtId="169" fontId="0" fillId="0" borderId="0" applyFont="true" applyBorder="false" applyAlignment="false" applyProtection="false"/>
    <xf numFmtId="181" fontId="0" fillId="0" borderId="0" applyFont="true" applyBorder="false" applyAlignment="false" applyProtection="false"/>
    <xf numFmtId="184" fontId="0" fillId="0" borderId="0" applyFont="true" applyBorder="false" applyAlignment="false" applyProtection="false"/>
    <xf numFmtId="181" fontId="0" fillId="0" borderId="0" applyFont="true" applyBorder="false" applyAlignment="false" applyProtection="false"/>
    <xf numFmtId="181" fontId="0" fillId="0" borderId="0" applyFont="true" applyBorder="false" applyAlignment="false" applyProtection="false"/>
    <xf numFmtId="183" fontId="0" fillId="0" borderId="0" applyFont="true" applyBorder="false" applyAlignment="false" applyProtection="false"/>
    <xf numFmtId="169" fontId="0" fillId="0" borderId="0" applyFont="true" applyBorder="false" applyAlignment="false" applyProtection="false"/>
    <xf numFmtId="168" fontId="0" fillId="0" borderId="0" applyFont="true" applyBorder="false" applyAlignment="false" applyProtection="false"/>
    <xf numFmtId="183" fontId="0" fillId="0" borderId="0" applyFont="true" applyBorder="false" applyAlignment="false" applyProtection="false"/>
    <xf numFmtId="181"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4" fontId="0" fillId="0" borderId="0" applyFont="true" applyBorder="false" applyAlignment="false" applyProtection="false"/>
    <xf numFmtId="173" fontId="0" fillId="0" borderId="0" applyFont="true" applyBorder="false" applyAlignment="false" applyProtection="false"/>
    <xf numFmtId="183" fontId="0" fillId="0" borderId="0" applyFont="true" applyBorder="false" applyAlignment="false" applyProtection="false"/>
    <xf numFmtId="167"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69" fontId="0" fillId="0" borderId="0" applyFont="true" applyBorder="false" applyAlignment="false" applyProtection="false"/>
    <xf numFmtId="183"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4" fontId="0" fillId="0" borderId="0" applyFont="true" applyBorder="false" applyAlignment="false" applyProtection="false"/>
    <xf numFmtId="173" fontId="0" fillId="0" borderId="0" applyFont="true" applyBorder="false" applyAlignment="false" applyProtection="false"/>
    <xf numFmtId="181"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4" fontId="0" fillId="0" borderId="0" applyFont="true" applyBorder="false" applyAlignment="false" applyProtection="false"/>
    <xf numFmtId="173" fontId="0" fillId="0" borderId="0" applyFont="true" applyBorder="false" applyAlignment="false" applyProtection="false"/>
    <xf numFmtId="181"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71" fontId="0" fillId="0" borderId="0" applyFont="true" applyBorder="false" applyAlignment="false" applyProtection="false"/>
    <xf numFmtId="171" fontId="0" fillId="0" borderId="0" applyFont="true" applyBorder="false" applyAlignment="false" applyProtection="false"/>
    <xf numFmtId="171"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82" fontId="0" fillId="0" borderId="0" applyFont="true" applyBorder="false" applyAlignment="false" applyProtection="false"/>
    <xf numFmtId="164" fontId="7" fillId="0" borderId="0" applyFont="true" applyBorder="true" applyAlignment="true" applyProtection="true">
      <alignment horizontal="general" vertical="bottom" textRotation="0" wrapText="false" indent="0" shrinkToFit="false"/>
      <protection locked="true" hidden="false"/>
    </xf>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3" fontId="0" fillId="0" borderId="0" applyFont="true" applyBorder="false" applyAlignment="false" applyProtection="false"/>
    <xf numFmtId="171" fontId="0" fillId="0" borderId="0" applyFont="true" applyBorder="false" applyAlignment="false" applyProtection="false"/>
    <xf numFmtId="169"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82" fontId="0" fillId="0" borderId="0" applyFont="true" applyBorder="false" applyAlignment="false" applyProtection="false"/>
    <xf numFmtId="182" fontId="0" fillId="0" borderId="0" applyFont="true" applyBorder="false" applyAlignment="false" applyProtection="false"/>
    <xf numFmtId="171" fontId="0" fillId="0" borderId="0" applyFont="true" applyBorder="false" applyAlignment="false" applyProtection="false"/>
    <xf numFmtId="182" fontId="0" fillId="0" borderId="0" applyFont="true" applyBorder="false" applyAlignment="false" applyProtection="false"/>
    <xf numFmtId="182" fontId="0" fillId="0" borderId="0" applyFont="true" applyBorder="false" applyAlignment="false" applyProtection="false"/>
    <xf numFmtId="182" fontId="0" fillId="0" borderId="0" applyFont="true" applyBorder="false" applyAlignment="false" applyProtection="false"/>
    <xf numFmtId="182" fontId="0" fillId="0" borderId="0" applyFont="true" applyBorder="false" applyAlignment="false" applyProtection="false"/>
    <xf numFmtId="182" fontId="0" fillId="0" borderId="0" applyFont="true" applyBorder="false" applyAlignment="false" applyProtection="false"/>
    <xf numFmtId="167" fontId="0" fillId="0" borderId="0" applyFont="true" applyBorder="false" applyAlignment="false" applyProtection="false"/>
    <xf numFmtId="182" fontId="0" fillId="0" borderId="0" applyFont="true" applyBorder="false" applyAlignment="false" applyProtection="false"/>
    <xf numFmtId="167" fontId="0" fillId="0" borderId="0" applyFont="true" applyBorder="false" applyAlignment="false" applyProtection="false"/>
    <xf numFmtId="183" fontId="0" fillId="0" borderId="0" applyFont="true" applyBorder="false" applyAlignment="false" applyProtection="false"/>
    <xf numFmtId="171" fontId="0" fillId="0" borderId="0" applyFont="true" applyBorder="false" applyAlignment="false" applyProtection="false"/>
    <xf numFmtId="182" fontId="0" fillId="0" borderId="0" applyFont="true" applyBorder="false" applyAlignment="false" applyProtection="false"/>
    <xf numFmtId="183"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7" fontId="0" fillId="0" borderId="0" applyFont="true" applyBorder="false" applyAlignment="false" applyProtection="false"/>
    <xf numFmtId="182" fontId="0" fillId="0" borderId="0" applyFont="true" applyBorder="false" applyAlignment="false" applyProtection="false"/>
    <xf numFmtId="182" fontId="0" fillId="0" borderId="0" applyFont="true" applyBorder="false" applyAlignment="false" applyProtection="false"/>
    <xf numFmtId="169" fontId="0" fillId="0" borderId="0" applyFont="true" applyBorder="false" applyAlignment="false" applyProtection="false"/>
    <xf numFmtId="182" fontId="0" fillId="0" borderId="0" applyFont="true" applyBorder="false" applyAlignment="false" applyProtection="false"/>
    <xf numFmtId="171" fontId="0" fillId="0" borderId="0" applyFont="true" applyBorder="false" applyAlignment="false" applyProtection="false"/>
    <xf numFmtId="182" fontId="0" fillId="0" borderId="0" applyFont="true" applyBorder="false" applyAlignment="false" applyProtection="false"/>
    <xf numFmtId="171" fontId="0" fillId="0" borderId="0" applyFont="true" applyBorder="false" applyAlignment="false" applyProtection="false"/>
    <xf numFmtId="171"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83" fontId="0" fillId="0" borderId="0" applyFont="true" applyBorder="false" applyAlignment="false" applyProtection="false"/>
    <xf numFmtId="183" fontId="0" fillId="0" borderId="0" applyFont="true" applyBorder="false" applyAlignment="false" applyProtection="false"/>
    <xf numFmtId="169" fontId="0" fillId="0" borderId="0" applyFont="true" applyBorder="false" applyAlignment="false" applyProtection="false"/>
    <xf numFmtId="169" fontId="0" fillId="0" borderId="0" applyFont="true" applyBorder="false" applyAlignment="false" applyProtection="false"/>
    <xf numFmtId="164" fontId="13" fillId="0" borderId="0" applyFont="true" applyBorder="true" applyAlignment="true" applyProtection="true">
      <alignment horizontal="general" vertical="bottom" textRotation="0" wrapText="false" indent="0" shrinkToFit="false"/>
      <protection locked="false" hidden="false"/>
    </xf>
    <xf numFmtId="185" fontId="0" fillId="0" borderId="0" applyFont="true" applyBorder="false" applyAlignment="false" applyProtection="false"/>
    <xf numFmtId="174" fontId="0" fillId="0" borderId="0" applyFont="true" applyBorder="false" applyAlignment="false" applyProtection="false"/>
    <xf numFmtId="186" fontId="0" fillId="0" borderId="0" applyFont="true" applyBorder="false" applyAlignment="false" applyProtection="false"/>
    <xf numFmtId="187" fontId="0" fillId="0" borderId="0" applyFont="true" applyBorder="false" applyAlignment="false" applyProtection="false"/>
    <xf numFmtId="185"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87"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69" fontId="4" fillId="0" borderId="0" applyFont="true" applyBorder="false" applyAlignment="false" applyProtection="false"/>
    <xf numFmtId="188" fontId="0" fillId="0" borderId="0" applyFont="true" applyBorder="false" applyAlignment="false" applyProtection="false"/>
    <xf numFmtId="187" fontId="0" fillId="0" borderId="0" applyFont="true" applyBorder="false" applyAlignment="false" applyProtection="false"/>
    <xf numFmtId="185"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85"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5"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7" fontId="0" fillId="0" borderId="0" applyFont="true" applyBorder="false" applyAlignment="false" applyProtection="false"/>
    <xf numFmtId="185"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4"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4"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4" fontId="0" fillId="0" borderId="0" applyFont="true" applyBorder="false" applyAlignment="false" applyProtection="false"/>
    <xf numFmtId="185"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5"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5"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7" fontId="0" fillId="0" borderId="0" applyFont="true" applyBorder="false" applyAlignment="false" applyProtection="false"/>
    <xf numFmtId="185" fontId="0" fillId="0" borderId="0" applyFont="true" applyBorder="false" applyAlignment="false" applyProtection="false"/>
    <xf numFmtId="178" fontId="0" fillId="0" borderId="0" applyFont="true" applyBorder="false" applyAlignment="false" applyProtection="false"/>
    <xf numFmtId="176" fontId="0" fillId="0" borderId="0" applyFont="true" applyBorder="false" applyAlignment="false" applyProtection="false"/>
    <xf numFmtId="173" fontId="0" fillId="0" borderId="0" applyFont="true" applyBorder="false" applyAlignment="false" applyProtection="false"/>
    <xf numFmtId="189" fontId="0" fillId="0" borderId="0" applyFont="true" applyBorder="false" applyAlignment="false" applyProtection="false"/>
    <xf numFmtId="178" fontId="0" fillId="0" borderId="0" applyFont="true" applyBorder="false" applyAlignment="false" applyProtection="false"/>
    <xf numFmtId="173" fontId="0" fillId="0" borderId="0" applyFont="true" applyBorder="false" applyAlignment="false" applyProtection="false"/>
    <xf numFmtId="189" fontId="0" fillId="0" borderId="0" applyFont="true" applyBorder="false" applyAlignment="false" applyProtection="false"/>
    <xf numFmtId="178" fontId="0" fillId="0" borderId="0" applyFont="true" applyBorder="false" applyAlignment="false" applyProtection="false"/>
    <xf numFmtId="190" fontId="0" fillId="0" borderId="0" applyFont="true" applyBorder="false" applyAlignment="false" applyProtection="false"/>
    <xf numFmtId="173" fontId="0" fillId="0" borderId="0" applyFont="true" applyBorder="false" applyAlignment="false" applyProtection="false"/>
    <xf numFmtId="189" fontId="0" fillId="0" borderId="0" applyFont="true" applyBorder="false" applyAlignment="false" applyProtection="false"/>
    <xf numFmtId="187" fontId="0" fillId="0" borderId="0" applyFont="true" applyBorder="false" applyAlignment="false" applyProtection="false"/>
    <xf numFmtId="173" fontId="0" fillId="0" borderId="0" applyFont="true" applyBorder="false" applyAlignment="false" applyProtection="false"/>
    <xf numFmtId="189"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7" fontId="0" fillId="0" borderId="0" applyFont="true" applyBorder="false" applyAlignment="false" applyProtection="false"/>
    <xf numFmtId="186" fontId="0" fillId="0" borderId="0" applyFont="true" applyBorder="false" applyAlignment="false" applyProtection="false"/>
    <xf numFmtId="173" fontId="0" fillId="0" borderId="0" applyFont="true" applyBorder="false" applyAlignment="false" applyProtection="false"/>
    <xf numFmtId="189"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90"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73" fontId="0" fillId="0" borderId="0" applyFont="true" applyBorder="false" applyAlignment="false" applyProtection="false"/>
    <xf numFmtId="189" fontId="0" fillId="0" borderId="0" applyFont="true" applyBorder="false" applyAlignment="false" applyProtection="false"/>
    <xf numFmtId="186" fontId="0" fillId="0" borderId="0" applyFont="true" applyBorder="false" applyAlignment="false" applyProtection="false"/>
    <xf numFmtId="181" fontId="0" fillId="0" borderId="0" applyFont="true" applyBorder="false" applyAlignment="false" applyProtection="false"/>
    <xf numFmtId="17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4"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90" fontId="0" fillId="0" borderId="0" applyFont="true" applyBorder="false" applyAlignment="false" applyProtection="false"/>
    <xf numFmtId="191" fontId="0" fillId="0" borderId="0" applyFont="true" applyBorder="false" applyAlignment="false" applyProtection="false"/>
    <xf numFmtId="173" fontId="0" fillId="0" borderId="0" applyFont="true" applyBorder="false" applyAlignment="false" applyProtection="false"/>
    <xf numFmtId="189" fontId="0" fillId="0" borderId="0" applyFont="true" applyBorder="false" applyAlignment="false" applyProtection="false"/>
    <xf numFmtId="181"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87"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8" fontId="0" fillId="0" borderId="0" applyFont="true" applyBorder="false" applyAlignment="false" applyProtection="false"/>
    <xf numFmtId="188" fontId="0" fillId="0" borderId="0" applyFont="true" applyBorder="false" applyAlignment="false" applyProtection="false"/>
    <xf numFmtId="188"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4" fontId="0" fillId="0" borderId="0" applyFont="true" applyBorder="false" applyAlignment="false" applyProtection="false"/>
    <xf numFmtId="178" fontId="0" fillId="0" borderId="0" applyFont="true" applyBorder="false" applyAlignment="false" applyProtection="false"/>
    <xf numFmtId="187" fontId="0" fillId="0" borderId="0" applyFont="true" applyBorder="false" applyAlignment="false" applyProtection="false"/>
    <xf numFmtId="185" fontId="0" fillId="0" borderId="0" applyFont="true" applyBorder="false" applyAlignment="false" applyProtection="false"/>
    <xf numFmtId="183"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88"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69" fontId="4"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8"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74" fontId="0" fillId="0" borderId="0" applyFont="true" applyBorder="false" applyAlignment="false" applyProtection="false"/>
    <xf numFmtId="185" fontId="0" fillId="0" borderId="0" applyFont="true" applyBorder="false" applyAlignment="false" applyProtection="false"/>
    <xf numFmtId="17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8"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85"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4" fontId="0" fillId="0" borderId="0" applyFont="true" applyBorder="false" applyAlignment="false" applyProtection="false"/>
    <xf numFmtId="185" fontId="0" fillId="0" borderId="0" applyFont="true" applyBorder="false" applyAlignment="false" applyProtection="false"/>
    <xf numFmtId="185" fontId="0" fillId="0" borderId="0" applyFont="true" applyBorder="false" applyAlignment="false" applyProtection="false"/>
    <xf numFmtId="178" fontId="0" fillId="0" borderId="0" applyFont="true" applyBorder="false" applyAlignment="false" applyProtection="false"/>
    <xf numFmtId="185" fontId="0" fillId="0" borderId="0" applyFont="true" applyBorder="false" applyAlignment="false" applyProtection="false"/>
    <xf numFmtId="188" fontId="0" fillId="0" borderId="0" applyFont="true" applyBorder="false" applyAlignment="false" applyProtection="false"/>
    <xf numFmtId="186" fontId="0" fillId="0" borderId="0" applyFont="true" applyBorder="false" applyAlignment="false" applyProtection="false"/>
    <xf numFmtId="185" fontId="0" fillId="0" borderId="0" applyFont="true" applyBorder="false" applyAlignment="false" applyProtection="false"/>
    <xf numFmtId="188" fontId="0" fillId="0" borderId="0" applyFont="true" applyBorder="false" applyAlignment="false" applyProtection="false"/>
    <xf numFmtId="18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86" fontId="0" fillId="0" borderId="0" applyFont="true" applyBorder="false" applyAlignment="false" applyProtection="false"/>
    <xf numFmtId="186" fontId="0" fillId="0" borderId="0" applyFont="true" applyBorder="false" applyAlignment="false" applyProtection="false"/>
    <xf numFmtId="178" fontId="0" fillId="0" borderId="0" applyFont="true" applyBorder="false" applyAlignment="false" applyProtection="false"/>
    <xf numFmtId="178" fontId="0" fillId="0" borderId="0" applyFont="true" applyBorder="false" applyAlignment="false" applyProtection="false"/>
    <xf numFmtId="164" fontId="14" fillId="0" borderId="0" applyFont="true" applyBorder="true" applyAlignment="true" applyProtection="true">
      <alignment horizontal="general" vertical="bottom" textRotation="0" wrapText="false" indent="0" shrinkToFit="false"/>
      <protection locked="false" hidden="false"/>
    </xf>
    <xf numFmtId="192" fontId="0" fillId="0" borderId="0" applyFont="true" applyBorder="false" applyAlignment="false" applyProtection="false"/>
    <xf numFmtId="193" fontId="0" fillId="0" borderId="0" applyFont="true" applyBorder="false" applyAlignment="false" applyProtection="false"/>
    <xf numFmtId="168" fontId="0" fillId="0" borderId="0" applyFont="true" applyBorder="false" applyAlignment="false" applyProtection="false"/>
    <xf numFmtId="192" fontId="0" fillId="0" borderId="0" applyFont="true" applyBorder="false" applyAlignment="false" applyProtection="false"/>
    <xf numFmtId="193" fontId="0" fillId="0" borderId="0" applyFont="true" applyBorder="false" applyAlignment="false" applyProtection="false"/>
    <xf numFmtId="194" fontId="0" fillId="0" borderId="0" applyFont="true" applyBorder="false" applyAlignment="false" applyProtection="false"/>
    <xf numFmtId="175" fontId="0" fillId="0" borderId="0" applyFont="true" applyBorder="false" applyAlignment="false" applyProtection="false"/>
    <xf numFmtId="170" fontId="0" fillId="0" borderId="0" applyFont="true" applyBorder="false" applyAlignment="false" applyProtection="false"/>
    <xf numFmtId="195"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5" fontId="0" fillId="0" borderId="0" applyFont="true" applyBorder="false" applyAlignment="false" applyProtection="false"/>
    <xf numFmtId="195" fontId="0" fillId="0" borderId="0" applyFont="true" applyBorder="false" applyAlignment="false" applyProtection="false"/>
    <xf numFmtId="195" fontId="0" fillId="0" borderId="0" applyFont="true" applyBorder="false" applyAlignment="false" applyProtection="false"/>
    <xf numFmtId="195" fontId="0" fillId="0" borderId="0" applyFont="true" applyBorder="false" applyAlignment="false" applyProtection="false"/>
    <xf numFmtId="193"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68" fontId="0" fillId="0" borderId="0" applyFont="true" applyBorder="false" applyAlignment="false" applyProtection="false"/>
    <xf numFmtId="194"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74" fontId="0" fillId="0" borderId="0" applyFont="true" applyBorder="false" applyAlignment="false" applyProtection="false"/>
    <xf numFmtId="170" fontId="0" fillId="0" borderId="0" applyFont="true" applyBorder="false" applyAlignment="false" applyProtection="false"/>
    <xf numFmtId="193"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92" fontId="0" fillId="0" borderId="0" applyFont="true" applyBorder="false" applyAlignment="false" applyProtection="false"/>
    <xf numFmtId="194" fontId="0" fillId="0" borderId="0" applyFont="true" applyBorder="false" applyAlignment="false" applyProtection="false"/>
    <xf numFmtId="170" fontId="0" fillId="0" borderId="0" applyFont="true" applyBorder="false" applyAlignment="false" applyProtection="false"/>
    <xf numFmtId="192" fontId="0" fillId="0" borderId="0" applyFont="true" applyBorder="false" applyAlignment="false" applyProtection="false"/>
    <xf numFmtId="197" fontId="0" fillId="0" borderId="0" applyFont="true" applyBorder="false" applyAlignment="false" applyProtection="false"/>
    <xf numFmtId="198" fontId="0" fillId="0" borderId="0" applyFont="true" applyBorder="false" applyAlignment="false" applyProtection="false"/>
    <xf numFmtId="195"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92" fontId="0" fillId="0" borderId="0" applyFont="true" applyBorder="false" applyAlignment="false" applyProtection="false"/>
    <xf numFmtId="174"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93"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93"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70"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92" fontId="0" fillId="0" borderId="0" applyFont="true" applyBorder="false" applyAlignment="false" applyProtection="false"/>
    <xf numFmtId="199"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74" fontId="0" fillId="0" borderId="0" applyFont="true" applyBorder="false" applyAlignment="false" applyProtection="false"/>
    <xf numFmtId="170" fontId="0" fillId="0" borderId="0" applyFont="true" applyBorder="false" applyAlignment="false" applyProtection="false"/>
    <xf numFmtId="200" fontId="0" fillId="0" borderId="0" applyFont="true" applyBorder="false" applyAlignment="false" applyProtection="false"/>
    <xf numFmtId="192" fontId="0" fillId="0" borderId="0" applyFont="true" applyBorder="false" applyAlignment="false" applyProtection="false"/>
    <xf numFmtId="170" fontId="0" fillId="0" borderId="0" applyFont="true" applyBorder="false" applyAlignment="false" applyProtection="false"/>
    <xf numFmtId="164" fontId="0" fillId="0" borderId="0" applyFont="true" applyBorder="false" applyAlignment="false" applyProtection="false"/>
    <xf numFmtId="173" fontId="0" fillId="0" borderId="0" applyFont="true" applyBorder="false" applyAlignment="false" applyProtection="false"/>
    <xf numFmtId="175" fontId="0" fillId="0" borderId="0" applyFont="true" applyBorder="false" applyAlignment="false" applyProtection="false"/>
    <xf numFmtId="168" fontId="0" fillId="0" borderId="0" applyFont="true" applyBorder="false" applyAlignment="false" applyProtection="false"/>
    <xf numFmtId="175" fontId="0" fillId="0" borderId="0" applyFont="true" applyBorder="false" applyAlignment="false" applyProtection="false"/>
    <xf numFmtId="173" fontId="0" fillId="0" borderId="0" applyFont="true" applyBorder="false" applyAlignment="false" applyProtection="false"/>
    <xf numFmtId="175" fontId="0" fillId="0" borderId="0" applyFont="true" applyBorder="false" applyAlignment="false" applyProtection="false"/>
    <xf numFmtId="173" fontId="0" fillId="0" borderId="0" applyFont="true" applyBorder="false" applyAlignment="false" applyProtection="false"/>
    <xf numFmtId="201" fontId="0" fillId="0" borderId="0" applyFont="true" applyBorder="false" applyAlignment="false" applyProtection="false"/>
    <xf numFmtId="173" fontId="0" fillId="0" borderId="0" applyFont="true" applyBorder="false" applyAlignment="false" applyProtection="false"/>
    <xf numFmtId="193"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66" fontId="0" fillId="0" borderId="0" applyFont="true" applyBorder="false" applyAlignment="false" applyProtection="false"/>
    <xf numFmtId="200" fontId="0" fillId="0" borderId="0" applyFont="true" applyBorder="false" applyAlignment="false" applyProtection="false"/>
    <xf numFmtId="191" fontId="0" fillId="0" borderId="0" applyFont="true" applyBorder="false" applyAlignment="false" applyProtection="false"/>
    <xf numFmtId="168" fontId="0" fillId="0" borderId="0" applyFont="true" applyBorder="false" applyAlignment="false" applyProtection="false"/>
    <xf numFmtId="173" fontId="0" fillId="0" borderId="0" applyFont="true" applyBorder="false" applyAlignment="false" applyProtection="false"/>
    <xf numFmtId="175"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8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01" fontId="0" fillId="0" borderId="0" applyFont="true" applyBorder="false" applyAlignment="false" applyProtection="false"/>
    <xf numFmtId="166" fontId="0" fillId="0" borderId="0" applyFont="true" applyBorder="false" applyAlignment="false" applyProtection="false"/>
    <xf numFmtId="170" fontId="0" fillId="0" borderId="0" applyFont="true" applyBorder="false" applyAlignment="false" applyProtection="false"/>
    <xf numFmtId="175" fontId="0" fillId="0" borderId="0" applyFont="true" applyBorder="false" applyAlignment="false" applyProtection="false"/>
    <xf numFmtId="173" fontId="0" fillId="0" borderId="0" applyFont="true" applyBorder="false" applyAlignment="false" applyProtection="false"/>
    <xf numFmtId="168" fontId="0" fillId="0" borderId="0" applyFont="true" applyBorder="false" applyAlignment="false" applyProtection="false"/>
    <xf numFmtId="201" fontId="0" fillId="0" borderId="0" applyFont="true" applyBorder="false" applyAlignment="false" applyProtection="false"/>
    <xf numFmtId="191" fontId="0" fillId="0" borderId="0" applyFont="true" applyBorder="false" applyAlignment="false" applyProtection="false"/>
    <xf numFmtId="202" fontId="0" fillId="0" borderId="0" applyFont="true" applyBorder="false" applyAlignment="false" applyProtection="false"/>
    <xf numFmtId="168" fontId="0" fillId="0" borderId="0" applyFont="true" applyBorder="false" applyAlignment="false" applyProtection="false"/>
    <xf numFmtId="173" fontId="0" fillId="0" borderId="0" applyFont="true" applyBorder="false" applyAlignment="false" applyProtection="false"/>
    <xf numFmtId="193" fontId="0" fillId="0" borderId="0" applyFont="true" applyBorder="false" applyAlignment="false" applyProtection="false"/>
    <xf numFmtId="173" fontId="0" fillId="0" borderId="0" applyFont="true" applyBorder="false" applyAlignment="false" applyProtection="false"/>
    <xf numFmtId="192" fontId="0" fillId="0" borderId="0" applyFont="true" applyBorder="false" applyAlignment="false" applyProtection="false"/>
    <xf numFmtId="175" fontId="0" fillId="0" borderId="0" applyFont="true" applyBorder="false" applyAlignment="false" applyProtection="false"/>
    <xf numFmtId="168" fontId="0" fillId="0" borderId="0" applyFont="true" applyBorder="false" applyAlignment="false" applyProtection="false"/>
    <xf numFmtId="195" fontId="0" fillId="0" borderId="0" applyFont="true" applyBorder="false" applyAlignment="false" applyProtection="false"/>
    <xf numFmtId="168" fontId="0" fillId="0" borderId="0" applyFont="true" applyBorder="false" applyAlignment="false" applyProtection="false"/>
    <xf numFmtId="175" fontId="0" fillId="0" borderId="0" applyFont="true" applyBorder="false" applyAlignment="false" applyProtection="false"/>
    <xf numFmtId="175" fontId="0" fillId="0" borderId="0" applyFont="true" applyBorder="false" applyAlignment="false" applyProtection="false"/>
    <xf numFmtId="168" fontId="0" fillId="0" borderId="0" applyFont="true" applyBorder="false" applyAlignment="false" applyProtection="false"/>
    <xf numFmtId="175" fontId="0" fillId="0" borderId="0" applyFont="true" applyBorder="false" applyAlignment="false" applyProtection="false"/>
    <xf numFmtId="192"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8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201" fontId="0" fillId="0" borderId="0" applyFont="true" applyBorder="false" applyAlignment="false" applyProtection="false"/>
    <xf numFmtId="191" fontId="0" fillId="0" borderId="0" applyFont="true" applyBorder="false" applyAlignment="false" applyProtection="false"/>
    <xf numFmtId="173" fontId="0" fillId="0" borderId="0" applyFont="true" applyBorder="false" applyAlignment="false" applyProtection="false"/>
    <xf numFmtId="174" fontId="0" fillId="0" borderId="0" applyFont="true" applyBorder="false" applyAlignment="false" applyProtection="false"/>
    <xf numFmtId="175" fontId="0" fillId="0" borderId="0" applyFont="true" applyBorder="false" applyAlignment="false" applyProtection="false"/>
    <xf numFmtId="195" fontId="0" fillId="0" borderId="0" applyFont="true" applyBorder="false" applyAlignment="false" applyProtection="false"/>
    <xf numFmtId="195" fontId="0" fillId="0" borderId="0" applyFont="true" applyBorder="false" applyAlignment="false" applyProtection="false"/>
    <xf numFmtId="195" fontId="0" fillId="0" borderId="0" applyFont="true" applyBorder="false" applyAlignment="false" applyProtection="false"/>
    <xf numFmtId="170" fontId="0" fillId="0" borderId="0" applyFont="true" applyBorder="false" applyAlignment="false" applyProtection="false"/>
    <xf numFmtId="201" fontId="0" fillId="0" borderId="0" applyFont="true" applyBorder="false" applyAlignment="false" applyProtection="false"/>
    <xf numFmtId="191" fontId="0" fillId="0" borderId="0" applyFont="true" applyBorder="false" applyAlignment="false" applyProtection="false"/>
    <xf numFmtId="173"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92"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88"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81"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96" fontId="0" fillId="0" borderId="0" applyFont="true" applyBorder="false" applyAlignment="false" applyProtection="false"/>
    <xf numFmtId="174" fontId="0" fillId="0" borderId="0" applyFont="true" applyBorder="false" applyAlignment="false" applyProtection="false"/>
    <xf numFmtId="168" fontId="0" fillId="0" borderId="0" applyFont="true" applyBorder="false" applyAlignment="false" applyProtection="false"/>
    <xf numFmtId="170" fontId="0" fillId="0" borderId="0" applyFont="true" applyBorder="false" applyAlignment="false" applyProtection="false"/>
    <xf numFmtId="192" fontId="0" fillId="0" borderId="0" applyFont="true" applyBorder="false" applyAlignment="false" applyProtection="false"/>
    <xf numFmtId="168"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70" fontId="0" fillId="0" borderId="0" applyFont="true" applyBorder="false" applyAlignment="false" applyProtection="false"/>
    <xf numFmtId="168"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70" fontId="0" fillId="0" borderId="0" applyFont="true" applyBorder="false" applyAlignment="false" applyProtection="false"/>
    <xf numFmtId="188" fontId="0" fillId="0" borderId="0" applyFont="true" applyBorder="false" applyAlignment="false" applyProtection="false"/>
    <xf numFmtId="193" fontId="0" fillId="0" borderId="0" applyFont="true" applyBorder="false" applyAlignment="false" applyProtection="false"/>
    <xf numFmtId="168" fontId="0" fillId="0" borderId="0" applyFont="true" applyBorder="false" applyAlignment="false" applyProtection="false"/>
    <xf numFmtId="200" fontId="0" fillId="0" borderId="0" applyFont="true" applyBorder="false" applyAlignment="false" applyProtection="false"/>
    <xf numFmtId="193" fontId="0" fillId="0" borderId="0" applyFont="true" applyBorder="false" applyAlignment="false" applyProtection="false"/>
    <xf numFmtId="175" fontId="0" fillId="0" borderId="0" applyFont="true" applyBorder="false" applyAlignment="false" applyProtection="false"/>
    <xf numFmtId="193"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68" fontId="0" fillId="0" borderId="0" applyFont="true" applyBorder="false" applyAlignment="false" applyProtection="false"/>
    <xf numFmtId="200" fontId="0" fillId="0" borderId="0" applyFont="true" applyBorder="false" applyAlignment="false" applyProtection="false"/>
    <xf numFmtId="164" fontId="0" fillId="0" borderId="0" applyFont="true" applyBorder="false" applyAlignment="false" applyProtection="false"/>
    <xf numFmtId="168"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92" fontId="0" fillId="0" borderId="0" applyFont="true" applyBorder="false" applyAlignment="false" applyProtection="false"/>
    <xf numFmtId="194" fontId="0" fillId="0" borderId="0" applyFont="true" applyBorder="false" applyAlignment="false" applyProtection="false"/>
    <xf numFmtId="174" fontId="0" fillId="0" borderId="0" applyFont="true" applyBorder="false" applyAlignment="false" applyProtection="false"/>
    <xf numFmtId="170"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92" fontId="0" fillId="0" borderId="0" applyFont="true" applyBorder="false" applyAlignment="false" applyProtection="false"/>
    <xf numFmtId="192" fontId="0" fillId="0" borderId="0" applyFont="true" applyBorder="false" applyAlignment="false" applyProtection="false"/>
    <xf numFmtId="170" fontId="0" fillId="0" borderId="0" applyFont="true" applyBorder="false" applyAlignment="false" applyProtection="false"/>
    <xf numFmtId="192"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92"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81" fontId="0" fillId="0" borderId="0" applyFont="true" applyBorder="false" applyAlignment="false" applyProtection="false"/>
    <xf numFmtId="196" fontId="0" fillId="0" borderId="0" applyFont="true" applyBorder="false" applyAlignment="false" applyProtection="false"/>
    <xf numFmtId="175" fontId="0" fillId="0" borderId="0" applyFont="true" applyBorder="false" applyAlignment="false" applyProtection="false"/>
    <xf numFmtId="170"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70" fontId="0" fillId="0" borderId="0" applyFont="true" applyBorder="false" applyAlignment="false" applyProtection="false"/>
    <xf numFmtId="195" fontId="0" fillId="0" borderId="0" applyFont="true" applyBorder="false" applyAlignment="false" applyProtection="false"/>
    <xf numFmtId="168" fontId="0" fillId="0" borderId="0" applyFont="true" applyBorder="false" applyAlignment="false" applyProtection="false"/>
    <xf numFmtId="195" fontId="0" fillId="0" borderId="0" applyFont="true" applyBorder="false" applyAlignment="false" applyProtection="false"/>
    <xf numFmtId="168" fontId="0" fillId="0" borderId="0" applyFont="true" applyBorder="false" applyAlignment="false" applyProtection="false"/>
    <xf numFmtId="170" fontId="0" fillId="0" borderId="0" applyFont="true" applyBorder="false" applyAlignment="false" applyProtection="false"/>
    <xf numFmtId="175" fontId="0" fillId="0" borderId="0" applyFont="true" applyBorder="false" applyAlignment="false" applyProtection="false"/>
    <xf numFmtId="164" fontId="15" fillId="0" borderId="0" applyFont="true" applyBorder="true" applyAlignment="true" applyProtection="true">
      <alignment horizontal="center" vertical="bottom" textRotation="0" wrapText="false" indent="0" shrinkToFit="false"/>
      <protection locked="false" hidden="false"/>
    </xf>
    <xf numFmtId="203" fontId="0" fillId="0" borderId="0" applyFont="true" applyBorder="false" applyAlignment="false" applyProtection="false"/>
    <xf numFmtId="204" fontId="0" fillId="0" borderId="0" applyFont="true" applyBorder="false" applyAlignment="false" applyProtection="false"/>
    <xf numFmtId="167" fontId="0" fillId="0" borderId="0" applyFont="true" applyBorder="false" applyAlignment="false" applyProtection="false"/>
    <xf numFmtId="179" fontId="0" fillId="0" borderId="0" applyFont="true" applyBorder="false" applyAlignment="false" applyProtection="false"/>
    <xf numFmtId="203" fontId="0" fillId="0" borderId="0" applyFont="true" applyBorder="false" applyAlignment="false" applyProtection="false"/>
    <xf numFmtId="204" fontId="0" fillId="0" borderId="0" applyFont="true" applyBorder="false" applyAlignment="false" applyProtection="false"/>
    <xf numFmtId="191" fontId="0" fillId="0" borderId="0" applyFont="true" applyBorder="false" applyAlignment="false" applyProtection="false"/>
    <xf numFmtId="166" fontId="0" fillId="0" borderId="0" applyFont="true" applyBorder="false" applyAlignment="false" applyProtection="false"/>
    <xf numFmtId="179" fontId="0" fillId="0" borderId="0" applyFont="true" applyBorder="false" applyAlignment="false" applyProtection="false"/>
    <xf numFmtId="174" fontId="0" fillId="0" borderId="0" applyFont="true" applyBorder="false" applyAlignment="false" applyProtection="false"/>
    <xf numFmtId="179" fontId="0" fillId="0" borderId="0" applyFont="true" applyBorder="false" applyAlignment="false" applyProtection="false"/>
    <xf numFmtId="203" fontId="0" fillId="0" borderId="0" applyFont="true" applyBorder="false" applyAlignment="false" applyProtection="false"/>
    <xf numFmtId="203" fontId="0" fillId="0" borderId="0" applyFont="true" applyBorder="false" applyAlignment="false" applyProtection="false"/>
    <xf numFmtId="203"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174" fontId="0" fillId="0" borderId="0" applyFont="true" applyBorder="false" applyAlignment="false" applyProtection="false"/>
    <xf numFmtId="204"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91"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79" fontId="0" fillId="0" borderId="0" applyFont="true" applyBorder="false" applyAlignment="false" applyProtection="false"/>
    <xf numFmtId="204" fontId="0" fillId="0" borderId="0" applyFont="true" applyBorder="false" applyAlignment="false" applyProtection="false"/>
    <xf numFmtId="180" fontId="0" fillId="0" borderId="0" applyFont="true" applyBorder="false" applyAlignment="false" applyProtection="false"/>
    <xf numFmtId="179" fontId="0" fillId="0" borderId="0" applyFont="true" applyBorder="false" applyAlignment="false" applyProtection="false"/>
    <xf numFmtId="203" fontId="0" fillId="0" borderId="0" applyFont="true" applyBorder="false" applyAlignment="false" applyProtection="false"/>
    <xf numFmtId="191" fontId="0" fillId="0" borderId="0" applyFont="true" applyBorder="false" applyAlignment="false" applyProtection="false"/>
    <xf numFmtId="179" fontId="0" fillId="0" borderId="0" applyFont="true" applyBorder="false" applyAlignment="false" applyProtection="false"/>
    <xf numFmtId="203" fontId="0" fillId="0" borderId="0" applyFont="true" applyBorder="false" applyAlignment="false" applyProtection="false"/>
    <xf numFmtId="205" fontId="0" fillId="0" borderId="0" applyFont="true" applyBorder="false" applyAlignment="false" applyProtection="false"/>
    <xf numFmtId="166" fontId="0" fillId="0" borderId="0" applyFont="true" applyBorder="false" applyAlignment="false" applyProtection="false"/>
    <xf numFmtId="174"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79" fontId="0" fillId="0" borderId="0" applyFont="true" applyBorder="false" applyAlignment="false" applyProtection="false"/>
    <xf numFmtId="203"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04"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04"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04" fontId="0" fillId="0" borderId="0" applyFont="true" applyBorder="false" applyAlignment="false" applyProtection="false"/>
    <xf numFmtId="203" fontId="0" fillId="0" borderId="0" applyFont="true" applyBorder="false" applyAlignment="false" applyProtection="false"/>
    <xf numFmtId="179"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03"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203" fontId="0" fillId="0" borderId="0" applyFont="true" applyBorder="false" applyAlignment="false" applyProtection="false"/>
    <xf numFmtId="20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80" fontId="0" fillId="0" borderId="0" applyFont="true" applyBorder="false" applyAlignment="false" applyProtection="false"/>
    <xf numFmtId="179" fontId="0" fillId="0" borderId="0" applyFont="true" applyBorder="false" applyAlignment="false" applyProtection="false"/>
    <xf numFmtId="207" fontId="0" fillId="0" borderId="0" applyFont="true" applyBorder="false" applyAlignment="false" applyProtection="false"/>
    <xf numFmtId="203" fontId="0" fillId="0" borderId="0" applyFont="true" applyBorder="false" applyAlignment="false" applyProtection="false"/>
    <xf numFmtId="179" fontId="0" fillId="0" borderId="0" applyFont="true" applyBorder="false" applyAlignment="false" applyProtection="false"/>
    <xf numFmtId="164"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166"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172"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204"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207" fontId="0" fillId="0" borderId="0" applyFont="true" applyBorder="false" applyAlignment="false" applyProtection="false"/>
    <xf numFmtId="173"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08"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72" fontId="0" fillId="0" borderId="0" applyFont="true" applyBorder="false" applyAlignment="false" applyProtection="false"/>
    <xf numFmtId="167" fontId="0" fillId="0" borderId="0" applyFont="true" applyBorder="false" applyAlignment="false" applyProtection="false"/>
    <xf numFmtId="179" fontId="0" fillId="0" borderId="0" applyFont="true" applyBorder="false" applyAlignment="false" applyProtection="false"/>
    <xf numFmtId="166"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167" fontId="0" fillId="0" borderId="0" applyFont="true" applyBorder="false" applyAlignment="false" applyProtection="false"/>
    <xf numFmtId="172" fontId="0" fillId="0" borderId="0" applyFont="true" applyBorder="false" applyAlignment="false" applyProtection="false"/>
    <xf numFmtId="181" fontId="0" fillId="0" borderId="0" applyFont="true" applyBorder="false" applyAlignment="false" applyProtection="false"/>
    <xf numFmtId="209" fontId="0" fillId="0" borderId="0" applyFont="true" applyBorder="false" applyAlignment="false" applyProtection="false"/>
    <xf numFmtId="167" fontId="0" fillId="0" borderId="0" applyFont="true" applyBorder="false" applyAlignment="false" applyProtection="false"/>
    <xf numFmtId="181" fontId="0" fillId="0" borderId="0" applyFont="true" applyBorder="false" applyAlignment="false" applyProtection="false"/>
    <xf numFmtId="210" fontId="0" fillId="0" borderId="0" applyFont="true" applyBorder="false" applyAlignment="false" applyProtection="false"/>
    <xf numFmtId="204"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203"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74"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6"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211" fontId="0" fillId="0" borderId="0" applyFont="true" applyBorder="false" applyAlignment="false" applyProtection="false"/>
    <xf numFmtId="174" fontId="0" fillId="0" borderId="0" applyFont="true" applyBorder="false" applyAlignment="false" applyProtection="false"/>
    <xf numFmtId="211" fontId="0" fillId="0" borderId="0" applyFont="true" applyBorder="false" applyAlignment="false" applyProtection="false"/>
    <xf numFmtId="179" fontId="0" fillId="0" borderId="0" applyFont="true" applyBorder="false" applyAlignment="false" applyProtection="false"/>
    <xf numFmtId="172" fontId="0" fillId="0" borderId="0" applyFont="true" applyBorder="false" applyAlignment="false" applyProtection="false"/>
    <xf numFmtId="181"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95" fontId="0" fillId="0" borderId="0" applyFont="true" applyBorder="false" applyAlignment="false" applyProtection="false"/>
    <xf numFmtId="173" fontId="0" fillId="0" borderId="0" applyFont="true" applyBorder="false" applyAlignment="false" applyProtection="false"/>
    <xf numFmtId="180" fontId="0" fillId="0" borderId="0" applyFont="true" applyBorder="false" applyAlignment="false" applyProtection="false"/>
    <xf numFmtId="189" fontId="0" fillId="0" borderId="0" applyFont="true" applyBorder="false" applyAlignment="false" applyProtection="false"/>
    <xf numFmtId="191" fontId="0" fillId="0" borderId="0" applyFont="true" applyBorder="false" applyAlignment="false" applyProtection="false"/>
    <xf numFmtId="181" fontId="0" fillId="0" borderId="0" applyFont="true" applyBorder="false" applyAlignment="false" applyProtection="false"/>
    <xf numFmtId="208" fontId="0" fillId="0" borderId="0" applyFont="true" applyBorder="false" applyAlignment="false" applyProtection="false"/>
    <xf numFmtId="196"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67" fontId="0" fillId="0" borderId="0" applyFont="true" applyBorder="false" applyAlignment="false" applyProtection="false"/>
    <xf numFmtId="179" fontId="0" fillId="0" borderId="0" applyFont="true" applyBorder="false" applyAlignment="false" applyProtection="false"/>
    <xf numFmtId="179" fontId="0" fillId="0" borderId="0" applyFont="true" applyBorder="false" applyAlignment="false" applyProtection="false"/>
    <xf numFmtId="203" fontId="0" fillId="0" borderId="0" applyFont="true" applyBorder="false" applyAlignment="false" applyProtection="false"/>
    <xf numFmtId="167"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79" fontId="0" fillId="0" borderId="0" applyFont="true" applyBorder="false" applyAlignment="false" applyProtection="false"/>
    <xf numFmtId="167" fontId="0" fillId="0" borderId="0" applyFont="true" applyBorder="false" applyAlignment="false" applyProtection="false"/>
    <xf numFmtId="180" fontId="0" fillId="0" borderId="0" applyFont="true" applyBorder="false" applyAlignment="false" applyProtection="false"/>
    <xf numFmtId="179" fontId="0" fillId="0" borderId="0" applyFont="true" applyBorder="false" applyAlignment="false" applyProtection="false"/>
    <xf numFmtId="208" fontId="0" fillId="0" borderId="0" applyFont="true" applyBorder="false" applyAlignment="false" applyProtection="false"/>
    <xf numFmtId="204" fontId="0" fillId="0" borderId="0" applyFont="true" applyBorder="false" applyAlignment="false" applyProtection="false"/>
    <xf numFmtId="167" fontId="0" fillId="0" borderId="0" applyFont="true" applyBorder="false" applyAlignment="false" applyProtection="false"/>
    <xf numFmtId="207" fontId="0" fillId="0" borderId="0" applyFont="true" applyBorder="false" applyAlignment="false" applyProtection="false"/>
    <xf numFmtId="204" fontId="0" fillId="0" borderId="0" applyFont="true" applyBorder="false" applyAlignment="false" applyProtection="false"/>
    <xf numFmtId="166" fontId="0" fillId="0" borderId="0" applyFont="true" applyBorder="false" applyAlignment="false" applyProtection="false"/>
    <xf numFmtId="204" fontId="0" fillId="0" borderId="0" applyFont="true" applyBorder="false" applyAlignment="false" applyProtection="false"/>
    <xf numFmtId="203" fontId="0" fillId="0" borderId="0" applyFont="true" applyBorder="false" applyAlignment="false" applyProtection="false"/>
    <xf numFmtId="203" fontId="0" fillId="0" borderId="0" applyFont="true" applyBorder="false" applyAlignment="false" applyProtection="false"/>
    <xf numFmtId="180" fontId="0" fillId="0" borderId="0" applyFont="true" applyBorder="false" applyAlignment="false" applyProtection="false"/>
    <xf numFmtId="203" fontId="0" fillId="0" borderId="0" applyFont="true" applyBorder="false" applyAlignment="false" applyProtection="false"/>
    <xf numFmtId="203" fontId="0" fillId="0" borderId="0" applyFont="true" applyBorder="false" applyAlignment="false" applyProtection="false"/>
    <xf numFmtId="203" fontId="0" fillId="0" borderId="0" applyFont="true" applyBorder="false" applyAlignment="false" applyProtection="false"/>
    <xf numFmtId="203" fontId="0" fillId="0" borderId="0" applyFont="true" applyBorder="false" applyAlignment="false" applyProtection="false"/>
    <xf numFmtId="203" fontId="0" fillId="0" borderId="0" applyFont="true" applyBorder="false" applyAlignment="false" applyProtection="false"/>
    <xf numFmtId="167" fontId="0" fillId="0" borderId="0" applyFont="true" applyBorder="false" applyAlignment="false" applyProtection="false"/>
    <xf numFmtId="207" fontId="0" fillId="0" borderId="0" applyFont="true" applyBorder="false" applyAlignment="false" applyProtection="false"/>
    <xf numFmtId="164" fontId="0" fillId="0" borderId="0" applyFont="true" applyBorder="false" applyAlignment="false" applyProtection="false"/>
    <xf numFmtId="167" fontId="0" fillId="0" borderId="0" applyFont="true" applyBorder="false" applyAlignment="false" applyProtection="false"/>
    <xf numFmtId="180" fontId="0" fillId="0" borderId="0" applyFont="true" applyBorder="false" applyAlignment="false" applyProtection="false"/>
    <xf numFmtId="203" fontId="0" fillId="0" borderId="0" applyFont="true" applyBorder="false" applyAlignment="false" applyProtection="false"/>
    <xf numFmtId="191" fontId="0" fillId="0" borderId="0" applyFont="true" applyBorder="false" applyAlignment="false" applyProtection="false"/>
    <xf numFmtId="180" fontId="0" fillId="0" borderId="0" applyFont="true" applyBorder="false" applyAlignment="false" applyProtection="false"/>
    <xf numFmtId="179"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203" fontId="0" fillId="0" borderId="0" applyFont="true" applyBorder="false" applyAlignment="false" applyProtection="false"/>
    <xf numFmtId="203" fontId="0" fillId="0" borderId="0" applyFont="true" applyBorder="false" applyAlignment="false" applyProtection="false"/>
    <xf numFmtId="179" fontId="0" fillId="0" borderId="0" applyFont="true" applyBorder="false" applyAlignment="false" applyProtection="false"/>
    <xf numFmtId="203" fontId="0" fillId="0" borderId="0" applyFont="true" applyBorder="false" applyAlignment="false" applyProtection="false"/>
    <xf numFmtId="180" fontId="0" fillId="0" borderId="0" applyFont="true" applyBorder="false" applyAlignment="false" applyProtection="false"/>
    <xf numFmtId="203"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66" fontId="0" fillId="0" borderId="0" applyFont="true" applyBorder="false" applyAlignment="false" applyProtection="false"/>
    <xf numFmtId="179"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80" fontId="0" fillId="0" borderId="0" applyFont="true" applyBorder="false" applyAlignment="false" applyProtection="false"/>
    <xf numFmtId="179" fontId="0" fillId="0" borderId="0" applyFont="true" applyBorder="false" applyAlignment="false" applyProtection="false"/>
    <xf numFmtId="174" fontId="0" fillId="0" borderId="0" applyFont="true" applyBorder="false" applyAlignment="false" applyProtection="false"/>
    <xf numFmtId="167" fontId="0" fillId="0" borderId="0" applyFont="true" applyBorder="false" applyAlignment="false" applyProtection="false"/>
    <xf numFmtId="174" fontId="0" fillId="0" borderId="0" applyFont="true" applyBorder="false" applyAlignment="false" applyProtection="false"/>
    <xf numFmtId="167" fontId="0" fillId="0" borderId="0" applyFont="true" applyBorder="false" applyAlignment="false" applyProtection="false"/>
    <xf numFmtId="179" fontId="0" fillId="0" borderId="0" applyFont="true" applyBorder="false" applyAlignment="false" applyProtection="false"/>
    <xf numFmtId="166" fontId="0" fillId="0" borderId="0" applyFont="true" applyBorder="false" applyAlignment="false" applyProtection="false"/>
    <xf numFmtId="170" fontId="7" fillId="0" borderId="0" applyFont="true" applyBorder="true" applyAlignment="true" applyProtection="true">
      <alignment horizontal="general" vertical="bottom" textRotation="0" wrapText="false" indent="0" shrinkToFit="false"/>
      <protection locked="false" hidden="false"/>
    </xf>
    <xf numFmtId="181" fontId="0" fillId="0" borderId="0" applyFont="true" applyBorder="true" applyAlignment="true" applyProtection="true">
      <alignment horizontal="general" vertical="bottom" textRotation="0" wrapText="false" indent="0" shrinkToFit="false"/>
      <protection locked="false" hidden="false"/>
    </xf>
    <xf numFmtId="164" fontId="16" fillId="2" borderId="0" applyFont="true" applyBorder="false" applyAlignment="false" applyProtection="false"/>
    <xf numFmtId="164" fontId="17" fillId="0" borderId="0" applyFont="true" applyBorder="false" applyAlignment="false" applyProtection="false"/>
    <xf numFmtId="164" fontId="18" fillId="0" borderId="1" applyFont="true" applyBorder="true" applyAlignment="false" applyProtection="false"/>
    <xf numFmtId="164" fontId="18" fillId="0" borderId="2" applyFont="true" applyBorder="true" applyAlignment="true" applyProtection="true">
      <alignment horizontal="left" vertical="center" textRotation="0" wrapText="false" indent="0" shrinkToFit="false"/>
      <protection locked="true" hidden="false"/>
    </xf>
    <xf numFmtId="189" fontId="0" fillId="0" borderId="0" applyFont="true" applyBorder="true" applyAlignment="true" applyProtection="true">
      <alignment horizontal="general" vertical="bottom" textRotation="0" wrapText="false" indent="0" shrinkToFit="false"/>
      <protection locked="false" hidden="false"/>
    </xf>
    <xf numFmtId="189" fontId="0" fillId="0" borderId="0" applyFont="true" applyBorder="true" applyAlignment="true" applyProtection="true">
      <alignment horizontal="general" vertical="bottom" textRotation="0" wrapText="false" indent="0" shrinkToFit="false"/>
      <protection locked="false" hidden="false"/>
    </xf>
    <xf numFmtId="164" fontId="19" fillId="0" borderId="3" applyFont="true" applyBorder="true" applyAlignment="false" applyProtection="false"/>
    <xf numFmtId="164" fontId="16" fillId="3" borderId="0" applyFont="true" applyBorder="false" applyAlignment="false" applyProtection="false"/>
    <xf numFmtId="212" fontId="20"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true" applyAlignment="true" applyProtection="true">
      <alignment horizontal="general" vertical="bottom" textRotation="0" wrapText="false" indent="0" shrinkToFit="false"/>
      <protection locked="true" hidden="false"/>
    </xf>
    <xf numFmtId="213"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2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4" fontId="22" fillId="0" borderId="0" applyFont="true" applyBorder="true" applyAlignment="true" applyProtection="true">
      <alignment horizontal="general" vertical="bottom" textRotation="0" wrapText="false" indent="0" shrinkToFit="false"/>
      <protection locked="true" hidden="false"/>
    </xf>
    <xf numFmtId="214" fontId="23" fillId="0" borderId="0" applyFont="true" applyBorder="true" applyAlignment="true" applyProtection="true">
      <alignment horizontal="general" vertical="bottom" textRotation="0" wrapText="false" indent="0" shrinkToFit="false"/>
      <protection locked="true" hidden="false"/>
    </xf>
    <xf numFmtId="214" fontId="2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4" fontId="2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213" fontId="25"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13" fontId="26" fillId="0" borderId="0" applyFont="true" applyBorder="true" applyAlignment="true" applyProtection="true">
      <alignment horizontal="general" vertical="bottom" textRotation="0" wrapText="false" indent="0" shrinkToFit="false"/>
      <protection locked="true" hidden="false"/>
    </xf>
    <xf numFmtId="213" fontId="27"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213" fontId="22" fillId="0" borderId="0" applyFont="true" applyBorder="false" applyAlignment="false" applyProtection="false"/>
    <xf numFmtId="164" fontId="29" fillId="0" borderId="0" applyFont="true" applyBorder="true" applyAlignment="true" applyProtection="true">
      <alignment horizontal="general" vertical="bottom" textRotation="0" wrapText="false" indent="0" shrinkToFit="false"/>
      <protection locked="true" hidden="false"/>
    </xf>
    <xf numFmtId="213" fontId="25"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2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13"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3" fontId="32" fillId="0" borderId="0" applyFont="true" applyBorder="true" applyAlignment="true" applyProtection="true">
      <alignment horizontal="general" vertical="bottom" textRotation="0" wrapText="false" indent="0" shrinkToFit="false"/>
      <protection locked="true" hidden="false"/>
    </xf>
    <xf numFmtId="164" fontId="3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3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3" fontId="2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33" fillId="0" borderId="0" applyFont="true" applyBorder="true" applyAlignment="true" applyProtection="true">
      <alignment horizontal="general" vertical="bottom" textRotation="0" wrapText="false" indent="0" shrinkToFit="false"/>
      <protection locked="true" hidden="false"/>
    </xf>
    <xf numFmtId="187"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3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3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36"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213" fontId="3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215" fontId="0" fillId="0" borderId="0" applyFont="true" applyBorder="true" applyAlignment="false" applyProtection="tru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7"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38" fillId="0" borderId="0" applyFont="true" applyBorder="true" applyAlignment="true" applyProtection="true">
      <alignment horizontal="general" vertical="bottom" textRotation="0" wrapText="false" indent="0" shrinkToFit="false"/>
      <protection locked="true" hidden="false"/>
    </xf>
    <xf numFmtId="215"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5" fontId="13"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215" fontId="0" fillId="0" borderId="0" applyFont="true" applyBorder="true" applyAlignment="false" applyProtection="tru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center" textRotation="0" wrapText="false" indent="0" shrinkToFit="false"/>
      <protection locked="true" hidden="false"/>
    </xf>
    <xf numFmtId="213" fontId="4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1" fillId="0" borderId="4" applyFont="true" applyBorder="true" applyAlignment="true" applyProtection="true">
      <alignment horizontal="general" vertical="bottom" textRotation="0" wrapText="false" indent="0" shrinkToFit="false"/>
      <protection locked="true" hidden="false"/>
    </xf>
    <xf numFmtId="164" fontId="42"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213" fontId="9"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213" fontId="4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tru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43" fillId="0" borderId="4"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213" fontId="4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13" fontId="4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41" fillId="0" borderId="4" applyFont="true" applyBorder="true" applyAlignment="true" applyProtection="true">
      <alignment horizontal="general" vertical="bottom" textRotation="0" wrapText="false" indent="0" shrinkToFit="false"/>
      <protection locked="true" hidden="false"/>
    </xf>
    <xf numFmtId="164" fontId="43" fillId="0" borderId="4"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4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true" indent="0" shrinkToFit="false"/>
      <protection locked="true" hidden="false"/>
    </xf>
    <xf numFmtId="213" fontId="4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213" fontId="4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true" indent="0" shrinkToFit="false"/>
      <protection locked="true" hidden="false"/>
    </xf>
    <xf numFmtId="164" fontId="9" fillId="0" borderId="0" applyFont="true" applyBorder="true" applyAlignment="true" applyProtection="true">
      <alignment horizontal="general" vertical="bottom" textRotation="0" wrapText="tru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4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46"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4"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true">
      <alignment horizontal="general" vertical="bottom" textRotation="0" wrapText="false" indent="0" shrinkToFit="false"/>
      <protection locked="true" hidden="false"/>
    </xf>
    <xf numFmtId="164" fontId="47"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8" fillId="0" borderId="0" applyFont="true" applyBorder="true" applyAlignment="true" applyProtection="true">
      <alignment horizontal="general" vertical="bottom" textRotation="0" wrapText="false" indent="0" shrinkToFit="false"/>
      <protection locked="true" hidden="false"/>
    </xf>
    <xf numFmtId="164" fontId="49" fillId="0" borderId="0" applyFont="true" applyBorder="true" applyAlignment="true" applyProtection="true">
      <alignment horizontal="general" vertical="bottom" textRotation="0" wrapText="false" indent="0" shrinkToFit="false"/>
      <protection locked="true" hidden="false"/>
    </xf>
    <xf numFmtId="164" fontId="50"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213" fontId="9"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2" fontId="35" fillId="0" borderId="0" applyFont="true" applyBorder="true" applyAlignment="true" applyProtection="true">
      <alignment horizontal="general" vertical="bottom" textRotation="0" wrapText="false" indent="0" shrinkToFit="false"/>
      <protection locked="true" hidden="false"/>
    </xf>
    <xf numFmtId="180" fontId="0" fillId="0" borderId="0" applyFont="true" applyBorder="true" applyAlignment="true" applyProtection="true">
      <alignment horizontal="general" vertical="bottom" textRotation="0" wrapText="false" indent="0" shrinkToFit="false"/>
      <protection locked="true" hidden="false"/>
    </xf>
    <xf numFmtId="215" fontId="9"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51"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33"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214" fontId="2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215" fontId="0" fillId="0" borderId="0" applyFont="true" applyBorder="true" applyAlignment="false" applyProtection="true">
      <protection locked="true" hidden="false"/>
    </xf>
    <xf numFmtId="214" fontId="23" fillId="0" borderId="0" applyFont="true" applyBorder="true" applyAlignment="true" applyProtection="true">
      <alignment horizontal="general" vertical="bottom" textRotation="0" wrapText="false" indent="0" shrinkToFit="false"/>
      <protection locked="true" hidden="false"/>
    </xf>
    <xf numFmtId="164" fontId="3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3" fontId="3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3" fontId="27"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14" fontId="22" fillId="0" borderId="0" applyFont="true" applyBorder="true" applyAlignment="true" applyProtection="true">
      <alignment horizontal="general" vertical="bottom" textRotation="0" wrapText="false" indent="0" shrinkToFit="false"/>
      <protection locked="true" hidden="false"/>
    </xf>
    <xf numFmtId="214" fontId="25"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215" fontId="9" fillId="0" borderId="0" applyFont="true" applyBorder="true" applyAlignment="true" applyProtection="true">
      <alignment horizontal="general" vertical="bottom" textRotation="0" wrapText="false" indent="0" shrinkToFit="false"/>
      <protection locked="true" hidden="false"/>
    </xf>
    <xf numFmtId="164" fontId="4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3" fontId="35" fillId="0" borderId="0" applyFont="true" applyBorder="true" applyAlignment="true" applyProtection="true">
      <alignment horizontal="general" vertical="bottom" textRotation="0" wrapText="false" indent="0" shrinkToFit="false"/>
      <protection locked="true" hidden="false"/>
    </xf>
    <xf numFmtId="164" fontId="52" fillId="0" borderId="0" applyFont="true" applyBorder="true" applyAlignment="true" applyProtection="true">
      <alignment horizontal="general" vertical="bottom" textRotation="0" wrapText="false" indent="0" shrinkToFit="false"/>
      <protection locked="true" hidden="false"/>
    </xf>
    <xf numFmtId="214" fontId="23" fillId="0" borderId="0" applyFont="true" applyBorder="true" applyAlignment="true" applyProtection="true">
      <alignment horizontal="general" vertical="bottom" textRotation="0" wrapText="false" indent="0" shrinkToFit="false"/>
      <protection locked="true" hidden="false"/>
    </xf>
    <xf numFmtId="21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53"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54"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213" fontId="40" fillId="0" borderId="0" applyFont="true" applyBorder="true" applyAlignment="true" applyProtection="true">
      <alignment horizontal="general" vertical="bottom" textRotation="0" wrapText="false" indent="0" shrinkToFit="false"/>
      <protection locked="true" hidden="false"/>
    </xf>
    <xf numFmtId="215" fontId="4" fillId="0" borderId="0" applyFont="true" applyBorder="true" applyAlignment="true" applyProtection="true">
      <alignment horizontal="general" vertical="bottom" textRotation="0" wrapText="false" indent="0" shrinkToFit="false"/>
      <protection locked="true" hidden="false"/>
    </xf>
    <xf numFmtId="181" fontId="0" fillId="0" borderId="0" applyFont="true" applyBorder="true" applyAlignment="true" applyProtection="true">
      <alignment horizontal="general" vertical="bottom" textRotation="0" wrapText="false" indent="0" shrinkToFit="false"/>
      <protection locked="true" hidden="false"/>
    </xf>
    <xf numFmtId="181" fontId="0" fillId="0" borderId="0" applyFont="true" applyBorder="true" applyAlignment="true" applyProtection="true">
      <alignment horizontal="general" vertical="bottom" textRotation="0" wrapText="false" indent="0" shrinkToFit="false"/>
      <protection locked="true" hidden="false"/>
    </xf>
    <xf numFmtId="181" fontId="0" fillId="0" borderId="0" applyFont="true" applyBorder="true" applyAlignment="true" applyProtection="true">
      <alignment horizontal="general" vertical="bottom" textRotation="0" wrapText="false" indent="0" shrinkToFit="false"/>
      <protection locked="true" hidden="false"/>
    </xf>
    <xf numFmtId="181" fontId="0" fillId="0" borderId="0" applyFont="true" applyBorder="true" applyAlignment="true" applyProtection="true">
      <alignment horizontal="general" vertical="bottom" textRotation="0" wrapText="false" indent="0" shrinkToFit="false"/>
      <protection locked="true" hidden="false"/>
    </xf>
    <xf numFmtId="196" fontId="0" fillId="0" borderId="0" applyFont="true" applyBorder="true" applyAlignment="true" applyProtection="true">
      <alignment horizontal="general" vertical="bottom" textRotation="0" wrapText="false" indent="0" shrinkToFit="false"/>
      <protection locked="true" hidden="false"/>
    </xf>
    <xf numFmtId="196" fontId="0" fillId="0" borderId="0" applyFont="true" applyBorder="true" applyAlignment="true" applyProtection="true">
      <alignment horizontal="general" vertical="bottom" textRotation="0" wrapText="false" indent="0" shrinkToFit="false"/>
      <protection locked="true" hidden="false"/>
    </xf>
    <xf numFmtId="164" fontId="3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212" fontId="0" fillId="0" borderId="0" applyFont="true" applyBorder="true" applyAlignment="true" applyProtection="true">
      <alignment horizontal="general" vertical="bottom" textRotation="0" wrapText="false" indent="0" shrinkToFit="false"/>
      <protection locked="true" hidden="false"/>
    </xf>
    <xf numFmtId="215" fontId="0" fillId="0" borderId="0" applyFont="true" applyBorder="true" applyAlignment="false" applyProtection="tru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212" fontId="0" fillId="0" borderId="0" applyFont="true" applyBorder="true" applyAlignment="true" applyProtection="true">
      <alignment horizontal="general" vertical="bottom" textRotation="0" wrapText="false" indent="0" shrinkToFit="false"/>
      <protection locked="true" hidden="false"/>
    </xf>
    <xf numFmtId="164" fontId="55" fillId="0" borderId="0" applyFont="true" applyBorder="true" applyAlignment="true" applyProtection="true">
      <alignment horizontal="general" vertical="bottom" textRotation="0" wrapText="false" indent="0" shrinkToFit="false"/>
      <protection locked="fals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22" fillId="0" borderId="0" applyFont="true" applyBorder="true" applyAlignment="true" applyProtection="true">
      <alignment horizontal="general" vertical="bottom" textRotation="0" wrapText="false" indent="0" shrinkToFit="false"/>
      <protection locked="true" hidden="false"/>
    </xf>
    <xf numFmtId="164" fontId="1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3" fontId="26"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24" fillId="0" borderId="0" applyFont="true" applyBorder="true" applyAlignment="true" applyProtection="true">
      <alignment horizontal="general" vertical="bottom" textRotation="0" wrapText="false" indent="0" shrinkToFit="false"/>
      <protection locked="true" hidden="false"/>
    </xf>
    <xf numFmtId="164" fontId="56"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3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2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37"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37" fillId="0" borderId="0" applyFont="true" applyBorder="true" applyAlignment="true" applyProtection="true">
      <alignment horizontal="general" vertical="bottom" textRotation="0" wrapText="false" indent="0" shrinkToFit="false"/>
      <protection locked="true" hidden="false"/>
    </xf>
    <xf numFmtId="17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31"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false" applyProtection="tru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214" fontId="0" fillId="0" borderId="0" applyFont="true" applyBorder="true" applyAlignment="true" applyProtection="true">
      <alignment horizontal="general" vertical="bottom" textRotation="0" wrapText="false" indent="0" shrinkToFit="false"/>
      <protection locked="true" hidden="false"/>
    </xf>
    <xf numFmtId="213" fontId="31" fillId="0" borderId="0" applyFont="true" applyBorder="true" applyAlignment="true" applyProtection="true">
      <alignment horizontal="general" vertical="bottom" textRotation="0" wrapText="false" indent="0" shrinkToFit="false"/>
      <protection locked="true" hidden="false"/>
    </xf>
    <xf numFmtId="213" fontId="31" fillId="0" borderId="0" applyFont="true" applyBorder="true" applyAlignment="true" applyProtection="true">
      <alignment horizontal="general" vertical="bottom" textRotation="0" wrapText="false" indent="0" shrinkToFit="false"/>
      <protection locked="true" hidden="false"/>
    </xf>
    <xf numFmtId="214" fontId="0" fillId="0" borderId="0" applyFont="true" applyBorder="true" applyAlignment="true" applyProtection="true">
      <alignment horizontal="general" vertical="bottom" textRotation="0" wrapText="false" indent="0" shrinkToFit="false"/>
      <protection locked="true" hidden="false"/>
    </xf>
    <xf numFmtId="214" fontId="0" fillId="0" borderId="0" applyFont="true" applyBorder="true" applyAlignment="true" applyProtection="true">
      <alignment horizontal="general" vertical="bottom" textRotation="0" wrapText="false" indent="0" shrinkToFit="false"/>
      <protection locked="true" hidden="false"/>
    </xf>
    <xf numFmtId="164" fontId="52"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bottom" textRotation="0" wrapText="false" indent="0" shrinkToFit="false"/>
      <protection locked="true" hidden="false"/>
    </xf>
    <xf numFmtId="213" fontId="24" fillId="0" borderId="0" applyFont="true" applyBorder="true" applyAlignment="true" applyProtection="true">
      <alignment horizontal="general" vertical="bottom" textRotation="0" wrapText="false" indent="0" shrinkToFit="false"/>
      <protection locked="true" hidden="false"/>
    </xf>
    <xf numFmtId="215" fontId="57" fillId="0" borderId="0" applyFont="true" applyBorder="true" applyAlignment="true" applyProtection="true">
      <alignment horizontal="general" vertical="bottom" textRotation="0" wrapText="false" indent="0" shrinkToFit="false"/>
      <protection locked="true" hidden="false"/>
    </xf>
    <xf numFmtId="216" fontId="0" fillId="0" borderId="0" applyFont="true" applyBorder="false" applyAlignment="false" applyProtection="false"/>
    <xf numFmtId="187" fontId="58" fillId="0" borderId="0" applyFont="true" applyBorder="true" applyAlignment="true" applyProtection="true">
      <alignment horizontal="general" vertical="bottom" textRotation="0" wrapText="false" indent="0" shrinkToFit="false"/>
      <protection locked="false" hidden="false"/>
    </xf>
    <xf numFmtId="217" fontId="0" fillId="0" borderId="0" applyFont="true" applyBorder="false" applyAlignment="false" applyProtection="false"/>
    <xf numFmtId="214" fontId="59" fillId="0" borderId="0" applyFont="true" applyBorder="true" applyAlignment="true" applyProtection="true">
      <alignment horizontal="general" vertical="bottom" textRotation="0" wrapText="false" indent="0" shrinkToFit="false"/>
      <protection locked="true" hidden="false"/>
    </xf>
    <xf numFmtId="189" fontId="0" fillId="0" borderId="5" applyFont="true" applyBorder="true" applyAlignment="true" applyProtection="true">
      <alignment horizontal="general" vertical="bottom" textRotation="0" wrapText="false" indent="0" shrinkToFit="false"/>
      <protection locked="false" hidden="false"/>
    </xf>
    <xf numFmtId="164" fontId="22" fillId="2" borderId="0" applyFont="true" applyBorder="false" applyAlignment="false" applyProtection="false"/>
    <xf numFmtId="213" fontId="22" fillId="0" borderId="0" applyFont="true" applyBorder="true" applyAlignment="true" applyProtection="true">
      <alignment horizontal="general" vertical="bottom" textRotation="0" wrapText="false" indent="0" shrinkToFit="false"/>
      <protection locked="true" hidden="false"/>
    </xf>
    <xf numFmtId="164" fontId="16" fillId="4" borderId="0" applyFont="true" applyBorder="false" applyAlignment="false" applyProtection="false"/>
    <xf numFmtId="215" fontId="60" fillId="0" borderId="3" applyFont="true" applyBorder="true" applyAlignment="true" applyProtection="false">
      <alignment horizontal="general" vertical="bottom" textRotation="0" wrapText="false" indent="0" shrinkToFit="false"/>
    </xf>
  </cellStyleXfs>
  <cellXfs count="142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215" fontId="18" fillId="0" borderId="0" xfId="1028" applyFont="true" applyBorder="false" applyAlignment="tru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61" fillId="2" borderId="6" xfId="0" applyFont="true" applyBorder="true" applyAlignment="false" applyProtection="false">
      <alignment horizontal="general" vertical="bottom" textRotation="0" wrapText="false" indent="0" shrinkToFit="false"/>
      <protection locked="true" hidden="false"/>
    </xf>
    <xf numFmtId="164" fontId="61" fillId="2" borderId="7" xfId="0" applyFont="true" applyBorder="true" applyAlignment="false" applyProtection="false">
      <alignment horizontal="general" vertical="bottom" textRotation="0" wrapText="false" indent="0" shrinkToFit="false"/>
      <protection locked="true" hidden="false"/>
    </xf>
    <xf numFmtId="164" fontId="61" fillId="2" borderId="8" xfId="0" applyFont="true" applyBorder="true" applyAlignment="false" applyProtection="false">
      <alignment horizontal="general" vertical="bottom" textRotation="0" wrapText="false" indent="0" shrinkToFit="false"/>
      <protection locked="true" hidden="false"/>
    </xf>
    <xf numFmtId="164" fontId="61" fillId="2" borderId="9" xfId="15" applyFont="true" applyBorder="true" applyAlignment="true" applyProtection="true">
      <alignment horizontal="general" vertical="bottom" textRotation="0" wrapText="false" indent="0" shrinkToFit="false"/>
      <protection locked="true" hidden="false"/>
    </xf>
    <xf numFmtId="164" fontId="61" fillId="2" borderId="4" xfId="15" applyFont="true" applyBorder="true" applyAlignment="true" applyProtection="true">
      <alignment horizontal="general" vertical="bottom" textRotation="0" wrapText="false" indent="0" shrinkToFit="false"/>
      <protection locked="true" hidden="false"/>
    </xf>
    <xf numFmtId="164" fontId="61" fillId="2" borderId="10" xfId="15" applyFont="true" applyBorder="true" applyAlignment="true" applyProtection="true">
      <alignment horizontal="general" vertical="bottom" textRotation="0" wrapText="false" indent="0" shrinkToFit="false"/>
      <protection locked="true" hidden="false"/>
    </xf>
    <xf numFmtId="164" fontId="62" fillId="0" borderId="0" xfId="0" applyFont="true" applyBorder="false" applyAlignment="true" applyProtection="false">
      <alignment horizontal="left" vertical="bottom" textRotation="0" wrapText="false" indent="0" shrinkToFit="false"/>
      <protection locked="true" hidden="false"/>
    </xf>
    <xf numFmtId="215" fontId="63" fillId="0" borderId="0" xfId="0" applyFont="true" applyBorder="false" applyAlignment="true" applyProtection="false">
      <alignment horizontal="left" vertical="bottom" textRotation="0" wrapText="false" indent="0" shrinkToFit="false"/>
      <protection locked="true" hidden="false"/>
    </xf>
    <xf numFmtId="218" fontId="63" fillId="0" borderId="0" xfId="0" applyFont="true" applyBorder="false" applyAlignment="true" applyProtection="false">
      <alignment horizontal="left" vertical="bottom" textRotation="0" wrapText="false" indent="0" shrinkToFit="false"/>
      <protection locked="true" hidden="false"/>
    </xf>
    <xf numFmtId="219" fontId="62" fillId="0" borderId="0" xfId="0" applyFont="true" applyBorder="false" applyAlignment="true" applyProtection="false">
      <alignment horizontal="left" vertical="bottom" textRotation="0" wrapText="false" indent="0" shrinkToFit="false"/>
      <protection locked="true" hidden="false"/>
    </xf>
    <xf numFmtId="220" fontId="0" fillId="0" borderId="0" xfId="0" applyFont="fals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219" fontId="62" fillId="0" borderId="0" xfId="0" applyFont="true" applyBorder="false" applyAlignment="true" applyProtection="false">
      <alignment horizontal="right"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0" fillId="2" borderId="0" xfId="0" applyFont="true" applyBorder="false" applyAlignment="true" applyProtection="false">
      <alignment horizontal="general" vertical="bottom" textRotation="0" wrapText="false" indent="0" shrinkToFit="false"/>
      <protection locked="true" hidden="false"/>
    </xf>
    <xf numFmtId="215" fontId="0" fillId="2" borderId="0" xfId="0" applyFont="true" applyBorder="false" applyAlignment="true" applyProtection="false">
      <alignment horizontal="general" vertical="bottom" textRotation="0" wrapText="false" indent="0" shrinkToFit="false"/>
      <protection locked="true" hidden="false"/>
    </xf>
    <xf numFmtId="164" fontId="57" fillId="2" borderId="0" xfId="0" applyFont="true" applyBorder="false" applyAlignment="tru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215" fontId="0" fillId="0" borderId="0" xfId="0" applyFont="true" applyBorder="false" applyAlignment="tru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general" vertical="bottom" textRotation="0" wrapText="false" indent="0" shrinkToFit="false"/>
      <protection locked="true" hidden="false"/>
    </xf>
    <xf numFmtId="164" fontId="61" fillId="0" borderId="0" xfId="0" applyFont="true" applyBorder="false" applyAlignment="true" applyProtection="false">
      <alignment horizontal="general" vertical="bottom" textRotation="0" wrapText="false" indent="0" shrinkToFit="false"/>
      <protection locked="true" hidden="false"/>
    </xf>
    <xf numFmtId="164" fontId="9" fillId="0" borderId="11" xfId="0" applyFont="true" applyBorder="true" applyAlignment="true" applyProtection="false">
      <alignment horizontal="center" vertical="bottom" textRotation="0" wrapText="false" indent="0" shrinkToFit="false"/>
      <protection locked="true" hidden="false"/>
    </xf>
    <xf numFmtId="164" fontId="9" fillId="0" borderId="0" xfId="0" applyFont="true" applyBorder="false" applyAlignment="true" applyProtection="false">
      <alignment horizontal="general" vertical="bottom" textRotation="0" wrapText="false" indent="0" shrinkToFit="false"/>
      <protection locked="true" hidden="false"/>
    </xf>
    <xf numFmtId="221" fontId="9" fillId="0" borderId="11" xfId="0" applyFont="true" applyBorder="true" applyAlignment="true" applyProtection="false">
      <alignment horizontal="center" vertical="bottom" textRotation="0" wrapText="false" indent="0" shrinkToFit="false"/>
      <protection locked="true" hidden="false"/>
    </xf>
    <xf numFmtId="164" fontId="61" fillId="0" borderId="0" xfId="0" applyFont="true" applyBorder="false" applyAlignment="true" applyProtection="false">
      <alignment horizontal="center"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222" fontId="63" fillId="0" borderId="0" xfId="15" applyFont="true" applyBorder="true" applyAlignment="true" applyProtection="true">
      <alignment horizontal="center" vertical="bottom" textRotation="0" wrapText="false" indent="0" shrinkToFit="false"/>
      <protection locked="true" hidden="false"/>
    </xf>
    <xf numFmtId="217" fontId="9" fillId="0" borderId="11" xfId="19" applyFont="true" applyBorder="true" applyAlignment="true" applyProtection="true">
      <alignment horizontal="center" vertical="bottom" textRotation="0" wrapText="false" indent="0" shrinkToFit="false"/>
      <protection locked="true" hidden="false"/>
    </xf>
    <xf numFmtId="223" fontId="0" fillId="0" borderId="12" xfId="15" applyFont="true" applyBorder="true" applyAlignment="true" applyProtection="true">
      <alignment horizontal="general" vertical="bottom" textRotation="0" wrapText="false" indent="0" shrinkToFit="false"/>
      <protection locked="true" hidden="false"/>
    </xf>
    <xf numFmtId="185" fontId="57" fillId="0" borderId="12"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64" fillId="0" borderId="0" xfId="0" applyFont="true" applyBorder="true" applyAlignment="true" applyProtection="false">
      <alignment horizontal="general" vertical="bottom" textRotation="0" wrapText="false" indent="0" shrinkToFit="false"/>
      <protection locked="true" hidden="false"/>
    </xf>
    <xf numFmtId="164" fontId="57" fillId="0" borderId="0" xfId="0" applyFont="true" applyBorder="true" applyAlignment="true" applyProtection="false">
      <alignment horizontal="general" vertical="bottom" textRotation="0" wrapText="false" indent="0" shrinkToFit="false"/>
      <protection locked="true" hidden="false"/>
    </xf>
    <xf numFmtId="164" fontId="61" fillId="0" borderId="11"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false" indent="0" shrinkToFit="false"/>
      <protection locked="true" hidden="false"/>
    </xf>
    <xf numFmtId="215" fontId="0" fillId="0" borderId="0" xfId="0" applyFont="true" applyBorder="true" applyAlignment="true" applyProtection="false">
      <alignment horizontal="general" vertical="bottom" textRotation="0" wrapText="false" indent="0" shrinkToFit="false"/>
      <protection locked="true" hidden="false"/>
    </xf>
    <xf numFmtId="215" fontId="57" fillId="0" borderId="0" xfId="0" applyFont="true" applyBorder="true" applyAlignment="true" applyProtection="false">
      <alignment horizontal="general" vertical="bottom" textRotation="0" wrapText="false" indent="0" shrinkToFit="false"/>
      <protection locked="true" hidden="false"/>
    </xf>
    <xf numFmtId="185" fontId="0" fillId="0" borderId="12" xfId="0" applyFont="true" applyBorder="true" applyAlignment="false" applyProtection="false">
      <alignment horizontal="general" vertical="bottom" textRotation="0" wrapText="false" indent="0" shrinkToFit="false"/>
      <protection locked="true" hidden="false"/>
    </xf>
    <xf numFmtId="164" fontId="61" fillId="2" borderId="0" xfId="0" applyFont="true" applyBorder="false" applyAlignment="false" applyProtection="false">
      <alignment horizontal="general" vertical="bottom" textRotation="0" wrapText="false" indent="0" shrinkToFit="false"/>
      <protection locked="true" hidden="false"/>
    </xf>
    <xf numFmtId="215" fontId="0" fillId="0" borderId="0" xfId="0" applyFont="true" applyBorder="false" applyAlignment="true" applyProtection="false">
      <alignment horizontal="right" vertical="bottom" textRotation="0" wrapText="false" indent="0" shrinkToFit="false"/>
      <protection locked="true" hidden="false"/>
    </xf>
    <xf numFmtId="164" fontId="65" fillId="0" borderId="0" xfId="0" applyFont="true" applyBorder="false" applyAlignment="true" applyProtection="false">
      <alignment horizontal="center" vertical="bottom" textRotation="0" wrapText="false" indent="0" shrinkToFit="false"/>
      <protection locked="true" hidden="false"/>
    </xf>
    <xf numFmtId="164" fontId="61" fillId="0" borderId="0" xfId="0" applyFont="true" applyBorder="false" applyAlignment="true" applyProtection="false">
      <alignment horizontal="center" vertical="bottom" textRotation="0" wrapText="false" indent="0" shrinkToFit="false"/>
      <protection locked="true" hidden="false"/>
    </xf>
    <xf numFmtId="224" fontId="57" fillId="0" borderId="0" xfId="15" applyFont="true" applyBorder="true" applyAlignment="true" applyProtection="true">
      <alignment horizontal="general" vertical="bottom" textRotation="0" wrapText="false" indent="0" shrinkToFit="false"/>
      <protection locked="true" hidden="false"/>
    </xf>
    <xf numFmtId="224" fontId="0" fillId="4" borderId="0" xfId="15" applyFont="true" applyBorder="true" applyAlignment="true" applyProtection="true">
      <alignment horizontal="right"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224" fontId="57" fillId="0" borderId="11" xfId="15" applyFont="true" applyBorder="true" applyAlignment="true" applyProtection="true">
      <alignment horizontal="general" vertical="bottom" textRotation="0" wrapText="false" indent="0" shrinkToFit="false"/>
      <protection locked="true" hidden="false"/>
    </xf>
    <xf numFmtId="224" fontId="57" fillId="4" borderId="11" xfId="15" applyFont="true" applyBorder="true" applyAlignment="true" applyProtection="true">
      <alignment horizontal="right" vertical="bottom" textRotation="0" wrapText="false" indent="0" shrinkToFit="false"/>
      <protection locked="true" hidden="false"/>
    </xf>
    <xf numFmtId="164" fontId="57" fillId="0" borderId="0" xfId="0" applyFont="true" applyBorder="false" applyAlignment="true" applyProtection="false">
      <alignment horizontal="left" vertical="bottom" textRotation="0" wrapText="false" indent="0" shrinkToFit="false"/>
      <protection locked="true" hidden="false"/>
    </xf>
    <xf numFmtId="224" fontId="57" fillId="0" borderId="0" xfId="0" applyFont="true" applyBorder="true" applyAlignment="true" applyProtection="false">
      <alignment horizontal="general" vertical="bottom" textRotation="0" wrapText="false" indent="0" shrinkToFit="false"/>
      <protection locked="true" hidden="false"/>
    </xf>
    <xf numFmtId="224" fontId="0" fillId="4" borderId="0" xfId="0" applyFont="true" applyBorder="true" applyAlignment="true" applyProtection="false">
      <alignment horizontal="right" vertical="bottom" textRotation="0" wrapText="false" indent="0" shrinkToFit="false"/>
      <protection locked="true" hidden="false"/>
    </xf>
    <xf numFmtId="215" fontId="0" fillId="0" borderId="0" xfId="0" applyFont="true" applyBorder="false" applyAlignment="true" applyProtection="false">
      <alignment horizontal="center" vertical="bottom" textRotation="0" wrapText="false" indent="0" shrinkToFit="false"/>
      <protection locked="true" hidden="false"/>
    </xf>
    <xf numFmtId="216" fontId="57" fillId="0" borderId="11" xfId="19" applyFont="true" applyBorder="true" applyAlignment="true" applyProtection="true">
      <alignment horizontal="general" vertical="bottom" textRotation="0" wrapText="false" indent="0" shrinkToFit="false"/>
      <protection locked="true" hidden="false"/>
    </xf>
    <xf numFmtId="224" fontId="0" fillId="4" borderId="0" xfId="15" applyFont="true" applyBorder="true" applyAlignment="true" applyProtection="true">
      <alignment horizontal="general" vertical="bottom" textRotation="0" wrapText="false" indent="0" shrinkToFit="false"/>
      <protection locked="true" hidden="false"/>
    </xf>
    <xf numFmtId="216" fontId="0" fillId="0" borderId="0" xfId="0" applyFont="true" applyBorder="false" applyAlignment="true" applyProtection="false">
      <alignment horizontal="general" vertical="bottom" textRotation="0" wrapText="false" indent="0" shrinkToFit="false"/>
      <protection locked="true" hidden="false"/>
    </xf>
    <xf numFmtId="213" fontId="57" fillId="0" borderId="0" xfId="15" applyFont="true" applyBorder="true" applyAlignment="true" applyProtection="true">
      <alignment horizontal="general" vertical="bottom" textRotation="0" wrapText="false" indent="0" shrinkToFit="false"/>
      <protection locked="true" hidden="false"/>
    </xf>
    <xf numFmtId="215" fontId="62" fillId="0" borderId="0" xfId="0" applyFont="true" applyBorder="false" applyAlignment="true" applyProtection="false">
      <alignment horizontal="general" vertical="bottom" textRotation="0" wrapText="false" indent="0" shrinkToFit="false"/>
      <protection locked="true" hidden="false"/>
    </xf>
    <xf numFmtId="224" fontId="62" fillId="0" borderId="13" xfId="0" applyFont="true" applyBorder="true" applyAlignment="true" applyProtection="false">
      <alignment horizontal="general" vertical="bottom" textRotation="0" wrapText="false" indent="0" shrinkToFit="false"/>
      <protection locked="true" hidden="false"/>
    </xf>
    <xf numFmtId="224" fontId="62" fillId="0" borderId="14" xfId="0" applyFont="true" applyBorder="true" applyAlignment="true" applyProtection="false">
      <alignment horizontal="general" vertical="bottom" textRotation="0" wrapText="false" indent="0" shrinkToFit="false"/>
      <protection locked="true" hidden="false"/>
    </xf>
    <xf numFmtId="224" fontId="0" fillId="0" borderId="0" xfId="0" applyFont="true" applyBorder="false" applyAlignment="true" applyProtection="false">
      <alignment horizontal="general" vertical="bottom" textRotation="0" wrapText="false" indent="0" shrinkToFit="false"/>
      <protection locked="true" hidden="false"/>
    </xf>
    <xf numFmtId="215" fontId="57" fillId="0" borderId="0" xfId="0" applyFont="true" applyBorder="false" applyAlignment="true" applyProtection="false">
      <alignment horizontal="general" vertical="bottom" textRotation="0" wrapText="false" indent="0" shrinkToFit="false"/>
      <protection locked="true" hidden="false"/>
    </xf>
    <xf numFmtId="164" fontId="66" fillId="0" borderId="0" xfId="0" applyFont="true" applyBorder="false" applyAlignment="true" applyProtection="false">
      <alignment horizontal="center" vertical="bottom" textRotation="0" wrapText="false" indent="0" shrinkToFit="false"/>
      <protection locked="true" hidden="false"/>
    </xf>
    <xf numFmtId="224" fontId="64" fillId="0" borderId="0" xfId="0" applyFont="true" applyBorder="false" applyAlignment="true" applyProtection="false">
      <alignment horizontal="center" vertical="bottom" textRotation="0" wrapText="false" indent="0" shrinkToFit="false"/>
      <protection locked="true" hidden="false"/>
    </xf>
    <xf numFmtId="224" fontId="64" fillId="0" borderId="0" xfId="0" applyFont="true" applyBorder="false" applyAlignment="true" applyProtection="false">
      <alignment horizontal="left" vertical="bottom" textRotation="0" wrapText="false" indent="0" shrinkToFit="false"/>
      <protection locked="true" hidden="false"/>
    </xf>
    <xf numFmtId="215" fontId="67" fillId="0" borderId="0" xfId="0" applyFont="true" applyBorder="false" applyAlignment="true" applyProtection="fals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215" fontId="64" fillId="0" borderId="0" xfId="0" applyFont="true" applyBorder="false" applyAlignment="true" applyProtection="false">
      <alignment horizontal="general" vertical="bottom" textRotation="0" wrapText="false" indent="0" shrinkToFit="false"/>
      <protection locked="true" hidden="false"/>
    </xf>
    <xf numFmtId="164" fontId="64" fillId="0" borderId="0" xfId="0" applyFont="true" applyBorder="false" applyAlignment="true" applyProtection="false">
      <alignment horizontal="general" vertical="bottom" textRotation="0" wrapText="false" indent="0" shrinkToFit="false"/>
      <protection locked="true" hidden="false"/>
    </xf>
    <xf numFmtId="224" fontId="64" fillId="0" borderId="5" xfId="15" applyFont="true" applyBorder="true" applyAlignment="true" applyProtection="tru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64" fontId="62" fillId="0" borderId="0" xfId="0" applyFont="true" applyBorder="false" applyAlignment="true" applyProtection="false">
      <alignment horizontal="general" vertical="bottom" textRotation="0" wrapText="false" indent="0" shrinkToFit="false"/>
      <protection locked="true" hidden="false"/>
    </xf>
    <xf numFmtId="224" fontId="63" fillId="0" borderId="0" xfId="15" applyFont="true" applyBorder="true" applyAlignment="true" applyProtection="true">
      <alignment horizontal="general" vertical="bottom" textRotation="0" wrapText="false" indent="0" shrinkToFit="false"/>
      <protection locked="true" hidden="false"/>
    </xf>
    <xf numFmtId="224" fontId="63" fillId="0" borderId="0" xfId="15" applyFont="true" applyBorder="true" applyAlignment="true" applyProtection="true">
      <alignment horizontal="right" vertical="bottom" textRotation="0" wrapText="false" indent="0" shrinkToFit="false"/>
      <protection locked="true" hidden="false"/>
    </xf>
    <xf numFmtId="164" fontId="68" fillId="0" borderId="0" xfId="0" applyFont="true" applyBorder="false" applyAlignment="true" applyProtection="false">
      <alignment horizontal="general" vertical="bottom" textRotation="0" wrapText="false" indent="0" shrinkToFit="false"/>
      <protection locked="true" hidden="false"/>
    </xf>
    <xf numFmtId="224" fontId="0" fillId="0" borderId="11" xfId="15" applyFont="true" applyBorder="true" applyAlignment="true" applyProtection="true">
      <alignment horizontal="general" vertical="bottom" textRotation="0" wrapText="false" indent="0" shrinkToFit="false"/>
      <protection locked="true" hidden="false"/>
    </xf>
    <xf numFmtId="224" fontId="0" fillId="0" borderId="11" xfId="15" applyFont="true" applyBorder="true" applyAlignment="true" applyProtection="true">
      <alignment horizontal="right" vertical="bottom" textRotation="0" wrapText="false" indent="0" shrinkToFit="false"/>
      <protection locked="true" hidden="false"/>
    </xf>
    <xf numFmtId="224" fontId="0" fillId="0" borderId="15" xfId="15" applyFont="true" applyBorder="true" applyAlignment="true" applyProtection="true">
      <alignment horizontal="general" vertical="bottom" textRotation="0" wrapText="false" indent="0" shrinkToFit="false"/>
      <protection locked="true" hidden="false"/>
    </xf>
    <xf numFmtId="224" fontId="0" fillId="0" borderId="15" xfId="15" applyFont="true" applyBorder="true" applyAlignment="true" applyProtection="true">
      <alignment horizontal="right" vertical="bottom" textRotation="0" wrapText="false" indent="0" shrinkToFit="false"/>
      <protection locked="true" hidden="false"/>
    </xf>
    <xf numFmtId="215" fontId="61" fillId="0" borderId="0" xfId="0" applyFont="true" applyBorder="false" applyAlignment="true" applyProtection="false">
      <alignment horizontal="general" vertical="bottom" textRotation="0" wrapText="false" indent="0" shrinkToFit="false"/>
      <protection locked="true" hidden="false"/>
    </xf>
    <xf numFmtId="224" fontId="61" fillId="0" borderId="5" xfId="15" applyFont="true" applyBorder="true" applyAlignment="true" applyProtection="true">
      <alignment horizontal="general" vertical="bottom" textRotation="0" wrapText="false" indent="0" shrinkToFit="false"/>
      <protection locked="true" hidden="false"/>
    </xf>
    <xf numFmtId="224" fontId="64" fillId="4" borderId="5" xfId="15" applyFont="true" applyBorder="true" applyAlignment="true" applyProtection="true">
      <alignment horizontal="general" vertical="bottom" textRotation="0" wrapText="false" indent="0" shrinkToFit="false"/>
      <protection locked="true" hidden="false"/>
    </xf>
    <xf numFmtId="224" fontId="64" fillId="0" borderId="0" xfId="0" applyFont="true" applyBorder="false" applyAlignment="true" applyProtection="false">
      <alignment horizontal="general" vertical="bottom" textRotation="0" wrapText="false" indent="0" shrinkToFit="false"/>
      <protection locked="true" hidden="false"/>
    </xf>
    <xf numFmtId="164" fontId="64" fillId="0" borderId="0" xfId="0" applyFont="true" applyBorder="false" applyAlignment="true" applyProtection="false">
      <alignment horizontal="right" vertical="bottom" textRotation="0" wrapText="false" indent="0" shrinkToFit="false"/>
      <protection locked="true" hidden="false"/>
    </xf>
    <xf numFmtId="187" fontId="61" fillId="0" borderId="0" xfId="0" applyFont="true" applyBorder="false" applyAlignment="tru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224" fontId="0" fillId="0" borderId="0" xfId="15" applyFont="true" applyBorder="true" applyAlignment="true" applyProtection="true">
      <alignment horizontal="general" vertical="bottom" textRotation="0" wrapText="false" indent="0" shrinkToFit="false"/>
      <protection locked="true" hidden="false"/>
    </xf>
    <xf numFmtId="164" fontId="63" fillId="0" borderId="0" xfId="0" applyFont="true" applyBorder="false" applyAlignment="true" applyProtection="false">
      <alignment horizontal="general" vertical="bottom" textRotation="0" wrapText="false" indent="0" shrinkToFit="false"/>
      <protection locked="true" hidden="false"/>
    </xf>
    <xf numFmtId="164" fontId="63" fillId="0" borderId="0" xfId="0" applyFont="true" applyBorder="false" applyAlignment="true" applyProtection="false">
      <alignment horizontal="right" vertical="bottom" textRotation="0" wrapText="false" indent="0" shrinkToFit="false"/>
      <protection locked="true" hidden="false"/>
    </xf>
    <xf numFmtId="187" fontId="0" fillId="0" borderId="0" xfId="0" applyFont="true" applyBorder="false" applyAlignment="true" applyProtection="false">
      <alignment horizontal="general" vertical="bottom" textRotation="0" wrapText="false" indent="0" shrinkToFit="false"/>
      <protection locked="true" hidden="false"/>
    </xf>
    <xf numFmtId="224" fontId="69" fillId="0" borderId="0" xfId="15" applyFont="true" applyBorder="true" applyAlignment="true" applyProtection="true">
      <alignment horizontal="general" vertical="bottom" textRotation="0" wrapText="false" indent="0" shrinkToFit="false"/>
      <protection locked="true" hidden="false"/>
    </xf>
    <xf numFmtId="224" fontId="0" fillId="0" borderId="0" xfId="0" applyFont="false" applyBorder="true" applyAlignment="false" applyProtection="false">
      <alignment horizontal="general" vertical="bottom" textRotation="0" wrapText="false" indent="0" shrinkToFit="false"/>
      <protection locked="true" hidden="false"/>
    </xf>
    <xf numFmtId="224" fontId="0" fillId="4" borderId="11" xfId="0" applyFont="false" applyBorder="true" applyAlignment="false" applyProtection="false">
      <alignment horizontal="general" vertical="bottom" textRotation="0" wrapText="false" indent="0" shrinkToFit="false"/>
      <protection locked="true" hidden="false"/>
    </xf>
    <xf numFmtId="217" fontId="57" fillId="0" borderId="11" xfId="19" applyFont="true" applyBorder="true" applyAlignment="true" applyProtection="true">
      <alignment horizontal="general" vertical="bottom" textRotation="0" wrapText="false" indent="0" shrinkToFit="false"/>
      <protection locked="true" hidden="false"/>
    </xf>
    <xf numFmtId="224" fontId="57" fillId="4" borderId="11" xfId="15" applyFont="true" applyBorder="true" applyAlignment="true" applyProtection="true">
      <alignment horizontal="general" vertical="bottom" textRotation="0" wrapText="false" indent="0" shrinkToFit="false"/>
      <protection locked="true" hidden="false"/>
    </xf>
    <xf numFmtId="224" fontId="63" fillId="0" borderId="13" xfId="15" applyFont="true" applyBorder="true" applyAlignment="true" applyProtection="true">
      <alignment horizontal="general" vertical="bottom" textRotation="0" wrapText="false" indent="0" shrinkToFit="false"/>
      <protection locked="true" hidden="false"/>
    </xf>
    <xf numFmtId="224" fontId="63" fillId="0" borderId="13" xfId="15" applyFont="true" applyBorder="true" applyAlignment="true" applyProtection="true">
      <alignment horizontal="right" vertical="bottom" textRotation="0" wrapText="false" indent="0" shrinkToFit="false"/>
      <protection locked="true" hidden="false"/>
    </xf>
    <xf numFmtId="213" fontId="0" fillId="0" borderId="0" xfId="15" applyFont="true" applyBorder="true" applyAlignment="true" applyProtection="true">
      <alignment horizontal="general" vertical="bottom" textRotation="0" wrapText="false" indent="0" shrinkToFit="false"/>
      <protection locked="true" hidden="false"/>
    </xf>
    <xf numFmtId="164" fontId="61" fillId="2" borderId="0" xfId="0" applyFont="true" applyBorder="false" applyAlignment="true" applyProtection="false">
      <alignment horizontal="general" vertical="bottom" textRotation="0" wrapText="false" indent="0" shrinkToFit="false"/>
      <protection locked="true" hidden="false"/>
    </xf>
    <xf numFmtId="213" fontId="0" fillId="2" borderId="0" xfId="15" applyFont="true" applyBorder="true" applyAlignment="true" applyProtection="true">
      <alignment horizontal="general" vertical="bottom" textRotation="0" wrapText="false" indent="0" shrinkToFit="false"/>
      <protection locked="true" hidden="false"/>
    </xf>
    <xf numFmtId="164" fontId="0" fillId="2" borderId="0" xfId="0" applyFont="true" applyBorder="false" applyAlignment="fals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center" vertical="bottom" textRotation="0" wrapText="false" indent="0" shrinkToFit="false"/>
      <protection locked="true" hidden="false"/>
    </xf>
    <xf numFmtId="213" fontId="57" fillId="4" borderId="11" xfId="15" applyFont="true" applyBorder="true" applyAlignment="true" applyProtection="true">
      <alignment horizontal="general" vertical="bottom" textRotation="0" wrapText="false" indent="0" shrinkToFit="false"/>
      <protection locked="true" hidden="false"/>
    </xf>
    <xf numFmtId="164" fontId="57" fillId="0" borderId="0" xfId="0" applyFont="true" applyBorder="true" applyAlignment="true" applyProtection="false">
      <alignment horizontal="general" vertical="bottom" textRotation="0" wrapText="false" indent="0" shrinkToFit="false"/>
      <protection locked="true" hidden="false"/>
    </xf>
    <xf numFmtId="225" fontId="57" fillId="4" borderId="11"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213" fontId="57" fillId="0" borderId="11" xfId="15" applyFont="true" applyBorder="true" applyAlignment="true" applyProtection="true">
      <alignment horizontal="general" vertical="bottom" textRotation="0" wrapText="false" indent="0" shrinkToFit="false"/>
      <protection locked="true" hidden="false"/>
    </xf>
    <xf numFmtId="164" fontId="0" fillId="0" borderId="11" xfId="0" applyFont="fals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164" fontId="62" fillId="0" borderId="0" xfId="0" applyFont="true" applyBorder="false" applyAlignment="true" applyProtection="false">
      <alignment horizontal="general" vertical="bottom" textRotation="0" wrapText="false" indent="0" shrinkToFit="false"/>
      <protection locked="true" hidden="false"/>
    </xf>
    <xf numFmtId="213" fontId="57" fillId="4" borderId="0" xfId="15" applyFont="true" applyBorder="true" applyAlignment="true" applyProtection="true">
      <alignment horizontal="general" vertical="bottom" textRotation="0" wrapText="false" indent="0" shrinkToFit="false"/>
      <protection locked="true" hidden="false"/>
    </xf>
    <xf numFmtId="164" fontId="57" fillId="0" borderId="0" xfId="0" applyFont="true" applyBorder="false" applyAlignment="true" applyProtection="false">
      <alignment horizontal="general" vertical="bottom" textRotation="0" wrapText="false" indent="0" shrinkToFit="false"/>
      <protection locked="true" hidden="false"/>
    </xf>
    <xf numFmtId="213" fontId="64" fillId="2" borderId="0" xfId="15" applyFont="true" applyBorder="true" applyAlignment="true" applyProtection="true">
      <alignment horizontal="center" vertical="bottom" textRotation="0" wrapText="false" indent="0" shrinkToFit="false"/>
      <protection locked="true" hidden="false"/>
    </xf>
    <xf numFmtId="215" fontId="64" fillId="2" borderId="0" xfId="0" applyFont="true" applyBorder="false" applyAlignment="true" applyProtection="false">
      <alignment horizontal="right" vertical="bottom" textRotation="0" wrapText="false" indent="0" shrinkToFit="false"/>
      <protection locked="true" hidden="false"/>
    </xf>
    <xf numFmtId="215" fontId="62" fillId="0" borderId="0" xfId="0" applyFont="true" applyBorder="false" applyAlignment="true" applyProtection="false">
      <alignment horizontal="left" vertical="bottom" textRotation="0" wrapText="false" indent="0" shrinkToFit="false"/>
      <protection locked="true" hidden="false"/>
    </xf>
    <xf numFmtId="215" fontId="57" fillId="0" borderId="0" xfId="0" applyFont="true" applyBorder="false" applyAlignment="true" applyProtection="false">
      <alignment horizontal="left" vertical="bottom" textRotation="0" wrapText="false" indent="0" shrinkToFit="false"/>
      <protection locked="true" hidden="false"/>
    </xf>
    <xf numFmtId="216" fontId="57" fillId="0" borderId="0" xfId="0" applyFont="true" applyBorder="false" applyAlignment="true" applyProtection="false">
      <alignment horizontal="general" vertical="bottom" textRotation="0" wrapText="false" indent="0" shrinkToFit="false"/>
      <protection locked="true" hidden="false"/>
    </xf>
    <xf numFmtId="215" fontId="57" fillId="0" borderId="0" xfId="0" applyFont="true" applyBorder="false" applyAlignment="true" applyProtection="false">
      <alignment horizontal="right" vertical="bottom" textRotation="0" wrapText="false" indent="0" shrinkToFit="false"/>
      <protection locked="true" hidden="false"/>
    </xf>
    <xf numFmtId="215" fontId="70" fillId="0" borderId="0" xfId="0" applyFont="true" applyBorder="false" applyAlignment="true" applyProtection="false">
      <alignment horizontal="left" vertical="bottom" textRotation="0" wrapText="false" indent="0" shrinkToFit="false"/>
      <protection locked="true" hidden="false"/>
    </xf>
    <xf numFmtId="215" fontId="0" fillId="0" borderId="0" xfId="0" applyFont="false" applyBorder="false" applyAlignment="false" applyProtection="false">
      <alignment horizontal="general" vertical="bottom" textRotation="0" wrapText="false" indent="0" shrinkToFit="false"/>
      <protection locked="true" hidden="false"/>
    </xf>
    <xf numFmtId="215" fontId="57" fillId="5" borderId="0" xfId="0" applyFont="true" applyBorder="false" applyAlignment="true" applyProtection="false">
      <alignment horizontal="left" vertical="bottom" textRotation="0" wrapText="false" indent="0" shrinkToFit="false"/>
      <protection locked="true" hidden="false"/>
    </xf>
    <xf numFmtId="215" fontId="0" fillId="0" borderId="0" xfId="0" applyFont="true" applyBorder="false" applyAlignment="true" applyProtection="false">
      <alignment horizontal="general" vertical="bottom" textRotation="0" wrapText="false" indent="0" shrinkToFit="false"/>
      <protection locked="true" hidden="false"/>
    </xf>
    <xf numFmtId="215" fontId="57" fillId="6" borderId="0" xfId="0" applyFont="true" applyBorder="false" applyAlignment="true" applyProtection="false">
      <alignment horizontal="left" vertical="bottom" textRotation="0" wrapText="false" indent="0" shrinkToFit="false"/>
      <protection locked="true" hidden="false"/>
    </xf>
    <xf numFmtId="215" fontId="57" fillId="7" borderId="0" xfId="0" applyFont="true" applyBorder="false" applyAlignment="true" applyProtection="false">
      <alignment horizontal="left" vertical="bottom" textRotation="0" wrapText="false" indent="0" shrinkToFit="false"/>
      <protection locked="true" hidden="false"/>
    </xf>
    <xf numFmtId="215" fontId="57" fillId="8" borderId="0" xfId="0" applyFont="true" applyBorder="false" applyAlignment="true" applyProtection="false">
      <alignment horizontal="left" vertical="bottom" textRotation="0" wrapText="false" indent="0" shrinkToFit="false"/>
      <protection locked="true" hidden="false"/>
    </xf>
    <xf numFmtId="215" fontId="71" fillId="0" borderId="0" xfId="0" applyFont="true" applyBorder="false" applyAlignment="true" applyProtection="false">
      <alignment horizontal="left" vertical="bottom" textRotation="0" wrapText="false" indent="0" shrinkToFit="false"/>
      <protection locked="true" hidden="false"/>
    </xf>
    <xf numFmtId="215" fontId="0" fillId="0" borderId="0" xfId="0" applyFont="true" applyBorder="false" applyAlignment="true" applyProtection="false">
      <alignment horizontal="center" vertical="bottom" textRotation="0" wrapText="false" indent="0" shrinkToFit="false"/>
      <protection locked="true" hidden="false"/>
    </xf>
    <xf numFmtId="213" fontId="9" fillId="0" borderId="0" xfId="15" applyFont="true" applyBorder="true" applyAlignment="true" applyProtection="true">
      <alignment horizontal="general" vertical="bottom" textRotation="0" wrapText="false" indent="0" shrinkToFit="false"/>
      <protection locked="true" hidden="false"/>
    </xf>
    <xf numFmtId="164" fontId="61" fillId="0" borderId="13" xfId="0" applyFont="true" applyBorder="true" applyAlignment="false" applyProtection="false">
      <alignment horizontal="general" vertical="bottom" textRotation="0" wrapText="false" indent="0" shrinkToFit="false"/>
      <protection locked="true" hidden="false"/>
    </xf>
    <xf numFmtId="164" fontId="61" fillId="0" borderId="0" xfId="0" applyFont="true" applyBorder="true" applyAlignment="false" applyProtection="false">
      <alignment horizontal="general" vertical="bottom" textRotation="0" wrapText="false" indent="0" shrinkToFit="false"/>
      <protection locked="true" hidden="false"/>
    </xf>
    <xf numFmtId="169" fontId="61" fillId="0" borderId="13" xfId="0" applyFont="true" applyBorder="true" applyAlignment="false" applyProtection="false">
      <alignment horizontal="general" vertical="bottom" textRotation="0" wrapText="false" indent="0" shrinkToFit="false"/>
      <protection locked="true" hidden="false"/>
    </xf>
    <xf numFmtId="216" fontId="57" fillId="0" borderId="13" xfId="0" applyFont="true" applyBorder="true" applyAlignment="true" applyProtection="false">
      <alignment horizontal="general" vertical="bottom" textRotation="0" wrapText="false" indent="0" shrinkToFit="false"/>
      <protection locked="true" hidden="false"/>
    </xf>
    <xf numFmtId="215" fontId="57" fillId="0" borderId="13" xfId="0" applyFont="true" applyBorder="true" applyAlignment="true" applyProtection="false">
      <alignment horizontal="right" vertical="bottom" textRotation="0" wrapText="false" indent="0" shrinkToFit="false"/>
      <protection locked="true" hidden="false"/>
    </xf>
    <xf numFmtId="164" fontId="0" fillId="2" borderId="16" xfId="0" applyFont="fals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0" fillId="2" borderId="17" xfId="0" applyFont="false" applyBorder="true" applyAlignment="true" applyProtection="false">
      <alignment horizontal="center" vertical="bottom" textRotation="0" wrapText="false" indent="0" shrinkToFit="false"/>
      <protection locked="true" hidden="false"/>
    </xf>
    <xf numFmtId="221" fontId="0" fillId="2" borderId="17" xfId="0" applyFont="false" applyBorder="true" applyAlignment="true" applyProtection="false">
      <alignment horizontal="center" vertical="bottom" textRotation="0" wrapText="false" indent="0" shrinkToFit="false"/>
      <protection locked="true" hidden="false"/>
    </xf>
    <xf numFmtId="221" fontId="0" fillId="0" borderId="0" xfId="0" applyFont="false" applyBorder="true" applyAlignment="true" applyProtection="false">
      <alignment horizontal="center" vertical="bottom" textRotation="0" wrapText="false" indent="0" shrinkToFit="false"/>
      <protection locked="true" hidden="false"/>
    </xf>
    <xf numFmtId="169" fontId="0" fillId="2" borderId="17" xfId="0" applyFont="false" applyBorder="true" applyAlignment="true" applyProtection="false">
      <alignment horizontal="center" vertical="bottom" textRotation="0" wrapText="false" indent="0" shrinkToFit="false"/>
      <protection locked="true" hidden="false"/>
    </xf>
    <xf numFmtId="169" fontId="0" fillId="0" borderId="0" xfId="0" applyFont="false" applyBorder="true" applyAlignment="true" applyProtection="false">
      <alignment horizontal="center" vertical="bottom" textRotation="0" wrapText="false" indent="0" shrinkToFit="false"/>
      <protection locked="true" hidden="false"/>
    </xf>
    <xf numFmtId="213" fontId="0" fillId="2" borderId="17" xfId="0" applyFont="false" applyBorder="true" applyAlignment="true" applyProtection="false">
      <alignment horizontal="center" vertical="bottom" textRotation="0" wrapText="false" indent="0" shrinkToFit="false"/>
      <protection locked="true" hidden="false"/>
    </xf>
    <xf numFmtId="213" fontId="0" fillId="0" borderId="0" xfId="0" applyFont="false" applyBorder="true" applyAlignment="true" applyProtection="false">
      <alignment horizontal="center" vertical="bottom" textRotation="0" wrapText="false" indent="0" shrinkToFit="false"/>
      <protection locked="true" hidden="false"/>
    </xf>
    <xf numFmtId="215" fontId="0" fillId="2" borderId="17" xfId="0" applyFont="false" applyBorder="true" applyAlignment="true" applyProtection="false">
      <alignment horizontal="center" vertical="bottom" textRotation="0" wrapText="false" indent="0" shrinkToFit="false"/>
      <protection locked="true" hidden="false"/>
    </xf>
    <xf numFmtId="215" fontId="0" fillId="0" borderId="0" xfId="0" applyFont="false" applyBorder="true" applyAlignment="true" applyProtection="false">
      <alignment horizontal="center" vertical="bottom" textRotation="0" wrapText="false" indent="0" shrinkToFit="false"/>
      <protection locked="true" hidden="false"/>
    </xf>
    <xf numFmtId="164" fontId="0" fillId="2" borderId="18" xfId="0" applyFont="fals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0" fillId="2" borderId="16" xfId="0" applyFont="true" applyBorder="true" applyAlignment="true" applyProtection="false">
      <alignment horizontal="center" vertical="bottom" textRotation="0" wrapText="false" indent="0" shrinkToFit="false"/>
      <protection locked="true" hidden="false"/>
    </xf>
    <xf numFmtId="164" fontId="0" fillId="2" borderId="17" xfId="0" applyFont="true" applyBorder="true" applyAlignment="true" applyProtection="false">
      <alignment horizontal="center" vertical="bottom" textRotation="0" wrapText="false" indent="0" shrinkToFit="false"/>
      <protection locked="true" hidden="false"/>
    </xf>
    <xf numFmtId="164" fontId="0" fillId="2" borderId="18" xfId="0" applyFont="true" applyBorder="true" applyAlignment="true" applyProtection="false">
      <alignment horizontal="center" vertical="bottom" textRotation="0" wrapText="false" indent="0" shrinkToFit="false"/>
      <protection locked="true" hidden="false"/>
    </xf>
    <xf numFmtId="164" fontId="62" fillId="0" borderId="0" xfId="0" applyFont="true" applyBorder="false" applyAlignment="true" applyProtection="false">
      <alignment horizontal="right" vertical="bottom" textRotation="0" wrapText="false" indent="0" shrinkToFit="false"/>
      <protection locked="true" hidden="false"/>
    </xf>
    <xf numFmtId="218" fontId="63" fillId="0" borderId="0" xfId="0" applyFont="true" applyBorder="false" applyAlignment="true" applyProtection="false">
      <alignment horizontal="right" vertical="bottom" textRotation="0" wrapText="false" indent="0" shrinkToFit="false"/>
      <protection locked="true" hidden="false"/>
    </xf>
    <xf numFmtId="164" fontId="0" fillId="0" borderId="15" xfId="0" applyFont="true" applyBorder="true" applyAlignment="false" applyProtection="false">
      <alignment horizontal="general" vertical="bottom" textRotation="0" wrapText="false" indent="0" shrinkToFit="false"/>
      <protection locked="true" hidden="false"/>
    </xf>
    <xf numFmtId="164" fontId="62" fillId="0" borderId="0" xfId="0" applyFont="true" applyBorder="false" applyAlignment="true" applyProtection="false">
      <alignment horizontal="center" vertical="bottom" textRotation="0" wrapText="false" indent="0" shrinkToFit="false"/>
      <protection locked="true" hidden="false"/>
    </xf>
    <xf numFmtId="164" fontId="0" fillId="0" borderId="12" xfId="0" applyFont="true" applyBorder="true" applyAlignment="false" applyProtection="false">
      <alignment horizontal="general" vertical="bottom" textRotation="0" wrapText="false" indent="0" shrinkToFit="false"/>
      <protection locked="true" hidden="false"/>
    </xf>
    <xf numFmtId="215" fontId="0" fillId="4" borderId="19" xfId="0" applyFont="true" applyBorder="true" applyAlignment="true" applyProtection="false">
      <alignment horizontal="general" vertical="bottom" textRotation="0" wrapText="false" indent="0" shrinkToFit="false"/>
      <protection locked="true" hidden="false"/>
    </xf>
    <xf numFmtId="215" fontId="0" fillId="6" borderId="19" xfId="0" applyFont="true" applyBorder="true" applyAlignment="tru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fill" vertical="bottom" textRotation="0" wrapText="false" indent="0" shrinkToFit="false"/>
      <protection locked="true" hidden="false"/>
    </xf>
    <xf numFmtId="164" fontId="61" fillId="9" borderId="11" xfId="0" applyFont="true" applyBorder="true" applyAlignment="false" applyProtection="false">
      <alignment horizontal="general" vertical="bottom" textRotation="0" wrapText="false" indent="0" shrinkToFit="false"/>
      <protection locked="true" hidden="false"/>
    </xf>
    <xf numFmtId="164" fontId="0" fillId="0" borderId="11" xfId="0" applyFont="true" applyBorder="true" applyAlignment="true" applyProtection="false">
      <alignment horizontal="right" vertical="bottom" textRotation="0" wrapText="false" indent="0" shrinkToFit="false"/>
      <protection locked="true" hidden="false"/>
    </xf>
    <xf numFmtId="164" fontId="62" fillId="0" borderId="11" xfId="0" applyFont="true" applyBorder="true" applyAlignment="true" applyProtection="false">
      <alignment horizontal="center" vertical="bottom" textRotation="0" wrapText="false" indent="0" shrinkToFit="false"/>
      <protection locked="true" hidden="false"/>
    </xf>
    <xf numFmtId="210" fontId="0" fillId="0" borderId="11" xfId="0" applyFont="true" applyBorder="true" applyAlignment="true" applyProtection="false">
      <alignment horizontal="right" vertical="bottom" textRotation="0" wrapText="false" indent="0" shrinkToFit="false"/>
      <protection locked="true" hidden="false"/>
    </xf>
    <xf numFmtId="221" fontId="57" fillId="0" borderId="11" xfId="0" applyFont="true" applyBorder="true" applyAlignment="true" applyProtection="false">
      <alignment horizontal="general" vertical="bottom" textRotation="0" wrapText="false" indent="0" shrinkToFit="false"/>
      <protection locked="true" hidden="false"/>
    </xf>
    <xf numFmtId="216" fontId="0" fillId="0" borderId="6" xfId="19" applyFont="true" applyBorder="true" applyAlignment="true" applyProtection="true">
      <alignment horizontal="center" vertical="bottom" textRotation="0" wrapText="false" indent="0" shrinkToFit="false"/>
      <protection locked="true" hidden="false"/>
    </xf>
    <xf numFmtId="164" fontId="76" fillId="0" borderId="7" xfId="0" applyFont="true" applyBorder="true" applyAlignment="true" applyProtection="false">
      <alignment horizontal="general" vertical="bottom" textRotation="0" wrapText="false" indent="0" shrinkToFit="false"/>
      <protection locked="true" hidden="false"/>
    </xf>
    <xf numFmtId="164" fontId="0" fillId="0" borderId="8" xfId="0" applyFont="true" applyBorder="true" applyAlignment="false" applyProtection="false">
      <alignment horizontal="general" vertical="bottom" textRotation="0" wrapText="false" indent="0" shrinkToFit="false"/>
      <protection locked="true" hidden="false"/>
    </xf>
    <xf numFmtId="226" fontId="57" fillId="0" borderId="11" xfId="0" applyFont="true" applyBorder="true" applyAlignment="true" applyProtection="false">
      <alignment horizontal="general" vertical="bottom" textRotation="0" wrapText="false" indent="0" shrinkToFit="false"/>
      <protection locked="true" hidden="false"/>
    </xf>
    <xf numFmtId="217" fontId="57" fillId="0" borderId="20" xfId="19" applyFont="true" applyBorder="true" applyAlignment="true" applyProtection="true">
      <alignment horizontal="center" vertical="bottom" textRotation="0" wrapText="false" indent="0" shrinkToFit="false"/>
      <protection locked="true" hidden="false"/>
    </xf>
    <xf numFmtId="164" fontId="0" fillId="0" borderId="21" xfId="0" applyFont="true" applyBorder="true" applyAlignment="false" applyProtection="false">
      <alignment horizontal="general" vertical="bottom" textRotation="0" wrapText="false" indent="0" shrinkToFit="false"/>
      <protection locked="true" hidden="false"/>
    </xf>
    <xf numFmtId="164" fontId="0" fillId="0" borderId="9" xfId="0" applyFont="false" applyBorder="true" applyAlignment="true" applyProtection="false">
      <alignment horizontal="center" vertical="bottom" textRotation="0" wrapText="false" indent="0" shrinkToFit="false"/>
      <protection locked="true" hidden="false"/>
    </xf>
    <xf numFmtId="215" fontId="0" fillId="0" borderId="4" xfId="0" applyFont="true" applyBorder="true" applyAlignment="true" applyProtection="false">
      <alignment horizontal="general" vertical="bottom" textRotation="0" wrapText="false" indent="0" shrinkToFit="false"/>
      <protection locked="true" hidden="false"/>
    </xf>
    <xf numFmtId="164" fontId="0" fillId="0" borderId="10" xfId="0" applyFont="true" applyBorder="true" applyAlignment="false" applyProtection="false">
      <alignment horizontal="general" vertical="bottom" textRotation="0" wrapText="false" indent="0" shrinkToFit="false"/>
      <protection locked="true" hidden="false"/>
    </xf>
    <xf numFmtId="226" fontId="57" fillId="0" borderId="0" xfId="0" applyFont="true" applyBorder="true" applyAlignment="true" applyProtection="false">
      <alignment horizontal="general" vertical="bottom" textRotation="0" wrapText="false" indent="0" shrinkToFit="false"/>
      <protection locked="true" hidden="false"/>
    </xf>
    <xf numFmtId="227" fontId="62"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2" fillId="2" borderId="0" xfId="0" applyFont="true" applyBorder="false" applyAlignment="true" applyProtection="false">
      <alignment horizontal="center" vertical="bottom" textRotation="0" wrapText="false" indent="0" shrinkToFit="false"/>
      <protection locked="true" hidden="false"/>
    </xf>
    <xf numFmtId="164" fontId="77" fillId="0" borderId="0" xfId="0" applyFont="true" applyBorder="false" applyAlignment="true" applyProtection="false">
      <alignment horizontal="general" vertical="bottom" textRotation="0" wrapText="false" indent="0" shrinkToFit="false"/>
      <protection locked="true" hidden="false"/>
    </xf>
    <xf numFmtId="164" fontId="64" fillId="2" borderId="0" xfId="0" applyFont="true" applyBorder="false" applyAlignment="true" applyProtection="false">
      <alignment horizontal="right" vertical="bottom" textRotation="0" wrapText="false" indent="0" shrinkToFit="false"/>
      <protection locked="true" hidden="false"/>
    </xf>
    <xf numFmtId="164" fontId="78" fillId="0" borderId="0" xfId="0" applyFont="true" applyBorder="false" applyAlignment="true" applyProtection="false">
      <alignment horizontal="center" vertical="bottom" textRotation="0" wrapText="false" indent="0" shrinkToFit="false"/>
      <protection locked="true" hidden="false"/>
    </xf>
    <xf numFmtId="164" fontId="78" fillId="0" borderId="0" xfId="0" applyFont="true" applyBorder="false" applyAlignment="true" applyProtection="false">
      <alignment horizontal="center" vertical="bottom" textRotation="0" wrapText="false" indent="0" shrinkToFit="false"/>
      <protection locked="true" hidden="false"/>
    </xf>
    <xf numFmtId="224" fontId="61" fillId="0" borderId="0" xfId="15" applyFont="true" applyBorder="true" applyAlignment="true" applyProtection="true">
      <alignment horizontal="general" vertical="bottom" textRotation="0" wrapText="false" indent="0" shrinkToFit="false"/>
      <protection locked="true" hidden="false"/>
    </xf>
    <xf numFmtId="169" fontId="61" fillId="4" borderId="11" xfId="0" applyFont="true" applyBorder="true" applyAlignment="false" applyProtection="false">
      <alignment horizontal="general" vertical="bottom" textRotation="0" wrapText="false" indent="0" shrinkToFit="false"/>
      <protection locked="true" hidden="false"/>
    </xf>
    <xf numFmtId="213" fontId="57" fillId="0" borderId="0" xfId="0" applyFont="true" applyBorder="false" applyAlignment="true" applyProtection="false">
      <alignment horizontal="general" vertical="bottom" textRotation="0" wrapText="false" indent="0" shrinkToFit="false"/>
      <protection locked="true" hidden="false"/>
    </xf>
    <xf numFmtId="164" fontId="61" fillId="2" borderId="11" xfId="0" applyFont="true" applyBorder="true" applyAlignment="true" applyProtection="false">
      <alignment horizontal="center" vertical="bottom" textRotation="0" wrapText="false" indent="0" shrinkToFit="false"/>
      <protection locked="true" hidden="false"/>
    </xf>
    <xf numFmtId="164" fontId="61" fillId="2" borderId="22" xfId="0" applyFont="true" applyBorder="true" applyAlignment="true" applyProtection="false">
      <alignment horizontal="center" vertical="bottom" textRotation="0" wrapText="false" indent="0" shrinkToFit="false"/>
      <protection locked="true" hidden="false"/>
    </xf>
    <xf numFmtId="164" fontId="61" fillId="2" borderId="2" xfId="0" applyFont="true" applyBorder="true" applyAlignment="true" applyProtection="false">
      <alignment horizontal="center" vertical="bottom" textRotation="0" wrapText="false" indent="0" shrinkToFit="false"/>
      <protection locked="true" hidden="false"/>
    </xf>
    <xf numFmtId="223" fontId="57" fillId="0" borderId="11" xfId="15" applyFont="true" applyBorder="true" applyAlignment="true" applyProtection="true">
      <alignment horizontal="general" vertical="bottom" textRotation="0" wrapText="false" indent="0" shrinkToFit="false"/>
      <protection locked="true" hidden="false"/>
    </xf>
    <xf numFmtId="164" fontId="0" fillId="0" borderId="11" xfId="0" applyFont="true" applyBorder="true" applyAlignment="true" applyProtection="false">
      <alignment horizontal="right" vertical="bottom" textRotation="0" wrapText="false" indent="0" shrinkToFit="false"/>
      <protection locked="true" hidden="false"/>
    </xf>
    <xf numFmtId="215" fontId="0" fillId="0" borderId="11" xfId="0" applyFont="true" applyBorder="true" applyAlignment="true" applyProtection="false">
      <alignment horizontal="general" vertical="bottom" textRotation="0" wrapText="false" indent="0" shrinkToFit="false"/>
      <protection locked="true" hidden="false"/>
    </xf>
    <xf numFmtId="164" fontId="0" fillId="0" borderId="11" xfId="0" applyFont="true" applyBorder="true" applyAlignment="false" applyProtection="false">
      <alignment horizontal="general" vertical="bottom" textRotation="0" wrapText="false" indent="0" shrinkToFit="false"/>
      <protection locked="true" hidden="false"/>
    </xf>
    <xf numFmtId="164" fontId="57" fillId="0" borderId="11" xfId="0" applyFont="true" applyBorder="true" applyAlignment="true" applyProtection="false">
      <alignment horizontal="general" vertical="bottom" textRotation="0" wrapText="false" indent="0" shrinkToFit="false"/>
      <protection locked="true" hidden="false"/>
    </xf>
    <xf numFmtId="164" fontId="0" fillId="0" borderId="11" xfId="0" applyFont="true" applyBorder="true" applyAlignment="true" applyProtection="false">
      <alignment horizontal="general" vertical="bottom" textRotation="0" wrapText="false" indent="0" shrinkToFit="false"/>
      <protection locked="true" hidden="false"/>
    </xf>
    <xf numFmtId="164" fontId="79" fillId="0" borderId="0" xfId="0" applyFont="true" applyBorder="false" applyAlignment="true" applyProtection="false">
      <alignment horizontal="general" vertical="bottom" textRotation="0" wrapText="false" indent="0" shrinkToFit="false"/>
      <protection locked="true" hidden="false"/>
    </xf>
    <xf numFmtId="215" fontId="79" fillId="0" borderId="0" xfId="0" applyFont="true" applyBorder="false" applyAlignment="true" applyProtection="false">
      <alignment horizontal="general" vertical="bottom" textRotation="0" wrapText="false" indent="0" shrinkToFit="false"/>
      <protection locked="true" hidden="false"/>
    </xf>
    <xf numFmtId="164" fontId="61" fillId="0" borderId="0" xfId="0" applyFont="true" applyBorder="false" applyAlignment="true" applyProtection="false">
      <alignment horizontal="general" vertical="bottom" textRotation="0" wrapText="false" indent="0" shrinkToFit="false"/>
      <protection locked="true" hidden="false"/>
    </xf>
    <xf numFmtId="223" fontId="64" fillId="4" borderId="5" xfId="15" applyFont="true" applyBorder="true" applyAlignment="true" applyProtection="true">
      <alignment horizontal="general" vertical="bottom" textRotation="0" wrapText="false" indent="0" shrinkToFit="false"/>
      <protection locked="true" hidden="false"/>
    </xf>
    <xf numFmtId="164" fontId="62" fillId="0" borderId="0" xfId="0" applyFont="true" applyBorder="false" applyAlignment="true" applyProtection="false">
      <alignment horizontal="right" vertical="bottom" textRotation="0" wrapText="false" indent="0" shrinkToFit="false"/>
      <protection locked="true" hidden="false"/>
    </xf>
    <xf numFmtId="223" fontId="61" fillId="0" borderId="0" xfId="15" applyFont="true" applyBorder="true" applyAlignment="true" applyProtection="true">
      <alignment horizontal="general" vertical="bottom" textRotation="0" wrapText="false" indent="0" shrinkToFit="false"/>
      <protection locked="true" hidden="false"/>
    </xf>
    <xf numFmtId="164" fontId="80" fillId="0" borderId="23" xfId="0" applyFont="true" applyBorder="true" applyAlignment="true" applyProtection="false">
      <alignment horizontal="left" vertical="bottom" textRotation="0" wrapText="false" indent="0" shrinkToFit="false"/>
      <protection locked="true" hidden="false"/>
    </xf>
    <xf numFmtId="164" fontId="0" fillId="0" borderId="24" xfId="0" applyFont="true" applyBorder="true" applyAlignment="false" applyProtection="false">
      <alignment horizontal="general" vertical="bottom" textRotation="0" wrapText="false" indent="0" shrinkToFit="false"/>
      <protection locked="true" hidden="false"/>
    </xf>
    <xf numFmtId="182" fontId="0" fillId="0" borderId="24" xfId="0" applyFont="true" applyBorder="true" applyAlignment="false" applyProtection="false">
      <alignment horizontal="general" vertical="bottom" textRotation="0" wrapText="false" indent="0" shrinkToFit="false"/>
      <protection locked="true" hidden="false"/>
    </xf>
    <xf numFmtId="164" fontId="81" fillId="0" borderId="24" xfId="0" applyFont="true" applyBorder="true" applyAlignment="true" applyProtection="false">
      <alignment horizontal="left" vertical="bottom" textRotation="0" wrapText="false" indent="0" shrinkToFit="false"/>
      <protection locked="true" hidden="false"/>
    </xf>
    <xf numFmtId="164" fontId="65" fillId="0" borderId="24" xfId="0" applyFont="true" applyBorder="true" applyAlignment="true" applyProtection="false">
      <alignment horizontal="center" vertical="bottom" textRotation="0" wrapText="false" indent="0" shrinkToFit="false"/>
      <protection locked="true" hidden="false"/>
    </xf>
    <xf numFmtId="164" fontId="80" fillId="0" borderId="24" xfId="0" applyFont="true" applyBorder="true" applyAlignment="true" applyProtection="false">
      <alignment horizontal="general" vertical="bottom" textRotation="0" wrapText="false" indent="0" shrinkToFit="false"/>
      <protection locked="true" hidden="false"/>
    </xf>
    <xf numFmtId="164" fontId="0" fillId="0" borderId="24" xfId="0" applyFont="true" applyBorder="true" applyAlignment="true" applyProtection="false">
      <alignment horizontal="general" vertical="bottom" textRotation="0" wrapText="false" indent="0" shrinkToFit="false"/>
      <protection locked="true" hidden="false"/>
    </xf>
    <xf numFmtId="164" fontId="57" fillId="0" borderId="24" xfId="0" applyFont="true" applyBorder="true" applyAlignment="true" applyProtection="false">
      <alignment horizontal="general" vertical="bottom" textRotation="0" wrapText="false" indent="0" shrinkToFit="false"/>
      <protection locked="true" hidden="false"/>
    </xf>
    <xf numFmtId="164" fontId="57" fillId="0" borderId="25" xfId="0" applyFont="true" applyBorder="true" applyAlignment="true" applyProtection="false">
      <alignment horizontal="general" vertical="bottom" textRotation="0" wrapText="false" indent="0" shrinkToFit="false"/>
      <protection locked="true" hidden="false"/>
    </xf>
    <xf numFmtId="164" fontId="0" fillId="0" borderId="26" xfId="0" applyFont="true" applyBorder="true" applyAlignment="false" applyProtection="false">
      <alignment horizontal="general" vertical="bottom" textRotation="0" wrapText="false" indent="0" shrinkToFit="false"/>
      <protection locked="true" hidden="false"/>
    </xf>
    <xf numFmtId="182" fontId="0" fillId="0" borderId="0" xfId="0" applyFont="true" applyBorder="true" applyAlignment="false" applyProtection="false">
      <alignment horizontal="general" vertical="bottom" textRotation="0" wrapText="false" indent="0" shrinkToFit="false"/>
      <protection locked="true" hidden="false"/>
    </xf>
    <xf numFmtId="213" fontId="63" fillId="0" borderId="11" xfId="15" applyFont="true" applyBorder="true" applyAlignment="true" applyProtection="true">
      <alignment horizontal="general" vertical="bottom" textRotation="0" wrapText="false" indent="0" shrinkToFit="false"/>
      <protection locked="true" hidden="false"/>
    </xf>
    <xf numFmtId="164" fontId="0" fillId="0" borderId="11" xfId="0" applyFont="false" applyBorder="true" applyAlignment="true" applyProtection="false">
      <alignment horizontal="general" vertical="bottom" textRotation="0" wrapText="true" indent="0" shrinkToFit="false"/>
      <protection locked="true" hidden="false"/>
    </xf>
    <xf numFmtId="226" fontId="57" fillId="0" borderId="27" xfId="0" applyFont="true" applyBorder="true" applyAlignment="true" applyProtection="false">
      <alignment horizontal="general" vertical="bottom" textRotation="0" wrapText="false" indent="0" shrinkToFit="false"/>
      <protection locked="true" hidden="false"/>
    </xf>
    <xf numFmtId="164" fontId="0" fillId="0" borderId="26"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right" vertical="bottom" textRotation="0" wrapText="false" indent="0" shrinkToFit="false"/>
      <protection locked="true" hidden="false"/>
    </xf>
    <xf numFmtId="216" fontId="69" fillId="0" borderId="11" xfId="19" applyFont="true" applyBorder="true" applyAlignment="true" applyProtection="true">
      <alignment horizontal="general" vertical="bottom" textRotation="0" wrapText="false" indent="0" shrinkToFit="false"/>
      <protection locked="true" hidden="false"/>
    </xf>
    <xf numFmtId="164" fontId="57" fillId="0" borderId="27" xfId="0" applyFont="true" applyBorder="true" applyAlignment="true" applyProtection="false">
      <alignment horizontal="general" vertical="bottom" textRotation="0" wrapText="false" indent="0" shrinkToFit="false"/>
      <protection locked="true" hidden="false"/>
    </xf>
    <xf numFmtId="223" fontId="64" fillId="0" borderId="0" xfId="15" applyFont="true" applyBorder="true" applyAlignment="true" applyProtection="true">
      <alignment horizontal="general" vertical="bottom" textRotation="0" wrapText="false" indent="0" shrinkToFit="false"/>
      <protection locked="true" hidden="false"/>
    </xf>
    <xf numFmtId="228" fontId="57" fillId="0" borderId="26" xfId="0" applyFont="true" applyBorder="true" applyAlignment="true" applyProtection="false">
      <alignment horizontal="general" vertical="bottom" textRotation="0" wrapText="false" indent="0" shrinkToFit="false"/>
      <protection locked="true" hidden="false"/>
    </xf>
    <xf numFmtId="228" fontId="57" fillId="0" borderId="11"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false" indent="0" shrinkToFit="false"/>
      <protection locked="true" hidden="false"/>
    </xf>
    <xf numFmtId="164" fontId="57" fillId="0" borderId="27" xfId="0" applyFont="true" applyBorder="true" applyAlignment="tru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general" vertical="bottom" textRotation="0" wrapText="false" indent="0" shrinkToFit="false"/>
      <protection locked="true" hidden="false"/>
    </xf>
    <xf numFmtId="224" fontId="82" fillId="4" borderId="0" xfId="15" applyFont="true" applyBorder="true" applyAlignment="true" applyProtection="true">
      <alignment horizontal="general" vertical="bottom" textRotation="0" wrapText="false" indent="0" shrinkToFit="false"/>
      <protection locked="true" hidden="false"/>
    </xf>
    <xf numFmtId="228" fontId="0" fillId="0" borderId="11" xfId="0" applyFont="true" applyBorder="true" applyAlignment="true" applyProtection="false">
      <alignment horizontal="general" vertical="bottom" textRotation="0" wrapText="false" indent="0" shrinkToFit="false"/>
      <protection locked="true" hidden="false"/>
    </xf>
    <xf numFmtId="216" fontId="61" fillId="0" borderId="0" xfId="19" applyFont="true" applyBorder="true" applyAlignment="true" applyProtection="true">
      <alignment horizontal="general" vertical="bottom" textRotation="0" wrapText="false" indent="0" shrinkToFit="false"/>
      <protection locked="true" hidden="false"/>
    </xf>
    <xf numFmtId="215" fontId="0" fillId="0" borderId="0" xfId="0" applyFont="true" applyBorder="false" applyAlignment="true" applyProtection="false">
      <alignment horizontal="right"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224" fontId="69" fillId="4" borderId="0" xfId="15" applyFont="true" applyBorder="true" applyAlignment="true" applyProtection="true">
      <alignment horizontal="general" vertical="bottom" textRotation="0" wrapText="false" indent="0" shrinkToFit="false"/>
      <protection locked="true" hidden="false"/>
    </xf>
    <xf numFmtId="223" fontId="69" fillId="4" borderId="0" xfId="15" applyFont="true" applyBorder="true" applyAlignment="true" applyProtection="true">
      <alignment horizontal="general" vertical="bottom" textRotation="0" wrapText="false" indent="0" shrinkToFit="false"/>
      <protection locked="true" hidden="false"/>
    </xf>
    <xf numFmtId="224" fontId="61" fillId="0" borderId="13" xfId="15" applyFont="true" applyBorder="true" applyAlignment="true" applyProtection="true">
      <alignment horizontal="general" vertical="bottom" textRotation="0" wrapText="false" indent="0" shrinkToFit="false"/>
      <protection locked="true" hidden="false"/>
    </xf>
    <xf numFmtId="223" fontId="64" fillId="0" borderId="13" xfId="15" applyFont="true" applyBorder="true" applyAlignment="true" applyProtection="true">
      <alignment horizontal="general" vertical="bottom" textRotation="0" wrapText="false" indent="0" shrinkToFit="false"/>
      <protection locked="true" hidden="false"/>
    </xf>
    <xf numFmtId="217" fontId="0" fillId="0" borderId="28" xfId="19" applyFont="true" applyBorder="true" applyAlignment="true" applyProtection="true">
      <alignment horizontal="right" vertical="bottom" textRotation="0" wrapText="false" indent="0" shrinkToFit="false"/>
      <protection locked="true" hidden="false"/>
    </xf>
    <xf numFmtId="164" fontId="0" fillId="0" borderId="14" xfId="0" applyFont="true" applyBorder="true" applyAlignment="true" applyProtection="false">
      <alignment horizontal="general" vertical="bottom" textRotation="0" wrapText="false" indent="0" shrinkToFit="false"/>
      <protection locked="true" hidden="false"/>
    </xf>
    <xf numFmtId="164" fontId="0" fillId="0" borderId="14" xfId="0" applyFont="true" applyBorder="true" applyAlignment="false" applyProtection="false">
      <alignment horizontal="general" vertical="bottom" textRotation="0" wrapText="false" indent="0" shrinkToFit="false"/>
      <protection locked="true" hidden="false"/>
    </xf>
    <xf numFmtId="164" fontId="57" fillId="0" borderId="14" xfId="0" applyFont="true" applyBorder="true" applyAlignment="true" applyProtection="false">
      <alignment horizontal="general" vertical="bottom" textRotation="0" wrapText="false" indent="0" shrinkToFit="false"/>
      <protection locked="true" hidden="false"/>
    </xf>
    <xf numFmtId="164" fontId="0" fillId="0" borderId="14" xfId="0" applyFont="true" applyBorder="true" applyAlignment="false" applyProtection="false">
      <alignment horizontal="general" vertical="bottom" textRotation="0" wrapText="false" indent="0" shrinkToFit="false"/>
      <protection locked="true" hidden="false"/>
    </xf>
    <xf numFmtId="164" fontId="57" fillId="0" borderId="14" xfId="0" applyFont="true" applyBorder="true" applyAlignment="true" applyProtection="false">
      <alignment horizontal="general" vertical="bottom" textRotation="0" wrapText="false" indent="0" shrinkToFit="false"/>
      <protection locked="true" hidden="false"/>
    </xf>
    <xf numFmtId="164" fontId="57" fillId="0" borderId="29" xfId="0" applyFont="true" applyBorder="true" applyAlignment="true" applyProtection="false">
      <alignment horizontal="general" vertical="bottom" textRotation="0" wrapText="false" indent="0" shrinkToFit="false"/>
      <protection locked="true" hidden="false"/>
    </xf>
    <xf numFmtId="215" fontId="9" fillId="0" borderId="0" xfId="0" applyFont="true" applyBorder="false" applyAlignment="true" applyProtection="false">
      <alignment horizontal="general" vertical="bottom" textRotation="0" wrapText="false" indent="0" shrinkToFit="false"/>
      <protection locked="true" hidden="false"/>
    </xf>
    <xf numFmtId="223" fontId="57" fillId="4" borderId="11" xfId="15" applyFont="true" applyBorder="true" applyAlignment="true" applyProtection="true">
      <alignment horizontal="general" vertical="bottom" textRotation="0" wrapText="false" indent="0" shrinkToFit="false"/>
      <protection locked="true" hidden="false"/>
    </xf>
    <xf numFmtId="213" fontId="82" fillId="0" borderId="0" xfId="15" applyFont="true" applyBorder="true" applyAlignment="true" applyProtection="true">
      <alignment horizontal="general" vertical="bottom" textRotation="0" wrapText="false" indent="0" shrinkToFit="false"/>
      <protection locked="true" hidden="false"/>
    </xf>
    <xf numFmtId="164" fontId="82" fillId="0" borderId="0" xfId="0" applyFont="true" applyBorder="false" applyAlignment="false" applyProtection="false">
      <alignment horizontal="general" vertical="bottom" textRotation="0" wrapText="false" indent="0" shrinkToFit="false"/>
      <protection locked="true" hidden="false"/>
    </xf>
    <xf numFmtId="228" fontId="0" fillId="4" borderId="11" xfId="0" applyFont="true" applyBorder="true" applyAlignment="true" applyProtection="false">
      <alignment horizontal="right" vertical="bottom" textRotation="0" wrapText="false" indent="0" shrinkToFit="false"/>
      <protection locked="true" hidden="false"/>
    </xf>
    <xf numFmtId="223" fontId="57" fillId="6" borderId="11" xfId="15" applyFont="true" applyBorder="true" applyAlignment="true" applyProtection="true">
      <alignment horizontal="general" vertical="bottom" textRotation="0" wrapText="false" indent="0" shrinkToFit="false"/>
      <protection locked="true" hidden="false"/>
    </xf>
    <xf numFmtId="216" fontId="9" fillId="0" borderId="11" xfId="19" applyFont="true" applyBorder="true" applyAlignment="true" applyProtection="true">
      <alignment horizontal="center" vertical="bottom" textRotation="0" wrapText="false" indent="0" shrinkToFit="false"/>
      <protection locked="true" hidden="false"/>
    </xf>
    <xf numFmtId="213" fontId="61" fillId="0" borderId="0" xfId="0" applyFont="true" applyBorder="false" applyAlignment="true" applyProtection="false">
      <alignment horizontal="center" vertical="bottom" textRotation="0" wrapText="false" indent="0" shrinkToFit="false"/>
      <protection locked="true" hidden="false"/>
    </xf>
    <xf numFmtId="223" fontId="69" fillId="4" borderId="11" xfId="15" applyFont="true" applyBorder="true" applyAlignment="true" applyProtection="true">
      <alignment horizontal="general" vertical="bottom" textRotation="0" wrapText="false" indent="0" shrinkToFit="false"/>
      <protection locked="true" hidden="false"/>
    </xf>
    <xf numFmtId="223" fontId="61" fillId="0" borderId="5" xfId="15" applyFont="true" applyBorder="true" applyAlignment="true" applyProtection="true">
      <alignment horizontal="general" vertical="bottom" textRotation="0" wrapText="false" indent="0" shrinkToFit="false"/>
      <protection locked="true" hidden="false"/>
    </xf>
    <xf numFmtId="224" fontId="61" fillId="0" borderId="14" xfId="15" applyFont="true" applyBorder="true" applyAlignment="true" applyProtection="true">
      <alignment horizontal="general" vertical="bottom" textRotation="0" wrapText="false" indent="0" shrinkToFit="false"/>
      <protection locked="true" hidden="false"/>
    </xf>
    <xf numFmtId="223" fontId="61" fillId="0" borderId="14"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224" fontId="57" fillId="0" borderId="0" xfId="0" applyFont="true" applyBorder="false" applyAlignment="true" applyProtection="false">
      <alignment horizontal="general" vertical="bottom" textRotation="0" wrapText="false" indent="0" shrinkToFit="false"/>
      <protection locked="true" hidden="false"/>
    </xf>
    <xf numFmtId="215" fontId="0" fillId="0" borderId="0" xfId="0" applyFont="true" applyBorder="true" applyAlignment="true" applyProtection="false">
      <alignment horizontal="general" vertical="bottom" textRotation="0" wrapText="false" indent="0" shrinkToFit="false"/>
      <protection locked="true" hidden="false"/>
    </xf>
    <xf numFmtId="216" fontId="0" fillId="0" borderId="0" xfId="0" applyFont="true" applyBorder="true" applyAlignment="true" applyProtection="false">
      <alignment horizontal="general" vertical="bottom" textRotation="0" wrapText="false" indent="0" shrinkToFit="false"/>
      <protection locked="true" hidden="false"/>
    </xf>
    <xf numFmtId="216" fontId="0" fillId="0" borderId="0" xfId="19" applyFont="true" applyBorder="true" applyAlignment="true" applyProtection="true">
      <alignment horizontal="general" vertical="bottom" textRotation="0" wrapText="false" indent="0" shrinkToFit="false"/>
      <protection locked="true" hidden="false"/>
    </xf>
    <xf numFmtId="164" fontId="61" fillId="0" borderId="0" xfId="0" applyFont="true" applyBorder="false" applyAlignment="true" applyProtection="false">
      <alignment horizontal="right" vertical="bottom" textRotation="0" wrapText="false" indent="0" shrinkToFit="false"/>
      <protection locked="true" hidden="false"/>
    </xf>
    <xf numFmtId="164" fontId="61" fillId="0" borderId="0" xfId="0" applyFont="true" applyBorder="false" applyAlignment="true" applyProtection="false">
      <alignment horizontal="right" vertical="bottom" textRotation="0" wrapText="false" indent="0" shrinkToFit="false"/>
      <protection locked="true" hidden="false"/>
    </xf>
    <xf numFmtId="216" fontId="63" fillId="0" borderId="11" xfId="19" applyFont="true" applyBorder="true" applyAlignment="true" applyProtection="true">
      <alignment horizontal="general" vertical="bottom" textRotation="0" wrapText="false" indent="0" shrinkToFit="false"/>
      <protection locked="true" hidden="false"/>
    </xf>
    <xf numFmtId="216" fontId="0" fillId="0" borderId="11" xfId="19" applyFont="true" applyBorder="true" applyAlignment="true" applyProtection="true">
      <alignment horizontal="general" vertical="bottom" textRotation="0" wrapText="false" indent="0" shrinkToFit="false"/>
      <protection locked="true" hidden="false"/>
    </xf>
    <xf numFmtId="216" fontId="57" fillId="0" borderId="0" xfId="19" applyFont="true" applyBorder="true" applyAlignment="true" applyProtection="true">
      <alignment horizontal="general" vertical="bottom" textRotation="0" wrapText="false" indent="0" shrinkToFit="false"/>
      <protection locked="true" hidden="false"/>
    </xf>
    <xf numFmtId="216" fontId="0" fillId="0" borderId="0" xfId="0" applyFont="true" applyBorder="false" applyAlignment="true" applyProtection="false">
      <alignment horizontal="general" vertical="bottom" textRotation="0" wrapText="false" indent="0" shrinkToFit="false"/>
      <protection locked="true" hidden="false"/>
    </xf>
    <xf numFmtId="217" fontId="0" fillId="0" borderId="11" xfId="19"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216" fontId="62" fillId="0" borderId="0" xfId="0" applyFont="true" applyBorder="false" applyAlignment="true" applyProtection="false">
      <alignment horizontal="center" vertical="bottom" textRotation="0" wrapText="false" indent="0" shrinkToFit="false"/>
      <protection locked="true" hidden="false"/>
    </xf>
    <xf numFmtId="213" fontId="61" fillId="2" borderId="6" xfId="15" applyFont="true" applyBorder="true" applyAlignment="true" applyProtection="true">
      <alignment horizontal="general" vertical="bottom" textRotation="0" wrapText="false" indent="0" shrinkToFit="false"/>
      <protection locked="true" hidden="false"/>
    </xf>
    <xf numFmtId="213" fontId="61" fillId="2" borderId="7" xfId="15" applyFont="true" applyBorder="true" applyAlignment="true" applyProtection="true">
      <alignment horizontal="general" vertical="bottom" textRotation="0" wrapText="false" indent="0" shrinkToFit="false"/>
      <protection locked="true" hidden="false"/>
    </xf>
    <xf numFmtId="213" fontId="61" fillId="2" borderId="8" xfId="15" applyFont="true" applyBorder="true" applyAlignment="true" applyProtection="true">
      <alignment horizontal="general" vertical="bottom" textRotation="0" wrapText="false" indent="0" shrinkToFit="false"/>
      <protection locked="true" hidden="false"/>
    </xf>
    <xf numFmtId="164" fontId="65" fillId="0" borderId="0" xfId="0" applyFont="true" applyBorder="false" applyAlignment="tru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4" fontId="80" fillId="0" borderId="0" xfId="0" applyFont="true" applyBorder="false" applyAlignment="true" applyProtection="false">
      <alignment horizontal="general" vertical="bottom" textRotation="0" wrapText="false" indent="0" shrinkToFit="false"/>
      <protection locked="true" hidden="false"/>
    </xf>
    <xf numFmtId="229" fontId="19" fillId="0" borderId="11" xfId="15" applyFont="true" applyBorder="true" applyAlignment="true" applyProtection="true">
      <alignment horizontal="general" vertical="bottom" textRotation="0" wrapText="false" indent="0" shrinkToFit="false"/>
      <protection locked="true" hidden="false"/>
    </xf>
    <xf numFmtId="229" fontId="0" fillId="0" borderId="19" xfId="15" applyFont="true" applyBorder="true" applyAlignment="true" applyProtection="true">
      <alignment horizontal="general" vertical="bottom" textRotation="0" wrapText="false" indent="0" shrinkToFit="false"/>
      <protection locked="true" hidden="false"/>
    </xf>
    <xf numFmtId="229" fontId="0" fillId="0" borderId="11" xfId="15" applyFont="true" applyBorder="true" applyAlignment="true" applyProtection="true">
      <alignment horizontal="general" vertical="bottom" textRotation="0" wrapText="false" indent="0" shrinkToFit="false"/>
      <protection locked="true" hidden="false"/>
    </xf>
    <xf numFmtId="215" fontId="57" fillId="0" borderId="0" xfId="0" applyFont="true" applyBorder="false" applyAlignment="true" applyProtection="false">
      <alignment horizontal="general" vertical="bottom" textRotation="0" wrapText="false" indent="0" shrinkToFit="false"/>
      <protection locked="true" hidden="false"/>
    </xf>
    <xf numFmtId="164" fontId="65" fillId="0" borderId="0" xfId="0" applyFont="true" applyBorder="false" applyAlignment="true" applyProtection="false">
      <alignment horizontal="general" vertical="bottom" textRotation="0" wrapText="false" indent="0" shrinkToFit="false"/>
      <protection locked="true" hidden="false"/>
    </xf>
    <xf numFmtId="230" fontId="61" fillId="0" borderId="11" xfId="15" applyFont="true" applyBorder="true" applyAlignment="true" applyProtection="true">
      <alignment horizontal="general" vertical="bottom" textRotation="0" wrapText="false" indent="0" shrinkToFit="false"/>
      <protection locked="true" hidden="false"/>
    </xf>
    <xf numFmtId="230" fontId="61" fillId="0" borderId="0" xfId="15" applyFont="true" applyBorder="true" applyAlignment="true" applyProtection="true">
      <alignment horizontal="general" vertical="bottom" textRotation="0" wrapText="false" indent="0" shrinkToFit="false"/>
      <protection locked="true" hidden="false"/>
    </xf>
    <xf numFmtId="230" fontId="61" fillId="0" borderId="0" xfId="15" applyFont="true" applyBorder="true" applyAlignment="true" applyProtection="true">
      <alignment horizontal="center" vertical="bottom" textRotation="0" wrapText="false" indent="0" shrinkToFit="false"/>
      <protection locked="true" hidden="false"/>
    </xf>
    <xf numFmtId="216" fontId="57" fillId="0" borderId="0" xfId="19" applyFont="true" applyBorder="true" applyAlignment="true" applyProtection="true">
      <alignment horizontal="center" vertical="bottom" textRotation="0" wrapText="false" indent="0" shrinkToFit="false"/>
      <protection locked="true" hidden="false"/>
    </xf>
    <xf numFmtId="215" fontId="62" fillId="0" borderId="0" xfId="0" applyFont="true" applyBorder="false" applyAlignment="true" applyProtection="false">
      <alignment horizontal="left" vertical="bottom" textRotation="0" wrapText="false" indent="0" shrinkToFit="false"/>
      <protection locked="true" hidden="false"/>
    </xf>
    <xf numFmtId="231" fontId="62" fillId="0" borderId="0" xfId="0" applyFont="true" applyBorder="false" applyAlignment="true" applyProtection="false">
      <alignment horizontal="general" vertical="bottom" textRotation="0" wrapText="false" indent="0" shrinkToFit="false"/>
      <protection locked="true" hidden="false"/>
    </xf>
    <xf numFmtId="164" fontId="0" fillId="0" borderId="11" xfId="0" applyFont="true" applyBorder="true" applyAlignment="false" applyProtection="false">
      <alignment horizontal="general" vertical="bottom" textRotation="0" wrapText="false" indent="0" shrinkToFit="false"/>
      <protection locked="true" hidden="false"/>
    </xf>
    <xf numFmtId="221" fontId="64" fillId="10" borderId="22" xfId="0" applyFont="true" applyBorder="true" applyAlignment="true" applyProtection="false">
      <alignment horizontal="general" vertical="bottom" textRotation="0" wrapText="false" indent="0" shrinkToFit="false"/>
      <protection locked="true" hidden="false"/>
    </xf>
    <xf numFmtId="164" fontId="64" fillId="10" borderId="2" xfId="0" applyFont="true" applyBorder="true" applyAlignment="true" applyProtection="false">
      <alignment horizontal="general" vertical="bottom" textRotation="0" wrapText="false" indent="0" shrinkToFit="false"/>
      <protection locked="true" hidden="false"/>
    </xf>
    <xf numFmtId="164" fontId="64" fillId="10" borderId="30" xfId="0" applyFont="true" applyBorder="true" applyAlignment="true" applyProtection="false">
      <alignment horizontal="general" vertical="bottom" textRotation="0" wrapText="false" indent="0" shrinkToFit="false"/>
      <protection locked="true" hidden="false"/>
    </xf>
    <xf numFmtId="221" fontId="0" fillId="0" borderId="11" xfId="0" applyFont="true" applyBorder="true" applyAlignment="true" applyProtection="false">
      <alignment horizontal="center" vertical="bottom" textRotation="0" wrapText="false" indent="0" shrinkToFit="false"/>
      <protection locked="true" hidden="false"/>
    </xf>
    <xf numFmtId="221" fontId="0" fillId="0" borderId="0" xfId="0" applyFont="true" applyBorder="true" applyAlignment="true" applyProtection="false">
      <alignment horizontal="center" vertical="bottom" textRotation="0" wrapText="false" indent="0" shrinkToFit="false"/>
      <protection locked="true" hidden="false"/>
    </xf>
    <xf numFmtId="164" fontId="80" fillId="0" borderId="0" xfId="0" applyFont="true" applyBorder="false" applyAlignment="true" applyProtection="false">
      <alignment horizontal="center" vertical="bottom" textRotation="0" wrapText="false" indent="0" shrinkToFit="false"/>
      <protection locked="true" hidden="false"/>
    </xf>
    <xf numFmtId="164" fontId="80" fillId="0" borderId="0" xfId="0" applyFont="true" applyBorder="false" applyAlignment="true" applyProtection="false">
      <alignment horizontal="center" vertical="bottom" textRotation="0" wrapText="false" indent="0" shrinkToFit="false"/>
      <protection locked="true" hidden="false"/>
    </xf>
    <xf numFmtId="232" fontId="57" fillId="0" borderId="11" xfId="15" applyFont="true" applyBorder="true" applyAlignment="true" applyProtection="true">
      <alignment horizontal="general" vertical="bottom" textRotation="0" wrapText="false" indent="0" shrinkToFit="false"/>
      <protection locked="true" hidden="false"/>
    </xf>
    <xf numFmtId="232" fontId="9" fillId="0" borderId="11" xfId="15" applyFont="true" applyBorder="true" applyAlignment="true" applyProtection="true">
      <alignment horizontal="general" vertical="bottom" textRotation="0" wrapText="false" indent="0" shrinkToFit="false"/>
      <protection locked="true" hidden="false"/>
    </xf>
    <xf numFmtId="232" fontId="57" fillId="0" borderId="0" xfId="15" applyFont="true" applyBorder="true" applyAlignment="true" applyProtection="true">
      <alignment horizontal="general" vertical="bottom" textRotation="0" wrapText="false" indent="0" shrinkToFit="false"/>
      <protection locked="true" hidden="false"/>
    </xf>
    <xf numFmtId="232" fontId="9" fillId="0" borderId="0" xfId="15" applyFont="true" applyBorder="true" applyAlignment="true" applyProtection="true">
      <alignment horizontal="general" vertical="bottom" textRotation="0" wrapText="false" indent="0" shrinkToFit="false"/>
      <protection locked="true" hidden="false"/>
    </xf>
    <xf numFmtId="164" fontId="57" fillId="0" borderId="0" xfId="0" applyFont="true" applyBorder="false" applyAlignment="true" applyProtection="false">
      <alignment horizontal="left" vertical="bottom" textRotation="0" wrapText="false" indent="0" shrinkToFit="false"/>
      <protection locked="true" hidden="false"/>
    </xf>
    <xf numFmtId="185" fontId="57" fillId="0" borderId="11" xfId="15" applyFont="true" applyBorder="true" applyAlignment="true" applyProtection="true">
      <alignment horizontal="general" vertical="bottom" textRotation="0" wrapText="false" indent="0" shrinkToFit="false"/>
      <protection locked="true" hidden="false"/>
    </xf>
    <xf numFmtId="215" fontId="81" fillId="0" borderId="0" xfId="0" applyFont="true" applyBorder="false" applyAlignment="true" applyProtection="false">
      <alignment horizontal="center" vertical="bottom" textRotation="0" wrapText="false" indent="0" shrinkToFit="false"/>
      <protection locked="true" hidden="false"/>
    </xf>
    <xf numFmtId="215" fontId="81" fillId="0" borderId="0" xfId="0" applyFont="true" applyBorder="false" applyAlignment="true" applyProtection="false">
      <alignment horizontal="center" vertical="bottom" textRotation="0" wrapText="false" indent="0" shrinkToFit="false"/>
      <protection locked="true" hidden="false"/>
    </xf>
    <xf numFmtId="215" fontId="82" fillId="0" borderId="0" xfId="0" applyFont="true" applyBorder="false" applyAlignment="true" applyProtection="false">
      <alignment horizontal="general" vertical="bottom" textRotation="0" wrapText="false" indent="0" shrinkToFit="false"/>
      <protection locked="true" hidden="false"/>
    </xf>
    <xf numFmtId="164" fontId="80" fillId="0" borderId="0" xfId="0" applyFont="true" applyBorder="false" applyAlignment="true" applyProtection="false">
      <alignment horizontal="general" vertical="bottom" textRotation="0" wrapText="false" indent="0" shrinkToFit="false"/>
      <protection locked="true" hidden="false"/>
    </xf>
    <xf numFmtId="213" fontId="0" fillId="0" borderId="11" xfId="15" applyFont="true" applyBorder="true" applyAlignment="true" applyProtection="true">
      <alignment horizontal="general" vertical="bottom" textRotation="0" wrapText="false" indent="0" shrinkToFit="false"/>
      <protection locked="true" hidden="false"/>
    </xf>
    <xf numFmtId="187" fontId="0" fillId="0" borderId="11" xfId="0" applyFont="true" applyBorder="true" applyAlignment="true" applyProtection="false">
      <alignment horizontal="general" vertical="bottom" textRotation="0" wrapText="false" indent="0" shrinkToFit="false"/>
      <protection locked="true" hidden="false"/>
    </xf>
    <xf numFmtId="224" fontId="57" fillId="0" borderId="10" xfId="15" applyFont="true" applyBorder="true" applyAlignment="true" applyProtection="true">
      <alignment horizontal="general" vertical="bottom" textRotation="0" wrapText="false" indent="0" shrinkToFit="false"/>
      <protection locked="true" hidden="false"/>
    </xf>
    <xf numFmtId="224" fontId="83" fillId="0" borderId="0" xfId="15" applyFont="true" applyBorder="true" applyAlignment="true" applyProtection="true">
      <alignment horizontal="general" vertical="bottom" textRotation="0" wrapText="false" indent="0" shrinkToFit="false"/>
      <protection locked="true" hidden="false"/>
    </xf>
    <xf numFmtId="164" fontId="62" fillId="0" borderId="0" xfId="0" applyFont="true" applyBorder="true" applyAlignment="true" applyProtection="false">
      <alignment horizontal="general" vertical="bottom" textRotation="0" wrapText="false" indent="0" shrinkToFit="false"/>
      <protection locked="true" hidden="false"/>
    </xf>
    <xf numFmtId="164" fontId="81" fillId="0" borderId="0" xfId="0" applyFont="true" applyBorder="false" applyAlignment="true" applyProtection="false">
      <alignment horizontal="center" vertical="bottom" textRotation="0" wrapText="false" indent="0" shrinkToFit="false"/>
      <protection locked="true" hidden="false"/>
    </xf>
    <xf numFmtId="164" fontId="81" fillId="0" borderId="0" xfId="0" applyFont="true" applyBorder="false" applyAlignment="true" applyProtection="false">
      <alignment horizontal="center" vertical="bottom" textRotation="0" wrapText="false" indent="0" shrinkToFit="false"/>
      <protection locked="true" hidden="false"/>
    </xf>
    <xf numFmtId="185" fontId="82" fillId="0" borderId="11" xfId="15" applyFont="true" applyBorder="true" applyAlignment="true" applyProtection="true">
      <alignment horizontal="general" vertical="bottom" textRotation="0" wrapText="false" indent="0" shrinkToFit="false"/>
      <protection locked="true" hidden="false"/>
    </xf>
    <xf numFmtId="185" fontId="0" fillId="0" borderId="11" xfId="15" applyFont="true" applyBorder="true" applyAlignment="true" applyProtection="true">
      <alignment horizontal="general" vertical="bottom" textRotation="0" wrapText="false" indent="0" shrinkToFit="false"/>
      <protection locked="true" hidden="false"/>
    </xf>
    <xf numFmtId="185" fontId="57" fillId="0" borderId="0" xfId="15" applyFont="true" applyBorder="true" applyAlignment="true" applyProtection="true">
      <alignment horizontal="general" vertical="bottom" textRotation="0" wrapText="false" indent="0" shrinkToFit="false"/>
      <protection locked="true" hidden="false"/>
    </xf>
    <xf numFmtId="210" fontId="57" fillId="0" borderId="0" xfId="0" applyFont="true" applyBorder="false" applyAlignment="true" applyProtection="false">
      <alignment horizontal="general" vertical="bottom" textRotation="0" wrapText="false" indent="0" shrinkToFit="false"/>
      <protection locked="true" hidden="false"/>
    </xf>
    <xf numFmtId="217" fontId="0" fillId="0" borderId="11" xfId="19" applyFont="true" applyBorder="true" applyAlignment="true" applyProtection="true">
      <alignment horizontal="center" vertical="bottom" textRotation="0" wrapText="false" indent="0" shrinkToFit="false"/>
      <protection locked="true" hidden="false"/>
    </xf>
    <xf numFmtId="213" fontId="61" fillId="0" borderId="0" xfId="15" applyFont="true" applyBorder="true" applyAlignment="true" applyProtection="true">
      <alignment horizontal="general" vertical="bottom" textRotation="0" wrapText="false" indent="0" shrinkToFit="false"/>
      <protection locked="true" hidden="false"/>
    </xf>
    <xf numFmtId="213" fontId="0" fillId="0" borderId="11" xfId="15" applyFont="true" applyBorder="true" applyAlignment="true" applyProtection="true">
      <alignment horizontal="center" vertical="bottom" textRotation="0" wrapText="false" indent="0" shrinkToFit="false"/>
      <protection locked="true" hidden="false"/>
    </xf>
    <xf numFmtId="164" fontId="9" fillId="0" borderId="0" xfId="0" applyFont="true" applyBorder="true" applyAlignment="true" applyProtection="false">
      <alignment horizontal="general" vertical="bottom" textRotation="0" wrapText="false" indent="0" shrinkToFit="false"/>
      <protection locked="true" hidden="false"/>
    </xf>
    <xf numFmtId="164" fontId="84" fillId="0" borderId="0" xfId="0" applyFont="true" applyBorder="false" applyAlignment="true" applyProtection="fals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213" fontId="9" fillId="0" borderId="15" xfId="15" applyFont="true" applyBorder="true" applyAlignment="true" applyProtection="true">
      <alignment horizontal="right" vertical="bottom" textRotation="0" wrapText="false" indent="0" shrinkToFit="false"/>
      <protection locked="true" hidden="false"/>
    </xf>
    <xf numFmtId="213" fontId="82" fillId="6" borderId="11" xfId="15" applyFont="true" applyBorder="true" applyAlignment="true" applyProtection="true">
      <alignment horizontal="general" vertical="bottom" textRotation="0" wrapText="false" indent="0" shrinkToFit="false"/>
      <protection locked="true" hidden="false"/>
    </xf>
    <xf numFmtId="164" fontId="64" fillId="2" borderId="0" xfId="0" applyFont="true" applyBorder="false" applyAlignment="true" applyProtection="false">
      <alignment horizontal="center" vertical="bottom" textRotation="0" wrapText="false" indent="0" shrinkToFit="false"/>
      <protection locked="true" hidden="false"/>
    </xf>
    <xf numFmtId="164" fontId="66" fillId="0" borderId="0" xfId="0" applyFont="true" applyBorder="false" applyAlignment="true" applyProtection="false">
      <alignment horizontal="left" vertical="bottom" textRotation="0" wrapText="false" indent="0" shrinkToFit="false"/>
      <protection locked="true" hidden="false"/>
    </xf>
    <xf numFmtId="216" fontId="57" fillId="6" borderId="0" xfId="19" applyFont="true" applyBorder="true" applyAlignment="true" applyProtection="true">
      <alignment horizontal="general" vertical="bottom" textRotation="0" wrapText="false" indent="0" shrinkToFit="false"/>
      <protection locked="true" hidden="false"/>
    </xf>
    <xf numFmtId="216" fontId="0" fillId="0" borderId="0" xfId="19" applyFont="true" applyBorder="true" applyAlignment="true" applyProtection="true">
      <alignment horizontal="right" vertical="bottom" textRotation="0" wrapText="false" indent="0" shrinkToFit="false"/>
      <protection locked="true" hidden="false"/>
    </xf>
    <xf numFmtId="216" fontId="57" fillId="0" borderId="0" xfId="19" applyFont="true" applyBorder="true" applyAlignment="true" applyProtection="true">
      <alignment horizontal="right" vertical="bottom" textRotation="0" wrapText="false" indent="0" shrinkToFit="false"/>
      <protection locked="true" hidden="false"/>
    </xf>
    <xf numFmtId="217" fontId="57" fillId="0" borderId="0" xfId="19" applyFont="true" applyBorder="true" applyAlignment="true" applyProtection="true">
      <alignment horizontal="general" vertical="bottom" textRotation="0" wrapText="false" indent="0" shrinkToFit="false"/>
      <protection locked="true" hidden="false"/>
    </xf>
    <xf numFmtId="164" fontId="68" fillId="0" borderId="0" xfId="0" applyFont="true" applyBorder="false" applyAlignment="true" applyProtection="false">
      <alignment horizontal="right" vertical="bottom" textRotation="0" wrapText="false" indent="0" shrinkToFit="false"/>
      <protection locked="true" hidden="false"/>
    </xf>
    <xf numFmtId="213" fontId="9" fillId="0" borderId="0" xfId="15" applyFont="true" applyBorder="true" applyAlignment="true" applyProtection="true">
      <alignment horizontal="center" vertical="bottom" textRotation="0" wrapText="false" indent="0" shrinkToFit="false"/>
      <protection locked="true" hidden="false"/>
    </xf>
    <xf numFmtId="213" fontId="9" fillId="0" borderId="30" xfId="15" applyFont="true" applyBorder="true" applyAlignment="true" applyProtection="true">
      <alignment horizontal="center" vertical="bottom" textRotation="0" wrapText="false" indent="0" shrinkToFit="false"/>
      <protection locked="true" hidden="false"/>
    </xf>
    <xf numFmtId="164" fontId="0" fillId="0" borderId="13" xfId="0" applyFont="true" applyBorder="true" applyAlignment="false" applyProtection="false">
      <alignment horizontal="general" vertical="bottom" textRotation="0" wrapText="false" indent="0" shrinkToFit="false"/>
      <protection locked="true" hidden="false"/>
    </xf>
    <xf numFmtId="217" fontId="0" fillId="0" borderId="13" xfId="19" applyFont="true" applyBorder="true" applyAlignment="true" applyProtection="true">
      <alignment horizontal="general" vertical="bottom" textRotation="0" wrapText="false" indent="0" shrinkToFit="false"/>
      <protection locked="true" hidden="false"/>
    </xf>
    <xf numFmtId="213" fontId="61" fillId="0" borderId="13" xfId="15" applyFont="true" applyBorder="true" applyAlignment="true" applyProtection="true">
      <alignment horizontal="general" vertical="bottom" textRotation="0" wrapText="false" indent="0" shrinkToFit="false"/>
      <protection locked="true" hidden="false"/>
    </xf>
    <xf numFmtId="213" fontId="0" fillId="0" borderId="13" xfId="15" applyFont="true" applyBorder="true" applyAlignment="true" applyProtection="true">
      <alignment horizontal="general" vertical="bottom" textRotation="0" wrapText="false" indent="0" shrinkToFit="false"/>
      <protection locked="true" hidden="false"/>
    </xf>
    <xf numFmtId="215" fontId="69" fillId="0" borderId="0" xfId="0" applyFont="true" applyBorder="false" applyAlignment="true" applyProtection="false">
      <alignment horizontal="left" vertical="bottom" textRotation="0" wrapText="false" indent="0" shrinkToFit="false"/>
      <protection locked="true" hidden="false"/>
    </xf>
    <xf numFmtId="233" fontId="57" fillId="0" borderId="11" xfId="15" applyFont="true" applyBorder="true" applyAlignment="true" applyProtection="true">
      <alignment horizontal="general" vertical="bottom" textRotation="0" wrapText="false" indent="0" shrinkToFit="false"/>
      <protection locked="true" hidden="false"/>
    </xf>
    <xf numFmtId="164" fontId="68" fillId="0" borderId="0" xfId="0" applyFont="true" applyBorder="false" applyAlignment="true" applyProtection="false">
      <alignment horizontal="right" vertical="bottom" textRotation="0" wrapText="false" indent="0" shrinkToFit="false"/>
      <protection locked="true" hidden="false"/>
    </xf>
    <xf numFmtId="234" fontId="57" fillId="0" borderId="11"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235" fontId="57" fillId="0" borderId="11" xfId="15" applyFont="true" applyBorder="true" applyAlignment="true" applyProtection="true">
      <alignment horizontal="general" vertical="bottom" textRotation="0" wrapText="false" indent="0" shrinkToFit="false"/>
      <protection locked="true" hidden="false"/>
    </xf>
    <xf numFmtId="164" fontId="77" fillId="0" borderId="0" xfId="0" applyFont="true" applyBorder="false" applyAlignment="true" applyProtection="false">
      <alignment horizontal="right" vertical="bottom" textRotation="0" wrapText="false" indent="0" shrinkToFit="false"/>
      <protection locked="true" hidden="false"/>
    </xf>
    <xf numFmtId="229" fontId="57" fillId="0" borderId="0" xfId="15" applyFont="true" applyBorder="true" applyAlignment="true" applyProtection="true">
      <alignment horizontal="general" vertical="bottom" textRotation="0" wrapText="false" indent="0" shrinkToFit="false"/>
      <protection locked="true" hidden="false"/>
    </xf>
    <xf numFmtId="231" fontId="63" fillId="0" borderId="0" xfId="0" applyFont="true" applyBorder="false" applyAlignment="tru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164" fontId="85" fillId="2" borderId="23" xfId="0" applyFont="true" applyBorder="true" applyAlignment="true" applyProtection="false">
      <alignment horizontal="center" vertical="bottom" textRotation="0" wrapText="false" indent="0" shrinkToFit="false"/>
      <protection locked="true" hidden="false"/>
    </xf>
    <xf numFmtId="164" fontId="86" fillId="2" borderId="24" xfId="0" applyFont="true" applyBorder="true" applyAlignment="true" applyProtection="false">
      <alignment horizontal="general" vertical="bottom" textRotation="0" wrapText="false" indent="0" shrinkToFit="false"/>
      <protection locked="true" hidden="false"/>
    </xf>
    <xf numFmtId="164" fontId="86" fillId="2" borderId="24" xfId="0" applyFont="true" applyBorder="true" applyAlignment="true" applyProtection="false">
      <alignment horizontal="center" vertical="bottom" textRotation="0" wrapText="false" indent="0" shrinkToFit="false"/>
      <protection locked="true" hidden="false"/>
    </xf>
    <xf numFmtId="164" fontId="0" fillId="2" borderId="24" xfId="0" applyFont="true" applyBorder="true" applyAlignment="false" applyProtection="false">
      <alignment horizontal="general" vertical="bottom" textRotation="0" wrapText="false" indent="0" shrinkToFit="false"/>
      <protection locked="true" hidden="false"/>
    </xf>
    <xf numFmtId="164" fontId="0" fillId="2" borderId="25" xfId="0" applyFont="true" applyBorder="true" applyAlignment="false" applyProtection="false">
      <alignment horizontal="general" vertical="bottom" textRotation="0" wrapText="false" indent="0" shrinkToFit="false"/>
      <protection locked="true" hidden="false"/>
    </xf>
    <xf numFmtId="164" fontId="61" fillId="2" borderId="26" xfId="0" applyFont="true" applyBorder="true" applyAlignment="true" applyProtection="false">
      <alignment horizontal="center" vertical="bottom" textRotation="0" wrapText="false" indent="0" shrinkToFit="false"/>
      <protection locked="true" hidden="false"/>
    </xf>
    <xf numFmtId="213" fontId="61" fillId="2" borderId="0" xfId="15" applyFont="true" applyBorder="true" applyAlignment="true" applyProtection="true">
      <alignment horizontal="center" vertical="bottom" textRotation="0" wrapText="false" indent="0" shrinkToFit="false"/>
      <protection locked="true" hidden="false"/>
    </xf>
    <xf numFmtId="215" fontId="61" fillId="2" borderId="0" xfId="0" applyFont="true" applyBorder="true" applyAlignment="true" applyProtection="false">
      <alignment horizontal="center" vertical="bottom" textRotation="0" wrapText="false" indent="0" shrinkToFit="false"/>
      <protection locked="true" hidden="false"/>
    </xf>
    <xf numFmtId="213" fontId="61" fillId="2" borderId="0" xfId="0" applyFont="true" applyBorder="true" applyAlignment="true" applyProtection="false">
      <alignment horizontal="center" vertical="bottom" textRotation="0" wrapText="false" indent="0" shrinkToFit="false"/>
      <protection locked="true" hidden="false"/>
    </xf>
    <xf numFmtId="164" fontId="0" fillId="2" borderId="0" xfId="0" applyFont="true" applyBorder="true" applyAlignment="false" applyProtection="false">
      <alignment horizontal="general" vertical="bottom" textRotation="0" wrapText="false" indent="0" shrinkToFit="false"/>
      <protection locked="true" hidden="false"/>
    </xf>
    <xf numFmtId="164" fontId="0" fillId="2" borderId="27" xfId="0" applyFont="true" applyBorder="true" applyAlignment="false" applyProtection="false">
      <alignment horizontal="general" vertical="bottom" textRotation="0" wrapText="false" indent="0" shrinkToFit="false"/>
      <protection locked="true" hidden="false"/>
    </xf>
    <xf numFmtId="164" fontId="61" fillId="2" borderId="0" xfId="0" applyFont="true" applyBorder="true" applyAlignment="true" applyProtection="false">
      <alignment horizontal="center" vertical="bottom" textRotation="0" wrapText="false" indent="0" shrinkToFit="false"/>
      <protection locked="true" hidden="false"/>
    </xf>
    <xf numFmtId="216" fontId="61" fillId="2" borderId="0" xfId="19" applyFont="true" applyBorder="true" applyAlignment="true" applyProtection="true">
      <alignment horizontal="center" vertical="bottom" textRotation="0" wrapText="false" indent="0" shrinkToFit="false"/>
      <protection locked="true" hidden="false"/>
    </xf>
    <xf numFmtId="164" fontId="86" fillId="2" borderId="0" xfId="0" applyFont="true" applyBorder="true" applyAlignment="true" applyProtection="false">
      <alignment horizontal="right" vertical="bottom" textRotation="0" wrapText="false" indent="0" shrinkToFit="false"/>
      <protection locked="true" hidden="false"/>
    </xf>
    <xf numFmtId="164" fontId="86" fillId="2" borderId="27" xfId="0" applyFont="true" applyBorder="true" applyAlignment="true" applyProtection="false">
      <alignment horizontal="center" vertical="bottom" textRotation="0" wrapText="false" indent="0" shrinkToFit="false"/>
      <protection locked="true" hidden="false"/>
    </xf>
    <xf numFmtId="216" fontId="61" fillId="2" borderId="0" xfId="0" applyFont="true" applyBorder="true" applyAlignment="true" applyProtection="false">
      <alignment horizontal="right" vertical="bottom" textRotation="0" wrapText="false" indent="0" shrinkToFit="false"/>
      <protection locked="true" hidden="false"/>
    </xf>
    <xf numFmtId="216" fontId="61" fillId="2" borderId="0" xfId="19" applyFont="true" applyBorder="true" applyAlignment="true" applyProtection="true">
      <alignment horizontal="right" vertical="bottom" textRotation="0" wrapText="false" indent="0" shrinkToFit="false"/>
      <protection locked="true" hidden="false"/>
    </xf>
    <xf numFmtId="164" fontId="61" fillId="2" borderId="27" xfId="0" applyFont="true" applyBorder="true" applyAlignment="true" applyProtection="false">
      <alignment horizontal="center" vertical="bottom" textRotation="0" wrapText="false" indent="0" shrinkToFit="false"/>
      <protection locked="true" hidden="false"/>
    </xf>
    <xf numFmtId="236" fontId="61" fillId="2" borderId="31" xfId="0" applyFont="true" applyBorder="true" applyAlignment="true" applyProtection="false">
      <alignment horizontal="center" vertical="bottom" textRotation="0" wrapText="false" indent="0" shrinkToFit="false"/>
      <protection locked="true" hidden="false"/>
    </xf>
    <xf numFmtId="236" fontId="61" fillId="2" borderId="14" xfId="0" applyFont="true" applyBorder="true" applyAlignment="true" applyProtection="false">
      <alignment horizontal="center" vertical="bottom" textRotation="0" wrapText="false" indent="0" shrinkToFit="false"/>
      <protection locked="true" hidden="false"/>
    </xf>
    <xf numFmtId="216" fontId="61" fillId="2" borderId="14" xfId="0" applyFont="true" applyBorder="true" applyAlignment="true" applyProtection="false">
      <alignment horizontal="right" vertical="bottom" textRotation="0" wrapText="false" indent="0" shrinkToFit="false"/>
      <protection locked="true" hidden="false"/>
    </xf>
    <xf numFmtId="216" fontId="61" fillId="2" borderId="14" xfId="19" applyFont="true" applyBorder="true" applyAlignment="true" applyProtection="true">
      <alignment horizontal="right" vertical="bottom" textRotation="0" wrapText="false" indent="0" shrinkToFit="false"/>
      <protection locked="true" hidden="false"/>
    </xf>
    <xf numFmtId="164" fontId="61" fillId="2" borderId="29" xfId="0" applyFont="true" applyBorder="true" applyAlignment="true" applyProtection="false">
      <alignment horizontal="center" vertical="bottom" textRotation="0" wrapText="false" indent="0" shrinkToFit="false"/>
      <protection locked="true" hidden="false"/>
    </xf>
    <xf numFmtId="213" fontId="64" fillId="0" borderId="0" xfId="15" applyFont="true" applyBorder="true" applyAlignment="true" applyProtection="true">
      <alignment horizontal="general" vertical="bottom" textRotation="0" wrapText="false" indent="0" shrinkToFit="false"/>
      <protection locked="true" hidden="false"/>
    </xf>
    <xf numFmtId="217" fontId="0" fillId="0" borderId="0" xfId="0" applyFont="true" applyBorder="false" applyAlignment="true" applyProtection="false">
      <alignment horizontal="general" vertical="bottom" textRotation="0" wrapText="false" indent="0" shrinkToFit="false"/>
      <protection locked="true" hidden="false"/>
    </xf>
    <xf numFmtId="164" fontId="61" fillId="11" borderId="12" xfId="0" applyFont="true" applyBorder="true" applyAlignment="true" applyProtection="false">
      <alignment horizontal="center" vertical="bottom" textRotation="0" wrapText="false" indent="0" shrinkToFit="false"/>
      <protection locked="true" hidden="false"/>
    </xf>
    <xf numFmtId="164" fontId="61" fillId="0" borderId="0" xfId="0" applyFont="true" applyBorder="true" applyAlignment="true" applyProtection="false">
      <alignment horizontal="general" vertical="bottom" textRotation="0" wrapText="false" indent="0" shrinkToFit="false"/>
      <protection locked="true" hidden="false"/>
    </xf>
    <xf numFmtId="213" fontId="64" fillId="2" borderId="11"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87" fontId="0" fillId="0" borderId="0" xfId="0" applyFont="true" applyBorder="true" applyAlignment="true" applyProtection="false">
      <alignment horizontal="general" vertical="bottom" textRotation="0" wrapText="false" indent="0" shrinkToFit="false"/>
      <protection locked="true" hidden="false"/>
    </xf>
    <xf numFmtId="215" fontId="0" fillId="0" borderId="0" xfId="1028" applyFont="true" applyBorder="false" applyAlignment="true" applyProtection="false">
      <alignment horizontal="general" vertical="bottom" textRotation="0" wrapText="false" indent="0" shrinkToFit="false"/>
      <protection locked="true" hidden="false"/>
    </xf>
    <xf numFmtId="215" fontId="0" fillId="0" borderId="0" xfId="1028" applyFont="true" applyBorder="false" applyAlignment="true" applyProtection="false">
      <alignment horizontal="general" vertical="bottom" textRotation="0" wrapText="false" indent="0" shrinkToFit="false"/>
      <protection locked="true" hidden="false"/>
    </xf>
    <xf numFmtId="215" fontId="0" fillId="0" borderId="11" xfId="1028" applyFont="false" applyBorder="true" applyAlignment="false" applyProtection="false">
      <alignment horizontal="general" vertical="bottom" textRotation="0" wrapText="false" indent="0" shrinkToFit="false"/>
      <protection locked="true" hidden="false"/>
    </xf>
    <xf numFmtId="164" fontId="84" fillId="0" borderId="0" xfId="0" applyFont="true" applyBorder="true" applyAlignment="true" applyProtection="false">
      <alignment horizontal="general" vertical="bottom" textRotation="0" wrapText="false" indent="0" shrinkToFit="false"/>
      <protection locked="true" hidden="false"/>
    </xf>
    <xf numFmtId="226" fontId="0" fillId="0" borderId="11" xfId="1028" applyFont="false" applyBorder="true" applyAlignment="false" applyProtection="false">
      <alignment horizontal="general" vertical="bottom" textRotation="0" wrapText="false" indent="0" shrinkToFit="false"/>
      <protection locked="true" hidden="false"/>
    </xf>
    <xf numFmtId="217" fontId="0" fillId="0" borderId="11" xfId="19" applyFont="true" applyBorder="true" applyAlignment="true" applyProtection="true">
      <alignment horizontal="right" vertical="bottom" textRotation="0" wrapText="false" indent="0" shrinkToFit="false"/>
      <protection locked="true" hidden="false"/>
    </xf>
    <xf numFmtId="215" fontId="0" fillId="0" borderId="11" xfId="1028" applyFont="false" applyBorder="true" applyAlignment="true" applyProtection="false">
      <alignment horizontal="right" vertical="bottom" textRotation="0" wrapText="false" indent="0" shrinkToFit="false"/>
      <protection locked="true" hidden="false"/>
    </xf>
    <xf numFmtId="216" fontId="57" fillId="0" borderId="15" xfId="19" applyFont="true" applyBorder="true" applyAlignment="true" applyProtection="true">
      <alignment horizontal="general" vertical="bottom" textRotation="0" wrapText="false" indent="0" shrinkToFit="false"/>
      <protection locked="true" hidden="false"/>
    </xf>
    <xf numFmtId="216" fontId="63" fillId="0" borderId="0" xfId="19" applyFont="true" applyBorder="true" applyAlignment="true" applyProtection="true">
      <alignment horizontal="general" vertical="bottom" textRotation="0" wrapText="false" indent="0" shrinkToFit="false"/>
      <protection locked="true" hidden="false"/>
    </xf>
    <xf numFmtId="216" fontId="0" fillId="0" borderId="0" xfId="0" applyFont="true" applyBorder="true" applyAlignment="true" applyProtection="false">
      <alignment horizontal="general" vertical="bottom" textRotation="0" wrapText="false" indent="0" shrinkToFit="false"/>
      <protection locked="true" hidden="false"/>
    </xf>
    <xf numFmtId="164" fontId="61" fillId="2" borderId="0" xfId="0" applyFont="true" applyBorder="true" applyAlignment="true" applyProtection="false">
      <alignment horizontal="general" vertical="bottom" textRotation="0" wrapText="false" indent="0" shrinkToFit="false"/>
      <protection locked="true" hidden="false"/>
    </xf>
    <xf numFmtId="217" fontId="64" fillId="2" borderId="0" xfId="19" applyFont="true" applyBorder="true" applyAlignment="true" applyProtection="true">
      <alignment horizontal="center" vertical="bottom" textRotation="0" wrapText="false" indent="0" shrinkToFit="false"/>
      <protection locked="true" hidden="false"/>
    </xf>
    <xf numFmtId="217" fontId="64" fillId="2" borderId="11" xfId="19" applyFont="true" applyBorder="true" applyAlignment="true" applyProtection="true">
      <alignment horizontal="center" vertical="bottom" textRotation="0" wrapText="false" indent="0" shrinkToFit="false"/>
      <protection locked="true" hidden="false"/>
    </xf>
    <xf numFmtId="164" fontId="87" fillId="12" borderId="12" xfId="0" applyFont="true" applyBorder="true" applyAlignment="true" applyProtection="false">
      <alignment horizontal="center" vertical="bottom" textRotation="0" wrapText="false" indent="0" shrinkToFit="false"/>
      <protection locked="true" hidden="false"/>
    </xf>
    <xf numFmtId="164" fontId="0" fillId="2" borderId="24" xfId="0" applyFont="true" applyBorder="true" applyAlignment="true" applyProtection="false">
      <alignment horizontal="center" vertical="bottom" textRotation="0" wrapText="false" indent="0" shrinkToFit="false"/>
      <protection locked="true" hidden="false"/>
    </xf>
    <xf numFmtId="164" fontId="0" fillId="2" borderId="24" xfId="0" applyFont="true" applyBorder="true" applyAlignment="true" applyProtection="false">
      <alignment horizontal="general" vertical="bottom" textRotation="0" wrapText="false" indent="0" shrinkToFit="false"/>
      <protection locked="true" hidden="false"/>
    </xf>
    <xf numFmtId="216" fontId="64" fillId="2" borderId="24" xfId="19" applyFont="true" applyBorder="true" applyAlignment="true" applyProtection="true">
      <alignment horizontal="general" vertical="bottom" textRotation="0" wrapText="false" indent="0" shrinkToFit="false"/>
      <protection locked="true" hidden="false"/>
    </xf>
    <xf numFmtId="164" fontId="88" fillId="2" borderId="25" xfId="0" applyFont="true" applyBorder="true" applyAlignment="true" applyProtection="false">
      <alignment horizontal="general" vertical="bottom" textRotation="0" wrapText="false" indent="0" shrinkToFit="false"/>
      <protection locked="true" hidden="false"/>
    </xf>
    <xf numFmtId="164" fontId="0" fillId="2" borderId="0" xfId="0" applyFont="true" applyBorder="true" applyAlignment="true" applyProtection="false">
      <alignment horizontal="general" vertical="bottom" textRotation="0" wrapText="false" indent="0" shrinkToFit="false"/>
      <protection locked="true" hidden="false"/>
    </xf>
    <xf numFmtId="164" fontId="64" fillId="2" borderId="0" xfId="0" applyFont="true" applyBorder="true" applyAlignment="true" applyProtection="false">
      <alignment horizontal="general" vertical="bottom" textRotation="0" wrapText="false" indent="0" shrinkToFit="false"/>
      <protection locked="true" hidden="false"/>
    </xf>
    <xf numFmtId="164" fontId="88" fillId="2" borderId="27" xfId="0" applyFont="true" applyBorder="true" applyAlignment="true" applyProtection="false">
      <alignment horizontal="general" vertical="bottom" textRotation="0" wrapText="false" indent="0" shrinkToFit="false"/>
      <protection locked="true" hidden="false"/>
    </xf>
    <xf numFmtId="237" fontId="61" fillId="2" borderId="26" xfId="0" applyFont="true" applyBorder="true" applyAlignment="true" applyProtection="false">
      <alignment horizontal="center" vertical="bottom" textRotation="0" wrapText="false" indent="0" shrinkToFit="false"/>
      <protection locked="true" hidden="false"/>
    </xf>
    <xf numFmtId="164" fontId="61" fillId="2" borderId="0" xfId="0" applyFont="true" applyBorder="true" applyAlignment="true" applyProtection="false">
      <alignment horizontal="center" vertical="bottom" textRotation="0" wrapText="false" indent="0" shrinkToFit="false"/>
      <protection locked="true" hidden="false"/>
    </xf>
    <xf numFmtId="164" fontId="57" fillId="2" borderId="27" xfId="0" applyFont="true" applyBorder="true" applyAlignment="true" applyProtection="false">
      <alignment horizontal="general" vertical="bottom" textRotation="0" wrapText="false" indent="0" shrinkToFit="false"/>
      <protection locked="true" hidden="false"/>
    </xf>
    <xf numFmtId="236" fontId="61" fillId="2" borderId="26" xfId="0" applyFont="true" applyBorder="true" applyAlignment="true" applyProtection="false">
      <alignment horizontal="center" vertical="bottom" textRotation="0" wrapText="false" indent="0" shrinkToFit="false"/>
      <protection locked="true" hidden="false"/>
    </xf>
    <xf numFmtId="216" fontId="64" fillId="2" borderId="0" xfId="19" applyFont="true" applyBorder="true" applyAlignment="true" applyProtection="true">
      <alignment horizontal="general" vertical="bottom" textRotation="0" wrapText="false" indent="0" shrinkToFit="false"/>
      <protection locked="true" hidden="false"/>
    </xf>
    <xf numFmtId="164" fontId="61" fillId="2" borderId="27" xfId="0" applyFont="true" applyBorder="true" applyAlignment="true" applyProtection="false">
      <alignment horizontal="general" vertical="bottom" textRotation="0" wrapText="false" indent="0" shrinkToFit="false"/>
      <protection locked="true" hidden="false"/>
    </xf>
    <xf numFmtId="236" fontId="61" fillId="2" borderId="0" xfId="0" applyFont="true" applyBorder="true" applyAlignment="true" applyProtection="false">
      <alignment horizontal="center" vertical="bottom" textRotation="0" wrapText="false" indent="0" shrinkToFit="false"/>
      <protection locked="true" hidden="false"/>
    </xf>
    <xf numFmtId="216" fontId="61" fillId="2" borderId="0" xfId="19" applyFont="true" applyBorder="true" applyAlignment="true" applyProtection="true">
      <alignment horizontal="general" vertical="bottom" textRotation="0" wrapText="false" indent="0" shrinkToFit="false"/>
      <protection locked="true" hidden="false"/>
    </xf>
    <xf numFmtId="164" fontId="64" fillId="2" borderId="27" xfId="0" applyFont="true" applyBorder="true" applyAlignment="true" applyProtection="false">
      <alignment horizontal="general" vertical="bottom" textRotation="0" wrapText="false" indent="0" shrinkToFit="false"/>
      <protection locked="true" hidden="false"/>
    </xf>
    <xf numFmtId="164" fontId="61" fillId="2" borderId="31" xfId="0" applyFont="true" applyBorder="true" applyAlignment="true" applyProtection="false">
      <alignment horizontal="center" vertical="bottom" textRotation="0" wrapText="false" indent="0" shrinkToFit="false"/>
      <protection locked="true" hidden="false"/>
    </xf>
    <xf numFmtId="164" fontId="61" fillId="2" borderId="14" xfId="0" applyFont="true" applyBorder="true" applyAlignment="true" applyProtection="false">
      <alignment horizontal="center" vertical="bottom" textRotation="0" wrapText="false" indent="0" shrinkToFit="false"/>
      <protection locked="true" hidden="false"/>
    </xf>
    <xf numFmtId="164" fontId="78" fillId="2" borderId="14" xfId="0" applyFont="true" applyBorder="true" applyAlignment="true" applyProtection="false">
      <alignment horizontal="general" vertical="bottom" textRotation="0" wrapText="false" indent="0" shrinkToFit="false"/>
      <protection locked="true" hidden="false"/>
    </xf>
    <xf numFmtId="213" fontId="64" fillId="2" borderId="14" xfId="15" applyFont="true" applyBorder="true" applyAlignment="true" applyProtection="true">
      <alignment horizontal="general" vertical="bottom" textRotation="0" wrapText="false" indent="0" shrinkToFit="false"/>
      <protection locked="true" hidden="false"/>
    </xf>
    <xf numFmtId="164" fontId="0" fillId="2" borderId="14" xfId="0" applyFont="true" applyBorder="true" applyAlignment="true" applyProtection="false">
      <alignment horizontal="general" vertical="bottom" textRotation="0" wrapText="false" indent="0" shrinkToFit="false"/>
      <protection locked="true" hidden="false"/>
    </xf>
    <xf numFmtId="164" fontId="0" fillId="2" borderId="29" xfId="0" applyFont="true" applyBorder="true" applyAlignment="tru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0" fillId="0" borderId="11" xfId="0" applyFont="false" applyBorder="true" applyAlignment="true" applyProtection="false">
      <alignment horizontal="right" vertical="bottom" textRotation="0" wrapText="false" indent="0" shrinkToFit="false"/>
      <protection locked="true" hidden="false"/>
    </xf>
    <xf numFmtId="164" fontId="57" fillId="0" borderId="11" xfId="0" applyFont="true" applyBorder="true" applyAlignment="true" applyProtection="false">
      <alignment horizontal="general" vertical="bottom" textRotation="0" wrapText="false" indent="0" shrinkToFit="false"/>
      <protection locked="true" hidden="false"/>
    </xf>
    <xf numFmtId="215" fontId="0" fillId="13" borderId="0" xfId="0" applyFont="true" applyBorder="false" applyAlignment="true" applyProtection="false">
      <alignment horizontal="general" vertical="bottom" textRotation="0" wrapText="false" indent="0" shrinkToFit="false"/>
      <protection locked="true" hidden="false"/>
    </xf>
    <xf numFmtId="164" fontId="0" fillId="13" borderId="0" xfId="0" applyFont="true" applyBorder="false" applyAlignment="true" applyProtection="false">
      <alignment horizontal="general" vertical="bottom" textRotation="0" wrapText="false" indent="0" shrinkToFit="false"/>
      <protection locked="true" hidden="false"/>
    </xf>
    <xf numFmtId="217" fontId="57" fillId="13" borderId="11" xfId="19" applyFont="true" applyBorder="true" applyAlignment="true" applyProtection="true">
      <alignment horizontal="general" vertical="bottom" textRotation="0" wrapText="false" indent="0" shrinkToFit="false"/>
      <protection locked="true" hidden="false"/>
    </xf>
    <xf numFmtId="164" fontId="57" fillId="13" borderId="0" xfId="0" applyFont="true" applyBorder="false" applyAlignment="true" applyProtection="false">
      <alignment horizontal="general" vertical="bottom" textRotation="0" wrapText="false" indent="0" shrinkToFit="false"/>
      <protection locked="tru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4" fontId="9" fillId="13" borderId="0" xfId="0" applyFont="true" applyBorder="false" applyAlignment="true" applyProtection="false">
      <alignment horizontal="general" vertical="bottom" textRotation="0" wrapText="false" indent="0" shrinkToFit="false"/>
      <protection locked="true" hidden="false"/>
    </xf>
    <xf numFmtId="217" fontId="0" fillId="13" borderId="11" xfId="19" applyFont="true" applyBorder="true" applyAlignment="true" applyProtection="true">
      <alignment horizontal="general" vertical="bottom" textRotation="0" wrapText="false" indent="0" shrinkToFit="false"/>
      <protection locked="true" hidden="false"/>
    </xf>
    <xf numFmtId="217" fontId="0" fillId="13" borderId="11" xfId="0" applyFont="true" applyBorder="true" applyAlignment="true" applyProtection="false">
      <alignment horizontal="general" vertical="bottom" textRotation="0" wrapText="false" indent="0" shrinkToFit="false"/>
      <protection locked="true" hidden="false"/>
    </xf>
    <xf numFmtId="164" fontId="80" fillId="13" borderId="0" xfId="0" applyFont="true" applyBorder="false" applyAlignment="true" applyProtection="false">
      <alignment horizontal="general" vertical="bottom" textRotation="0" wrapText="false" indent="0" shrinkToFit="false"/>
      <protection locked="true" hidden="false"/>
    </xf>
    <xf numFmtId="216" fontId="0" fillId="13" borderId="0" xfId="0" applyFont="true" applyBorder="false" applyAlignment="true" applyProtection="false">
      <alignment horizontal="general" vertical="bottom" textRotation="0" wrapText="false" indent="0" shrinkToFit="false"/>
      <protection locked="true" hidden="false"/>
    </xf>
    <xf numFmtId="215" fontId="57" fillId="13" borderId="0" xfId="0" applyFont="true" applyBorder="false" applyAlignment="true" applyProtection="false">
      <alignment horizontal="general" vertical="bottom" textRotation="0" wrapText="false" indent="0" shrinkToFit="false"/>
      <protection locked="true" hidden="false"/>
    </xf>
    <xf numFmtId="216" fontId="57" fillId="13" borderId="11" xfId="19" applyFont="true" applyBorder="true" applyAlignment="true" applyProtection="true">
      <alignment horizontal="general" vertical="bottom" textRotation="0" wrapText="false" indent="0" shrinkToFit="false"/>
      <protection locked="true" hidden="false"/>
    </xf>
    <xf numFmtId="213" fontId="57" fillId="13" borderId="11" xfId="15" applyFont="true" applyBorder="true" applyAlignment="true" applyProtection="true">
      <alignment horizontal="general" vertical="bottom" textRotation="0" wrapText="false" indent="0" shrinkToFit="false"/>
      <protection locked="true" hidden="false"/>
    </xf>
    <xf numFmtId="203" fontId="57" fillId="13" borderId="11" xfId="17" applyFont="true" applyBorder="true" applyAlignment="true" applyProtection="tru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226" fontId="89" fillId="0" borderId="11" xfId="1028" applyFont="true" applyBorder="true" applyAlignment="false" applyProtection="false">
      <alignment horizontal="general" vertical="bottom" textRotation="0" wrapText="false" indent="0" shrinkToFit="false"/>
      <protection locked="true" hidden="false"/>
    </xf>
    <xf numFmtId="213" fontId="62" fillId="0" borderId="0" xfId="15" applyFont="true" applyBorder="true" applyAlignment="true" applyProtection="true">
      <alignment horizontal="center" vertical="bottom" textRotation="0" wrapText="false" indent="0" shrinkToFit="false"/>
      <protection locked="true" hidden="false"/>
    </xf>
    <xf numFmtId="226" fontId="0" fillId="0" borderId="0" xfId="1028" applyFont="false" applyBorder="true" applyAlignment="false" applyProtection="false">
      <alignment horizontal="general" vertical="bottom" textRotation="0" wrapText="false" indent="0" shrinkToFit="false"/>
      <protection locked="true" hidden="false"/>
    </xf>
    <xf numFmtId="164" fontId="69" fillId="0" borderId="0" xfId="0" applyFont="true" applyBorder="false" applyAlignment="true" applyProtection="false">
      <alignment horizontal="left" vertical="bottom" textRotation="0" wrapText="false" indent="0" shrinkToFit="false"/>
      <protection locked="true" hidden="false"/>
    </xf>
    <xf numFmtId="164" fontId="90" fillId="0" borderId="0" xfId="0" applyFont="true" applyBorder="false" applyAlignment="true" applyProtection="false">
      <alignment horizontal="center" vertical="bottom" textRotation="0" wrapText="false" indent="0" shrinkToFit="false"/>
      <protection locked="true" hidden="false"/>
    </xf>
    <xf numFmtId="169" fontId="61" fillId="2" borderId="12" xfId="0" applyFont="true" applyBorder="true" applyAlignment="false" applyProtection="false">
      <alignment horizontal="general" vertical="bottom" textRotation="0" wrapText="false" indent="0" shrinkToFit="false"/>
      <protection locked="true" hidden="false"/>
    </xf>
    <xf numFmtId="164" fontId="76" fillId="0" borderId="0" xfId="0" applyFont="true" applyBorder="true" applyAlignment="true" applyProtection="false">
      <alignment horizontal="general" vertical="bottom" textRotation="0" wrapText="false" indent="0" shrinkToFit="false"/>
      <protection locked="true" hidden="false"/>
    </xf>
    <xf numFmtId="221" fontId="0" fillId="0" borderId="0" xfId="0" applyFont="true" applyBorder="false" applyAlignment="true" applyProtection="false">
      <alignment horizontal="general" vertical="bottom" textRotation="0" wrapText="false" indent="0" shrinkToFit="false"/>
      <protection locked="true" hidden="false"/>
    </xf>
    <xf numFmtId="164" fontId="57" fillId="0" borderId="19" xfId="0" applyFont="true" applyBorder="true" applyAlignment="true" applyProtection="false">
      <alignment horizontal="center" vertical="bottom" textRotation="0" wrapText="false" indent="0" shrinkToFit="false"/>
      <protection locked="true" hidden="false"/>
    </xf>
    <xf numFmtId="169" fontId="0" fillId="0" borderId="15" xfId="15" applyFont="true" applyBorder="true" applyAlignment="true" applyProtection="true">
      <alignment horizontal="general" vertical="bottom" textRotation="0" wrapText="false" indent="0" shrinkToFit="false"/>
      <protection locked="true" hidden="false"/>
    </xf>
    <xf numFmtId="213" fontId="61" fillId="0" borderId="0" xfId="15" applyFont="true" applyBorder="true" applyAlignment="true" applyProtection="true">
      <alignment horizontal="center" vertical="bottom" textRotation="0" wrapText="false" indent="0" shrinkToFit="false"/>
      <protection locked="true" hidden="false"/>
    </xf>
    <xf numFmtId="217" fontId="57" fillId="0" borderId="0" xfId="19" applyFont="true" applyBorder="true" applyAlignment="true" applyProtection="true">
      <alignment horizontal="left" vertical="bottom" textRotation="0" wrapText="false" indent="0" shrinkToFit="false"/>
      <protection locked="true" hidden="false"/>
    </xf>
    <xf numFmtId="213" fontId="64" fillId="4" borderId="16" xfId="15" applyFont="true" applyBorder="true" applyAlignment="true" applyProtection="true">
      <alignment horizontal="general" vertical="bottom" textRotation="0" wrapText="false" indent="0" shrinkToFit="false"/>
      <protection locked="true" hidden="false"/>
    </xf>
    <xf numFmtId="216" fontId="64" fillId="2" borderId="23" xfId="19" applyFont="true" applyBorder="true" applyAlignment="true" applyProtection="true">
      <alignment horizontal="center" vertical="bottom" textRotation="0" wrapText="false" indent="0" shrinkToFit="false"/>
      <protection locked="true" hidden="false"/>
    </xf>
    <xf numFmtId="216" fontId="61" fillId="2" borderId="24" xfId="19" applyFont="true" applyBorder="true" applyAlignment="true" applyProtection="true">
      <alignment horizontal="general" vertical="bottom" textRotation="0" wrapText="false" indent="0" shrinkToFit="false"/>
      <protection locked="true" hidden="false"/>
    </xf>
    <xf numFmtId="164" fontId="61" fillId="2" borderId="25" xfId="0" applyFont="true" applyBorder="true" applyAlignment="false" applyProtection="false">
      <alignment horizontal="general" vertical="bottom" textRotation="0" wrapText="false" indent="0" shrinkToFit="false"/>
      <protection locked="true" hidden="false"/>
    </xf>
    <xf numFmtId="217" fontId="57" fillId="0" borderId="22" xfId="19" applyFont="true" applyBorder="true" applyAlignment="true" applyProtection="true">
      <alignment horizontal="left" vertical="bottom" textRotation="0" wrapText="false" indent="0" shrinkToFit="false"/>
      <protection locked="true" hidden="false"/>
    </xf>
    <xf numFmtId="213" fontId="64" fillId="4" borderId="18" xfId="15" applyFont="true" applyBorder="true" applyAlignment="true" applyProtection="true">
      <alignment horizontal="general" vertical="bottom" textRotation="0" wrapText="false" indent="0" shrinkToFit="false"/>
      <protection locked="true" hidden="false"/>
    </xf>
    <xf numFmtId="216" fontId="64" fillId="2" borderId="31" xfId="19" applyFont="true" applyBorder="true" applyAlignment="true" applyProtection="true">
      <alignment horizontal="center" vertical="bottom" textRotation="0" wrapText="false" indent="0" shrinkToFit="false"/>
      <protection locked="true" hidden="false"/>
    </xf>
    <xf numFmtId="216" fontId="61" fillId="2" borderId="14" xfId="19" applyFont="true" applyBorder="true" applyAlignment="true" applyProtection="true">
      <alignment horizontal="general" vertical="bottom" textRotation="0" wrapText="false" indent="0" shrinkToFit="false"/>
      <protection locked="true" hidden="false"/>
    </xf>
    <xf numFmtId="164" fontId="61" fillId="2" borderId="29" xfId="0" applyFont="true" applyBorder="true" applyAlignment="false" applyProtection="false">
      <alignment horizontal="general" vertical="bottom" textRotation="0" wrapText="false" indent="0" shrinkToFit="false"/>
      <protection locked="true" hidden="false"/>
    </xf>
    <xf numFmtId="164" fontId="90" fillId="0" borderId="0" xfId="0" applyFont="true" applyBorder="false" applyAlignment="true" applyProtection="false">
      <alignment horizontal="center" vertical="bottom" textRotation="0" wrapText="false" indent="0" shrinkToFit="false"/>
      <protection locked="true" hidden="false"/>
    </xf>
    <xf numFmtId="164" fontId="77" fillId="0" borderId="0" xfId="0" applyFont="true" applyBorder="false" applyAlignment="true" applyProtection="false">
      <alignment horizontal="general" vertical="bottom" textRotation="0" wrapText="false" indent="0" shrinkToFit="false"/>
      <protection locked="true" hidden="false"/>
    </xf>
    <xf numFmtId="217" fontId="66" fillId="0" borderId="0" xfId="19" applyFont="true" applyBorder="true" applyAlignment="true" applyProtection="true">
      <alignment horizontal="left" vertical="bottom" textRotation="0" wrapText="false" indent="0" shrinkToFit="false"/>
      <protection locked="true" hidden="false"/>
    </xf>
    <xf numFmtId="217" fontId="0" fillId="0" borderId="0" xfId="19" applyFont="true" applyBorder="true" applyAlignment="true" applyProtection="true">
      <alignment horizontal="general" vertical="bottom" textRotation="0" wrapText="false" indent="0" shrinkToFit="false"/>
      <protection locked="true" hidden="false"/>
    </xf>
    <xf numFmtId="217" fontId="90" fillId="0" borderId="0" xfId="19" applyFont="true" applyBorder="true" applyAlignment="true" applyProtection="true">
      <alignment horizontal="center" vertical="bottom" textRotation="0" wrapText="false" indent="0" shrinkToFit="false"/>
      <protection locked="true" hidden="false"/>
    </xf>
    <xf numFmtId="215" fontId="91" fillId="2" borderId="0" xfId="0" applyFont="true" applyBorder="false" applyAlignment="true" applyProtection="false">
      <alignment horizontal="general" vertical="bottom" textRotation="0" wrapText="false" indent="0" shrinkToFit="false"/>
      <protection locked="true" hidden="false"/>
    </xf>
    <xf numFmtId="164" fontId="91" fillId="2" borderId="0" xfId="0" applyFont="true" applyBorder="false" applyAlignment="true" applyProtection="false">
      <alignment horizontal="left" vertical="bottom" textRotation="0" wrapText="false" indent="0" shrinkToFit="false"/>
      <protection locked="true" hidden="false"/>
    </xf>
    <xf numFmtId="217" fontId="91" fillId="2" borderId="0" xfId="19" applyFont="true" applyBorder="true" applyAlignment="true" applyProtection="true">
      <alignment horizontal="general" vertical="bottom" textRotation="0" wrapText="false" indent="0" shrinkToFit="false"/>
      <protection locked="true" hidden="false"/>
    </xf>
    <xf numFmtId="164" fontId="91" fillId="2" borderId="0" xfId="0" applyFont="true" applyBorder="false" applyAlignment="true" applyProtection="false">
      <alignment horizontal="general" vertical="bottom" textRotation="0" wrapText="false" indent="0" shrinkToFit="false"/>
      <protection locked="true" hidden="false"/>
    </xf>
    <xf numFmtId="164" fontId="91" fillId="2" borderId="0" xfId="0" applyFont="true" applyBorder="false" applyAlignment="false" applyProtection="false">
      <alignment horizontal="general" vertical="bottom" textRotation="0" wrapText="false" indent="0" shrinkToFit="false"/>
      <protection locked="true" hidden="false"/>
    </xf>
    <xf numFmtId="164" fontId="96" fillId="0" borderId="0" xfId="0" applyFont="true" applyBorder="false" applyAlignment="false" applyProtection="false">
      <alignment horizontal="general" vertical="bottom" textRotation="0" wrapText="false" indent="0" shrinkToFit="false"/>
      <protection locked="true" hidden="false"/>
    </xf>
    <xf numFmtId="164" fontId="96" fillId="0" borderId="0" xfId="1057" applyFont="true" applyBorder="false" applyAlignment="true" applyProtection="false">
      <alignment horizontal="general" vertical="bottom" textRotation="0" wrapText="false" indent="0" shrinkToFit="false"/>
      <protection locked="true" hidden="false"/>
    </xf>
    <xf numFmtId="164" fontId="9" fillId="0" borderId="0" xfId="1057" applyFont="true" applyBorder="false" applyAlignment="true" applyProtection="false">
      <alignment horizontal="general" vertical="bottom" textRotation="0" wrapText="false" indent="0" shrinkToFit="false"/>
      <protection locked="true" hidden="false"/>
    </xf>
    <xf numFmtId="164" fontId="9" fillId="0" borderId="0" xfId="1057" applyFont="true" applyBorder="false" applyAlignment="true" applyProtection="false">
      <alignment horizontal="general" vertical="bottom" textRotation="0" wrapText="false" indent="0" shrinkToFit="false"/>
      <protection locked="true" hidden="false"/>
    </xf>
    <xf numFmtId="164" fontId="97" fillId="0" borderId="0" xfId="1057" applyFont="true" applyBorder="false" applyAlignment="true" applyProtection="false">
      <alignment horizontal="left" vertical="bottom" textRotation="0" wrapText="false" indent="0" shrinkToFit="false"/>
      <protection locked="true" hidden="false"/>
    </xf>
    <xf numFmtId="164" fontId="61" fillId="0" borderId="0" xfId="1057" applyFont="true" applyBorder="false" applyAlignment="true" applyProtection="false">
      <alignment horizontal="general" vertical="bottom" textRotation="0" wrapText="false" indent="0" shrinkToFit="false"/>
      <protection locked="true" hidden="false"/>
    </xf>
    <xf numFmtId="164" fontId="69" fillId="0" borderId="11" xfId="1057" applyFont="true" applyBorder="true" applyAlignment="true" applyProtection="false">
      <alignment horizontal="center" vertical="bottom" textRotation="0" wrapText="false" indent="0" shrinkToFit="false"/>
      <protection locked="true" hidden="false"/>
    </xf>
    <xf numFmtId="164" fontId="9" fillId="0" borderId="0" xfId="1057" applyFont="true" applyBorder="false" applyAlignment="true" applyProtection="false">
      <alignment horizontal="left" vertical="bottom" textRotation="0" wrapText="false" indent="0" shrinkToFit="false"/>
      <protection locked="true" hidden="false"/>
    </xf>
    <xf numFmtId="164" fontId="69" fillId="0" borderId="0" xfId="1057" applyFont="true" applyBorder="false" applyAlignment="true" applyProtection="false">
      <alignment horizontal="right" vertical="bottom" textRotation="0" wrapText="false" indent="0" shrinkToFit="false"/>
      <protection locked="true" hidden="false"/>
    </xf>
    <xf numFmtId="215" fontId="9" fillId="0" borderId="0" xfId="1057" applyFont="true" applyBorder="false" applyAlignment="true" applyProtection="false">
      <alignment horizontal="center" vertical="bottom" textRotation="0" wrapText="false" indent="0" shrinkToFit="false"/>
      <protection locked="true" hidden="false"/>
    </xf>
    <xf numFmtId="164" fontId="9" fillId="0" borderId="0" xfId="1057" applyFont="true" applyBorder="true" applyAlignment="true" applyProtection="false">
      <alignment horizontal="left" vertical="bottom" textRotation="0" wrapText="false" indent="0" shrinkToFit="false"/>
      <protection locked="true" hidden="false"/>
    </xf>
    <xf numFmtId="164" fontId="9" fillId="0" borderId="0" xfId="0" applyFont="true" applyBorder="true" applyAlignment="false" applyProtection="false">
      <alignment horizontal="general" vertical="bottom" textRotation="0" wrapText="false" indent="0" shrinkToFit="false"/>
      <protection locked="true" hidden="false"/>
    </xf>
    <xf numFmtId="164" fontId="9" fillId="0" borderId="0" xfId="1057" applyFont="true" applyBorder="true" applyAlignment="true" applyProtection="false">
      <alignment horizontal="general" vertical="bottom" textRotation="0" wrapText="false" indent="0" shrinkToFit="false"/>
      <protection locked="true" hidden="false"/>
    </xf>
    <xf numFmtId="231" fontId="69" fillId="0" borderId="0" xfId="1057" applyFont="true" applyBorder="true" applyAlignment="true" applyProtection="false">
      <alignment horizontal="right" vertical="bottom" textRotation="0" wrapText="false" indent="0" shrinkToFit="false"/>
      <protection locked="true" hidden="false"/>
    </xf>
    <xf numFmtId="164" fontId="69" fillId="13" borderId="0" xfId="1057" applyFont="true" applyBorder="false" applyAlignment="true" applyProtection="false">
      <alignment horizontal="left" vertical="bottom" textRotation="0" wrapText="false" indent="0" shrinkToFit="false"/>
      <protection locked="true" hidden="false"/>
    </xf>
    <xf numFmtId="164" fontId="9" fillId="13" borderId="0" xfId="0" applyFont="true" applyBorder="false" applyAlignment="false" applyProtection="false">
      <alignment horizontal="general" vertical="bottom" textRotation="0" wrapText="false" indent="0" shrinkToFit="false"/>
      <protection locked="true" hidden="false"/>
    </xf>
    <xf numFmtId="216" fontId="69" fillId="13" borderId="0" xfId="1057" applyFont="true" applyBorder="false" applyAlignment="true" applyProtection="false">
      <alignment horizontal="right" vertical="bottom" textRotation="0" wrapText="false" indent="0" shrinkToFit="false"/>
      <protection locked="true" hidden="false"/>
    </xf>
    <xf numFmtId="215" fontId="69" fillId="0" borderId="0" xfId="1057" applyFont="true" applyBorder="false" applyAlignment="true" applyProtection="false">
      <alignment horizontal="right" vertical="bottom" textRotation="0" wrapText="false" indent="0" shrinkToFit="false"/>
      <protection locked="true" hidden="false"/>
    </xf>
    <xf numFmtId="164" fontId="69" fillId="0" borderId="0" xfId="1057" applyFont="true" applyBorder="false" applyAlignment="true" applyProtection="false">
      <alignment horizontal="left" vertical="bottom" textRotation="0" wrapText="false" indent="0" shrinkToFit="false"/>
      <protection locked="true" hidden="false"/>
    </xf>
    <xf numFmtId="213" fontId="69" fillId="0" borderId="0" xfId="15" applyFont="true" applyBorder="true" applyAlignment="true" applyProtection="true">
      <alignment horizontal="right" vertical="bottom" textRotation="0" wrapText="false" indent="0" shrinkToFit="false"/>
      <protection locked="true" hidden="false"/>
    </xf>
    <xf numFmtId="164" fontId="9" fillId="13" borderId="0" xfId="1057" applyFont="true" applyBorder="false" applyAlignment="true" applyProtection="false">
      <alignment horizontal="general" vertical="bottom" textRotation="0" wrapText="false" indent="0" shrinkToFit="false"/>
      <protection locked="true" hidden="false"/>
    </xf>
    <xf numFmtId="215" fontId="9" fillId="13" borderId="0" xfId="1057" applyFont="true" applyBorder="false" applyAlignment="true" applyProtection="false">
      <alignment horizontal="right" vertical="bottom" textRotation="0" wrapText="false" indent="0" shrinkToFit="false"/>
      <protection locked="true" hidden="false"/>
    </xf>
    <xf numFmtId="215" fontId="9" fillId="0" borderId="0" xfId="1057" applyFont="true" applyBorder="false" applyAlignment="true" applyProtection="false">
      <alignment horizontal="general" vertical="bottom" textRotation="0" wrapText="false" indent="0" shrinkToFit="false"/>
      <protection locked="true" hidden="false"/>
    </xf>
    <xf numFmtId="216" fontId="9" fillId="13" borderId="0" xfId="1057" applyFont="true" applyBorder="false" applyAlignment="true" applyProtection="false">
      <alignment horizontal="general" vertical="bottom" textRotation="0" wrapText="false" indent="0" shrinkToFit="false"/>
      <protection locked="true" hidden="false"/>
    </xf>
    <xf numFmtId="215" fontId="9" fillId="0" borderId="0" xfId="0" applyFont="true" applyBorder="false" applyAlignment="false" applyProtection="false">
      <alignment horizontal="general" vertical="bottom" textRotation="0" wrapText="false" indent="0" shrinkToFit="false"/>
      <protection locked="true" hidden="false"/>
    </xf>
    <xf numFmtId="221" fontId="9" fillId="0" borderId="0" xfId="0" applyFont="true" applyBorder="false" applyAlignment="false" applyProtection="false">
      <alignment horizontal="general" vertical="bottom" textRotation="0" wrapText="false" indent="0" shrinkToFit="false"/>
      <protection locked="true" hidden="false"/>
    </xf>
    <xf numFmtId="215" fontId="9" fillId="13" borderId="0" xfId="1057" applyFont="true" applyBorder="false" applyAlignment="true" applyProtection="false">
      <alignment horizontal="general" vertical="bottom" textRotation="0" wrapText="false" indent="0" shrinkToFit="false"/>
      <protection locked="true" hidden="false"/>
    </xf>
    <xf numFmtId="210" fontId="9" fillId="13" borderId="0" xfId="1057" applyFont="true" applyBorder="false" applyAlignment="true" applyProtection="false">
      <alignment horizontal="right" vertical="bottom" textRotation="0" wrapText="false" indent="0" shrinkToFit="false"/>
      <protection locked="true" hidden="false"/>
    </xf>
    <xf numFmtId="210" fontId="9" fillId="13" borderId="0" xfId="1057" applyFont="true" applyBorder="false" applyAlignment="true" applyProtection="false">
      <alignment horizontal="general" vertical="bottom" textRotation="0" wrapText="false" indent="0" shrinkToFit="false"/>
      <protection locked="true" hidden="false"/>
    </xf>
    <xf numFmtId="164" fontId="9" fillId="0" borderId="23" xfId="1057" applyFont="true" applyBorder="true" applyAlignment="true" applyProtection="false">
      <alignment horizontal="left" vertical="bottom" textRotation="0" wrapText="false" indent="0" shrinkToFit="false"/>
      <protection locked="true" hidden="false"/>
    </xf>
    <xf numFmtId="164" fontId="9" fillId="0" borderId="24" xfId="0" applyFont="true" applyBorder="true" applyAlignment="false" applyProtection="false">
      <alignment horizontal="general" vertical="bottom" textRotation="0" wrapText="false" indent="0" shrinkToFit="false"/>
      <protection locked="true" hidden="false"/>
    </xf>
    <xf numFmtId="216" fontId="9" fillId="0" borderId="24" xfId="1057" applyFont="true" applyBorder="true" applyAlignment="true" applyProtection="false">
      <alignment horizontal="center" vertical="bottom" textRotation="0" wrapText="false" indent="0" shrinkToFit="false"/>
      <protection locked="true" hidden="false"/>
    </xf>
    <xf numFmtId="231" fontId="69" fillId="0" borderId="25" xfId="1057" applyFont="true" applyBorder="true" applyAlignment="true" applyProtection="false">
      <alignment horizontal="right" vertical="bottom" textRotation="0" wrapText="false" indent="0" shrinkToFit="false"/>
      <protection locked="true" hidden="false"/>
    </xf>
    <xf numFmtId="164" fontId="9" fillId="0" borderId="0" xfId="0" applyFont="true" applyBorder="true" applyAlignment="false" applyProtection="false">
      <alignment horizontal="general" vertical="bottom" textRotation="0" wrapText="false" indent="0" shrinkToFit="false"/>
      <protection locked="true" hidden="false"/>
    </xf>
    <xf numFmtId="164" fontId="9" fillId="0" borderId="26" xfId="1057" applyFont="true" applyBorder="true" applyAlignment="true" applyProtection="false">
      <alignment horizontal="left" vertical="bottom" textRotation="0" wrapText="false" indent="0" shrinkToFit="false"/>
      <protection locked="true" hidden="false"/>
    </xf>
    <xf numFmtId="231" fontId="69" fillId="0" borderId="27" xfId="1057" applyFont="true" applyBorder="true" applyAlignment="true" applyProtection="false">
      <alignment horizontal="right" vertical="bottom" textRotation="0" wrapText="false" indent="0" shrinkToFit="false"/>
      <protection locked="true" hidden="false"/>
    </xf>
    <xf numFmtId="164" fontId="9" fillId="0" borderId="31" xfId="1057" applyFont="true" applyBorder="true" applyAlignment="true" applyProtection="false">
      <alignment horizontal="left" vertical="bottom" textRotation="0" wrapText="false" indent="0" shrinkToFit="false"/>
      <protection locked="true" hidden="false"/>
    </xf>
    <xf numFmtId="164" fontId="9" fillId="0" borderId="14" xfId="0" applyFont="true" applyBorder="true" applyAlignment="false" applyProtection="false">
      <alignment horizontal="general" vertical="bottom" textRotation="0" wrapText="false" indent="0" shrinkToFit="false"/>
      <protection locked="true" hidden="false"/>
    </xf>
    <xf numFmtId="164" fontId="9" fillId="0" borderId="14" xfId="1057" applyFont="true" applyBorder="true" applyAlignment="true" applyProtection="false">
      <alignment horizontal="general" vertical="bottom" textRotation="0" wrapText="false" indent="0" shrinkToFit="false"/>
      <protection locked="true" hidden="false"/>
    </xf>
    <xf numFmtId="231" fontId="69" fillId="0" borderId="29" xfId="1057" applyFont="true" applyBorder="true" applyAlignment="true" applyProtection="false">
      <alignment horizontal="right" vertical="bottom" textRotation="0" wrapText="false" indent="0" shrinkToFit="false"/>
      <protection locked="true" hidden="false"/>
    </xf>
    <xf numFmtId="164" fontId="69" fillId="0" borderId="0" xfId="0" applyFont="true" applyBorder="true" applyAlignment="true" applyProtection="false">
      <alignment horizontal="general" vertical="bottom" textRotation="0" wrapText="false" indent="0" shrinkToFit="false"/>
      <protection locked="true" hidden="false"/>
    </xf>
    <xf numFmtId="164" fontId="61" fillId="13" borderId="23" xfId="1057" applyFont="true" applyBorder="true" applyAlignment="true" applyProtection="false">
      <alignment horizontal="left" vertical="bottom" textRotation="0" wrapText="false" indent="0" shrinkToFit="false"/>
      <protection locked="true" hidden="false"/>
    </xf>
    <xf numFmtId="215" fontId="64" fillId="0" borderId="24" xfId="1057" applyFont="true" applyBorder="true" applyAlignment="true" applyProtection="false">
      <alignment horizontal="right" vertical="bottom" textRotation="0" wrapText="false" indent="0" shrinkToFit="false"/>
      <protection locked="true" hidden="false"/>
    </xf>
    <xf numFmtId="164" fontId="9" fillId="0" borderId="24" xfId="1057" applyFont="true" applyBorder="true" applyAlignment="true" applyProtection="false">
      <alignment horizontal="general" vertical="bottom" textRotation="0" wrapText="false" indent="0" shrinkToFit="false"/>
      <protection locked="true" hidden="false"/>
    </xf>
    <xf numFmtId="164" fontId="9" fillId="0" borderId="25" xfId="0" applyFont="true" applyBorder="true" applyAlignment="false" applyProtection="false">
      <alignment horizontal="general" vertical="bottom" textRotation="0" wrapText="false" indent="0" shrinkToFit="false"/>
      <protection locked="true" hidden="false"/>
    </xf>
    <xf numFmtId="215" fontId="9" fillId="0" borderId="26" xfId="1057" applyFont="true" applyBorder="true" applyAlignment="true" applyProtection="false">
      <alignment horizontal="general" vertical="bottom" textRotation="0" wrapText="false" indent="0" shrinkToFit="false"/>
      <protection locked="true" hidden="false"/>
    </xf>
    <xf numFmtId="215" fontId="69" fillId="0" borderId="0" xfId="1057" applyFont="true" applyBorder="true" applyAlignment="true" applyProtection="false">
      <alignment horizontal="right" vertical="bottom" textRotation="0" wrapText="false" indent="0" shrinkToFit="false"/>
      <protection locked="true" hidden="false"/>
    </xf>
    <xf numFmtId="217" fontId="69" fillId="0" borderId="0" xfId="1057" applyFont="true" applyBorder="true" applyAlignment="true" applyProtection="false">
      <alignment horizontal="right" vertical="bottom" textRotation="0" wrapText="false" indent="0" shrinkToFit="false"/>
      <protection locked="true" hidden="false"/>
    </xf>
    <xf numFmtId="164" fontId="9" fillId="0" borderId="0" xfId="1057" applyFont="true" applyBorder="true" applyAlignment="true" applyProtection="false">
      <alignment horizontal="general" vertical="bottom" textRotation="0" wrapText="false" indent="0" shrinkToFit="false"/>
      <protection locked="true" hidden="false"/>
    </xf>
    <xf numFmtId="164" fontId="9" fillId="0" borderId="27" xfId="0" applyFont="true" applyBorder="true" applyAlignment="false" applyProtection="false">
      <alignment horizontal="general" vertical="bottom" textRotation="0" wrapText="false" indent="0" shrinkToFit="false"/>
      <protection locked="true" hidden="false"/>
    </xf>
    <xf numFmtId="164" fontId="64" fillId="0" borderId="23" xfId="1057" applyFont="true" applyBorder="true" applyAlignment="true" applyProtection="false">
      <alignment horizontal="left" vertical="bottom" textRotation="0" wrapText="false" indent="0" shrinkToFit="false"/>
      <protection locked="true" hidden="false"/>
    </xf>
    <xf numFmtId="164" fontId="64" fillId="0" borderId="24" xfId="1057" applyFont="true" applyBorder="true" applyAlignment="true" applyProtection="false">
      <alignment horizontal="left" vertical="bottom" textRotation="0" wrapText="false" indent="0" shrinkToFit="false"/>
      <protection locked="true" hidden="false"/>
    </xf>
    <xf numFmtId="164" fontId="69" fillId="0" borderId="24" xfId="1057" applyFont="true" applyBorder="true" applyAlignment="true" applyProtection="false">
      <alignment horizontal="left" vertical="bottom" textRotation="0" wrapText="false" indent="0" shrinkToFit="false"/>
      <protection locked="true" hidden="false"/>
    </xf>
    <xf numFmtId="164" fontId="9" fillId="0" borderId="24" xfId="1057" applyFont="true" applyBorder="true" applyAlignment="true" applyProtection="false">
      <alignment horizontal="general" vertical="bottom" textRotation="0" wrapText="false" indent="0" shrinkToFit="false"/>
      <protection locked="true" hidden="false"/>
    </xf>
    <xf numFmtId="164" fontId="9" fillId="0" borderId="24" xfId="0" applyFont="true" applyBorder="true" applyAlignment="false" applyProtection="false">
      <alignment horizontal="general" vertical="bottom" textRotation="0" wrapText="false" indent="0" shrinkToFit="false"/>
      <protection locked="true" hidden="false"/>
    </xf>
    <xf numFmtId="164" fontId="9" fillId="0" borderId="26" xfId="1057" applyFont="true" applyBorder="true" applyAlignment="true" applyProtection="false">
      <alignment horizontal="general" vertical="bottom" textRotation="0" wrapText="false" indent="0" shrinkToFit="false"/>
      <protection locked="true" hidden="false"/>
    </xf>
    <xf numFmtId="164" fontId="61" fillId="0" borderId="0" xfId="1057" applyFont="true" applyBorder="true" applyAlignment="true" applyProtection="false">
      <alignment horizontal="left" vertical="bottom" textRotation="0" wrapText="false" indent="0" shrinkToFit="false"/>
      <protection locked="true" hidden="false"/>
    </xf>
    <xf numFmtId="164" fontId="64" fillId="0" borderId="26" xfId="1057" applyFont="true" applyBorder="true" applyAlignment="true" applyProtection="false">
      <alignment horizontal="left" vertical="bottom" textRotation="0" wrapText="false" indent="0" shrinkToFit="false"/>
      <protection locked="true" hidden="false"/>
    </xf>
    <xf numFmtId="164" fontId="98" fillId="0" borderId="0" xfId="1057" applyFont="true" applyBorder="true" applyAlignment="true" applyProtection="false">
      <alignment horizontal="center" vertical="bottom" textRotation="0" wrapText="false" indent="0" shrinkToFit="false"/>
      <protection locked="true" hidden="false"/>
    </xf>
    <xf numFmtId="164" fontId="9" fillId="0" borderId="0" xfId="1057" applyFont="true" applyBorder="true" applyAlignment="true" applyProtection="false">
      <alignment horizontal="center" vertical="bottom" textRotation="0" wrapText="false" indent="0" shrinkToFit="false"/>
      <protection locked="true" hidden="false"/>
    </xf>
    <xf numFmtId="164" fontId="9" fillId="0" borderId="27" xfId="1057" applyFont="true" applyBorder="true" applyAlignment="true" applyProtection="false">
      <alignment horizontal="center" vertical="bottom" textRotation="0" wrapText="false" indent="0" shrinkToFit="false"/>
      <protection locked="true" hidden="false"/>
    </xf>
    <xf numFmtId="215" fontId="61" fillId="0" borderId="32" xfId="1057" applyFont="true" applyBorder="true" applyAlignment="true" applyProtection="false">
      <alignment horizontal="general" vertical="bottom" textRotation="0" wrapText="false" indent="0" shrinkToFit="false"/>
      <protection locked="true" hidden="false"/>
    </xf>
    <xf numFmtId="215" fontId="64" fillId="0" borderId="5" xfId="1057" applyFont="true" applyBorder="true" applyAlignment="true" applyProtection="false">
      <alignment horizontal="right" vertical="bottom" textRotation="0" wrapText="false" indent="0" shrinkToFit="false"/>
      <protection locked="true" hidden="false"/>
    </xf>
    <xf numFmtId="217" fontId="64" fillId="0" borderId="5" xfId="1057" applyFont="true" applyBorder="true" applyAlignment="true" applyProtection="false">
      <alignment horizontal="right" vertical="bottom" textRotation="0" wrapText="false" indent="0" shrinkToFit="false"/>
      <protection locked="true" hidden="false"/>
    </xf>
    <xf numFmtId="164" fontId="99" fillId="0" borderId="26" xfId="1057" applyFont="true" applyBorder="true" applyAlignment="true" applyProtection="false">
      <alignment horizontal="center" vertical="bottom" textRotation="0" wrapText="false" indent="0" shrinkToFit="false"/>
      <protection locked="true" hidden="false"/>
    </xf>
    <xf numFmtId="164" fontId="64" fillId="13" borderId="0" xfId="1057" applyFont="true" applyBorder="true" applyAlignment="true" applyProtection="false">
      <alignment horizontal="center" vertical="bottom" textRotation="0" wrapText="false" indent="0" shrinkToFit="false"/>
      <protection locked="true" hidden="false"/>
    </xf>
    <xf numFmtId="216" fontId="64" fillId="0" borderId="0" xfId="1057" applyFont="true" applyBorder="true" applyAlignment="true" applyProtection="false">
      <alignment horizontal="center" vertical="bottom" textRotation="0" wrapText="false" indent="0" shrinkToFit="false"/>
      <protection locked="true" hidden="false"/>
    </xf>
    <xf numFmtId="216" fontId="64" fillId="0" borderId="27" xfId="1057" applyFont="true" applyBorder="true" applyAlignment="true" applyProtection="false">
      <alignment horizontal="center" vertical="bottom" textRotation="0" wrapText="false" indent="0" shrinkToFit="false"/>
      <protection locked="true" hidden="false"/>
    </xf>
    <xf numFmtId="164" fontId="64" fillId="0" borderId="26" xfId="1057" applyFont="true" applyBorder="true" applyAlignment="true" applyProtection="false">
      <alignment horizontal="left" vertical="bottom" textRotation="0" wrapText="false" indent="0" shrinkToFit="false"/>
      <protection locked="true" hidden="false"/>
    </xf>
    <xf numFmtId="216" fontId="69" fillId="0" borderId="0" xfId="19" applyFont="true" applyBorder="true" applyAlignment="true" applyProtection="true">
      <alignment horizontal="center" vertical="bottom" textRotation="0" wrapText="false" indent="0" shrinkToFit="false"/>
      <protection locked="true" hidden="false"/>
    </xf>
    <xf numFmtId="216" fontId="69" fillId="0" borderId="0" xfId="1057" applyFont="true" applyBorder="true" applyAlignment="true" applyProtection="false">
      <alignment horizontal="center" vertical="bottom" textRotation="0" wrapText="false" indent="0" shrinkToFit="false"/>
      <protection locked="true" hidden="false"/>
    </xf>
    <xf numFmtId="216" fontId="69" fillId="0" borderId="27" xfId="1057" applyFont="true" applyBorder="true" applyAlignment="true" applyProtection="false">
      <alignment horizontal="center" vertical="bottom" textRotation="0" wrapText="false" indent="0" shrinkToFit="false"/>
      <protection locked="true" hidden="false"/>
    </xf>
    <xf numFmtId="164" fontId="64" fillId="0" borderId="0" xfId="1057" applyFont="true" applyBorder="true" applyAlignment="true" applyProtection="false">
      <alignment horizontal="center" vertical="bottom" textRotation="0" wrapText="false" indent="0" shrinkToFit="false"/>
      <protection locked="true" hidden="false"/>
    </xf>
    <xf numFmtId="215" fontId="61" fillId="0" borderId="33" xfId="1057" applyFont="true" applyBorder="true" applyAlignment="true" applyProtection="false">
      <alignment horizontal="general" vertical="bottom" textRotation="0" wrapText="false" indent="0" shrinkToFit="false"/>
      <protection locked="true" hidden="false"/>
    </xf>
    <xf numFmtId="215" fontId="64" fillId="0" borderId="13" xfId="1057" applyFont="true" applyBorder="true" applyAlignment="true" applyProtection="false">
      <alignment horizontal="right" vertical="bottom" textRotation="0" wrapText="false" indent="0" shrinkToFit="false"/>
      <protection locked="true" hidden="false"/>
    </xf>
    <xf numFmtId="217" fontId="64" fillId="0" borderId="13" xfId="1057" applyFont="true" applyBorder="true" applyAlignment="true" applyProtection="false">
      <alignment horizontal="right" vertical="bottom" textRotation="0" wrapText="false" indent="0" shrinkToFit="false"/>
      <protection locked="true" hidden="false"/>
    </xf>
    <xf numFmtId="164" fontId="69" fillId="0" borderId="0" xfId="1057" applyFont="true" applyBorder="true" applyAlignment="true" applyProtection="false">
      <alignment horizontal="center" vertical="bottom" textRotation="0" wrapText="false" indent="0" shrinkToFit="false"/>
      <protection locked="true" hidden="false"/>
    </xf>
    <xf numFmtId="164" fontId="9" fillId="0" borderId="26" xfId="0" applyFont="true" applyBorder="true" applyAlignment="false" applyProtection="false">
      <alignment horizontal="general" vertical="bottom" textRotation="0" wrapText="false" indent="0" shrinkToFit="false"/>
      <protection locked="true" hidden="false"/>
    </xf>
    <xf numFmtId="164" fontId="61" fillId="0" borderId="0" xfId="1057" applyFont="true" applyBorder="true" applyAlignment="true" applyProtection="false">
      <alignment horizontal="general" vertical="bottom" textRotation="0" wrapText="false" indent="0" shrinkToFit="false"/>
      <protection locked="true" hidden="false"/>
    </xf>
    <xf numFmtId="164" fontId="61" fillId="0" borderId="0" xfId="1057" applyFont="true" applyBorder="true" applyAlignment="true" applyProtection="false">
      <alignment horizontal="right" vertical="bottom" textRotation="0" wrapText="false" indent="0" shrinkToFit="false"/>
      <protection locked="true" hidden="false"/>
    </xf>
    <xf numFmtId="164" fontId="61" fillId="13" borderId="26" xfId="1057" applyFont="true" applyBorder="true" applyAlignment="true" applyProtection="false">
      <alignment horizontal="left" vertical="bottom" textRotation="0" wrapText="false" indent="0" shrinkToFit="false"/>
      <protection locked="true" hidden="false"/>
    </xf>
    <xf numFmtId="164" fontId="64" fillId="0" borderId="0" xfId="1057" applyFont="true" applyBorder="true" applyAlignment="true" applyProtection="false">
      <alignment horizontal="right" vertical="bottom" textRotation="0" wrapText="false" indent="0" shrinkToFit="false"/>
      <protection locked="true" hidden="false"/>
    </xf>
    <xf numFmtId="164" fontId="61" fillId="0" borderId="27" xfId="0" applyFont="true" applyBorder="true" applyAlignment="true" applyProtection="false">
      <alignment horizontal="right" vertical="bottom" textRotation="0" wrapText="false" indent="0" shrinkToFit="false"/>
      <protection locked="true" hidden="false"/>
    </xf>
    <xf numFmtId="164" fontId="64" fillId="0" borderId="26" xfId="1057" applyFont="true" applyBorder="true" applyAlignment="true" applyProtection="false">
      <alignment horizontal="general" vertical="bottom" textRotation="0" wrapText="false" indent="0" shrinkToFit="false"/>
      <protection locked="true" hidden="false"/>
    </xf>
    <xf numFmtId="164" fontId="69" fillId="0" borderId="0" xfId="1057" applyFont="true" applyBorder="true" applyAlignment="true" applyProtection="false">
      <alignment horizontal="right" vertical="bottom" textRotation="0" wrapText="false" indent="0" shrinkToFit="false"/>
      <protection locked="true" hidden="false"/>
    </xf>
    <xf numFmtId="164" fontId="9" fillId="0" borderId="27" xfId="1057" applyFont="true" applyBorder="true" applyAlignment="true" applyProtection="false">
      <alignment horizontal="general" vertical="bottom" textRotation="0" wrapText="false" indent="0" shrinkToFit="false"/>
      <protection locked="true" hidden="false"/>
    </xf>
    <xf numFmtId="215" fontId="69" fillId="0" borderId="26" xfId="1057" applyFont="true" applyBorder="true" applyAlignment="true" applyProtection="false">
      <alignment horizontal="left" vertical="bottom" textRotation="0" wrapText="false" indent="0" shrinkToFit="false"/>
      <protection locked="true" hidden="false"/>
    </xf>
    <xf numFmtId="217" fontId="9" fillId="0" borderId="0" xfId="1057" applyFont="true" applyBorder="true" applyAlignment="true" applyProtection="false">
      <alignment horizontal="general" vertical="bottom" textRotation="0" wrapText="false" indent="0" shrinkToFit="false"/>
      <protection locked="true" hidden="false"/>
    </xf>
    <xf numFmtId="215" fontId="69" fillId="0" borderId="0" xfId="1057" applyFont="true" applyBorder="true" applyAlignment="true" applyProtection="false">
      <alignment horizontal="general" vertical="bottom" textRotation="0" wrapText="false" indent="0" shrinkToFit="false"/>
      <protection locked="true" hidden="false"/>
    </xf>
    <xf numFmtId="215" fontId="64" fillId="0" borderId="0" xfId="1057" applyFont="true" applyBorder="true" applyAlignment="true" applyProtection="false">
      <alignment horizontal="general" vertical="bottom" textRotation="0" wrapText="false" indent="0" shrinkToFit="false"/>
      <protection locked="true" hidden="false"/>
    </xf>
    <xf numFmtId="217" fontId="9" fillId="0" borderId="27" xfId="19" applyFont="true" applyBorder="true" applyAlignment="true" applyProtection="true">
      <alignment horizontal="general" vertical="bottom" textRotation="0" wrapText="false" indent="0" shrinkToFit="false"/>
      <protection locked="true" hidden="false"/>
    </xf>
    <xf numFmtId="164" fontId="64" fillId="0" borderId="26" xfId="1057" applyFont="true" applyBorder="true" applyAlignment="true" applyProtection="false">
      <alignment horizontal="center" vertical="bottom" textRotation="0" wrapText="false" indent="0" shrinkToFit="false"/>
      <protection locked="true" hidden="false"/>
    </xf>
    <xf numFmtId="215" fontId="100" fillId="0" borderId="0" xfId="1057" applyFont="true" applyBorder="true" applyAlignment="true" applyProtection="false">
      <alignment horizontal="right" vertical="bottom" textRotation="0" wrapText="false" indent="0" shrinkToFit="false"/>
      <protection locked="true" hidden="false"/>
    </xf>
    <xf numFmtId="164" fontId="99" fillId="0" borderId="26" xfId="1057" applyFont="true" applyBorder="true" applyAlignment="true" applyProtection="false">
      <alignment horizontal="left" vertical="bottom" textRotation="0" wrapText="false" indent="0" shrinkToFit="false"/>
      <protection locked="true" hidden="false"/>
    </xf>
    <xf numFmtId="216" fontId="9" fillId="0" borderId="0" xfId="0" applyFont="true" applyBorder="true" applyAlignment="false" applyProtection="false">
      <alignment horizontal="general" vertical="bottom" textRotation="0" wrapText="false" indent="0" shrinkToFit="false"/>
      <protection locked="true" hidden="false"/>
    </xf>
    <xf numFmtId="217" fontId="69" fillId="0" borderId="27" xfId="1057" applyFont="true" applyBorder="true" applyAlignment="true" applyProtection="false">
      <alignment horizontal="center" vertical="bottom" textRotation="0" wrapText="false" indent="0" shrinkToFit="false"/>
      <protection locked="true" hidden="false"/>
    </xf>
    <xf numFmtId="215" fontId="61" fillId="0" borderId="0" xfId="1057" applyFont="true" applyBorder="true" applyAlignment="true" applyProtection="false">
      <alignment horizontal="right" vertical="bottom" textRotation="0" wrapText="false" indent="0" shrinkToFit="false"/>
      <protection locked="true" hidden="false"/>
    </xf>
    <xf numFmtId="213" fontId="69" fillId="0" borderId="0" xfId="15" applyFont="true" applyBorder="true" applyAlignment="true" applyProtection="true">
      <alignment horizontal="center" vertical="bottom" textRotation="0" wrapText="false" indent="0" shrinkToFit="false"/>
      <protection locked="true" hidden="false"/>
    </xf>
    <xf numFmtId="215" fontId="69" fillId="0" borderId="0" xfId="1057" applyFont="true" applyBorder="true" applyAlignment="true" applyProtection="false">
      <alignment horizontal="center" vertical="bottom" textRotation="0" wrapText="false" indent="0" shrinkToFit="false"/>
      <protection locked="true" hidden="false"/>
    </xf>
    <xf numFmtId="215" fontId="69" fillId="0" borderId="27" xfId="1057" applyFont="true" applyBorder="true" applyAlignment="true" applyProtection="false">
      <alignment horizontal="center" vertical="bottom" textRotation="0" wrapText="false" indent="0" shrinkToFit="false"/>
      <protection locked="true" hidden="false"/>
    </xf>
    <xf numFmtId="215" fontId="16" fillId="0" borderId="0" xfId="1057" applyFont="true" applyBorder="true" applyAlignment="true" applyProtection="false">
      <alignment horizontal="right" vertical="bottom" textRotation="0" wrapText="false" indent="0" shrinkToFit="false"/>
      <protection locked="true" hidden="false"/>
    </xf>
    <xf numFmtId="217" fontId="69" fillId="0" borderId="0" xfId="1057" applyFont="true" applyBorder="true" applyAlignment="true" applyProtection="false">
      <alignment horizontal="center" vertical="bottom" textRotation="0" wrapText="false" indent="0" shrinkToFit="false"/>
      <protection locked="true" hidden="false"/>
    </xf>
    <xf numFmtId="215" fontId="9" fillId="0" borderId="0" xfId="1057" applyFont="true" applyBorder="true" applyAlignment="true" applyProtection="false">
      <alignment horizontal="general" vertical="bottom" textRotation="0" wrapText="false" indent="0" shrinkToFit="false"/>
      <protection locked="true" hidden="false"/>
    </xf>
    <xf numFmtId="215" fontId="61" fillId="0" borderId="0" xfId="1057" applyFont="true" applyBorder="true" applyAlignment="true" applyProtection="false">
      <alignment horizontal="general" vertical="bottom" textRotation="0" wrapText="false" indent="0" shrinkToFit="false"/>
      <protection locked="true" hidden="false"/>
    </xf>
    <xf numFmtId="164" fontId="101" fillId="0" borderId="0" xfId="0" applyFont="true" applyBorder="true" applyAlignment="true" applyProtection="false">
      <alignment horizontal="left" vertical="bottom" textRotation="0" wrapText="false" indent="0" shrinkToFit="false"/>
      <protection locked="true" hidden="false"/>
    </xf>
    <xf numFmtId="164" fontId="100" fillId="0" borderId="0" xfId="0" applyFont="true" applyBorder="true" applyAlignment="true" applyProtection="false">
      <alignment horizontal="left" vertical="bottom" textRotation="0" wrapText="false" indent="0" shrinkToFit="false"/>
      <protection locked="true" hidden="false"/>
    </xf>
    <xf numFmtId="164" fontId="69" fillId="0" borderId="27" xfId="0" applyFont="true" applyBorder="true" applyAlignment="true" applyProtection="false">
      <alignment horizontal="general" vertical="bottom" textRotation="0" wrapText="false" indent="0" shrinkToFit="false"/>
      <protection locked="true" hidden="false"/>
    </xf>
    <xf numFmtId="169" fontId="69" fillId="0" borderId="26" xfId="1057" applyFont="true" applyBorder="true" applyAlignment="true" applyProtection="false">
      <alignment horizontal="left" vertical="bottom" textRotation="0" wrapText="false" indent="0" shrinkToFit="false"/>
      <protection locked="true" hidden="false"/>
    </xf>
    <xf numFmtId="164" fontId="64" fillId="13" borderId="0" xfId="1057" applyFont="true" applyBorder="true" applyAlignment="true" applyProtection="false">
      <alignment horizontal="right" vertical="bottom" textRotation="0" wrapText="false" indent="0" shrinkToFit="false"/>
      <protection locked="true" hidden="false"/>
    </xf>
    <xf numFmtId="164" fontId="61" fillId="13" borderId="0" xfId="1057" applyFont="true" applyBorder="true" applyAlignment="true" applyProtection="false">
      <alignment horizontal="right" vertical="bottom" textRotation="0" wrapText="false" indent="0" shrinkToFit="false"/>
      <protection locked="true" hidden="false"/>
    </xf>
    <xf numFmtId="221" fontId="100" fillId="0" borderId="11" xfId="0" applyFont="true" applyBorder="true" applyAlignment="true" applyProtection="false">
      <alignment horizontal="center" vertical="bottom" textRotation="0" wrapText="false" indent="0" shrinkToFit="false"/>
      <protection locked="true" hidden="false"/>
    </xf>
    <xf numFmtId="164" fontId="69" fillId="0" borderId="26" xfId="1057" applyFont="true" applyBorder="true" applyAlignment="true" applyProtection="false">
      <alignment horizontal="left" vertical="bottom" textRotation="0" wrapText="false" indent="0" shrinkToFit="false"/>
      <protection locked="true" hidden="false"/>
    </xf>
    <xf numFmtId="217" fontId="9" fillId="0" borderId="0" xfId="19" applyFont="true" applyBorder="true" applyAlignment="true" applyProtection="true">
      <alignment horizontal="general" vertical="bottom" textRotation="0" wrapText="false" indent="0" shrinkToFit="false"/>
      <protection locked="true" hidden="false"/>
    </xf>
    <xf numFmtId="216" fontId="9" fillId="0" borderId="0" xfId="1057" applyFont="true" applyBorder="true" applyAlignment="true" applyProtection="false">
      <alignment horizontal="general" vertical="bottom" textRotation="0" wrapText="false" indent="0" shrinkToFit="false"/>
      <protection locked="true" hidden="false"/>
    </xf>
    <xf numFmtId="221" fontId="100" fillId="0" borderId="11" xfId="0" applyFont="true" applyBorder="true" applyAlignment="true" applyProtection="false">
      <alignment horizontal="center" vertical="bottom" textRotation="0" wrapText="false" indent="0" shrinkToFit="false"/>
      <protection locked="true" hidden="false"/>
    </xf>
    <xf numFmtId="215" fontId="16" fillId="0" borderId="0" xfId="0" applyFont="true" applyBorder="true" applyAlignment="true" applyProtection="false">
      <alignment horizontal="general" vertical="bottom" textRotation="0" wrapText="false" indent="0" shrinkToFit="false"/>
      <protection locked="true" hidden="false"/>
    </xf>
    <xf numFmtId="215" fontId="9" fillId="0" borderId="26" xfId="0" applyFont="true" applyBorder="true" applyAlignment="false" applyProtection="false">
      <alignment horizontal="general" vertical="bottom" textRotation="0" wrapText="false" indent="0" shrinkToFit="false"/>
      <protection locked="true" hidden="false"/>
    </xf>
    <xf numFmtId="164" fontId="16" fillId="0" borderId="0" xfId="1057" applyFont="true" applyBorder="true" applyAlignment="true" applyProtection="false">
      <alignment horizontal="general" vertical="bottom" textRotation="0" wrapText="false" indent="0" shrinkToFit="false"/>
      <protection locked="true" hidden="false"/>
    </xf>
    <xf numFmtId="164" fontId="9" fillId="0" borderId="27" xfId="1057" applyFont="true" applyBorder="true" applyAlignment="true" applyProtection="false">
      <alignment horizontal="general" vertical="bottom" textRotation="0" wrapText="false" indent="0" shrinkToFit="false"/>
      <protection locked="true" hidden="false"/>
    </xf>
    <xf numFmtId="164" fontId="69" fillId="0" borderId="31" xfId="1057" applyFont="true" applyBorder="true" applyAlignment="true" applyProtection="false">
      <alignment horizontal="left" vertical="bottom" textRotation="0" wrapText="false" indent="0" shrinkToFit="false"/>
      <protection locked="true" hidden="false"/>
    </xf>
    <xf numFmtId="215" fontId="9" fillId="0" borderId="14" xfId="1057" applyFont="true" applyBorder="true" applyAlignment="true" applyProtection="false">
      <alignment horizontal="general" vertical="bottom" textRotation="0" wrapText="false" indent="0" shrinkToFit="false"/>
      <protection locked="true" hidden="false"/>
    </xf>
    <xf numFmtId="217" fontId="9" fillId="0" borderId="14" xfId="19" applyFont="true" applyBorder="true" applyAlignment="true" applyProtection="true">
      <alignment horizontal="general" vertical="bottom" textRotation="0" wrapText="false" indent="0" shrinkToFit="false"/>
      <protection locked="true" hidden="false"/>
    </xf>
    <xf numFmtId="215" fontId="69" fillId="0" borderId="14" xfId="1057" applyFont="true" applyBorder="true" applyAlignment="true" applyProtection="false">
      <alignment horizontal="center" vertical="bottom" textRotation="0" wrapText="false" indent="0" shrinkToFit="false"/>
      <protection locked="true" hidden="false"/>
    </xf>
    <xf numFmtId="164" fontId="100" fillId="0" borderId="14" xfId="0" applyFont="true" applyBorder="true" applyAlignment="true" applyProtection="false">
      <alignment horizontal="left" vertical="bottom" textRotation="0" wrapText="false" indent="0" shrinkToFit="false"/>
      <protection locked="true" hidden="false"/>
    </xf>
    <xf numFmtId="164" fontId="16" fillId="0" borderId="14" xfId="1057" applyFont="true" applyBorder="true" applyAlignment="true" applyProtection="false">
      <alignment horizontal="general" vertical="bottom" textRotation="0" wrapText="false" indent="0" shrinkToFit="false"/>
      <protection locked="true" hidden="false"/>
    </xf>
    <xf numFmtId="164" fontId="9" fillId="0" borderId="29" xfId="1057" applyFont="true" applyBorder="true" applyAlignment="true" applyProtection="false">
      <alignment horizontal="general" vertical="bottom" textRotation="0" wrapText="false" indent="0" shrinkToFit="false"/>
      <protection locked="true" hidden="false"/>
    </xf>
    <xf numFmtId="164" fontId="64" fillId="0" borderId="33" xfId="1057" applyFont="true" applyBorder="true" applyAlignment="true" applyProtection="false">
      <alignment horizontal="left" vertical="bottom" textRotation="0" wrapText="false" indent="0" shrinkToFit="false"/>
      <protection locked="true" hidden="false"/>
    </xf>
    <xf numFmtId="215" fontId="64" fillId="0" borderId="13" xfId="1057" applyFont="true" applyBorder="true" applyAlignment="true" applyProtection="false">
      <alignment horizontal="general" vertical="bottom" textRotation="0" wrapText="false" indent="0" shrinkToFit="false"/>
      <protection locked="true" hidden="false"/>
    </xf>
    <xf numFmtId="217" fontId="61" fillId="0" borderId="13" xfId="1057" applyFont="true" applyBorder="true" applyAlignment="true" applyProtection="false">
      <alignment horizontal="general" vertical="bottom" textRotation="0" wrapText="false" indent="0" shrinkToFit="false"/>
      <protection locked="true" hidden="false"/>
    </xf>
    <xf numFmtId="217" fontId="61" fillId="0" borderId="34" xfId="19" applyFont="true" applyBorder="true" applyAlignment="true" applyProtection="true">
      <alignment horizontal="general" vertical="bottom" textRotation="0" wrapText="false" indent="0" shrinkToFit="false"/>
      <protection locked="true" hidden="false"/>
    </xf>
    <xf numFmtId="217" fontId="61" fillId="0" borderId="0" xfId="1057" applyFont="true" applyBorder="true" applyAlignment="true" applyProtection="false">
      <alignment horizontal="general" vertical="bottom" textRotation="0" wrapText="false" indent="0" shrinkToFit="false"/>
      <protection locked="true" hidden="false"/>
    </xf>
    <xf numFmtId="164" fontId="61" fillId="0" borderId="33" xfId="0" applyFont="true" applyBorder="true" applyAlignment="false" applyProtection="false">
      <alignment horizontal="general" vertical="bottom" textRotation="0" wrapText="false" indent="0" shrinkToFit="false"/>
      <protection locked="true" hidden="false"/>
    </xf>
    <xf numFmtId="215" fontId="61" fillId="0" borderId="13" xfId="0" applyFont="true" applyBorder="true" applyAlignment="false" applyProtection="false">
      <alignment horizontal="general" vertical="bottom" textRotation="0" wrapText="false" indent="0" shrinkToFit="false"/>
      <protection locked="true" hidden="false"/>
    </xf>
    <xf numFmtId="215" fontId="16" fillId="0" borderId="13" xfId="1057" applyFont="true" applyBorder="true" applyAlignment="true" applyProtection="false">
      <alignment horizontal="right" vertical="bottom" textRotation="0" wrapText="false" indent="0" shrinkToFit="false"/>
      <protection locked="true" hidden="false"/>
    </xf>
    <xf numFmtId="164" fontId="9" fillId="0" borderId="26" xfId="0" applyFont="true" applyBorder="true" applyAlignment="false" applyProtection="false">
      <alignment horizontal="general" vertical="bottom" textRotation="0" wrapText="false" indent="0" shrinkToFit="false"/>
      <protection locked="true" hidden="false"/>
    </xf>
    <xf numFmtId="164" fontId="9" fillId="0" borderId="23" xfId="0" applyFont="true" applyBorder="true" applyAlignment="false" applyProtection="false">
      <alignment horizontal="general" vertical="bottom" textRotation="0" wrapText="false" indent="0" shrinkToFit="false"/>
      <protection locked="true" hidden="false"/>
    </xf>
    <xf numFmtId="164" fontId="64" fillId="0" borderId="24" xfId="1057" applyFont="true" applyBorder="true" applyAlignment="true" applyProtection="false">
      <alignment horizontal="center" vertical="center" textRotation="0" wrapText="false" indent="0" shrinkToFit="false"/>
      <protection locked="true" hidden="false"/>
    </xf>
    <xf numFmtId="164" fontId="64" fillId="0" borderId="24" xfId="1057" applyFont="true" applyBorder="true" applyAlignment="true" applyProtection="false">
      <alignment horizontal="center" vertical="center" textRotation="0" wrapText="false" indent="0" shrinkToFit="false"/>
      <protection locked="true" hidden="false"/>
    </xf>
    <xf numFmtId="164" fontId="64" fillId="0" borderId="24" xfId="1057" applyFont="true" applyBorder="true" applyAlignment="true" applyProtection="false">
      <alignment horizontal="right" vertical="center" textRotation="0" wrapText="false" indent="0" shrinkToFit="false"/>
      <protection locked="true" hidden="false"/>
    </xf>
    <xf numFmtId="164" fontId="61" fillId="0" borderId="26" xfId="0" applyFont="true" applyBorder="true" applyAlignment="false" applyProtection="false">
      <alignment horizontal="general" vertical="bottom" textRotation="0" wrapText="false" indent="0" shrinkToFit="false"/>
      <protection locked="true" hidden="false"/>
    </xf>
    <xf numFmtId="216" fontId="9" fillId="0" borderId="0" xfId="19" applyFont="true" applyBorder="true" applyAlignment="true" applyProtection="true">
      <alignment horizontal="general" vertical="bottom" textRotation="0" wrapText="false" indent="0" shrinkToFit="false"/>
      <protection locked="true" hidden="false"/>
    </xf>
    <xf numFmtId="164" fontId="64" fillId="0" borderId="0" xfId="1057" applyFont="true" applyBorder="true" applyAlignment="true" applyProtection="false">
      <alignment horizontal="center" vertical="center" textRotation="0" wrapText="false" indent="0" shrinkToFit="false"/>
      <protection locked="true" hidden="false"/>
    </xf>
    <xf numFmtId="164" fontId="64" fillId="0" borderId="0" xfId="1057" applyFont="true" applyBorder="true" applyAlignment="true" applyProtection="false">
      <alignment horizontal="center" vertical="center" textRotation="0" wrapText="false" indent="0" shrinkToFit="false"/>
      <protection locked="true" hidden="false"/>
    </xf>
    <xf numFmtId="164" fontId="64" fillId="0" borderId="0" xfId="1057" applyFont="true" applyBorder="true" applyAlignment="true" applyProtection="false">
      <alignment horizontal="right" vertical="center" textRotation="0" wrapText="false" indent="0" shrinkToFit="false"/>
      <protection locked="true" hidden="false"/>
    </xf>
    <xf numFmtId="164" fontId="69" fillId="0" borderId="0" xfId="1057" applyFont="true" applyBorder="true" applyAlignment="true" applyProtection="false">
      <alignment horizontal="center" vertical="bottom" textRotation="0" wrapText="false" indent="0" shrinkToFit="false"/>
      <protection locked="true" hidden="false"/>
    </xf>
    <xf numFmtId="216" fontId="69" fillId="0" borderId="0" xfId="1057" applyFont="true" applyBorder="true" applyAlignment="true" applyProtection="false">
      <alignment horizontal="general" vertical="bottom" textRotation="0" wrapText="false" indent="0" shrinkToFit="false"/>
      <protection locked="true" hidden="false"/>
    </xf>
    <xf numFmtId="238" fontId="9" fillId="0" borderId="0" xfId="1057" applyFont="true" applyBorder="true" applyAlignment="true" applyProtection="false">
      <alignment horizontal="general" vertical="bottom" textRotation="0" wrapText="false" indent="0" shrinkToFit="false"/>
      <protection locked="true" hidden="false"/>
    </xf>
    <xf numFmtId="228" fontId="9" fillId="0" borderId="0"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center" vertical="bottom" textRotation="0" wrapText="false" indent="0" shrinkToFit="false"/>
      <protection locked="true" hidden="false"/>
    </xf>
    <xf numFmtId="215" fontId="9" fillId="0" borderId="0" xfId="0" applyFont="true" applyBorder="true" applyAlignment="false" applyProtection="false">
      <alignment horizontal="general" vertical="bottom" textRotation="0" wrapText="false" indent="0" shrinkToFit="false"/>
      <protection locked="true" hidden="false"/>
    </xf>
    <xf numFmtId="216" fontId="69" fillId="0" borderId="0" xfId="1057" applyFont="true" applyBorder="true" applyAlignment="true" applyProtection="false">
      <alignment horizontal="right" vertical="bottom" textRotation="0" wrapText="false" indent="0" shrinkToFit="false"/>
      <protection locked="true" hidden="false"/>
    </xf>
    <xf numFmtId="164" fontId="9" fillId="0" borderId="26" xfId="1057" applyFont="true" applyBorder="true" applyAlignment="true" applyProtection="false">
      <alignment horizontal="general" vertical="bottom" textRotation="0" wrapText="false" indent="0" shrinkToFit="false"/>
      <protection locked="true" hidden="false"/>
    </xf>
    <xf numFmtId="164" fontId="61" fillId="13" borderId="26" xfId="0" applyFont="true" applyBorder="true" applyAlignment="true" applyProtection="false">
      <alignment horizontal="center" vertical="bottom" textRotation="0" wrapText="false" indent="0" shrinkToFit="false"/>
      <protection locked="true" hidden="false"/>
    </xf>
    <xf numFmtId="164" fontId="61" fillId="13" borderId="0" xfId="0" applyFont="true" applyBorder="true" applyAlignment="true" applyProtection="false">
      <alignment horizontal="center" vertical="bottom" textRotation="0" wrapText="false" indent="0" shrinkToFit="false"/>
      <protection locked="true" hidden="false"/>
    </xf>
    <xf numFmtId="164" fontId="61" fillId="13" borderId="27" xfId="0" applyFont="true" applyBorder="true" applyAlignment="true" applyProtection="false">
      <alignment horizontal="center" vertical="bottom" textRotation="0" wrapText="false" indent="0" shrinkToFit="false"/>
      <protection locked="true" hidden="false"/>
    </xf>
    <xf numFmtId="164" fontId="61" fillId="0" borderId="0" xfId="0" applyFont="true" applyBorder="true" applyAlignment="false" applyProtection="false">
      <alignment horizontal="general" vertical="bottom" textRotation="0" wrapText="false" indent="0" shrinkToFit="false"/>
      <protection locked="true" hidden="false"/>
    </xf>
    <xf numFmtId="215" fontId="61" fillId="0" borderId="0" xfId="0" applyFont="true" applyBorder="true" applyAlignment="false" applyProtection="false">
      <alignment horizontal="general" vertical="bottom" textRotation="0" wrapText="false" indent="0" shrinkToFit="false"/>
      <protection locked="true" hidden="false"/>
    </xf>
    <xf numFmtId="164" fontId="61" fillId="0" borderId="26" xfId="0" applyFont="true" applyBorder="true" applyAlignment="true" applyProtection="false">
      <alignment horizontal="center" vertical="bottom" textRotation="0" wrapText="false" indent="0" shrinkToFit="false"/>
      <protection locked="true" hidden="false"/>
    </xf>
    <xf numFmtId="218" fontId="64" fillId="0" borderId="0" xfId="1057" applyFont="true" applyBorder="true" applyAlignment="true" applyProtection="false">
      <alignment horizontal="center" vertical="bottom" textRotation="0" wrapText="false" indent="0" shrinkToFit="false"/>
      <protection locked="true" hidden="false"/>
    </xf>
    <xf numFmtId="217" fontId="9" fillId="0" borderId="0" xfId="19" applyFont="true" applyBorder="true" applyAlignment="true" applyProtection="true">
      <alignment horizontal="center" vertical="bottom" textRotation="0" wrapText="false" indent="0" shrinkToFit="false"/>
      <protection locked="true" hidden="false"/>
    </xf>
    <xf numFmtId="217" fontId="9" fillId="0" borderId="27" xfId="19" applyFont="true" applyBorder="true" applyAlignment="true" applyProtection="true">
      <alignment horizontal="center" vertical="bottom" textRotation="0" wrapText="false" indent="0" shrinkToFit="false"/>
      <protection locked="true" hidden="false"/>
    </xf>
    <xf numFmtId="164" fontId="9" fillId="0" borderId="0" xfId="1057" applyFont="true" applyBorder="true" applyAlignment="true" applyProtection="false">
      <alignment horizontal="right" vertical="bottom" textRotation="0" wrapText="false" indent="0" shrinkToFit="false"/>
      <protection locked="true" hidden="false"/>
    </xf>
    <xf numFmtId="216" fontId="9" fillId="0" borderId="0" xfId="1057" applyFont="true" applyBorder="true" applyAlignment="true" applyProtection="false">
      <alignment horizontal="center" vertical="bottom" textRotation="0" wrapText="false" indent="0" shrinkToFit="false"/>
      <protection locked="true" hidden="false"/>
    </xf>
    <xf numFmtId="164" fontId="9" fillId="0" borderId="27" xfId="0" applyFont="true" applyBorder="true" applyAlignment="false" applyProtection="false">
      <alignment horizontal="general" vertical="bottom" textRotation="0" wrapText="false" indent="0" shrinkToFit="false"/>
      <protection locked="true" hidden="false"/>
    </xf>
    <xf numFmtId="213" fontId="9" fillId="0" borderId="0" xfId="0" applyFont="true" applyBorder="false" applyAlignment="false" applyProtection="false">
      <alignment horizontal="general" vertical="bottom" textRotation="0" wrapText="false" indent="0" shrinkToFit="false"/>
      <protection locked="true" hidden="false"/>
    </xf>
    <xf numFmtId="226" fontId="102" fillId="0" borderId="0" xfId="1057" applyFont="true" applyBorder="true" applyAlignment="true" applyProtection="false">
      <alignment horizontal="right" vertical="bottom" textRotation="0" wrapText="false" indent="0" shrinkToFit="false"/>
      <protection locked="true" hidden="false"/>
    </xf>
    <xf numFmtId="164" fontId="61" fillId="0" borderId="26" xfId="1057" applyFont="true" applyBorder="true" applyAlignment="true" applyProtection="false">
      <alignment horizontal="general" vertical="bottom" textRotation="0" wrapText="false" indent="0" shrinkToFit="false"/>
      <protection locked="true" hidden="false"/>
    </xf>
    <xf numFmtId="217" fontId="69" fillId="0" borderId="0" xfId="19" applyFont="true" applyBorder="true" applyAlignment="true" applyProtection="true">
      <alignment horizontal="right" vertical="bottom" textRotation="0" wrapText="false" indent="0" shrinkToFit="false"/>
      <protection locked="true" hidden="false"/>
    </xf>
    <xf numFmtId="164" fontId="61" fillId="0" borderId="31" xfId="1057" applyFont="true" applyBorder="true" applyAlignment="true" applyProtection="false">
      <alignment horizontal="general" vertical="bottom" textRotation="0" wrapText="false" indent="0" shrinkToFit="false"/>
      <protection locked="true" hidden="false"/>
    </xf>
    <xf numFmtId="164" fontId="9" fillId="0" borderId="14" xfId="1057" applyFont="true" applyBorder="true" applyAlignment="true" applyProtection="false">
      <alignment horizontal="general" vertical="bottom" textRotation="0" wrapText="false" indent="0" shrinkToFit="false"/>
      <protection locked="true" hidden="false"/>
    </xf>
    <xf numFmtId="215" fontId="61" fillId="0" borderId="14" xfId="1057" applyFont="true" applyBorder="true" applyAlignment="true" applyProtection="false">
      <alignment horizontal="general" vertical="bottom" textRotation="0" wrapText="false" indent="0" shrinkToFit="false"/>
      <protection locked="true" hidden="false"/>
    </xf>
    <xf numFmtId="164" fontId="69" fillId="0" borderId="0" xfId="1057" applyFont="true" applyBorder="true" applyAlignment="true" applyProtection="false">
      <alignment horizontal="right" vertical="bottom" textRotation="0" wrapText="false" indent="0" shrinkToFit="false"/>
      <protection locked="true" hidden="false"/>
    </xf>
    <xf numFmtId="164" fontId="61" fillId="0" borderId="23" xfId="1057" applyFont="true" applyBorder="true" applyAlignment="true" applyProtection="false">
      <alignment horizontal="general" vertical="bottom" textRotation="0" wrapText="false" indent="0" shrinkToFit="false"/>
      <protection locked="true" hidden="false"/>
    </xf>
    <xf numFmtId="164" fontId="61" fillId="13" borderId="24" xfId="1057" applyFont="true" applyBorder="true" applyAlignment="true" applyProtection="false">
      <alignment horizontal="general" vertical="bottom" textRotation="0" wrapText="false" indent="0" shrinkToFit="false"/>
      <protection locked="true" hidden="false"/>
    </xf>
    <xf numFmtId="164" fontId="61" fillId="13" borderId="25" xfId="1057" applyFont="true" applyBorder="true" applyAlignment="true" applyProtection="false">
      <alignment horizontal="general" vertical="bottom" textRotation="0" wrapText="false" indent="0" shrinkToFit="false"/>
      <protection locked="true" hidden="false"/>
    </xf>
    <xf numFmtId="164" fontId="61" fillId="13" borderId="0" xfId="1057" applyFont="true" applyBorder="true" applyAlignment="true" applyProtection="false">
      <alignment horizontal="general" vertical="bottom" textRotation="0" wrapText="false" indent="0" shrinkToFit="false"/>
      <protection locked="true" hidden="false"/>
    </xf>
    <xf numFmtId="164" fontId="61" fillId="13" borderId="27" xfId="1057" applyFont="true" applyBorder="true" applyAlignment="true" applyProtection="false">
      <alignment horizontal="general" vertical="bottom" textRotation="0" wrapText="false" indent="0" shrinkToFit="false"/>
      <protection locked="true" hidden="false"/>
    </xf>
    <xf numFmtId="218" fontId="61" fillId="0" borderId="0" xfId="1057" applyFont="true" applyBorder="true" applyAlignment="true" applyProtection="false">
      <alignment horizontal="center" vertical="bottom" textRotation="0" wrapText="false" indent="0" shrinkToFit="false"/>
      <protection locked="true" hidden="false"/>
    </xf>
    <xf numFmtId="164" fontId="0" fillId="0" borderId="27" xfId="0" applyFont="false" applyBorder="true" applyAlignment="false" applyProtection="false">
      <alignment horizontal="general" vertical="bottom" textRotation="0" wrapText="false" indent="0" shrinkToFit="false"/>
      <protection locked="true" hidden="false"/>
    </xf>
    <xf numFmtId="213" fontId="9" fillId="0" borderId="0" xfId="0" applyFont="true" applyBorder="true" applyAlignment="false" applyProtection="false">
      <alignment horizontal="general" vertical="bottom" textRotation="0" wrapText="false" indent="0" shrinkToFit="false"/>
      <protection locked="true" hidden="false"/>
    </xf>
    <xf numFmtId="213" fontId="0" fillId="0" borderId="27" xfId="15" applyFont="true" applyBorder="true" applyAlignment="true" applyProtection="true">
      <alignment horizontal="general" vertical="bottom" textRotation="0" wrapText="false" indent="0" shrinkToFit="false"/>
      <protection locked="true" hidden="false"/>
    </xf>
    <xf numFmtId="213" fontId="9" fillId="0" borderId="27" xfId="15" applyFont="true" applyBorder="true" applyAlignment="true" applyProtection="true">
      <alignment horizontal="general" vertical="bottom" textRotation="0" wrapText="false" indent="0" shrinkToFit="false"/>
      <protection locked="true" hidden="false"/>
    </xf>
    <xf numFmtId="164" fontId="61" fillId="0" borderId="33" xfId="1057" applyFont="true" applyBorder="true" applyAlignment="true" applyProtection="false">
      <alignment horizontal="left" vertical="bottom" textRotation="0" wrapText="false" indent="0" shrinkToFit="false"/>
      <protection locked="true" hidden="false"/>
    </xf>
    <xf numFmtId="164" fontId="61" fillId="0" borderId="13" xfId="1057" applyFont="true" applyBorder="true" applyAlignment="true" applyProtection="false">
      <alignment horizontal="right" vertical="bottom" textRotation="0" wrapText="false" indent="0" shrinkToFit="false"/>
      <protection locked="true" hidden="false"/>
    </xf>
    <xf numFmtId="213" fontId="9" fillId="0" borderId="13" xfId="15" applyFont="true" applyBorder="true" applyAlignment="true" applyProtection="true">
      <alignment horizontal="general" vertical="bottom" textRotation="0" wrapText="false" indent="0" shrinkToFit="false"/>
      <protection locked="true" hidden="false"/>
    </xf>
    <xf numFmtId="213" fontId="9" fillId="0" borderId="34" xfId="15" applyFont="true" applyBorder="true" applyAlignment="true" applyProtection="true">
      <alignment horizontal="general" vertical="bottom" textRotation="0" wrapText="false" indent="0" shrinkToFit="false"/>
      <protection locked="true" hidden="false"/>
    </xf>
    <xf numFmtId="164" fontId="9" fillId="0" borderId="0" xfId="1057" applyFont="true" applyBorder="true" applyAlignment="true" applyProtection="false">
      <alignment horizontal="right" vertical="bottom" textRotation="0" wrapText="false" indent="0" shrinkToFit="false"/>
      <protection locked="true" hidden="false"/>
    </xf>
    <xf numFmtId="218" fontId="61" fillId="0" borderId="0" xfId="0" applyFont="true" applyBorder="true" applyAlignment="true" applyProtection="false">
      <alignment horizontal="center" vertical="bottom" textRotation="0" wrapText="false" indent="0" shrinkToFit="false"/>
      <protection locked="true" hidden="false"/>
    </xf>
    <xf numFmtId="217" fontId="0" fillId="0" borderId="0" xfId="19" applyFont="true" applyBorder="true" applyAlignment="true" applyProtection="true">
      <alignment horizontal="center" vertical="bottom" textRotation="0" wrapText="false" indent="0" shrinkToFit="false"/>
      <protection locked="true" hidden="false"/>
    </xf>
    <xf numFmtId="217" fontId="0" fillId="0" borderId="27" xfId="19" applyFont="true" applyBorder="true" applyAlignment="true" applyProtection="true">
      <alignment horizontal="center" vertical="bottom" textRotation="0" wrapText="false" indent="0" shrinkToFit="false"/>
      <protection locked="true" hidden="false"/>
    </xf>
    <xf numFmtId="164" fontId="61" fillId="0" borderId="32" xfId="1057" applyFont="true" applyBorder="true" applyAlignment="true" applyProtection="false">
      <alignment horizontal="left" vertical="bottom" textRotation="0" wrapText="false" indent="0" shrinkToFit="false"/>
      <protection locked="true" hidden="false"/>
    </xf>
    <xf numFmtId="164" fontId="61" fillId="0" borderId="5" xfId="1057" applyFont="true" applyBorder="true" applyAlignment="true" applyProtection="false">
      <alignment horizontal="right" vertical="bottom" textRotation="0" wrapText="false" indent="0" shrinkToFit="false"/>
      <protection locked="true" hidden="false"/>
    </xf>
    <xf numFmtId="213" fontId="9" fillId="0" borderId="5" xfId="15" applyFont="true" applyBorder="true" applyAlignment="true" applyProtection="true">
      <alignment horizontal="general" vertical="bottom" textRotation="0" wrapText="false" indent="0" shrinkToFit="false"/>
      <protection locked="true" hidden="false"/>
    </xf>
    <xf numFmtId="213" fontId="9" fillId="0" borderId="35" xfId="15" applyFont="true" applyBorder="true" applyAlignment="true" applyProtection="true">
      <alignment horizontal="general" vertical="bottom" textRotation="0" wrapText="false" indent="0" shrinkToFit="false"/>
      <protection locked="true" hidden="false"/>
    </xf>
    <xf numFmtId="164" fontId="0" fillId="0" borderId="27" xfId="0" applyFont="false" applyBorder="true" applyAlignment="true" applyProtection="false">
      <alignment horizontal="center" vertical="bottom" textRotation="0" wrapText="false" indent="0" shrinkToFit="false"/>
      <protection locked="true" hidden="false"/>
    </xf>
    <xf numFmtId="164" fontId="61" fillId="0" borderId="31" xfId="0" applyFont="true" applyBorder="true" applyAlignment="true" applyProtection="false">
      <alignment horizontal="center" vertical="bottom" textRotation="0" wrapText="false" indent="0" shrinkToFit="false"/>
      <protection locked="true" hidden="false"/>
    </xf>
    <xf numFmtId="218" fontId="61" fillId="0" borderId="14" xfId="0" applyFont="true" applyBorder="true" applyAlignment="true" applyProtection="false">
      <alignment horizontal="center" vertical="bottom" textRotation="0" wrapText="false" indent="0" shrinkToFit="false"/>
      <protection locked="true" hidden="false"/>
    </xf>
    <xf numFmtId="217" fontId="0" fillId="0" borderId="14" xfId="19" applyFont="true" applyBorder="true" applyAlignment="true" applyProtection="true">
      <alignment horizontal="center" vertical="bottom" textRotation="0" wrapText="false" indent="0" shrinkToFit="false"/>
      <protection locked="true" hidden="false"/>
    </xf>
    <xf numFmtId="164" fontId="9" fillId="0" borderId="29" xfId="0" applyFont="true" applyBorder="true" applyAlignment="false" applyProtection="false">
      <alignment horizontal="general" vertical="bottom" textRotation="0" wrapText="false" indent="0" shrinkToFit="false"/>
      <protection locked="true" hidden="false"/>
    </xf>
    <xf numFmtId="164" fontId="61" fillId="0" borderId="13" xfId="0" applyFont="true" applyBorder="true" applyAlignment="false" applyProtection="false">
      <alignment horizontal="general" vertical="bottom" textRotation="0" wrapText="false" indent="0" shrinkToFit="false"/>
      <protection locked="true" hidden="false"/>
    </xf>
    <xf numFmtId="169" fontId="61" fillId="0" borderId="34" xfId="0" applyFont="true" applyBorder="true" applyAlignment="false" applyProtection="false">
      <alignment horizontal="general" vertical="bottom" textRotation="0" wrapText="false" indent="0" shrinkToFit="false"/>
      <protection locked="true" hidden="false"/>
    </xf>
    <xf numFmtId="164" fontId="9" fillId="0" borderId="31" xfId="0" applyFont="true" applyBorder="true" applyAlignment="false" applyProtection="false">
      <alignment horizontal="general" vertical="bottom" textRotation="0" wrapText="false" indent="0" shrinkToFit="false"/>
      <protection locked="true" hidden="false"/>
    </xf>
    <xf numFmtId="164" fontId="9" fillId="0" borderId="14" xfId="0" applyFont="true" applyBorder="true" applyAlignment="false" applyProtection="false">
      <alignment horizontal="general" vertical="bottom" textRotation="0" wrapText="false" indent="0" shrinkToFit="false"/>
      <protection locked="true" hidden="false"/>
    </xf>
    <xf numFmtId="164" fontId="0" fillId="0" borderId="14" xfId="0" applyFont="false" applyBorder="true" applyAlignment="false" applyProtection="false">
      <alignment horizontal="general" vertical="bottom" textRotation="0" wrapText="false" indent="0" shrinkToFit="false"/>
      <protection locked="true" hidden="false"/>
    </xf>
    <xf numFmtId="164" fontId="0" fillId="0" borderId="29" xfId="0" applyFont="false" applyBorder="true" applyAlignment="false" applyProtection="false">
      <alignment horizontal="general" vertical="bottom" textRotation="0" wrapText="false" indent="0" shrinkToFit="false"/>
      <protection locked="true" hidden="false"/>
    </xf>
    <xf numFmtId="164" fontId="9" fillId="0" borderId="0" xfId="1057" applyFont="true" applyBorder="false" applyAlignment="true" applyProtection="false">
      <alignment horizontal="right" vertical="bottom" textRotation="0" wrapText="false" indent="0" shrinkToFit="false"/>
      <protection locked="true" hidden="false"/>
    </xf>
    <xf numFmtId="164" fontId="9" fillId="2" borderId="0" xfId="0" applyFont="true" applyBorder="false" applyAlignment="false" applyProtection="false">
      <alignment horizontal="general" vertical="bottom" textRotation="0" wrapText="false" indent="0" shrinkToFit="false"/>
      <protection locked="true" hidden="false"/>
    </xf>
    <xf numFmtId="164" fontId="9" fillId="2" borderId="0" xfId="1057" applyFont="true" applyBorder="false" applyAlignment="true" applyProtection="false">
      <alignment horizontal="right" vertical="bottom" textRotation="0" wrapText="false" indent="0" shrinkToFit="false"/>
      <protection locked="true" hidden="false"/>
    </xf>
    <xf numFmtId="215" fontId="18" fillId="0" borderId="0" xfId="0" applyFont="true" applyBorder="false" applyAlignment="true" applyProtection="false">
      <alignment horizontal="general" vertical="bottom" textRotation="0" wrapText="false" indent="0" shrinkToFit="false"/>
      <protection locked="true" hidden="false"/>
    </xf>
    <xf numFmtId="215" fontId="0" fillId="0" borderId="0" xfId="0" applyFont="false" applyBorder="false" applyAlignment="false" applyProtection="false">
      <alignment horizontal="general" vertical="bottom" textRotation="0" wrapText="false" indent="0" shrinkToFit="false"/>
      <protection locked="true" hidden="false"/>
    </xf>
    <xf numFmtId="215" fontId="0" fillId="0" borderId="0" xfId="0" applyFont="false" applyBorder="false" applyAlignment="true" applyProtection="false">
      <alignment horizontal="center" vertical="bottom" textRotation="0" wrapText="false" indent="0" shrinkToFit="false"/>
      <protection locked="true" hidden="false"/>
    </xf>
    <xf numFmtId="187" fontId="0" fillId="0" borderId="0" xfId="0" applyFont="false" applyBorder="false" applyAlignment="false" applyProtection="false">
      <alignment horizontal="general" vertical="bottom" textRotation="0" wrapText="false" indent="0" shrinkToFit="false"/>
      <protection locked="true" hidden="false"/>
    </xf>
    <xf numFmtId="215" fontId="64" fillId="2" borderId="0" xfId="0" applyFont="true" applyBorder="false" applyAlignment="true" applyProtection="false">
      <alignment horizontal="center" vertical="bottom" textRotation="0" wrapText="false" indent="0" shrinkToFit="false"/>
      <protection locked="true" hidden="false"/>
    </xf>
    <xf numFmtId="215" fontId="64" fillId="0" borderId="0" xfId="0" applyFont="true" applyBorder="false" applyAlignment="true" applyProtection="false">
      <alignment horizontal="center" vertical="bottom" textRotation="0" wrapText="false" indent="0" shrinkToFit="false"/>
      <protection locked="true" hidden="false"/>
    </xf>
    <xf numFmtId="213" fontId="9" fillId="0" borderId="0" xfId="15" applyFont="true" applyBorder="true" applyAlignment="true" applyProtection="true">
      <alignment horizontal="right" vertical="bottom" textRotation="0" wrapText="false" indent="0" shrinkToFit="false"/>
      <protection locked="true" hidden="false"/>
    </xf>
    <xf numFmtId="216" fontId="57" fillId="0" borderId="0" xfId="0" applyFont="true" applyBorder="false" applyAlignment="true" applyProtection="false">
      <alignment horizontal="right" vertical="bottom" textRotation="0" wrapText="false" indent="0" shrinkToFit="false"/>
      <protection locked="true" hidden="false"/>
    </xf>
    <xf numFmtId="213" fontId="57" fillId="0" borderId="0" xfId="15" applyFont="true" applyBorder="true" applyAlignment="true" applyProtection="true">
      <alignment horizontal="right" vertical="bottom" textRotation="0" wrapText="false" indent="0" shrinkToFit="false"/>
      <protection locked="true" hidden="false"/>
    </xf>
    <xf numFmtId="215" fontId="64" fillId="0" borderId="5" xfId="0" applyFont="true" applyBorder="true" applyAlignment="true" applyProtection="false">
      <alignment horizontal="left" vertical="bottom" textRotation="0" wrapText="false" indent="0" shrinkToFit="false"/>
      <protection locked="true" hidden="false"/>
    </xf>
    <xf numFmtId="215" fontId="64" fillId="0" borderId="0" xfId="0" applyFont="true" applyBorder="true" applyAlignment="true" applyProtection="false">
      <alignment horizontal="left" vertical="bottom" textRotation="0" wrapText="false" indent="0" shrinkToFit="false"/>
      <protection locked="true" hidden="false"/>
    </xf>
    <xf numFmtId="213" fontId="64" fillId="0" borderId="5" xfId="15" applyFont="true" applyBorder="true" applyAlignment="true" applyProtection="true">
      <alignment horizontal="right" vertical="bottom" textRotation="0" wrapText="false" indent="0" shrinkToFit="false"/>
      <protection locked="true" hidden="false"/>
    </xf>
    <xf numFmtId="216" fontId="64" fillId="0" borderId="5" xfId="0" applyFont="true" applyBorder="true" applyAlignment="true" applyProtection="false">
      <alignment horizontal="right" vertical="bottom" textRotation="0" wrapText="false" indent="0" shrinkToFit="false"/>
      <protection locked="true" hidden="false"/>
    </xf>
    <xf numFmtId="215" fontId="64" fillId="0" borderId="5" xfId="0" applyFont="true" applyBorder="true" applyAlignment="true" applyProtection="false">
      <alignment horizontal="right" vertical="bottom" textRotation="0" wrapText="false" indent="0" shrinkToFit="false"/>
      <protection locked="true" hidden="false"/>
    </xf>
    <xf numFmtId="169" fontId="0" fillId="0" borderId="0" xfId="0" applyFont="false" applyBorder="true" applyAlignment="false" applyProtection="false">
      <alignment horizontal="general" vertical="bottom" textRotation="0" wrapText="false" indent="0" shrinkToFit="false"/>
      <protection locked="true" hidden="false"/>
    </xf>
    <xf numFmtId="213" fontId="0" fillId="0" borderId="0" xfId="15" applyFont="true" applyBorder="true" applyAlignment="true" applyProtection="true">
      <alignment horizontal="right" vertical="bottom" textRotation="0" wrapText="false" indent="0" shrinkToFit="false"/>
      <protection locked="true" hidden="false"/>
    </xf>
    <xf numFmtId="215" fontId="57" fillId="0" borderId="0" xfId="0" applyFont="true" applyBorder="true" applyAlignment="true" applyProtection="false">
      <alignment horizontal="right" vertical="bottom" textRotation="0" wrapText="false" indent="0" shrinkToFit="false"/>
      <protection locked="true" hidden="false"/>
    </xf>
    <xf numFmtId="215" fontId="0" fillId="0" borderId="0" xfId="0" applyFont="false" applyBorder="false" applyAlignment="true" applyProtection="false">
      <alignment horizontal="center" vertical="bottom" textRotation="0" wrapText="false" indent="0" shrinkToFit="false"/>
      <protection locked="true" hidden="false"/>
    </xf>
    <xf numFmtId="215" fontId="57" fillId="14" borderId="0" xfId="0" applyFont="true" applyBorder="false" applyAlignment="true" applyProtection="false">
      <alignment horizontal="left" vertical="bottom" textRotation="0" wrapText="false" indent="0" shrinkToFit="false"/>
      <protection locked="true" hidden="false"/>
    </xf>
    <xf numFmtId="215" fontId="61" fillId="0" borderId="13" xfId="0" applyFont="true" applyBorder="true" applyAlignment="true" applyProtection="false">
      <alignment horizontal="general" vertical="bottom" textRotation="0" wrapText="false" indent="0" shrinkToFit="false"/>
      <protection locked="true" hidden="false"/>
    </xf>
    <xf numFmtId="215" fontId="61" fillId="0" borderId="0" xfId="0" applyFont="true" applyBorder="true" applyAlignment="true" applyProtection="false">
      <alignment horizontal="general" vertical="bottom" textRotation="0" wrapText="false" indent="0" shrinkToFit="false"/>
      <protection locked="true" hidden="false"/>
    </xf>
    <xf numFmtId="213" fontId="64" fillId="0" borderId="13" xfId="15" applyFont="true" applyBorder="true" applyAlignment="true" applyProtection="true">
      <alignment horizontal="right" vertical="bottom" textRotation="0" wrapText="false" indent="0" shrinkToFit="false"/>
      <protection locked="true" hidden="false"/>
    </xf>
    <xf numFmtId="216" fontId="64" fillId="0" borderId="13" xfId="0" applyFont="true" applyBorder="true" applyAlignment="true" applyProtection="false">
      <alignment horizontal="right" vertical="bottom" textRotation="0" wrapText="false" indent="0" shrinkToFit="false"/>
      <protection locked="true" hidden="false"/>
    </xf>
    <xf numFmtId="215" fontId="64" fillId="0" borderId="13" xfId="0" applyFont="true" applyBorder="true" applyAlignment="true" applyProtection="false">
      <alignment horizontal="right" vertical="bottom" textRotation="0" wrapText="false" indent="0" shrinkToFit="false"/>
      <protection locked="true" hidden="false"/>
    </xf>
    <xf numFmtId="164" fontId="57" fillId="0" borderId="0" xfId="0" applyFont="true" applyBorder="false" applyAlignment="true" applyProtection="false">
      <alignment horizontal="right" vertical="bottom" textRotation="0" wrapText="false" indent="0" shrinkToFit="false"/>
      <protection locked="true" hidden="false"/>
    </xf>
    <xf numFmtId="216" fontId="57" fillId="0" borderId="0" xfId="0" applyFont="true" applyBorder="true" applyAlignment="true" applyProtection="false">
      <alignment horizontal="general" vertical="bottom" textRotation="0" wrapText="false" indent="0" shrinkToFit="false"/>
      <protection locked="true" hidden="false"/>
    </xf>
    <xf numFmtId="164" fontId="103" fillId="0" borderId="0" xfId="0" applyFont="true" applyBorder="false" applyAlignment="true" applyProtection="false">
      <alignment horizontal="general" vertical="bottom" textRotation="0" wrapText="false" indent="0" shrinkToFit="false"/>
      <protection locked="true" hidden="false"/>
    </xf>
    <xf numFmtId="215" fontId="104" fillId="0" borderId="0" xfId="0" applyFont="true" applyBorder="false" applyAlignment="true" applyProtection="false">
      <alignment horizontal="left" vertical="bottom" textRotation="0" wrapText="false" indent="0" shrinkToFit="false"/>
      <protection locked="true" hidden="false"/>
    </xf>
    <xf numFmtId="215" fontId="105" fillId="0" borderId="0" xfId="0" applyFont="true" applyBorder="false" applyAlignment="true" applyProtection="false">
      <alignment horizontal="left" vertical="bottom" textRotation="0" wrapText="false" indent="0" shrinkToFit="false"/>
      <protection locked="true" hidden="false"/>
    </xf>
    <xf numFmtId="216" fontId="64" fillId="0" borderId="13" xfId="0" applyFont="true" applyBorder="true" applyAlignment="tru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164" fontId="106" fillId="0" borderId="0" xfId="0" applyFont="true" applyBorder="false" applyAlignment="true" applyProtection="false">
      <alignment horizontal="left" vertical="bottom" textRotation="0" wrapText="false" indent="0" shrinkToFit="false"/>
      <protection locked="true" hidden="false"/>
    </xf>
    <xf numFmtId="210" fontId="0" fillId="0" borderId="0" xfId="0" applyFont="false" applyBorder="false" applyAlignment="false" applyProtection="false">
      <alignment horizontal="general" vertical="bottom" textRotation="0" wrapText="false" indent="0" shrinkToFit="false"/>
      <protection locked="true" hidden="false"/>
    </xf>
    <xf numFmtId="210" fontId="0" fillId="0" borderId="0" xfId="0" applyFont="false" applyBorder="true" applyAlignment="true" applyProtection="false">
      <alignment horizontal="center" vertical="bottom" textRotation="0" wrapText="false" indent="0" shrinkToFit="false"/>
      <protection locked="true" hidden="false"/>
    </xf>
    <xf numFmtId="215" fontId="107" fillId="0" borderId="0" xfId="0" applyFont="true" applyBorder="false" applyAlignment="true" applyProtection="false">
      <alignment horizontal="left" vertical="bottom" textRotation="0" wrapText="false" indent="0" shrinkToFit="false"/>
      <protection locked="true" hidden="false"/>
    </xf>
    <xf numFmtId="221" fontId="108" fillId="0" borderId="0" xfId="0" applyFont="true" applyBorder="false" applyAlignment="true" applyProtection="false">
      <alignment horizontal="general" vertical="bottom" textRotation="0" wrapText="false" indent="0" shrinkToFit="false"/>
      <protection locked="true" hidden="false"/>
    </xf>
    <xf numFmtId="217" fontId="57" fillId="0" borderId="0" xfId="0" applyFont="true" applyBorder="false" applyAlignment="true" applyProtection="false">
      <alignment horizontal="general" vertical="bottom" textRotation="0" wrapText="false" indent="0" shrinkToFit="false"/>
      <protection locked="true" hidden="false"/>
    </xf>
    <xf numFmtId="213" fontId="57" fillId="0" borderId="0" xfId="15" applyFont="true" applyBorder="true" applyAlignment="true" applyProtection="true">
      <alignment horizontal="left" vertical="bottom" textRotation="0" wrapText="false" indent="0" shrinkToFit="false"/>
      <protection locked="true" hidden="false"/>
    </xf>
    <xf numFmtId="179" fontId="57" fillId="0" borderId="0" xfId="19" applyFont="true" applyBorder="true" applyAlignment="true" applyProtection="true">
      <alignment horizontal="general" vertical="bottom" textRotation="0" wrapText="false" indent="0" shrinkToFit="false"/>
      <protection locked="true" hidden="false"/>
    </xf>
    <xf numFmtId="213" fontId="90" fillId="0" borderId="0" xfId="15" applyFont="true" applyBorder="true" applyAlignment="true" applyProtection="true">
      <alignment horizontal="general" vertical="bottom" textRotation="0" wrapText="false" indent="0" shrinkToFit="false"/>
      <protection locked="true" hidden="false"/>
    </xf>
    <xf numFmtId="213" fontId="67" fillId="13" borderId="0" xfId="15" applyFont="true" applyBorder="true" applyAlignment="true" applyProtection="true">
      <alignment horizontal="left" vertical="bottom" textRotation="0" wrapText="false" indent="0" shrinkToFit="false"/>
      <protection locked="true" hidden="false"/>
    </xf>
    <xf numFmtId="213" fontId="57" fillId="0" borderId="4" xfId="15" applyFont="true" applyBorder="true" applyAlignment="true" applyProtection="true">
      <alignment horizontal="right" vertical="bottom" textRotation="0" wrapText="false" indent="0" shrinkToFit="false"/>
      <protection locked="true" hidden="false"/>
    </xf>
    <xf numFmtId="213" fontId="64" fillId="0" borderId="13" xfId="15" applyFont="true" applyBorder="true" applyAlignment="true" applyProtection="true">
      <alignment horizontal="left" vertical="bottom" textRotation="0" wrapText="false" indent="0" shrinkToFit="false"/>
      <protection locked="true" hidden="false"/>
    </xf>
    <xf numFmtId="213" fontId="64" fillId="0" borderId="13" xfId="15" applyFont="true" applyBorder="true" applyAlignment="true" applyProtection="true">
      <alignment horizontal="general" vertical="bottom" textRotation="0" wrapText="false" indent="0" shrinkToFit="false"/>
      <protection locked="true" hidden="false"/>
    </xf>
    <xf numFmtId="213" fontId="69" fillId="0" borderId="7" xfId="15" applyFont="true" applyBorder="true" applyAlignment="true" applyProtection="true">
      <alignment horizontal="general" vertical="bottom" textRotation="0" wrapText="false" indent="0" shrinkToFit="false"/>
      <protection locked="true" hidden="false"/>
    </xf>
    <xf numFmtId="213" fontId="9" fillId="0" borderId="7" xfId="15" applyFont="true" applyBorder="true" applyAlignment="true" applyProtection="true">
      <alignment horizontal="general" vertical="bottom" textRotation="0" wrapText="false" indent="0" shrinkToFit="false"/>
      <protection locked="true" hidden="false"/>
    </xf>
    <xf numFmtId="213" fontId="57" fillId="0" borderId="36" xfId="15" applyFont="true" applyBorder="true" applyAlignment="true" applyProtection="true">
      <alignment horizontal="general" vertical="bottom" textRotation="0" wrapText="false" indent="0" shrinkToFit="false"/>
      <protection locked="true" hidden="false"/>
    </xf>
    <xf numFmtId="213" fontId="0" fillId="0" borderId="36" xfId="15" applyFont="true" applyBorder="true" applyAlignment="true" applyProtection="true">
      <alignment horizontal="general" vertical="bottom" textRotation="0" wrapText="false" indent="0" shrinkToFit="false"/>
      <protection locked="true" hidden="false"/>
    </xf>
    <xf numFmtId="213" fontId="57" fillId="0" borderId="7" xfId="15" applyFont="true" applyBorder="true" applyAlignment="true" applyProtection="true">
      <alignment horizontal="left" vertical="bottom" textRotation="0" wrapText="false" indent="0" shrinkToFit="false"/>
      <protection locked="true" hidden="false"/>
    </xf>
    <xf numFmtId="213" fontId="0" fillId="0" borderId="7" xfId="15" applyFont="true" applyBorder="true" applyAlignment="true" applyProtection="true">
      <alignment horizontal="general" vertical="bottom" textRotation="0" wrapText="false" indent="0" shrinkToFit="false"/>
      <protection locked="true" hidden="false"/>
    </xf>
    <xf numFmtId="213" fontId="57" fillId="0" borderId="7" xfId="15" applyFont="true" applyBorder="true" applyAlignment="true" applyProtection="true">
      <alignment horizontal="general" vertical="bottom" textRotation="0" wrapText="false" indent="0" shrinkToFit="false"/>
      <protection locked="true" hidden="false"/>
    </xf>
    <xf numFmtId="213" fontId="57" fillId="0" borderId="36" xfId="15" applyFont="true" applyBorder="true" applyAlignment="true" applyProtection="true">
      <alignment horizontal="left" vertical="bottom" textRotation="0" wrapText="false" indent="0" shrinkToFit="false"/>
      <protection locked="true" hidden="false"/>
    </xf>
    <xf numFmtId="213" fontId="64" fillId="0" borderId="0" xfId="15" applyFont="true" applyBorder="true" applyAlignment="true" applyProtection="true">
      <alignment horizontal="left" vertical="bottom" textRotation="0" wrapText="false" indent="0" shrinkToFit="false"/>
      <protection locked="true" hidden="false"/>
    </xf>
    <xf numFmtId="213" fontId="57" fillId="0" borderId="5" xfId="15" applyFont="true" applyBorder="true" applyAlignment="true" applyProtection="true">
      <alignment horizontal="left" vertical="bottom" textRotation="0" wrapText="false" indent="0" shrinkToFit="false"/>
      <protection locked="true" hidden="false"/>
    </xf>
    <xf numFmtId="213" fontId="0" fillId="0" borderId="5" xfId="15" applyFont="true" applyBorder="true" applyAlignment="true" applyProtection="true">
      <alignment horizontal="general" vertical="bottom" textRotation="0" wrapText="false" indent="0" shrinkToFit="false"/>
      <protection locked="true" hidden="false"/>
    </xf>
    <xf numFmtId="213" fontId="57" fillId="0" borderId="5" xfId="15" applyFont="true" applyBorder="true" applyAlignment="true" applyProtection="true">
      <alignment horizontal="general" vertical="bottom" textRotation="0" wrapText="false" indent="0" shrinkToFit="false"/>
      <protection locked="true" hidden="false"/>
    </xf>
    <xf numFmtId="213" fontId="69" fillId="0" borderId="0" xfId="15" applyFont="true" applyBorder="true" applyAlignment="true" applyProtection="true">
      <alignment horizontal="general" vertical="bottom" textRotation="0" wrapText="false" indent="0" shrinkToFit="false"/>
      <protection locked="true" hidden="false"/>
    </xf>
    <xf numFmtId="213" fontId="64" fillId="0" borderId="5" xfId="15" applyFont="true" applyBorder="true" applyAlignment="true" applyProtection="true">
      <alignment horizontal="general" vertical="bottom" textRotation="0" wrapText="false" indent="0" shrinkToFit="false"/>
      <protection locked="true" hidden="false"/>
    </xf>
    <xf numFmtId="213" fontId="61" fillId="0" borderId="5" xfId="15" applyFont="true" applyBorder="true" applyAlignment="true" applyProtection="true">
      <alignment horizontal="general" vertical="bottom" textRotation="0" wrapText="false" indent="0" shrinkToFit="false"/>
      <protection locked="true" hidden="false"/>
    </xf>
    <xf numFmtId="213" fontId="69" fillId="0" borderId="7" xfId="15" applyFont="true" applyBorder="true" applyAlignment="true" applyProtection="true">
      <alignment horizontal="left" vertical="bottom" textRotation="0" wrapText="false" indent="0" shrinkToFit="false"/>
      <protection locked="true" hidden="false"/>
    </xf>
    <xf numFmtId="213" fontId="69" fillId="0" borderId="36" xfId="15" applyFont="true" applyBorder="true" applyAlignment="true" applyProtection="true">
      <alignment horizontal="left" vertical="bottom" textRotation="0" wrapText="false" indent="0" shrinkToFit="false"/>
      <protection locked="true" hidden="false"/>
    </xf>
    <xf numFmtId="213" fontId="9" fillId="0" borderId="36" xfId="15" applyFont="true" applyBorder="true" applyAlignment="true" applyProtection="true">
      <alignment horizontal="general" vertical="bottom" textRotation="0" wrapText="false" indent="0" shrinkToFit="false"/>
      <protection locked="true" hidden="false"/>
    </xf>
    <xf numFmtId="213" fontId="69" fillId="0" borderId="36" xfId="15" applyFont="true" applyBorder="true" applyAlignment="true" applyProtection="true">
      <alignment horizontal="general" vertical="bottom" textRotation="0" wrapText="false" indent="0" shrinkToFit="false"/>
      <protection locked="true" hidden="false"/>
    </xf>
    <xf numFmtId="213" fontId="57" fillId="0" borderId="14" xfId="15" applyFont="true" applyBorder="true" applyAlignment="true" applyProtection="true">
      <alignment horizontal="left" vertical="bottom" textRotation="0" wrapText="false" indent="0" shrinkToFit="false"/>
      <protection locked="true" hidden="false"/>
    </xf>
    <xf numFmtId="213" fontId="0" fillId="0" borderId="14" xfId="15" applyFont="true" applyBorder="true" applyAlignment="true" applyProtection="true">
      <alignment horizontal="general" vertical="bottom" textRotation="0" wrapText="false" indent="0" shrinkToFit="false"/>
      <protection locked="true" hidden="false"/>
    </xf>
    <xf numFmtId="213" fontId="57" fillId="0" borderId="14" xfId="15" applyFont="true" applyBorder="true" applyAlignment="true" applyProtection="true">
      <alignment horizontal="general" vertical="bottom" textRotation="0" wrapText="false" indent="0" shrinkToFit="false"/>
      <protection locked="true" hidden="false"/>
    </xf>
    <xf numFmtId="213" fontId="64" fillId="0" borderId="5" xfId="15" applyFont="true" applyBorder="true" applyAlignment="true" applyProtection="true">
      <alignment horizontal="left" vertical="bottom" textRotation="0" wrapText="false" indent="0" shrinkToFit="false"/>
      <protection locked="true" hidden="false"/>
    </xf>
    <xf numFmtId="213" fontId="109" fillId="15" borderId="0" xfId="15" applyFont="true" applyBorder="true" applyAlignment="true" applyProtection="true">
      <alignment horizontal="left" vertical="bottom" textRotation="0" wrapText="false" indent="0" shrinkToFit="false"/>
      <protection locked="true" hidden="false"/>
    </xf>
    <xf numFmtId="213" fontId="110" fillId="0" borderId="0" xfId="15" applyFont="true" applyBorder="true" applyAlignment="true" applyProtection="true">
      <alignment horizontal="left" vertical="bottom" textRotation="0" wrapText="false" indent="0" shrinkToFit="false"/>
      <protection locked="true" hidden="false"/>
    </xf>
    <xf numFmtId="229" fontId="110" fillId="0" borderId="0" xfId="15" applyFont="true" applyBorder="true" applyAlignment="true" applyProtection="true">
      <alignment horizontal="right" vertical="bottom" textRotation="0" wrapText="false" indent="0" shrinkToFit="false"/>
      <protection locked="true" hidden="false"/>
    </xf>
    <xf numFmtId="213" fontId="0" fillId="0" borderId="0" xfId="15" applyFont="true" applyBorder="true" applyAlignment="true" applyProtection="true">
      <alignment horizontal="center" vertical="bottom" textRotation="0" wrapText="false" indent="0" shrinkToFit="false"/>
      <protection locked="true" hidden="false"/>
    </xf>
    <xf numFmtId="213" fontId="111" fillId="0" borderId="0" xfId="15" applyFont="true" applyBorder="true" applyAlignment="true" applyProtection="true">
      <alignment horizontal="left" vertical="bottom" textRotation="0" wrapText="false" indent="0" shrinkToFit="false"/>
      <protection locked="true" hidden="false"/>
    </xf>
    <xf numFmtId="213" fontId="111" fillId="0" borderId="0" xfId="15" applyFont="true" applyBorder="true" applyAlignment="true" applyProtection="true">
      <alignment horizontal="right" vertical="bottom" textRotation="0" wrapText="false" indent="0" shrinkToFit="false"/>
      <protection locked="true" hidden="false"/>
    </xf>
    <xf numFmtId="213" fontId="112" fillId="0" borderId="0" xfId="15" applyFont="true" applyBorder="true" applyAlignment="true" applyProtection="true">
      <alignment horizontal="left" vertical="bottom" textRotation="0" wrapText="false" indent="0" shrinkToFit="false"/>
      <protection locked="true" hidden="false"/>
    </xf>
    <xf numFmtId="213" fontId="112" fillId="0" borderId="0" xfId="15" applyFont="true" applyBorder="true" applyAlignment="true" applyProtection="true">
      <alignment horizontal="general" vertical="bottom" textRotation="0" wrapText="false" indent="0" shrinkToFit="false"/>
      <protection locked="true" hidden="false"/>
    </xf>
    <xf numFmtId="217" fontId="112" fillId="0" borderId="0" xfId="19" applyFont="true" applyBorder="true" applyAlignment="true" applyProtection="true">
      <alignment horizontal="center" vertical="bottom" textRotation="0" wrapText="false" indent="0" shrinkToFit="false"/>
      <protection locked="true" hidden="false"/>
    </xf>
    <xf numFmtId="164" fontId="9" fillId="16" borderId="0" xfId="0" applyFont="true" applyBorder="false" applyAlignment="true" applyProtection="false">
      <alignment horizontal="center" vertical="bottom" textRotation="0" wrapText="false" indent="0" shrinkToFit="false"/>
      <protection locked="true" hidden="false"/>
    </xf>
    <xf numFmtId="213" fontId="0" fillId="16" borderId="0" xfId="15" applyFont="true" applyBorder="true" applyAlignment="true" applyProtection="true">
      <alignment horizontal="general" vertical="bottom" textRotation="0" wrapText="false" indent="0" shrinkToFit="false"/>
      <protection locked="true" hidden="false"/>
    </xf>
    <xf numFmtId="213" fontId="57" fillId="16" borderId="0" xfId="15" applyFont="true" applyBorder="true" applyAlignment="true" applyProtection="true">
      <alignment horizontal="general" vertical="bottom" textRotation="0" wrapText="false" indent="0" shrinkToFit="false"/>
      <protection locked="true" hidden="false"/>
    </xf>
    <xf numFmtId="224" fontId="113" fillId="0" borderId="0" xfId="15" applyFont="true" applyBorder="true" applyAlignment="true" applyProtection="true">
      <alignment horizontal="general" vertical="bottom" textRotation="0" wrapText="false" indent="0" shrinkToFit="false"/>
      <protection locked="true" hidden="false"/>
    </xf>
    <xf numFmtId="217" fontId="113" fillId="0" borderId="0" xfId="19"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213" fontId="61" fillId="13" borderId="0" xfId="15" applyFont="true" applyBorder="true" applyAlignment="true" applyProtection="true">
      <alignment horizontal="general" vertical="bottom" textRotation="0" wrapText="false" indent="0" shrinkToFit="false"/>
      <protection locked="true" hidden="false"/>
    </xf>
    <xf numFmtId="215" fontId="61" fillId="0" borderId="0" xfId="0" applyFont="true" applyBorder="false" applyAlignment="false" applyProtection="false">
      <alignment horizontal="general" vertical="bottom" textRotation="0" wrapText="false" indent="0" shrinkToFit="false"/>
      <protection locked="true" hidden="false"/>
    </xf>
    <xf numFmtId="216" fontId="113" fillId="0" borderId="11" xfId="19" applyFont="true" applyBorder="true" applyAlignment="true" applyProtection="true">
      <alignment horizontal="general" vertical="bottom" textRotation="0" wrapText="false" indent="0" shrinkToFit="false"/>
      <protection locked="true" hidden="false"/>
    </xf>
    <xf numFmtId="215" fontId="0" fillId="0" borderId="0" xfId="1028" applyFont="true" applyBorder="false" applyAlignment="true" applyProtection="false">
      <alignment horizontal="center" vertical="bottom" textRotation="0" wrapText="false" indent="0" shrinkToFit="false"/>
      <protection locked="true" hidden="false"/>
    </xf>
    <xf numFmtId="215" fontId="0" fillId="0" borderId="0" xfId="1028" applyFont="true" applyBorder="true" applyAlignment="true" applyProtection="false">
      <alignment horizontal="general" vertical="bottom" textRotation="0" wrapText="false" indent="0" shrinkToFit="false"/>
      <protection locked="true" hidden="false"/>
    </xf>
    <xf numFmtId="215" fontId="0" fillId="0" borderId="0" xfId="1028" applyFont="true" applyBorder="false" applyAlignment="true" applyProtection="true">
      <alignment horizontal="general" vertical="bottom" textRotation="0" wrapText="false" indent="0" shrinkToFit="false"/>
      <protection locked="false" hidden="false"/>
    </xf>
    <xf numFmtId="213" fontId="86" fillId="0" borderId="0" xfId="15" applyFont="true" applyBorder="true" applyAlignment="true" applyProtection="true">
      <alignment horizontal="center" vertical="bottom" textRotation="0" wrapText="false" indent="0" shrinkToFit="false"/>
      <protection locked="true" hidden="false"/>
    </xf>
    <xf numFmtId="215" fontId="62" fillId="0" borderId="0" xfId="1028" applyFont="true" applyBorder="false" applyAlignment="true" applyProtection="false">
      <alignment horizontal="general" vertical="bottom" textRotation="0" wrapText="false" indent="0" shrinkToFit="false"/>
      <protection locked="true" hidden="false"/>
    </xf>
    <xf numFmtId="217" fontId="62" fillId="0" borderId="0" xfId="19" applyFont="true" applyBorder="true" applyAlignment="true" applyProtection="true">
      <alignment horizontal="center" vertical="bottom" textRotation="0" wrapText="false" indent="0" shrinkToFit="false"/>
      <protection locked="true" hidden="false"/>
    </xf>
    <xf numFmtId="215" fontId="62" fillId="0" borderId="0" xfId="1028" applyFont="true" applyBorder="true" applyAlignment="true" applyProtection="false">
      <alignment horizontal="general" vertical="bottom" textRotation="0" wrapText="false" indent="0" shrinkToFit="false"/>
      <protection locked="true" hidden="false"/>
    </xf>
    <xf numFmtId="215" fontId="114" fillId="0" borderId="0" xfId="1028" applyFont="true" applyBorder="false" applyAlignment="true" applyProtection="false">
      <alignment horizontal="general" vertical="bottom" textRotation="0" wrapText="false" indent="0" shrinkToFit="false"/>
      <protection locked="true" hidden="false"/>
    </xf>
    <xf numFmtId="164" fontId="61" fillId="9" borderId="22" xfId="0" applyFont="true" applyBorder="true" applyAlignment="false" applyProtection="false">
      <alignment horizontal="general" vertical="bottom" textRotation="0" wrapText="false" indent="0" shrinkToFit="false"/>
      <protection locked="true" hidden="false"/>
    </xf>
    <xf numFmtId="164" fontId="61" fillId="9" borderId="2" xfId="0" applyFont="true" applyBorder="true" applyAlignment="false" applyProtection="false">
      <alignment horizontal="general" vertical="bottom" textRotation="0" wrapText="false" indent="0" shrinkToFit="false"/>
      <protection locked="true" hidden="false"/>
    </xf>
    <xf numFmtId="164" fontId="61" fillId="9" borderId="30" xfId="0" applyFont="true" applyBorder="true" applyAlignment="false" applyProtection="false">
      <alignment horizontal="general" vertical="bottom" textRotation="0" wrapText="false" indent="0" shrinkToFit="false"/>
      <protection locked="true" hidden="false"/>
    </xf>
    <xf numFmtId="215" fontId="114" fillId="0" borderId="0" xfId="1028" applyFont="true" applyBorder="true" applyAlignment="true" applyProtection="false">
      <alignment horizontal="general" vertical="bottom" textRotation="0" wrapText="false" indent="0" shrinkToFit="false"/>
      <protection locked="true" hidden="false"/>
    </xf>
    <xf numFmtId="215" fontId="114" fillId="0" borderId="0" xfId="1028" applyFont="true" applyBorder="false" applyAlignment="true" applyProtection="true">
      <alignment horizontal="general" vertical="bottom" textRotation="0" wrapText="false" indent="0" shrinkToFit="false"/>
      <protection locked="false" hidden="false"/>
    </xf>
    <xf numFmtId="164" fontId="114" fillId="0" borderId="0" xfId="0" applyFont="true" applyBorder="false" applyAlignment="false" applyProtection="false">
      <alignment horizontal="general" vertical="bottom" textRotation="0" wrapText="false" indent="0" shrinkToFit="false"/>
      <protection locked="true" hidden="false"/>
    </xf>
    <xf numFmtId="216" fontId="0" fillId="0" borderId="0" xfId="1028" applyFont="false" applyBorder="false" applyAlignment="false" applyProtection="false">
      <alignment horizontal="general" vertical="bottom" textRotation="0" wrapText="false" indent="0" shrinkToFit="false"/>
      <protection locked="true" hidden="false"/>
    </xf>
    <xf numFmtId="187" fontId="0" fillId="0" borderId="0" xfId="1028" applyFont="true" applyBorder="false" applyAlignment="true" applyProtection="false">
      <alignment horizontal="general" vertical="bottom" textRotation="0" wrapText="false" indent="0" shrinkToFit="false"/>
      <protection locked="true" hidden="false"/>
    </xf>
    <xf numFmtId="187" fontId="62" fillId="0" borderId="0" xfId="1028" applyFont="true" applyBorder="false" applyAlignment="true" applyProtection="false">
      <alignment horizontal="general" vertical="bottom" textRotation="0" wrapText="false" indent="0" shrinkToFit="false"/>
      <protection locked="true" hidden="false"/>
    </xf>
    <xf numFmtId="216" fontId="62" fillId="0" borderId="0" xfId="1028" applyFont="true" applyBorder="false" applyAlignment="true" applyProtection="false">
      <alignment horizontal="general" vertical="bottom" textRotation="0" wrapText="false" indent="0" shrinkToFit="false"/>
      <protection locked="true" hidden="false"/>
    </xf>
    <xf numFmtId="215" fontId="114" fillId="0" borderId="0" xfId="1028" applyFont="true" applyBorder="false" applyAlignment="true" applyProtection="false">
      <alignment horizontal="general" vertical="bottom" textRotation="0" wrapText="false" indent="0" shrinkToFit="false"/>
      <protection locked="true" hidden="false"/>
    </xf>
    <xf numFmtId="239" fontId="114" fillId="0" borderId="0" xfId="1028" applyFont="true" applyBorder="false" applyAlignment="false" applyProtection="false">
      <alignment horizontal="general" vertical="bottom" textRotation="0" wrapText="false" indent="0" shrinkToFit="false"/>
      <protection locked="true" hidden="false"/>
    </xf>
    <xf numFmtId="215" fontId="114" fillId="0" borderId="0" xfId="1028" applyFont="true" applyBorder="true" applyAlignment="true" applyProtection="false">
      <alignment horizontal="general" vertical="bottom" textRotation="0" wrapText="false" indent="0" shrinkToFit="false"/>
      <protection locked="true" hidden="false"/>
    </xf>
    <xf numFmtId="215" fontId="114" fillId="0" borderId="0" xfId="1028" applyFont="true" applyBorder="false" applyAlignment="true" applyProtection="true">
      <alignment horizontal="general" vertical="bottom" textRotation="0" wrapText="false" indent="0" shrinkToFit="false"/>
      <protection locked="false" hidden="false"/>
    </xf>
    <xf numFmtId="164" fontId="114" fillId="0" borderId="0" xfId="0" applyFont="true" applyBorder="false" applyAlignment="false" applyProtection="false">
      <alignment horizontal="general" vertical="bottom" textRotation="0" wrapText="false" indent="0" shrinkToFit="false"/>
      <protection locked="true" hidden="false"/>
    </xf>
    <xf numFmtId="216" fontId="114" fillId="0" borderId="0" xfId="1028" applyFont="true" applyBorder="false" applyAlignment="false" applyProtection="false">
      <alignment horizontal="general" vertical="bottom" textRotation="0" wrapText="false" indent="0" shrinkToFit="false"/>
      <protection locked="true" hidden="false"/>
    </xf>
    <xf numFmtId="215" fontId="61" fillId="0" borderId="0" xfId="1028" applyFont="true" applyBorder="false" applyAlignment="true" applyProtection="false">
      <alignment horizontal="general" vertical="bottom" textRotation="0" wrapText="false" indent="0" shrinkToFit="false"/>
      <protection locked="true" hidden="false"/>
    </xf>
    <xf numFmtId="215" fontId="61" fillId="0" borderId="0" xfId="1028" applyFont="true" applyBorder="true" applyAlignment="true" applyProtection="false">
      <alignment horizontal="general" vertical="bottom" textRotation="0" wrapText="false" indent="0" shrinkToFit="false"/>
      <protection locked="true" hidden="false"/>
    </xf>
    <xf numFmtId="215" fontId="61" fillId="0" borderId="0" xfId="1028" applyFont="true" applyBorder="false" applyAlignment="true" applyProtection="true">
      <alignment horizontal="general" vertical="bottom" textRotation="0" wrapText="false" indent="0" shrinkToFit="false"/>
      <protection locked="false" hidden="false"/>
    </xf>
    <xf numFmtId="213" fontId="62" fillId="0" borderId="0" xfId="15" applyFont="true" applyBorder="true" applyAlignment="true" applyProtection="true">
      <alignment horizontal="general" vertical="bottom" textRotation="0" wrapText="false" indent="0" shrinkToFit="false"/>
      <protection locked="true" hidden="false"/>
    </xf>
    <xf numFmtId="215" fontId="114" fillId="0" borderId="0" xfId="1028" applyFont="true" applyBorder="false" applyAlignment="false" applyProtection="false">
      <alignment horizontal="general" vertical="bottom" textRotation="0" wrapText="false" indent="0" shrinkToFit="false"/>
      <protection locked="true" hidden="false"/>
    </xf>
    <xf numFmtId="187" fontId="114" fillId="0" borderId="0" xfId="1028" applyFont="true" applyBorder="false" applyAlignment="false" applyProtection="false">
      <alignment horizontal="general" vertical="bottom" textRotation="0" wrapText="false" indent="0" shrinkToFit="false"/>
      <protection locked="true" hidden="false"/>
    </xf>
    <xf numFmtId="240" fontId="115" fillId="0" borderId="0" xfId="1028" applyFont="true" applyBorder="false" applyAlignment="true" applyProtection="false">
      <alignment horizontal="general" vertical="bottom" textRotation="0" wrapText="false" indent="0" shrinkToFit="false"/>
      <protection locked="true" hidden="false"/>
    </xf>
    <xf numFmtId="215" fontId="115" fillId="0" borderId="0" xfId="1028" applyFont="true" applyBorder="false" applyAlignment="true" applyProtection="false">
      <alignment horizontal="general" vertical="bottom" textRotation="0" wrapText="false" indent="0" shrinkToFit="false"/>
      <protection locked="true" hidden="false"/>
    </xf>
    <xf numFmtId="215" fontId="9" fillId="0" borderId="0" xfId="1028" applyFont="true" applyBorder="false" applyAlignment="true" applyProtection="false">
      <alignment horizontal="center" vertical="bottom" textRotation="0" wrapText="false" indent="0" shrinkToFit="false"/>
      <protection locked="true" hidden="false"/>
    </xf>
    <xf numFmtId="215" fontId="61" fillId="0" borderId="0" xfId="1028" applyFont="true" applyBorder="false" applyAlignment="true" applyProtection="false">
      <alignment horizontal="left" vertical="bottom" textRotation="0" wrapText="false" indent="0" shrinkToFit="false"/>
      <protection locked="true" hidden="false"/>
    </xf>
    <xf numFmtId="187" fontId="9" fillId="0" borderId="0" xfId="1028" applyFont="true" applyBorder="false" applyAlignment="false" applyProtection="false">
      <alignment horizontal="general" vertical="bottom" textRotation="0" wrapText="false" indent="0" shrinkToFit="false"/>
      <protection locked="true" hidden="false"/>
    </xf>
    <xf numFmtId="216" fontId="9" fillId="0" borderId="0" xfId="1028" applyFont="true" applyBorder="false" applyAlignment="false" applyProtection="false">
      <alignment horizontal="general" vertical="bottom" textRotation="0" wrapText="false" indent="0" shrinkToFit="false"/>
      <protection locked="true" hidden="false"/>
    </xf>
    <xf numFmtId="240" fontId="9" fillId="0" borderId="0" xfId="1028" applyFont="true" applyBorder="false" applyAlignment="true" applyProtection="false">
      <alignment horizontal="general" vertical="bottom" textRotation="0" wrapText="false" indent="0" shrinkToFit="false"/>
      <protection locked="true" hidden="false"/>
    </xf>
    <xf numFmtId="215" fontId="9" fillId="0" borderId="0" xfId="1028" applyFont="true" applyBorder="false" applyAlignment="true" applyProtection="false">
      <alignment horizontal="general" vertical="bottom" textRotation="0" wrapText="false" indent="0" shrinkToFit="false"/>
      <protection locked="true" hidden="false"/>
    </xf>
    <xf numFmtId="215" fontId="9" fillId="0" borderId="0" xfId="1028" applyFont="true" applyBorder="true" applyAlignment="true" applyProtection="false">
      <alignment horizontal="general" vertical="bottom" textRotation="0" wrapText="false" indent="0" shrinkToFit="false"/>
      <protection locked="true" hidden="false"/>
    </xf>
    <xf numFmtId="215" fontId="9" fillId="0" borderId="0" xfId="1028" applyFont="true" applyBorder="false" applyAlignment="true" applyProtection="true">
      <alignment horizontal="general" vertical="bottom" textRotation="0" wrapText="false" indent="0" shrinkToFit="false"/>
      <protection locked="false" hidden="false"/>
    </xf>
    <xf numFmtId="164" fontId="61" fillId="4" borderId="23" xfId="0" applyFont="true" applyBorder="true" applyAlignment="false" applyProtection="false">
      <alignment horizontal="general" vertical="bottom" textRotation="0" wrapText="false" indent="0" shrinkToFit="false"/>
      <protection locked="true" hidden="false"/>
    </xf>
    <xf numFmtId="164" fontId="61" fillId="4" borderId="24" xfId="0" applyFont="true" applyBorder="true" applyAlignment="false" applyProtection="false">
      <alignment horizontal="general" vertical="bottom" textRotation="0" wrapText="false" indent="0" shrinkToFit="false"/>
      <protection locked="true" hidden="false"/>
    </xf>
    <xf numFmtId="164" fontId="61" fillId="4" borderId="24" xfId="0" applyFont="true" applyBorder="true" applyAlignment="true" applyProtection="false">
      <alignment horizontal="center" vertical="bottom" textRotation="0" wrapText="false" indent="0" shrinkToFit="false"/>
      <protection locked="true" hidden="false"/>
    </xf>
    <xf numFmtId="215" fontId="0" fillId="4" borderId="25" xfId="1028" applyFont="true" applyBorder="true" applyAlignment="true" applyProtection="false">
      <alignment horizontal="general" vertical="bottom" textRotation="0" wrapText="false" indent="0" shrinkToFit="false"/>
      <protection locked="true" hidden="false"/>
    </xf>
    <xf numFmtId="164" fontId="61" fillId="4" borderId="26" xfId="0" applyFont="true" applyBorder="true" applyAlignment="false" applyProtection="false">
      <alignment horizontal="general" vertical="bottom" textRotation="0" wrapText="false" indent="0" shrinkToFit="false"/>
      <protection locked="true" hidden="false"/>
    </xf>
    <xf numFmtId="164" fontId="61" fillId="4" borderId="0" xfId="0" applyFont="true" applyBorder="true" applyAlignment="false" applyProtection="false">
      <alignment horizontal="general" vertical="bottom" textRotation="0" wrapText="false" indent="0" shrinkToFit="false"/>
      <protection locked="true" hidden="false"/>
    </xf>
    <xf numFmtId="218" fontId="61" fillId="4" borderId="0" xfId="0" applyFont="true" applyBorder="true" applyAlignment="false" applyProtection="false">
      <alignment horizontal="general" vertical="bottom" textRotation="0" wrapText="false" indent="0" shrinkToFit="false"/>
      <protection locked="true" hidden="false"/>
    </xf>
    <xf numFmtId="218" fontId="61" fillId="4" borderId="27" xfId="0" applyFont="true" applyBorder="true" applyAlignment="false" applyProtection="false">
      <alignment horizontal="general" vertical="bottom" textRotation="0" wrapText="false" indent="0" shrinkToFit="false"/>
      <protection locked="true" hidden="false"/>
    </xf>
    <xf numFmtId="164" fontId="116" fillId="4" borderId="26" xfId="0" applyFont="true" applyBorder="true" applyAlignment="false" applyProtection="false">
      <alignment horizontal="general" vertical="bottom" textRotation="0" wrapText="false" indent="0" shrinkToFit="false"/>
      <protection locked="true" hidden="false"/>
    </xf>
    <xf numFmtId="164" fontId="116" fillId="4" borderId="0" xfId="0" applyFont="true" applyBorder="true" applyAlignment="false" applyProtection="false">
      <alignment horizontal="general" vertical="bottom" textRotation="0" wrapText="false" indent="0" shrinkToFit="false"/>
      <protection locked="true" hidden="false"/>
    </xf>
    <xf numFmtId="213" fontId="116" fillId="4" borderId="0" xfId="15" applyFont="true" applyBorder="true" applyAlignment="true" applyProtection="true">
      <alignment horizontal="general" vertical="bottom" textRotation="0" wrapText="false" indent="0" shrinkToFit="false"/>
      <protection locked="true" hidden="false"/>
    </xf>
    <xf numFmtId="164" fontId="0" fillId="4" borderId="27" xfId="0" applyFont="false" applyBorder="true" applyAlignment="false" applyProtection="false">
      <alignment horizontal="general" vertical="bottom" textRotation="0" wrapText="false" indent="0" shrinkToFit="false"/>
      <protection locked="true" hidden="false"/>
    </xf>
    <xf numFmtId="215" fontId="62" fillId="0" borderId="26" xfId="1028" applyFont="true" applyBorder="true" applyAlignment="true" applyProtection="false">
      <alignment horizontal="general" vertical="bottom" textRotation="0" wrapText="false" indent="0" shrinkToFit="false"/>
      <protection locked="true" hidden="false"/>
    </xf>
    <xf numFmtId="215" fontId="62" fillId="0" borderId="27" xfId="1028" applyFont="true" applyBorder="true" applyAlignment="true" applyProtection="false">
      <alignment horizontal="general" vertical="bottom" textRotation="0" wrapText="false" indent="0" shrinkToFit="false"/>
      <protection locked="true" hidden="false"/>
    </xf>
    <xf numFmtId="215" fontId="0" fillId="0" borderId="26" xfId="1028" applyFont="true" applyBorder="true" applyAlignment="false" applyProtection="false">
      <alignment horizontal="general" vertical="bottom" textRotation="0" wrapText="false" indent="0" shrinkToFit="false"/>
      <protection locked="true" hidden="false"/>
    </xf>
    <xf numFmtId="215" fontId="0" fillId="0" borderId="0" xfId="1028" applyFont="false" applyBorder="true" applyAlignment="false" applyProtection="false">
      <alignment horizontal="general" vertical="bottom" textRotation="0" wrapText="false" indent="0" shrinkToFit="false"/>
      <protection locked="true" hidden="false"/>
    </xf>
    <xf numFmtId="215" fontId="0" fillId="0" borderId="27" xfId="1028" applyFont="false" applyBorder="true" applyAlignment="false" applyProtection="false">
      <alignment horizontal="general" vertical="bottom" textRotation="0" wrapText="false" indent="0" shrinkToFit="false"/>
      <protection locked="true" hidden="false"/>
    </xf>
    <xf numFmtId="215" fontId="0" fillId="0" borderId="0" xfId="1028" applyFont="true" applyBorder="true" applyAlignment="true" applyProtection="false">
      <alignment horizontal="general" vertical="bottom" textRotation="0" wrapText="false" indent="0" shrinkToFit="false"/>
      <protection locked="true" hidden="false"/>
    </xf>
    <xf numFmtId="215" fontId="0" fillId="0" borderId="0" xfId="1028" applyFont="true" applyBorder="false" applyAlignment="true" applyProtection="true">
      <alignment horizontal="general" vertical="bottom" textRotation="0" wrapText="false" indent="0" shrinkToFit="false"/>
      <protection locked="false" hidden="false"/>
    </xf>
    <xf numFmtId="215" fontId="115" fillId="0" borderId="26" xfId="1028" applyFont="true" applyBorder="true" applyAlignment="true" applyProtection="false">
      <alignment horizontal="general" vertical="bottom" textRotation="0" wrapText="false" indent="0" shrinkToFit="false"/>
      <protection locked="true" hidden="false"/>
    </xf>
    <xf numFmtId="215" fontId="115" fillId="0" borderId="0" xfId="1028" applyFont="true" applyBorder="true" applyAlignment="true" applyProtection="false">
      <alignment horizontal="general" vertical="bottom" textRotation="0" wrapText="false" indent="0" shrinkToFit="false"/>
      <protection locked="true" hidden="false"/>
    </xf>
    <xf numFmtId="215" fontId="115" fillId="0" borderId="27" xfId="1028" applyFont="true" applyBorder="true" applyAlignment="true" applyProtection="false">
      <alignment horizontal="general" vertical="bottom" textRotation="0" wrapText="false" indent="0" shrinkToFit="false"/>
      <protection locked="true" hidden="false"/>
    </xf>
    <xf numFmtId="187" fontId="115" fillId="0" borderId="0" xfId="1028" applyFont="true" applyBorder="true" applyAlignment="true" applyProtection="false">
      <alignment horizontal="general" vertical="bottom" textRotation="0" wrapText="false" indent="0" shrinkToFit="false"/>
      <protection locked="true" hidden="false"/>
    </xf>
    <xf numFmtId="216" fontId="115" fillId="0" borderId="0" xfId="1028" applyFont="true" applyBorder="true" applyAlignment="true" applyProtection="false">
      <alignment horizontal="general" vertical="bottom" textRotation="0" wrapText="false" indent="0" shrinkToFit="false"/>
      <protection locked="true" hidden="false"/>
    </xf>
    <xf numFmtId="164" fontId="61" fillId="11" borderId="37" xfId="0" applyFont="true" applyBorder="true" applyAlignment="false" applyProtection="false">
      <alignment horizontal="general" vertical="bottom" textRotation="0" wrapText="false" indent="0" shrinkToFit="false"/>
      <protection locked="true" hidden="false"/>
    </xf>
    <xf numFmtId="164" fontId="61" fillId="11" borderId="1" xfId="0" applyFont="true" applyBorder="true" applyAlignment="false" applyProtection="false">
      <alignment horizontal="general" vertical="bottom" textRotation="0" wrapText="false" indent="0" shrinkToFit="false"/>
      <protection locked="true" hidden="false"/>
    </xf>
    <xf numFmtId="218" fontId="61" fillId="11" borderId="1" xfId="0" applyFont="true" applyBorder="true" applyAlignment="false" applyProtection="false">
      <alignment horizontal="general" vertical="bottom" textRotation="0" wrapText="false" indent="0" shrinkToFit="false"/>
      <protection locked="true" hidden="false"/>
    </xf>
    <xf numFmtId="218" fontId="61" fillId="11" borderId="38" xfId="0" applyFont="true" applyBorder="true" applyAlignment="false" applyProtection="false">
      <alignment horizontal="general" vertical="bottom" textRotation="0" wrapText="false" indent="0" shrinkToFit="false"/>
      <protection locked="true" hidden="false"/>
    </xf>
    <xf numFmtId="215" fontId="0" fillId="0" borderId="26" xfId="1028" applyFont="true" applyBorder="true" applyAlignment="true" applyProtection="false">
      <alignment horizontal="general" vertical="bottom" textRotation="0" wrapText="false" indent="0" shrinkToFit="false"/>
      <protection locked="true" hidden="false"/>
    </xf>
    <xf numFmtId="215" fontId="0" fillId="0" borderId="27" xfId="1028" applyFont="false" applyBorder="true" applyAlignment="false" applyProtection="false">
      <alignment horizontal="general" vertical="bottom" textRotation="0" wrapText="false" indent="0" shrinkToFit="false"/>
      <protection locked="true" hidden="false"/>
    </xf>
    <xf numFmtId="215" fontId="0" fillId="0" borderId="31" xfId="1028" applyFont="true" applyBorder="true" applyAlignment="true" applyProtection="false">
      <alignment horizontal="general" vertical="bottom" textRotation="0" wrapText="false" indent="0" shrinkToFit="false"/>
      <protection locked="true" hidden="false"/>
    </xf>
    <xf numFmtId="215" fontId="0" fillId="0" borderId="14" xfId="1028" applyFont="true" applyBorder="true" applyAlignment="true" applyProtection="false">
      <alignment horizontal="general" vertical="bottom" textRotation="0" wrapText="false" indent="0" shrinkToFit="false"/>
      <protection locked="true" hidden="false"/>
    </xf>
    <xf numFmtId="215" fontId="0" fillId="0" borderId="29" xfId="1028" applyFont="false" applyBorder="true" applyAlignment="false" applyProtection="false">
      <alignment horizontal="general" vertical="bottom" textRotation="0" wrapText="false" indent="0" shrinkToFit="false"/>
      <protection locked="true" hidden="false"/>
    </xf>
    <xf numFmtId="215" fontId="62" fillId="0" borderId="31" xfId="1028" applyFont="true" applyBorder="true" applyAlignment="true" applyProtection="false">
      <alignment horizontal="general" vertical="bottom" textRotation="0" wrapText="false" indent="0" shrinkToFit="false"/>
      <protection locked="true" hidden="false"/>
    </xf>
    <xf numFmtId="215" fontId="62" fillId="0" borderId="14" xfId="1028" applyFont="true" applyBorder="true" applyAlignment="true" applyProtection="false">
      <alignment horizontal="general" vertical="bottom" textRotation="0" wrapText="false" indent="0" shrinkToFit="false"/>
      <protection locked="true" hidden="false"/>
    </xf>
    <xf numFmtId="217" fontId="62" fillId="0" borderId="14" xfId="1028" applyFont="true" applyBorder="true" applyAlignment="true" applyProtection="false">
      <alignment horizontal="general" vertical="bottom" textRotation="0" wrapText="false" indent="0" shrinkToFit="false"/>
      <protection locked="true" hidden="false"/>
    </xf>
    <xf numFmtId="215" fontId="62" fillId="0" borderId="29" xfId="1028" applyFont="true" applyBorder="true" applyAlignment="true" applyProtection="false">
      <alignment horizontal="general" vertical="bottom" textRotation="0" wrapText="false" indent="0" shrinkToFit="false"/>
      <protection locked="true" hidden="false"/>
    </xf>
    <xf numFmtId="215" fontId="0" fillId="0" borderId="0" xfId="1028" applyFont="true" applyBorder="true" applyAlignment="true" applyProtection="false">
      <alignment horizontal="center" vertical="bottom" textRotation="0" wrapText="false" indent="0" shrinkToFit="false"/>
      <protection locked="true" hidden="false"/>
    </xf>
    <xf numFmtId="217" fontId="62" fillId="0" borderId="0" xfId="1028" applyFont="true" applyBorder="true" applyAlignment="true" applyProtection="false">
      <alignment horizontal="general" vertical="bottom" textRotation="0" wrapText="false" indent="0" shrinkToFit="false"/>
      <protection locked="true" hidden="false"/>
    </xf>
    <xf numFmtId="241" fontId="115" fillId="0" borderId="0" xfId="1028" applyFont="true" applyBorder="false" applyAlignment="true" applyProtection="false">
      <alignment horizontal="general" vertical="bottom" textRotation="0" wrapText="false" indent="0" shrinkToFit="false"/>
      <protection locked="true" hidden="false"/>
    </xf>
    <xf numFmtId="215" fontId="0" fillId="0" borderId="0" xfId="1028" applyFont="true" applyBorder="false" applyAlignment="true" applyProtection="false">
      <alignment horizontal="center" vertical="bottom" textRotation="0" wrapText="false" indent="0" shrinkToFit="false"/>
      <protection locked="true" hidden="false"/>
    </xf>
    <xf numFmtId="218" fontId="61" fillId="0" borderId="0" xfId="0" applyFont="true" applyBorder="true" applyAlignment="false" applyProtection="false">
      <alignment horizontal="general" vertical="bottom" textRotation="0" wrapText="false" indent="0" shrinkToFit="false"/>
      <protection locked="true" hidden="false"/>
    </xf>
    <xf numFmtId="215" fontId="62" fillId="0" borderId="0" xfId="1028" applyFont="true" applyBorder="false" applyAlignment="true" applyProtection="false">
      <alignment horizontal="general" vertical="bottom" textRotation="0" wrapText="false" indent="0" shrinkToFit="false"/>
      <protection locked="true" hidden="false"/>
    </xf>
    <xf numFmtId="215" fontId="62" fillId="0" borderId="0" xfId="1028" applyFont="true" applyBorder="true" applyAlignment="true" applyProtection="false">
      <alignment horizontal="general" vertical="bottom" textRotation="0" wrapText="false" indent="0" shrinkToFit="false"/>
      <protection locked="true" hidden="false"/>
    </xf>
    <xf numFmtId="216" fontId="0" fillId="0" borderId="0" xfId="1028" applyFont="false" applyBorder="false" applyAlignment="false" applyProtection="false">
      <alignment horizontal="general" vertical="bottom" textRotation="0" wrapText="false" indent="0" shrinkToFit="false"/>
      <protection locked="true" hidden="false"/>
    </xf>
    <xf numFmtId="187" fontId="62" fillId="0" borderId="0" xfId="1028" applyFont="true" applyBorder="false" applyAlignment="true" applyProtection="false">
      <alignment horizontal="general" vertical="bottom" textRotation="0" wrapText="false" indent="0" shrinkToFit="false"/>
      <protection locked="true" hidden="false"/>
    </xf>
    <xf numFmtId="216" fontId="62" fillId="0" borderId="0" xfId="1028" applyFont="true" applyBorder="false" applyAlignment="true" applyProtection="false">
      <alignment horizontal="general" vertical="bottom" textRotation="0" wrapText="false" indent="0" shrinkToFit="false"/>
      <protection locked="true" hidden="false"/>
    </xf>
    <xf numFmtId="239" fontId="114" fillId="0" borderId="0" xfId="1028" applyFont="true" applyBorder="false" applyAlignment="false" applyProtection="false">
      <alignment horizontal="general" vertical="bottom" textRotation="0" wrapText="false" indent="0" shrinkToFit="false"/>
      <protection locked="true" hidden="false"/>
    </xf>
    <xf numFmtId="216" fontId="114" fillId="0" borderId="0" xfId="1028" applyFont="true" applyBorder="false" applyAlignment="false" applyProtection="false">
      <alignment horizontal="general" vertical="bottom" textRotation="0" wrapText="false" indent="0" shrinkToFit="false"/>
      <protection locked="true" hidden="false"/>
    </xf>
    <xf numFmtId="215" fontId="61" fillId="0" borderId="0" xfId="1028" applyFont="true" applyBorder="false" applyAlignment="true" applyProtection="false">
      <alignment horizontal="general" vertical="bottom" textRotation="0" wrapText="false" indent="0" shrinkToFit="false"/>
      <protection locked="true" hidden="false"/>
    </xf>
    <xf numFmtId="215" fontId="61" fillId="0" borderId="0" xfId="1028" applyFont="true" applyBorder="true" applyAlignment="true" applyProtection="false">
      <alignment horizontal="general" vertical="bottom" textRotation="0" wrapText="false" indent="0" shrinkToFit="false"/>
      <protection locked="true" hidden="false"/>
    </xf>
    <xf numFmtId="215" fontId="61" fillId="0" borderId="0" xfId="1028" applyFont="true" applyBorder="false" applyAlignment="true" applyProtection="true">
      <alignment horizontal="general" vertical="bottom" textRotation="0" wrapText="false" indent="0" shrinkToFit="false"/>
      <protection locked="false" hidden="false"/>
    </xf>
    <xf numFmtId="215" fontId="114" fillId="0" borderId="0" xfId="1028" applyFont="true" applyBorder="false" applyAlignment="false" applyProtection="false">
      <alignment horizontal="general" vertical="bottom" textRotation="0" wrapText="false" indent="0" shrinkToFit="false"/>
      <protection locked="true" hidden="false"/>
    </xf>
    <xf numFmtId="187" fontId="114" fillId="0" borderId="0" xfId="1028" applyFont="true" applyBorder="false" applyAlignment="false" applyProtection="false">
      <alignment horizontal="general" vertical="bottom" textRotation="0" wrapText="false" indent="0" shrinkToFit="false"/>
      <protection locked="true" hidden="false"/>
    </xf>
    <xf numFmtId="240" fontId="115" fillId="0" borderId="0" xfId="1028" applyFont="true" applyBorder="false" applyAlignment="true" applyProtection="false">
      <alignment horizontal="general" vertical="bottom" textRotation="0" wrapText="false" indent="0" shrinkToFit="false"/>
      <protection locked="true" hidden="false"/>
    </xf>
    <xf numFmtId="215" fontId="115" fillId="0" borderId="0" xfId="1028" applyFont="true" applyBorder="false" applyAlignment="true" applyProtection="false">
      <alignment horizontal="general" vertical="bottom" textRotation="0" wrapText="false" indent="0" shrinkToFit="false"/>
      <protection locked="true" hidden="false"/>
    </xf>
    <xf numFmtId="215" fontId="0" fillId="0" borderId="0" xfId="1028" applyFont="true" applyBorder="true" applyAlignment="true" applyProtection="false">
      <alignment horizontal="center" vertical="bottom" textRotation="0" wrapText="false" indent="0" shrinkToFit="false"/>
      <protection locked="true" hidden="false"/>
    </xf>
    <xf numFmtId="164" fontId="61" fillId="17" borderId="23" xfId="0" applyFont="true" applyBorder="true" applyAlignment="false" applyProtection="false">
      <alignment horizontal="general" vertical="bottom" textRotation="0" wrapText="false" indent="0" shrinkToFit="false"/>
      <protection locked="true" hidden="false"/>
    </xf>
    <xf numFmtId="164" fontId="61" fillId="17" borderId="24" xfId="0" applyFont="true" applyBorder="true" applyAlignment="false" applyProtection="false">
      <alignment horizontal="general" vertical="bottom" textRotation="0" wrapText="false" indent="0" shrinkToFit="false"/>
      <protection locked="true" hidden="false"/>
    </xf>
    <xf numFmtId="164" fontId="61" fillId="17" borderId="24" xfId="0" applyFont="true" applyBorder="true" applyAlignment="true" applyProtection="false">
      <alignment horizontal="center" vertical="bottom" textRotation="0" wrapText="false" indent="0" shrinkToFit="false"/>
      <protection locked="true" hidden="false"/>
    </xf>
    <xf numFmtId="215" fontId="9" fillId="17" borderId="25" xfId="1028" applyFont="true" applyBorder="true" applyAlignment="true" applyProtection="false">
      <alignment horizontal="general" vertical="bottom" textRotation="0" wrapText="false" indent="0" shrinkToFit="false"/>
      <protection locked="true" hidden="false"/>
    </xf>
    <xf numFmtId="164" fontId="61" fillId="17" borderId="26" xfId="0" applyFont="true" applyBorder="true" applyAlignment="false" applyProtection="false">
      <alignment horizontal="general" vertical="bottom" textRotation="0" wrapText="false" indent="0" shrinkToFit="false"/>
      <protection locked="true" hidden="false"/>
    </xf>
    <xf numFmtId="164" fontId="61" fillId="17" borderId="0" xfId="0" applyFont="true" applyBorder="true" applyAlignment="false" applyProtection="false">
      <alignment horizontal="general" vertical="bottom" textRotation="0" wrapText="false" indent="0" shrinkToFit="false"/>
      <protection locked="true" hidden="false"/>
    </xf>
    <xf numFmtId="218" fontId="61" fillId="17" borderId="0" xfId="0" applyFont="true" applyBorder="true" applyAlignment="false" applyProtection="false">
      <alignment horizontal="general" vertical="bottom" textRotation="0" wrapText="false" indent="0" shrinkToFit="false"/>
      <protection locked="true" hidden="false"/>
    </xf>
    <xf numFmtId="218" fontId="61" fillId="17" borderId="27" xfId="0" applyFont="true" applyBorder="true" applyAlignment="false" applyProtection="false">
      <alignment horizontal="general" vertical="bottom" textRotation="0" wrapText="false" indent="0" shrinkToFit="false"/>
      <protection locked="true" hidden="false"/>
    </xf>
    <xf numFmtId="164" fontId="116" fillId="17" borderId="26" xfId="0" applyFont="true" applyBorder="true" applyAlignment="false" applyProtection="false">
      <alignment horizontal="general" vertical="bottom" textRotation="0" wrapText="false" indent="0" shrinkToFit="false"/>
      <protection locked="true" hidden="false"/>
    </xf>
    <xf numFmtId="164" fontId="116" fillId="17" borderId="0" xfId="0" applyFont="true" applyBorder="true" applyAlignment="false" applyProtection="false">
      <alignment horizontal="general" vertical="bottom" textRotation="0" wrapText="false" indent="0" shrinkToFit="false"/>
      <protection locked="true" hidden="false"/>
    </xf>
    <xf numFmtId="213" fontId="116" fillId="17" borderId="0" xfId="15" applyFont="true" applyBorder="true" applyAlignment="true" applyProtection="true">
      <alignment horizontal="general" vertical="bottom" textRotation="0" wrapText="false" indent="0" shrinkToFit="false"/>
      <protection locked="true" hidden="false"/>
    </xf>
    <xf numFmtId="164" fontId="9" fillId="17" borderId="27" xfId="0" applyFont="true" applyBorder="true" applyAlignment="false" applyProtection="false">
      <alignment horizontal="general" vertical="bottom" textRotation="0" wrapText="false" indent="0" shrinkToFit="false"/>
      <protection locked="true" hidden="false"/>
    </xf>
    <xf numFmtId="215" fontId="61" fillId="0" borderId="26" xfId="1028" applyFont="true" applyBorder="true" applyAlignment="true" applyProtection="false">
      <alignment horizontal="general" vertical="bottom" textRotation="0" wrapText="false" indent="0" shrinkToFit="false"/>
      <protection locked="true" hidden="false"/>
    </xf>
    <xf numFmtId="215" fontId="61" fillId="0" borderId="27" xfId="1028" applyFont="true" applyBorder="true" applyAlignment="true" applyProtection="false">
      <alignment horizontal="general" vertical="bottom" textRotation="0" wrapText="false" indent="0" shrinkToFit="false"/>
      <protection locked="true" hidden="false"/>
    </xf>
    <xf numFmtId="215" fontId="9" fillId="0" borderId="26" xfId="1028" applyFont="true" applyBorder="true" applyAlignment="false" applyProtection="false">
      <alignment horizontal="general" vertical="bottom" textRotation="0" wrapText="false" indent="0" shrinkToFit="false"/>
      <protection locked="true" hidden="false"/>
    </xf>
    <xf numFmtId="215" fontId="9" fillId="0" borderId="0" xfId="1028" applyFont="true" applyBorder="true" applyAlignment="false" applyProtection="false">
      <alignment horizontal="general" vertical="bottom" textRotation="0" wrapText="false" indent="0" shrinkToFit="false"/>
      <protection locked="true" hidden="false"/>
    </xf>
    <xf numFmtId="215" fontId="9" fillId="0" borderId="27" xfId="1028" applyFont="true" applyBorder="true" applyAlignment="false" applyProtection="false">
      <alignment horizontal="general" vertical="bottom" textRotation="0" wrapText="false" indent="0" shrinkToFit="false"/>
      <protection locked="true" hidden="false"/>
    </xf>
    <xf numFmtId="215" fontId="61" fillId="0" borderId="26" xfId="1028" applyFont="true" applyBorder="true" applyAlignment="true" applyProtection="false">
      <alignment horizontal="general" vertical="bottom" textRotation="0" wrapText="false" indent="0" shrinkToFit="false"/>
      <protection locked="true" hidden="false"/>
    </xf>
    <xf numFmtId="215" fontId="61" fillId="0" borderId="27" xfId="1028" applyFont="true" applyBorder="true" applyAlignment="true" applyProtection="false">
      <alignment horizontal="general" vertical="bottom" textRotation="0" wrapText="false" indent="0" shrinkToFit="false"/>
      <protection locked="true" hidden="false"/>
    </xf>
    <xf numFmtId="215" fontId="9" fillId="0" borderId="26" xfId="1028" applyFont="true" applyBorder="true" applyAlignment="true" applyProtection="false">
      <alignment horizontal="general" vertical="bottom" textRotation="0" wrapText="false" indent="0" shrinkToFit="false"/>
      <protection locked="true" hidden="false"/>
    </xf>
    <xf numFmtId="215" fontId="9" fillId="0" borderId="27" xfId="1028" applyFont="true" applyBorder="true" applyAlignment="true" applyProtection="false">
      <alignment horizontal="general" vertical="bottom" textRotation="0" wrapText="false" indent="0" shrinkToFit="false"/>
      <protection locked="true" hidden="false"/>
    </xf>
    <xf numFmtId="187" fontId="9" fillId="0" borderId="0" xfId="1028" applyFont="true" applyBorder="true" applyAlignment="true" applyProtection="false">
      <alignment horizontal="general" vertical="bottom" textRotation="0" wrapText="false" indent="0" shrinkToFit="false"/>
      <protection locked="true" hidden="false"/>
    </xf>
    <xf numFmtId="216" fontId="9" fillId="0" borderId="0" xfId="1028" applyFont="true" applyBorder="true" applyAlignment="true" applyProtection="false">
      <alignment horizontal="general" vertical="bottom" textRotation="0" wrapText="false" indent="0" shrinkToFit="false"/>
      <protection locked="true" hidden="false"/>
    </xf>
    <xf numFmtId="164" fontId="87" fillId="12" borderId="37" xfId="0" applyFont="true" applyBorder="true" applyAlignment="false" applyProtection="false">
      <alignment horizontal="general" vertical="bottom" textRotation="0" wrapText="false" indent="0" shrinkToFit="false"/>
      <protection locked="true" hidden="false"/>
    </xf>
    <xf numFmtId="164" fontId="61" fillId="12" borderId="1" xfId="0" applyFont="true" applyBorder="true" applyAlignment="false" applyProtection="false">
      <alignment horizontal="general" vertical="bottom" textRotation="0" wrapText="false" indent="0" shrinkToFit="false"/>
      <protection locked="true" hidden="false"/>
    </xf>
    <xf numFmtId="218" fontId="61" fillId="12" borderId="1" xfId="0" applyFont="true" applyBorder="true" applyAlignment="false" applyProtection="false">
      <alignment horizontal="general" vertical="bottom" textRotation="0" wrapText="false" indent="0" shrinkToFit="false"/>
      <protection locked="true" hidden="false"/>
    </xf>
    <xf numFmtId="218" fontId="61" fillId="12" borderId="38" xfId="0" applyFont="true" applyBorder="true" applyAlignment="false" applyProtection="false">
      <alignment horizontal="general" vertical="bottom" textRotation="0" wrapText="false" indent="0" shrinkToFit="false"/>
      <protection locked="true" hidden="false"/>
    </xf>
    <xf numFmtId="215" fontId="9" fillId="0" borderId="26" xfId="1028" applyFont="true" applyBorder="true" applyAlignment="true" applyProtection="false">
      <alignment horizontal="general" vertical="bottom" textRotation="0" wrapText="false" indent="0" shrinkToFit="false"/>
      <protection locked="true" hidden="false"/>
    </xf>
    <xf numFmtId="215" fontId="9" fillId="0" borderId="0" xfId="1028" applyFont="true" applyBorder="true" applyAlignment="true" applyProtection="false">
      <alignment horizontal="general" vertical="bottom" textRotation="0" wrapText="false" indent="0" shrinkToFit="false"/>
      <protection locked="true" hidden="false"/>
    </xf>
    <xf numFmtId="215" fontId="9" fillId="0" borderId="27" xfId="1028" applyFont="true" applyBorder="true" applyAlignment="false" applyProtection="false">
      <alignment horizontal="general" vertical="bottom" textRotation="0" wrapText="false" indent="0" shrinkToFit="false"/>
      <protection locked="true" hidden="false"/>
    </xf>
    <xf numFmtId="215" fontId="9" fillId="0" borderId="31" xfId="1028" applyFont="true" applyBorder="true" applyAlignment="true" applyProtection="false">
      <alignment horizontal="general" vertical="bottom" textRotation="0" wrapText="false" indent="0" shrinkToFit="false"/>
      <protection locked="true" hidden="false"/>
    </xf>
    <xf numFmtId="215" fontId="9" fillId="0" borderId="14" xfId="1028" applyFont="true" applyBorder="true" applyAlignment="true" applyProtection="false">
      <alignment horizontal="general" vertical="bottom" textRotation="0" wrapText="false" indent="0" shrinkToFit="false"/>
      <protection locked="true" hidden="false"/>
    </xf>
    <xf numFmtId="215" fontId="9" fillId="0" borderId="29" xfId="1028" applyFont="true" applyBorder="true" applyAlignment="false" applyProtection="false">
      <alignment horizontal="general" vertical="bottom" textRotation="0" wrapText="false" indent="0" shrinkToFit="false"/>
      <protection locked="true" hidden="false"/>
    </xf>
    <xf numFmtId="215" fontId="61" fillId="0" borderId="31" xfId="1028" applyFont="true" applyBorder="true" applyAlignment="true" applyProtection="false">
      <alignment horizontal="general" vertical="bottom" textRotation="0" wrapText="false" indent="0" shrinkToFit="false"/>
      <protection locked="true" hidden="false"/>
    </xf>
    <xf numFmtId="215" fontId="61" fillId="0" borderId="14" xfId="1028" applyFont="true" applyBorder="true" applyAlignment="true" applyProtection="false">
      <alignment horizontal="general" vertical="bottom" textRotation="0" wrapText="false" indent="0" shrinkToFit="false"/>
      <protection locked="true" hidden="false"/>
    </xf>
    <xf numFmtId="217" fontId="61" fillId="0" borderId="14" xfId="1028" applyFont="true" applyBorder="true" applyAlignment="true" applyProtection="false">
      <alignment horizontal="general" vertical="bottom" textRotation="0" wrapText="false" indent="0" shrinkToFit="false"/>
      <protection locked="true" hidden="false"/>
    </xf>
    <xf numFmtId="215" fontId="61" fillId="0" borderId="29" xfId="1028" applyFont="true" applyBorder="true" applyAlignment="true" applyProtection="false">
      <alignment horizontal="general" vertical="bottom" textRotation="0" wrapText="false" indent="0" shrinkToFit="false"/>
      <protection locked="true" hidden="false"/>
    </xf>
    <xf numFmtId="164" fontId="61" fillId="2" borderId="37" xfId="0" applyFont="true" applyBorder="true" applyAlignment="false" applyProtection="false">
      <alignment horizontal="general" vertical="bottom" textRotation="0" wrapText="false" indent="0" shrinkToFit="false"/>
      <protection locked="true" hidden="false"/>
    </xf>
    <xf numFmtId="164" fontId="61" fillId="2" borderId="1" xfId="0" applyFont="true" applyBorder="true" applyAlignment="false" applyProtection="false">
      <alignment horizontal="general" vertical="bottom" textRotation="0" wrapText="false" indent="0" shrinkToFit="false"/>
      <protection locked="true" hidden="false"/>
    </xf>
    <xf numFmtId="218" fontId="61" fillId="2" borderId="1" xfId="0" applyFont="true" applyBorder="true" applyAlignment="false" applyProtection="false">
      <alignment horizontal="general" vertical="bottom" textRotation="0" wrapText="false" indent="0" shrinkToFit="false"/>
      <protection locked="true" hidden="false"/>
    </xf>
    <xf numFmtId="218" fontId="61" fillId="2" borderId="38" xfId="0" applyFont="true" applyBorder="true" applyAlignment="false" applyProtection="false">
      <alignment horizontal="general" vertical="bottom" textRotation="0" wrapText="false" indent="0" shrinkToFit="false"/>
      <protection locked="true" hidden="false"/>
    </xf>
    <xf numFmtId="213" fontId="61" fillId="0" borderId="27" xfId="15" applyFont="true" applyBorder="true" applyAlignment="true" applyProtection="true">
      <alignment horizontal="general" vertical="bottom" textRotation="0" wrapText="false" indent="0" shrinkToFit="false"/>
      <protection locked="true" hidden="false"/>
    </xf>
    <xf numFmtId="215" fontId="0" fillId="0" borderId="26" xfId="1028" applyFont="true" applyBorder="true" applyAlignment="true" applyProtection="false">
      <alignment horizontal="general" vertical="bottom" textRotation="0" wrapText="false" indent="0" shrinkToFit="false"/>
      <protection locked="true" hidden="false"/>
    </xf>
    <xf numFmtId="215" fontId="0" fillId="0" borderId="0" xfId="0" applyFont="false" applyBorder="true" applyAlignment="false" applyProtection="false">
      <alignment horizontal="general" vertical="bottom" textRotation="0" wrapText="false" indent="0" shrinkToFit="false"/>
      <protection locked="true" hidden="false"/>
    </xf>
    <xf numFmtId="215" fontId="86" fillId="0" borderId="37" xfId="1028" applyFont="true" applyBorder="true" applyAlignment="true" applyProtection="false">
      <alignment horizontal="general" vertical="bottom" textRotation="0" wrapText="false" indent="0" shrinkToFit="false"/>
      <protection locked="true" hidden="false"/>
    </xf>
    <xf numFmtId="215" fontId="86" fillId="0" borderId="1" xfId="1028" applyFont="true" applyBorder="true" applyAlignment="true" applyProtection="false">
      <alignment horizontal="general" vertical="bottom" textRotation="0" wrapText="false" indent="0" shrinkToFit="false"/>
      <protection locked="true" hidden="false"/>
    </xf>
    <xf numFmtId="217" fontId="86" fillId="0" borderId="1" xfId="1028" applyFont="true" applyBorder="true" applyAlignment="true" applyProtection="false">
      <alignment horizontal="general" vertical="bottom" textRotation="0" wrapText="false" indent="0" shrinkToFit="false"/>
      <protection locked="true" hidden="false"/>
    </xf>
    <xf numFmtId="215" fontId="62" fillId="0" borderId="38" xfId="1028" applyFont="true" applyBorder="true" applyAlignment="true" applyProtection="false">
      <alignment horizontal="general" vertical="bottom" textRotation="0" wrapText="false" indent="0" shrinkToFit="false"/>
      <protection locked="true" hidden="false"/>
    </xf>
    <xf numFmtId="215" fontId="62" fillId="11" borderId="37" xfId="1028" applyFont="true" applyBorder="true" applyAlignment="true" applyProtection="false">
      <alignment horizontal="general" vertical="bottom" textRotation="0" wrapText="false" indent="0" shrinkToFit="false"/>
      <protection locked="true" hidden="false"/>
    </xf>
    <xf numFmtId="215" fontId="62" fillId="11" borderId="1" xfId="1028" applyFont="true" applyBorder="true" applyAlignment="true" applyProtection="false">
      <alignment horizontal="general" vertical="bottom" textRotation="0" wrapText="false" indent="0" shrinkToFit="false"/>
      <protection locked="true" hidden="false"/>
    </xf>
    <xf numFmtId="215" fontId="0" fillId="11" borderId="1" xfId="1028" applyFont="false" applyBorder="true" applyAlignment="false" applyProtection="false">
      <alignment horizontal="general" vertical="bottom" textRotation="0" wrapText="false" indent="0" shrinkToFit="false"/>
      <protection locked="true" hidden="false"/>
    </xf>
    <xf numFmtId="226" fontId="61" fillId="11" borderId="1" xfId="0" applyFont="true" applyBorder="true" applyAlignment="false" applyProtection="false">
      <alignment horizontal="general" vertical="bottom" textRotation="0" wrapText="false" indent="0" shrinkToFit="false"/>
      <protection locked="true" hidden="false"/>
    </xf>
    <xf numFmtId="226" fontId="61" fillId="11" borderId="38" xfId="0" applyFont="true" applyBorder="true" applyAlignment="false" applyProtection="false">
      <alignment horizontal="general" vertical="bottom" textRotation="0" wrapText="false" indent="0" shrinkToFit="false"/>
      <protection locked="true" hidden="false"/>
    </xf>
    <xf numFmtId="215" fontId="0" fillId="0" borderId="27" xfId="1028" applyFont="true" applyBorder="true" applyAlignment="true" applyProtection="false">
      <alignment horizontal="general" vertical="bottom" textRotation="0" wrapText="false" indent="0" shrinkToFit="false"/>
      <protection locked="true" hidden="false"/>
    </xf>
    <xf numFmtId="215" fontId="117" fillId="0" borderId="31" xfId="1028" applyFont="true" applyBorder="true" applyAlignment="true" applyProtection="false">
      <alignment horizontal="left" vertical="bottom" textRotation="0" wrapText="false" indent="0" shrinkToFit="false"/>
      <protection locked="true" hidden="false"/>
    </xf>
    <xf numFmtId="215" fontId="117" fillId="0" borderId="14" xfId="1028" applyFont="true" applyBorder="true" applyAlignment="true" applyProtection="false">
      <alignment horizontal="left" vertical="bottom" textRotation="0" wrapText="false" indent="0" shrinkToFit="false"/>
      <protection locked="true" hidden="false"/>
    </xf>
    <xf numFmtId="215" fontId="117" fillId="0" borderId="0" xfId="1028" applyFont="true" applyBorder="true" applyAlignment="true" applyProtection="false">
      <alignment horizontal="left" vertical="bottom" textRotation="0" wrapText="false" indent="0" shrinkToFit="false"/>
      <protection locked="true" hidden="false"/>
    </xf>
    <xf numFmtId="215" fontId="0" fillId="0" borderId="0" xfId="1028" applyFont="false" applyBorder="false" applyAlignment="false" applyProtection="false">
      <alignment horizontal="general" vertical="bottom" textRotation="0" wrapText="false" indent="0" shrinkToFit="false"/>
      <protection locked="true" hidden="false"/>
    </xf>
    <xf numFmtId="215" fontId="87" fillId="12" borderId="37" xfId="1028" applyFont="true" applyBorder="true" applyAlignment="true" applyProtection="false">
      <alignment horizontal="general" vertical="bottom" textRotation="0" wrapText="false" indent="0" shrinkToFit="false"/>
      <protection locked="true" hidden="false"/>
    </xf>
    <xf numFmtId="215" fontId="62" fillId="12" borderId="1" xfId="1028" applyFont="true" applyBorder="true" applyAlignment="true" applyProtection="false">
      <alignment horizontal="general" vertical="bottom" textRotation="0" wrapText="false" indent="0" shrinkToFit="false"/>
      <protection locked="true" hidden="false"/>
    </xf>
    <xf numFmtId="215" fontId="0" fillId="12" borderId="1" xfId="1028" applyFont="false" applyBorder="true" applyAlignment="false" applyProtection="false">
      <alignment horizontal="general" vertical="bottom" textRotation="0" wrapText="false" indent="0" shrinkToFit="false"/>
      <protection locked="true" hidden="false"/>
    </xf>
    <xf numFmtId="226" fontId="61" fillId="12" borderId="1" xfId="0" applyFont="true" applyBorder="true" applyAlignment="false" applyProtection="false">
      <alignment horizontal="general" vertical="bottom" textRotation="0" wrapText="false" indent="0" shrinkToFit="false"/>
      <protection locked="true" hidden="false"/>
    </xf>
    <xf numFmtId="226" fontId="61" fillId="12" borderId="38" xfId="0" applyFont="true" applyBorder="true" applyAlignment="false" applyProtection="false">
      <alignment horizontal="general" vertical="bottom" textRotation="0" wrapText="false" indent="0" shrinkToFit="false"/>
      <protection locked="true" hidden="false"/>
    </xf>
    <xf numFmtId="215" fontId="118" fillId="0" borderId="0" xfId="1028" applyFont="true" applyBorder="false" applyAlignment="true" applyProtection="false">
      <alignment horizontal="right" vertical="bottom" textRotation="0" wrapText="false" indent="0" shrinkToFit="false"/>
      <protection locked="true" hidden="false"/>
    </xf>
    <xf numFmtId="215" fontId="119" fillId="0" borderId="0" xfId="1028" applyFont="true" applyBorder="false" applyAlignment="true" applyProtection="false">
      <alignment horizontal="left" vertical="bottom" textRotation="0" wrapText="false" indent="0" shrinkToFit="false"/>
      <protection locked="true" hidden="false"/>
    </xf>
    <xf numFmtId="215" fontId="22" fillId="0" borderId="0" xfId="1028" applyFont="true" applyBorder="false" applyAlignment="true" applyProtection="false">
      <alignment horizontal="general" vertical="bottom" textRotation="0" wrapText="false" indent="0" shrinkToFit="false"/>
      <protection locked="true" hidden="false"/>
    </xf>
    <xf numFmtId="215" fontId="22" fillId="0" borderId="0" xfId="1028" applyFont="true" applyBorder="true" applyAlignment="true" applyProtection="false">
      <alignment horizontal="general" vertical="bottom" textRotation="0" wrapText="false" indent="0" shrinkToFit="false"/>
      <protection locked="true" hidden="false"/>
    </xf>
    <xf numFmtId="215" fontId="62" fillId="2" borderId="37" xfId="1028" applyFont="true" applyBorder="true" applyAlignment="true" applyProtection="false">
      <alignment horizontal="general" vertical="bottom" textRotation="0" wrapText="false" indent="0" shrinkToFit="false"/>
      <protection locked="true" hidden="false"/>
    </xf>
    <xf numFmtId="215" fontId="62" fillId="2" borderId="1" xfId="1028" applyFont="true" applyBorder="true" applyAlignment="true" applyProtection="false">
      <alignment horizontal="general" vertical="bottom" textRotation="0" wrapText="false" indent="0" shrinkToFit="false"/>
      <protection locked="true" hidden="false"/>
    </xf>
    <xf numFmtId="215" fontId="0" fillId="2" borderId="1" xfId="1028" applyFont="false" applyBorder="true" applyAlignment="false" applyProtection="false">
      <alignment horizontal="general" vertical="bottom" textRotation="0" wrapText="false" indent="0" shrinkToFit="false"/>
      <protection locked="true" hidden="false"/>
    </xf>
    <xf numFmtId="226" fontId="61" fillId="2" borderId="1" xfId="0" applyFont="true" applyBorder="true" applyAlignment="false" applyProtection="false">
      <alignment horizontal="general" vertical="bottom" textRotation="0" wrapText="false" indent="0" shrinkToFit="false"/>
      <protection locked="true" hidden="false"/>
    </xf>
    <xf numFmtId="215" fontId="69" fillId="0" borderId="0" xfId="1028" applyFont="true" applyBorder="false" applyAlignment="true" applyProtection="false">
      <alignment horizontal="left" vertical="bottom" textRotation="0" wrapText="false" indent="0" shrinkToFit="false"/>
      <protection locked="true" hidden="false"/>
    </xf>
    <xf numFmtId="215" fontId="0" fillId="2" borderId="0" xfId="1028" applyFont="true" applyBorder="false" applyAlignment="true" applyProtection="false">
      <alignment horizontal="general" vertical="bottom" textRotation="0" wrapText="false" indent="0" shrinkToFit="false"/>
      <protection locked="true" hidden="false"/>
    </xf>
    <xf numFmtId="215" fontId="0" fillId="2" borderId="0" xfId="1028" applyFont="true" applyBorder="true" applyAlignment="true" applyProtection="false">
      <alignment horizontal="general" vertical="bottom" textRotation="0" wrapText="false" indent="0" shrinkToFit="false"/>
      <protection locked="true" hidden="false"/>
    </xf>
    <xf numFmtId="216" fontId="0" fillId="0" borderId="0" xfId="19" applyFont="true" applyBorder="true" applyAlignment="true" applyProtection="true">
      <alignment horizontal="general" vertical="bottom" textRotation="0" wrapText="false" indent="0" shrinkToFit="false"/>
      <protection locked="false" hidden="false"/>
    </xf>
    <xf numFmtId="215" fontId="0" fillId="0" borderId="0" xfId="1028" applyFont="true" applyBorder="true" applyAlignment="true" applyProtection="true">
      <alignment horizontal="general" vertical="bottom" textRotation="0" wrapText="false" indent="0" shrinkToFit="false"/>
      <protection locked="false" hidden="false"/>
    </xf>
    <xf numFmtId="164" fontId="120" fillId="0" borderId="0" xfId="0" applyFont="true" applyBorder="false" applyAlignment="true" applyProtection="false">
      <alignment horizontal="general" vertical="bottom" textRotation="0" wrapText="false" indent="0" shrinkToFit="false"/>
      <protection locked="true" hidden="false"/>
    </xf>
    <xf numFmtId="164" fontId="121" fillId="0" borderId="0" xfId="0" applyFont="true" applyBorder="false" applyAlignment="true" applyProtection="false">
      <alignment horizontal="general" vertical="bottom" textRotation="0" wrapText="false" indent="0" shrinkToFit="false"/>
      <protection locked="true" hidden="false"/>
    </xf>
    <xf numFmtId="164" fontId="121" fillId="0" borderId="0" xfId="0" applyFont="true" applyBorder="true" applyAlignment="true" applyProtection="false">
      <alignment horizontal="general" vertical="bottom" textRotation="0" wrapText="false" indent="0" shrinkToFit="false"/>
      <protection locked="true" hidden="false"/>
    </xf>
    <xf numFmtId="164" fontId="122" fillId="0" borderId="0" xfId="0" applyFont="true" applyBorder="false" applyAlignment="true" applyProtection="false">
      <alignment horizontal="general" vertical="bottom" textRotation="0" wrapText="false" indent="0" shrinkToFit="false"/>
      <protection locked="true" hidden="false"/>
    </xf>
    <xf numFmtId="164" fontId="122" fillId="0" borderId="0" xfId="0" applyFont="true" applyBorder="true" applyAlignment="true" applyProtection="false">
      <alignment horizontal="general" vertical="bottom" textRotation="0" wrapText="false" indent="0" shrinkToFit="false"/>
      <protection locked="true" hidden="false"/>
    </xf>
    <xf numFmtId="217" fontId="57" fillId="0" borderId="0" xfId="0" applyFont="true" applyBorder="false" applyAlignment="true" applyProtection="false">
      <alignment horizontal="general" vertical="bottom" textRotation="0" wrapText="false" indent="0" shrinkToFit="false"/>
      <protection locked="true" hidden="false"/>
    </xf>
    <xf numFmtId="164" fontId="123" fillId="18" borderId="0" xfId="0" applyFont="true" applyBorder="false" applyAlignment="true" applyProtection="false">
      <alignment horizontal="general" vertical="bottom" textRotation="0" wrapText="false" indent="0" shrinkToFit="false"/>
      <protection locked="true" hidden="false"/>
    </xf>
    <xf numFmtId="164" fontId="120" fillId="0" borderId="0" xfId="0" applyFont="true" applyBorder="false" applyAlignment="true" applyProtection="false">
      <alignment horizontal="right" vertical="bottom" textRotation="0" wrapText="false" indent="0" shrinkToFit="false"/>
      <protection locked="true" hidden="false"/>
    </xf>
    <xf numFmtId="164" fontId="84" fillId="0" borderId="0" xfId="0" applyFont="true" applyBorder="false" applyAlignment="true" applyProtection="false">
      <alignment horizontal="center" vertical="bottom" textRotation="0" wrapText="false" indent="0" shrinkToFit="false"/>
      <protection locked="true" hidden="false"/>
    </xf>
    <xf numFmtId="164" fontId="57" fillId="0" borderId="0" xfId="0" applyFont="true" applyBorder="false" applyAlignment="true" applyProtection="false">
      <alignment horizontal="center" vertical="bottom" textRotation="0" wrapText="false" indent="0" shrinkToFit="false"/>
      <protection locked="true" hidden="false"/>
    </xf>
    <xf numFmtId="216" fontId="57" fillId="0" borderId="0" xfId="0" applyFont="true" applyBorder="false" applyAlignment="true" applyProtection="false">
      <alignment horizontal="general" vertical="bottom" textRotation="0" wrapText="false" indent="0" shrinkToFit="false"/>
      <protection locked="true" hidden="false"/>
    </xf>
    <xf numFmtId="164" fontId="121" fillId="18" borderId="0" xfId="0" applyFont="true" applyBorder="false" applyAlignment="true" applyProtection="false">
      <alignment horizontal="general" vertical="bottom" textRotation="0" wrapText="false" indent="0" shrinkToFit="false"/>
      <protection locked="true" hidden="false"/>
    </xf>
    <xf numFmtId="164" fontId="57" fillId="0" borderId="0" xfId="0" applyFont="true" applyBorder="false" applyAlignment="true" applyProtection="false">
      <alignment horizontal="right" vertical="bottom" textRotation="0" wrapText="false" indent="0" shrinkToFit="false"/>
      <protection locked="true" hidden="false"/>
    </xf>
    <xf numFmtId="164" fontId="84" fillId="0" borderId="0" xfId="0" applyFont="true" applyBorder="false" applyAlignment="true" applyProtection="false">
      <alignment horizontal="general" vertical="bottom" textRotation="0" wrapText="false" indent="0" shrinkToFit="false"/>
      <protection locked="true" hidden="false"/>
    </xf>
    <xf numFmtId="164" fontId="63" fillId="0" borderId="0" xfId="0" applyFont="true" applyBorder="false" applyAlignment="true" applyProtection="false">
      <alignment horizontal="general"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215" fontId="22" fillId="0" borderId="0" xfId="0" applyFont="true" applyBorder="false" applyAlignment="true" applyProtection="false">
      <alignment horizontal="general"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215" fontId="118" fillId="0" borderId="6" xfId="1028" applyFont="true" applyBorder="true" applyAlignment="true" applyProtection="false">
      <alignment horizontal="left" vertical="bottom" textRotation="0" wrapText="false" indent="0" shrinkToFit="false"/>
      <protection locked="true" hidden="false"/>
    </xf>
    <xf numFmtId="215" fontId="0" fillId="0" borderId="7" xfId="1028" applyFont="true" applyBorder="true" applyAlignment="true" applyProtection="false">
      <alignment horizontal="center" vertical="bottom" textRotation="0" wrapText="false" indent="0" shrinkToFit="false"/>
      <protection locked="true" hidden="false"/>
    </xf>
    <xf numFmtId="215" fontId="0" fillId="0" borderId="7" xfId="1028" applyFont="true" applyBorder="true" applyAlignment="true" applyProtection="false">
      <alignment horizontal="general" vertical="bottom" textRotation="0" wrapText="false" indent="0" shrinkToFit="false"/>
      <protection locked="true" hidden="false"/>
    </xf>
    <xf numFmtId="215" fontId="82" fillId="0" borderId="7" xfId="1028" applyFont="true" applyBorder="true" applyAlignment="true" applyProtection="false">
      <alignment horizontal="general" vertical="bottom" textRotation="0" wrapText="false" indent="0" shrinkToFit="false"/>
      <protection locked="true" hidden="false"/>
    </xf>
    <xf numFmtId="215" fontId="118" fillId="0" borderId="20" xfId="1028" applyFont="true" applyBorder="true" applyAlignment="true" applyProtection="false">
      <alignment horizontal="left" vertical="bottom" textRotation="0" wrapText="false" indent="0" shrinkToFit="false"/>
      <protection locked="true" hidden="false"/>
    </xf>
    <xf numFmtId="217" fontId="0" fillId="0" borderId="21" xfId="19" applyFont="true" applyBorder="true" applyAlignment="true" applyProtection="true">
      <alignment horizontal="general" vertical="bottom" textRotation="0" wrapText="false" indent="0" shrinkToFit="false"/>
      <protection locked="true" hidden="false"/>
    </xf>
    <xf numFmtId="215" fontId="0" fillId="0" borderId="21" xfId="1028" applyFont="true" applyBorder="true" applyAlignment="true" applyProtection="false">
      <alignment horizontal="general" vertical="bottom" textRotation="0" wrapText="false" indent="0" shrinkToFit="false"/>
      <protection locked="true" hidden="false"/>
    </xf>
    <xf numFmtId="217" fontId="0" fillId="0" borderId="0" xfId="1028" applyFont="false" applyBorder="true" applyAlignment="true" applyProtection="false">
      <alignment horizontal="center" vertical="bottom" textRotation="0" wrapText="false" indent="0" shrinkToFit="false"/>
      <protection locked="true" hidden="false"/>
    </xf>
    <xf numFmtId="215" fontId="117" fillId="0" borderId="20" xfId="1028" applyFont="true" applyBorder="true" applyAlignment="true" applyProtection="false">
      <alignment horizontal="left" vertical="bottom" textRotation="0" wrapText="false" indent="0" shrinkToFit="false"/>
      <protection locked="true" hidden="false"/>
    </xf>
    <xf numFmtId="215" fontId="62" fillId="0" borderId="0" xfId="1028" applyFont="true" applyBorder="true" applyAlignment="true" applyProtection="false">
      <alignment horizontal="center" vertical="bottom" textRotation="0" wrapText="false" indent="0" shrinkToFit="false"/>
      <protection locked="true" hidden="false"/>
    </xf>
    <xf numFmtId="215" fontId="62" fillId="0" borderId="21" xfId="1028" applyFont="true" applyBorder="true" applyAlignment="true" applyProtection="false">
      <alignment horizontal="general" vertical="bottom" textRotation="0" wrapText="false" indent="0" shrinkToFit="false"/>
      <protection locked="true" hidden="false"/>
    </xf>
    <xf numFmtId="215" fontId="62" fillId="0" borderId="0" xfId="1028" applyFont="true" applyBorder="false" applyAlignment="true" applyProtection="true">
      <alignment horizontal="general" vertical="bottom" textRotation="0" wrapText="false" indent="0" shrinkToFit="false"/>
      <protection locked="false" hidden="false"/>
    </xf>
    <xf numFmtId="164" fontId="62" fillId="0" borderId="0" xfId="0" applyFont="true" applyBorder="false" applyAlignment="false" applyProtection="false">
      <alignment horizontal="general" vertical="bottom" textRotation="0" wrapText="false" indent="0" shrinkToFit="false"/>
      <protection locked="true" hidden="false"/>
    </xf>
    <xf numFmtId="215" fontId="0" fillId="0" borderId="20" xfId="1028" applyFont="true" applyBorder="true" applyAlignment="true" applyProtection="false">
      <alignment horizontal="general" vertical="bottom" textRotation="0" wrapText="false" indent="0" shrinkToFit="false"/>
      <protection locked="true" hidden="false"/>
    </xf>
    <xf numFmtId="203" fontId="0" fillId="0" borderId="0" xfId="17" applyFont="true" applyBorder="true" applyAlignment="true" applyProtection="true">
      <alignment horizontal="center" vertical="bottom" textRotation="0" wrapText="false" indent="0" shrinkToFit="false"/>
      <protection locked="true" hidden="false"/>
    </xf>
    <xf numFmtId="203" fontId="0" fillId="2" borderId="0" xfId="17" applyFont="true" applyBorder="true" applyAlignment="true" applyProtection="true">
      <alignment horizontal="general" vertical="bottom" textRotation="0" wrapText="false" indent="0" shrinkToFit="false"/>
      <protection locked="true" hidden="false"/>
    </xf>
    <xf numFmtId="215" fontId="61" fillId="0" borderId="20" xfId="1028" applyFont="true" applyBorder="true" applyAlignment="true" applyProtection="false">
      <alignment horizontal="general" vertical="bottom" textRotation="0" wrapText="false" indent="0" shrinkToFit="false"/>
      <protection locked="true" hidden="false"/>
    </xf>
    <xf numFmtId="215" fontId="61" fillId="0" borderId="0" xfId="1028" applyFont="true" applyBorder="true" applyAlignment="true" applyProtection="false">
      <alignment horizontal="center" vertical="bottom" textRotation="0" wrapText="false" indent="0" shrinkToFit="false"/>
      <protection locked="true" hidden="false"/>
    </xf>
    <xf numFmtId="215" fontId="61" fillId="0" borderId="21" xfId="1028" applyFont="true" applyBorder="true" applyAlignment="true" applyProtection="false">
      <alignment horizontal="general" vertical="bottom" textRotation="0" wrapText="false" indent="0" shrinkToFit="false"/>
      <protection locked="true" hidden="false"/>
    </xf>
    <xf numFmtId="217" fontId="61" fillId="0" borderId="20" xfId="19" applyFont="true" applyBorder="true" applyAlignment="true" applyProtection="true">
      <alignment horizontal="general" vertical="bottom" textRotation="0" wrapText="false" indent="0" shrinkToFit="false"/>
      <protection locked="true" hidden="false"/>
    </xf>
    <xf numFmtId="217" fontId="61" fillId="0" borderId="0" xfId="19" applyFont="true" applyBorder="true" applyAlignment="true" applyProtection="true">
      <alignment horizontal="center" vertical="bottom" textRotation="0" wrapText="false" indent="0" shrinkToFit="false"/>
      <protection locked="true" hidden="false"/>
    </xf>
    <xf numFmtId="217" fontId="61" fillId="0" borderId="0" xfId="19" applyFont="true" applyBorder="true" applyAlignment="true" applyProtection="true">
      <alignment horizontal="general" vertical="bottom" textRotation="0" wrapText="false" indent="0" shrinkToFit="false"/>
      <protection locked="true" hidden="false"/>
    </xf>
    <xf numFmtId="217" fontId="61" fillId="0" borderId="21" xfId="19" applyFont="true" applyBorder="true" applyAlignment="true" applyProtection="true">
      <alignment horizontal="general" vertical="bottom" textRotation="0" wrapText="false" indent="0" shrinkToFit="false"/>
      <protection locked="true" hidden="false"/>
    </xf>
    <xf numFmtId="215" fontId="103" fillId="0" borderId="0" xfId="1028" applyFont="true" applyBorder="false" applyAlignment="true" applyProtection="false">
      <alignment horizontal="center" vertical="bottom" textRotation="0" wrapText="false" indent="0" shrinkToFit="false"/>
      <protection locked="true" hidden="false"/>
    </xf>
    <xf numFmtId="215" fontId="131" fillId="0" borderId="9" xfId="1028" applyFont="true" applyBorder="true" applyAlignment="true" applyProtection="false">
      <alignment horizontal="general" vertical="bottom" textRotation="0" wrapText="false" indent="0" shrinkToFit="false"/>
      <protection locked="true" hidden="false"/>
    </xf>
    <xf numFmtId="215" fontId="131" fillId="0" borderId="4" xfId="1028" applyFont="true" applyBorder="true" applyAlignment="true" applyProtection="false">
      <alignment horizontal="center" vertical="bottom" textRotation="0" wrapText="false" indent="0" shrinkToFit="false"/>
      <protection locked="true" hidden="false"/>
    </xf>
    <xf numFmtId="215" fontId="131" fillId="0" borderId="4" xfId="1028" applyFont="true" applyBorder="true" applyAlignment="true" applyProtection="false">
      <alignment horizontal="general" vertical="bottom" textRotation="0" wrapText="false" indent="0" shrinkToFit="false"/>
      <protection locked="true" hidden="false"/>
    </xf>
    <xf numFmtId="215" fontId="131" fillId="0" borderId="10" xfId="1028" applyFont="true" applyBorder="true" applyAlignment="true" applyProtection="false">
      <alignment horizontal="general" vertical="bottom" textRotation="0" wrapText="false" indent="0" shrinkToFit="false"/>
      <protection locked="true" hidden="false"/>
    </xf>
    <xf numFmtId="215" fontId="131" fillId="0" borderId="0" xfId="1028" applyFont="true" applyBorder="false" applyAlignment="true" applyProtection="false">
      <alignment horizontal="general" vertical="bottom" textRotation="0" wrapText="false" indent="0" shrinkToFit="false"/>
      <protection locked="true" hidden="false"/>
    </xf>
    <xf numFmtId="215" fontId="131" fillId="0" borderId="0" xfId="1028" applyFont="true" applyBorder="false" applyAlignment="true" applyProtection="true">
      <alignment horizontal="general" vertical="bottom" textRotation="0" wrapText="false" indent="0" shrinkToFit="false"/>
      <protection locked="false" hidden="false"/>
    </xf>
    <xf numFmtId="164" fontId="131" fillId="0" borderId="0" xfId="0" applyFont="true" applyBorder="false" applyAlignment="false" applyProtection="false">
      <alignment horizontal="general" vertical="bottom" textRotation="0" wrapText="false" indent="0" shrinkToFit="false"/>
      <protection locked="true" hidden="false"/>
    </xf>
    <xf numFmtId="215" fontId="61" fillId="0" borderId="0" xfId="1028" applyFont="true" applyBorder="false" applyAlignment="true" applyProtection="false">
      <alignment horizontal="center" vertical="bottom" textRotation="0" wrapText="false" indent="0" shrinkToFit="false"/>
      <protection locked="true" hidden="false"/>
    </xf>
    <xf numFmtId="213" fontId="62" fillId="0" borderId="21" xfId="15" applyFont="true" applyBorder="true" applyAlignment="true" applyProtection="true">
      <alignment horizontal="general" vertical="bottom" textRotation="0" wrapText="false" indent="0" shrinkToFit="false"/>
      <protection locked="true" hidden="false"/>
    </xf>
    <xf numFmtId="215" fontId="132" fillId="0" borderId="0" xfId="1028" applyFont="true" applyBorder="false" applyAlignment="true" applyProtection="false">
      <alignment horizontal="center" vertical="bottom" textRotation="0" wrapText="false" indent="0" shrinkToFit="false"/>
      <protection locked="true" hidden="false"/>
    </xf>
    <xf numFmtId="215" fontId="133" fillId="0" borderId="9" xfId="1028" applyFont="true" applyBorder="true" applyAlignment="true" applyProtection="false">
      <alignment horizontal="left" vertical="bottom" textRotation="0" wrapText="false" indent="0" shrinkToFit="false"/>
      <protection locked="true" hidden="false"/>
    </xf>
    <xf numFmtId="215" fontId="134" fillId="0" borderId="4" xfId="1028" applyFont="true" applyBorder="true" applyAlignment="true" applyProtection="false">
      <alignment horizontal="center" vertical="bottom" textRotation="0" wrapText="false" indent="0" shrinkToFit="false"/>
      <protection locked="true" hidden="false"/>
    </xf>
    <xf numFmtId="215" fontId="134" fillId="0" borderId="4" xfId="1028" applyFont="true" applyBorder="true" applyAlignment="true" applyProtection="false">
      <alignment horizontal="general" vertical="bottom" textRotation="0" wrapText="false" indent="0" shrinkToFit="false"/>
      <protection locked="true" hidden="false"/>
    </xf>
    <xf numFmtId="215" fontId="134" fillId="0" borderId="10" xfId="1028" applyFont="true" applyBorder="true" applyAlignment="true" applyProtection="false">
      <alignment horizontal="general" vertical="bottom" textRotation="0" wrapText="false" indent="0" shrinkToFit="false"/>
      <protection locked="true" hidden="false"/>
    </xf>
    <xf numFmtId="215" fontId="134" fillId="0" borderId="0" xfId="1028" applyFont="true" applyBorder="false" applyAlignment="true" applyProtection="false">
      <alignment horizontal="general" vertical="bottom" textRotation="0" wrapText="false" indent="0" shrinkToFit="false"/>
      <protection locked="true" hidden="false"/>
    </xf>
    <xf numFmtId="164" fontId="132" fillId="0" borderId="0" xfId="0" applyFont="true" applyBorder="false" applyAlignment="false" applyProtection="false">
      <alignment horizontal="general" vertical="bottom" textRotation="0" wrapText="false" indent="0" shrinkToFit="false"/>
      <protection locked="true" hidden="false"/>
    </xf>
    <xf numFmtId="215" fontId="117" fillId="0" borderId="0" xfId="1028" applyFont="true" applyBorder="false" applyAlignment="true" applyProtection="false">
      <alignment horizontal="left" vertical="bottom" textRotation="0" wrapText="false" indent="0" shrinkToFit="false"/>
      <protection locked="true" hidden="false"/>
    </xf>
    <xf numFmtId="215" fontId="62" fillId="0" borderId="0" xfId="1028" applyFont="true" applyBorder="false" applyAlignment="true" applyProtection="false">
      <alignment horizontal="center" vertical="bottom" textRotation="0" wrapText="false" indent="0" shrinkToFit="false"/>
      <protection locked="true" hidden="false"/>
    </xf>
    <xf numFmtId="216" fontId="0" fillId="0" borderId="0" xfId="1028" applyFont="false" applyBorder="true" applyAlignment="false" applyProtection="false">
      <alignment horizontal="general" vertical="bottom" textRotation="0" wrapText="false" indent="0" shrinkToFit="false"/>
      <protection locked="true" hidden="false"/>
    </xf>
    <xf numFmtId="215" fontId="114" fillId="0" borderId="0" xfId="1028" applyFont="true" applyBorder="false" applyAlignment="true" applyProtection="false">
      <alignment horizontal="center" vertical="bottom" textRotation="0" wrapText="false" indent="0" shrinkToFit="false"/>
      <protection locked="true" hidden="false"/>
    </xf>
    <xf numFmtId="215" fontId="114" fillId="0" borderId="0" xfId="1028" applyFont="true" applyBorder="true" applyAlignment="true" applyProtection="false">
      <alignment horizontal="center" vertical="bottom" textRotation="0" wrapText="false" indent="0" shrinkToFit="false"/>
      <protection locked="true" hidden="false"/>
    </xf>
    <xf numFmtId="215" fontId="114" fillId="0" borderId="0" xfId="1028" applyFont="true" applyBorder="true" applyAlignment="false" applyProtection="false">
      <alignment horizontal="general" vertical="bottom" textRotation="0" wrapText="false" indent="0" shrinkToFit="false"/>
      <protection locked="true" hidden="false"/>
    </xf>
    <xf numFmtId="216" fontId="114" fillId="0" borderId="0" xfId="1028" applyFont="true" applyBorder="true" applyAlignment="false" applyProtection="false">
      <alignment horizontal="general" vertical="bottom" textRotation="0" wrapText="false" indent="0" shrinkToFit="false"/>
      <protection locked="true" hidden="false"/>
    </xf>
    <xf numFmtId="240" fontId="114" fillId="0" borderId="0" xfId="1028" applyFont="true" applyBorder="false" applyAlignment="true" applyProtection="false">
      <alignment horizontal="general" vertical="bottom" textRotation="0" wrapText="false" indent="0" shrinkToFit="false"/>
      <protection locked="true" hidden="false"/>
    </xf>
    <xf numFmtId="164" fontId="61" fillId="13" borderId="23" xfId="0" applyFont="true" applyBorder="true" applyAlignment="false" applyProtection="false">
      <alignment horizontal="general" vertical="bottom" textRotation="0" wrapText="false" indent="0" shrinkToFit="false"/>
      <protection locked="true" hidden="false"/>
    </xf>
    <xf numFmtId="164" fontId="61" fillId="13" borderId="24" xfId="0" applyFont="true" applyBorder="true" applyAlignment="true" applyProtection="false">
      <alignment horizontal="center" vertical="bottom" textRotation="0" wrapText="false" indent="0" shrinkToFit="false"/>
      <protection locked="true" hidden="false"/>
    </xf>
    <xf numFmtId="164" fontId="61" fillId="13" borderId="24" xfId="0" applyFont="true" applyBorder="true" applyAlignment="false" applyProtection="false">
      <alignment horizontal="general" vertical="bottom" textRotation="0" wrapText="false" indent="0" shrinkToFit="false"/>
      <protection locked="true" hidden="false"/>
    </xf>
    <xf numFmtId="164" fontId="61" fillId="13" borderId="25" xfId="0" applyFont="true" applyBorder="true" applyAlignment="false" applyProtection="false">
      <alignment horizontal="general" vertical="bottom" textRotation="0" wrapText="false" indent="0" shrinkToFit="false"/>
      <protection locked="true" hidden="false"/>
    </xf>
    <xf numFmtId="215" fontId="0" fillId="0" borderId="25" xfId="1028" applyFont="true" applyBorder="true" applyAlignment="true" applyProtection="false">
      <alignment horizontal="general" vertical="bottom" textRotation="0" wrapText="false" indent="0" shrinkToFit="false"/>
      <protection locked="true" hidden="false"/>
    </xf>
    <xf numFmtId="164" fontId="61" fillId="13" borderId="26" xfId="0" applyFont="true" applyBorder="true" applyAlignment="false" applyProtection="false">
      <alignment horizontal="general" vertical="bottom" textRotation="0" wrapText="false" indent="0" shrinkToFit="false"/>
      <protection locked="true" hidden="false"/>
    </xf>
    <xf numFmtId="218" fontId="61" fillId="13" borderId="0" xfId="0" applyFont="true" applyBorder="true" applyAlignment="false" applyProtection="false">
      <alignment horizontal="general" vertical="bottom" textRotation="0" wrapText="false" indent="0" shrinkToFit="false"/>
      <protection locked="true" hidden="false"/>
    </xf>
    <xf numFmtId="215" fontId="57" fillId="0" borderId="0" xfId="1028" applyFont="true" applyBorder="false" applyAlignment="true" applyProtection="false">
      <alignment horizontal="general" vertical="bottom" textRotation="0" wrapText="false" indent="0" shrinkToFit="false"/>
      <protection locked="true" hidden="false"/>
    </xf>
    <xf numFmtId="164" fontId="116" fillId="13" borderId="26" xfId="0" applyFont="true" applyBorder="true" applyAlignment="false" applyProtection="false">
      <alignment horizontal="general" vertical="bottom" textRotation="0" wrapText="false" indent="0" shrinkToFit="false"/>
      <protection locked="true" hidden="false"/>
    </xf>
    <xf numFmtId="164" fontId="116" fillId="13" borderId="0" xfId="0" applyFont="true" applyBorder="true" applyAlignment="true" applyProtection="false">
      <alignment horizontal="center" vertical="bottom" textRotation="0" wrapText="false" indent="0" shrinkToFit="false"/>
      <protection locked="true" hidden="false"/>
    </xf>
    <xf numFmtId="213" fontId="116" fillId="13" borderId="0" xfId="15" applyFont="true" applyBorder="true" applyAlignment="true" applyProtection="true">
      <alignment horizontal="general" vertical="bottom" textRotation="0" wrapText="false" indent="0" shrinkToFit="false"/>
      <protection locked="true" hidden="false"/>
    </xf>
    <xf numFmtId="221" fontId="136" fillId="13" borderId="21" xfId="1028" applyFont="true" applyBorder="true" applyAlignment="true" applyProtection="false">
      <alignment horizontal="right" vertical="bottom" textRotation="0" wrapText="false" indent="0" shrinkToFit="false"/>
      <protection locked="true" hidden="false"/>
    </xf>
    <xf numFmtId="215" fontId="64" fillId="0" borderId="27" xfId="1028" applyFont="true" applyBorder="true" applyAlignment="true" applyProtection="false">
      <alignment horizontal="general" vertical="bottom" textRotation="0" wrapText="false" indent="0" shrinkToFit="false"/>
      <protection locked="true" hidden="false"/>
    </xf>
    <xf numFmtId="215" fontId="64" fillId="13" borderId="0" xfId="1028" applyFont="true" applyBorder="true" applyAlignment="true" applyProtection="false">
      <alignment horizontal="center" vertical="bottom" textRotation="0" wrapText="false" indent="0" shrinkToFit="false"/>
      <protection locked="true" hidden="false"/>
    </xf>
    <xf numFmtId="215" fontId="64" fillId="13" borderId="0" xfId="1028" applyFont="true" applyBorder="true" applyAlignment="true" applyProtection="false">
      <alignment horizontal="general" vertical="bottom" textRotation="0" wrapText="false" indent="0" shrinkToFit="false"/>
      <protection locked="true" hidden="false"/>
    </xf>
    <xf numFmtId="215" fontId="136" fillId="13" borderId="0" xfId="1028" applyFont="true" applyBorder="true" applyAlignment="true" applyProtection="false">
      <alignment horizontal="center" vertical="bottom" textRotation="0" wrapText="false" indent="0" shrinkToFit="false"/>
      <protection locked="true" hidden="false"/>
    </xf>
    <xf numFmtId="215" fontId="136" fillId="13" borderId="0" xfId="1028" applyFont="true" applyBorder="true" applyAlignment="true" applyProtection="false">
      <alignment horizontal="general" vertical="bottom" textRotation="0" wrapText="false" indent="0" shrinkToFit="false"/>
      <protection locked="true" hidden="false"/>
    </xf>
    <xf numFmtId="221" fontId="136" fillId="13" borderId="0" xfId="1028" applyFont="true" applyBorder="true" applyAlignment="true" applyProtection="false">
      <alignment horizontal="right" vertical="bottom" textRotation="0" wrapText="false" indent="0" shrinkToFit="false"/>
      <protection locked="true" hidden="false"/>
    </xf>
    <xf numFmtId="215" fontId="61" fillId="13" borderId="0" xfId="1028" applyFont="true" applyBorder="true" applyAlignment="true" applyProtection="false">
      <alignment horizontal="center" vertical="bottom" textRotation="0" wrapText="false" indent="0" shrinkToFit="false"/>
      <protection locked="true" hidden="false"/>
    </xf>
    <xf numFmtId="215" fontId="61" fillId="13" borderId="0" xfId="1028" applyFont="true" applyBorder="true" applyAlignment="true" applyProtection="false">
      <alignment horizontal="general" vertical="bottom" textRotation="0" wrapText="false" indent="0" shrinkToFit="false"/>
      <protection locked="true" hidden="false"/>
    </xf>
    <xf numFmtId="215" fontId="61" fillId="0" borderId="0" xfId="1028" applyFont="true" applyBorder="true" applyAlignment="true" applyProtection="false">
      <alignment horizontal="center" vertical="bottom" textRotation="0" wrapText="false" indent="0" shrinkToFit="false"/>
      <protection locked="true" hidden="false"/>
    </xf>
    <xf numFmtId="215" fontId="61" fillId="2" borderId="1" xfId="1028" applyFont="true" applyBorder="true" applyAlignment="true" applyProtection="false">
      <alignment horizontal="center" vertical="bottom" textRotation="0" wrapText="false" indent="0" shrinkToFit="false"/>
      <protection locked="true" hidden="false"/>
    </xf>
    <xf numFmtId="215" fontId="61" fillId="2" borderId="1" xfId="1028" applyFont="true" applyBorder="true" applyAlignment="true" applyProtection="false">
      <alignment horizontal="general" vertical="bottom" textRotation="0" wrapText="false" indent="0" shrinkToFit="false"/>
      <protection locked="true" hidden="false"/>
    </xf>
    <xf numFmtId="217" fontId="61" fillId="0" borderId="14" xfId="1028" applyFont="true" applyBorder="true" applyAlignment="true" applyProtection="false">
      <alignment horizontal="center" vertical="bottom" textRotation="0" wrapText="false" indent="0" shrinkToFit="false"/>
      <protection locked="true" hidden="false"/>
    </xf>
    <xf numFmtId="215" fontId="61" fillId="0" borderId="39" xfId="1028" applyFont="true" applyBorder="true" applyAlignment="true" applyProtection="false">
      <alignment horizontal="general" vertical="bottom" textRotation="0" wrapText="false" indent="0" shrinkToFit="false"/>
      <protection locked="true" hidden="false"/>
    </xf>
    <xf numFmtId="215" fontId="0" fillId="0" borderId="0" xfId="1028" applyFont="false" applyBorder="false" applyAlignment="true" applyProtection="false">
      <alignment horizontal="center" vertical="bottom" textRotation="0" wrapText="false" indent="0" shrinkToFit="false"/>
      <protection locked="true" hidden="false"/>
    </xf>
    <xf numFmtId="215" fontId="115" fillId="0" borderId="0" xfId="1028" applyFont="true" applyBorder="false" applyAlignment="true" applyProtection="false">
      <alignment horizontal="center" vertical="bottom" textRotation="0" wrapText="false" indent="0" shrinkToFit="false"/>
      <protection locked="true" hidden="false"/>
    </xf>
    <xf numFmtId="217" fontId="115" fillId="0" borderId="0" xfId="1028" applyFont="true" applyBorder="false" applyAlignment="true" applyProtection="false">
      <alignment horizontal="general" vertical="bottom" textRotation="0" wrapText="false" indent="0" shrinkToFit="false"/>
      <protection locked="true" hidden="false"/>
    </xf>
    <xf numFmtId="215" fontId="0" fillId="2" borderId="24" xfId="1028" applyFont="false" applyBorder="true" applyAlignment="true" applyProtection="false">
      <alignment horizontal="center" vertical="bottom" textRotation="0" wrapText="false" indent="0" shrinkToFit="false"/>
      <protection locked="true" hidden="false"/>
    </xf>
    <xf numFmtId="215" fontId="0" fillId="2" borderId="24" xfId="1028" applyFont="false" applyBorder="true" applyAlignment="false" applyProtection="false">
      <alignment horizontal="general" vertical="bottom" textRotation="0" wrapText="false" indent="0" shrinkToFit="false"/>
      <protection locked="true" hidden="false"/>
    </xf>
    <xf numFmtId="226" fontId="61" fillId="2" borderId="24" xfId="0" applyFont="true" applyBorder="true" applyAlignment="false" applyProtection="false">
      <alignment horizontal="general" vertical="bottom" textRotation="0" wrapText="false" indent="0" shrinkToFit="false"/>
      <protection locked="true" hidden="false"/>
    </xf>
    <xf numFmtId="226" fontId="61" fillId="2" borderId="25" xfId="0" applyFont="true" applyBorder="true" applyAlignment="false" applyProtection="false">
      <alignment horizontal="general" vertical="bottom" textRotation="0" wrapText="false" indent="0" shrinkToFit="false"/>
      <protection locked="true" hidden="false"/>
    </xf>
    <xf numFmtId="215" fontId="61" fillId="0" borderId="23" xfId="1028" applyFont="true" applyBorder="true" applyAlignment="true" applyProtection="false">
      <alignment horizontal="general" vertical="bottom" textRotation="0" wrapText="false" indent="0" shrinkToFit="false"/>
      <protection locked="true" hidden="false"/>
    </xf>
    <xf numFmtId="215" fontId="61" fillId="0" borderId="24" xfId="1028" applyFont="true" applyBorder="true" applyAlignment="true" applyProtection="false">
      <alignment horizontal="general" vertical="bottom" textRotation="0" wrapText="false" indent="0" shrinkToFit="false"/>
      <protection locked="true" hidden="false"/>
    </xf>
    <xf numFmtId="215" fontId="61" fillId="0" borderId="25" xfId="1028" applyFont="true" applyBorder="true" applyAlignment="true" applyProtection="false">
      <alignment horizontal="general" vertical="bottom" textRotation="0" wrapText="false" indent="0" shrinkToFit="false"/>
      <protection locked="true" hidden="false"/>
    </xf>
    <xf numFmtId="215" fontId="117" fillId="0" borderId="26" xfId="1028" applyFont="true" applyBorder="true" applyAlignment="true" applyProtection="false">
      <alignment horizontal="left" vertical="bottom" textRotation="0" wrapText="false" indent="0" shrinkToFit="false"/>
      <protection locked="true" hidden="false"/>
    </xf>
    <xf numFmtId="215" fontId="118" fillId="0" borderId="26" xfId="1028" applyFont="true" applyBorder="true" applyAlignment="true" applyProtection="false">
      <alignment horizontal="left" vertical="bottom" textRotation="0" wrapText="false" indent="0" shrinkToFit="false"/>
      <protection locked="true" hidden="false"/>
    </xf>
    <xf numFmtId="215" fontId="118" fillId="0" borderId="31" xfId="1028" applyFont="true" applyBorder="true" applyAlignment="true" applyProtection="false">
      <alignment horizontal="left" vertical="bottom" textRotation="0" wrapText="false" indent="0" shrinkToFit="false"/>
      <protection locked="true" hidden="false"/>
    </xf>
    <xf numFmtId="215" fontId="0" fillId="0" borderId="29" xfId="1028" applyFont="true" applyBorder="true" applyAlignment="true" applyProtection="false">
      <alignment horizontal="general" vertical="bottom" textRotation="0" wrapText="false" indent="0" shrinkToFit="false"/>
      <protection locked="true" hidden="false"/>
    </xf>
    <xf numFmtId="164" fontId="0" fillId="2" borderId="0" xfId="0" applyFont="false" applyBorder="false" applyAlignment="true" applyProtection="false">
      <alignment horizontal="center" vertical="bottom" textRotation="0" wrapText="false" indent="0" shrinkToFit="false"/>
      <protection locked="true" hidden="false"/>
    </xf>
    <xf numFmtId="164" fontId="137" fillId="0" borderId="0" xfId="0" applyFont="true" applyBorder="false" applyAlignment="true" applyProtection="false">
      <alignment horizontal="general" vertical="bottom" textRotation="0" wrapText="false" indent="0" shrinkToFit="false"/>
      <protection locked="true" hidden="false"/>
    </xf>
    <xf numFmtId="164" fontId="18" fillId="0" borderId="0" xfId="0" applyFont="true" applyBorder="false" applyAlignment="true" applyProtection="false">
      <alignment horizontal="general" vertical="bottom" textRotation="0" wrapText="false" indent="0" shrinkToFit="false"/>
      <protection locked="true" hidden="false"/>
    </xf>
    <xf numFmtId="213" fontId="137" fillId="0" borderId="0" xfId="15" applyFont="true" applyBorder="true" applyAlignment="true" applyProtection="true">
      <alignment horizontal="general" vertical="bottom" textRotation="0" wrapText="false" indent="0" shrinkToFit="false"/>
      <protection locked="true" hidden="false"/>
    </xf>
    <xf numFmtId="217" fontId="0" fillId="0" borderId="13" xfId="19" applyFont="true" applyBorder="true" applyAlignment="true" applyProtection="true">
      <alignment horizontal="center" vertical="bottom" textRotation="0" wrapText="false" indent="0" shrinkToFit="false"/>
      <protection locked="true" hidden="false"/>
    </xf>
    <xf numFmtId="215" fontId="61" fillId="0" borderId="0" xfId="0" applyFont="true" applyBorder="false" applyAlignment="true" applyProtection="false">
      <alignment horizontal="general" vertical="bottom" textRotation="0" wrapText="false" indent="0" shrinkToFit="false"/>
      <protection locked="true" hidden="false"/>
    </xf>
    <xf numFmtId="213" fontId="138" fillId="0" borderId="0" xfId="15" applyFont="true" applyBorder="true" applyAlignment="true" applyProtection="true">
      <alignment horizontal="right" vertical="bottom" textRotation="0" wrapText="false" indent="0" shrinkToFit="false"/>
      <protection locked="true" hidden="false"/>
    </xf>
    <xf numFmtId="215" fontId="131" fillId="0" borderId="0" xfId="0" applyFont="true" applyBorder="true" applyAlignment="true" applyProtection="false">
      <alignment horizontal="right" vertical="bottom" textRotation="0" wrapText="false" indent="0" shrinkToFit="false"/>
      <protection locked="true" hidden="false"/>
    </xf>
    <xf numFmtId="164" fontId="61" fillId="2" borderId="0" xfId="0" applyFont="true" applyBorder="true" applyAlignment="false" applyProtection="false">
      <alignment horizontal="general" vertical="bottom" textRotation="0" wrapText="false" indent="0" shrinkToFit="false"/>
      <protection locked="true" hidden="false"/>
    </xf>
    <xf numFmtId="164" fontId="64" fillId="2" borderId="0" xfId="0" applyFont="true" applyBorder="false" applyAlignment="true" applyProtection="false">
      <alignment horizontal="left" vertical="bottom" textRotation="0" wrapText="false" indent="0" shrinkToFit="false"/>
      <protection locked="true" hidden="false"/>
    </xf>
    <xf numFmtId="230" fontId="61" fillId="2" borderId="0" xfId="15" applyFont="true" applyBorder="true" applyAlignment="true" applyProtection="true">
      <alignment horizontal="general" vertical="bottom" textRotation="0" wrapText="false" indent="0" shrinkToFit="false"/>
      <protection locked="true" hidden="false"/>
    </xf>
    <xf numFmtId="164" fontId="61" fillId="2" borderId="0" xfId="15" applyFont="true" applyBorder="true" applyAlignment="true" applyProtection="true">
      <alignment horizontal="general" vertical="bottom" textRotation="0" wrapText="false" indent="0" shrinkToFit="false"/>
      <protection locked="true" hidden="false"/>
    </xf>
    <xf numFmtId="242" fontId="9" fillId="0" borderId="0" xfId="15" applyFont="true" applyBorder="true" applyAlignment="true" applyProtection="true">
      <alignment horizontal="general" vertical="bottom" textRotation="0" wrapText="false" indent="0" shrinkToFit="false"/>
      <protection locked="true" hidden="false"/>
    </xf>
    <xf numFmtId="217" fontId="57" fillId="0" borderId="0" xfId="0" applyFont="true" applyBorder="false" applyAlignment="true" applyProtection="false">
      <alignment horizontal="left" vertical="bottom" textRotation="0" wrapText="false" indent="0" shrinkToFit="false"/>
      <protection locked="true" hidden="false"/>
    </xf>
    <xf numFmtId="221" fontId="9" fillId="0" borderId="0" xfId="0" applyFont="true" applyBorder="false" applyAlignment="true" applyProtection="false">
      <alignment horizontal="general" vertical="bottom" textRotation="0" wrapText="false" indent="0" shrinkToFit="false"/>
      <protection locked="true" hidden="false"/>
    </xf>
    <xf numFmtId="213" fontId="57" fillId="0" borderId="0" xfId="15" applyFont="true" applyBorder="true" applyAlignment="true" applyProtection="true">
      <alignment horizontal="center" vertical="bottom" textRotation="0" wrapText="false" indent="0" shrinkToFit="false"/>
      <protection locked="true" hidden="false"/>
    </xf>
    <xf numFmtId="213" fontId="61" fillId="2" borderId="0" xfId="15" applyFont="true" applyBorder="true" applyAlignment="true" applyProtection="true">
      <alignment horizontal="general" vertical="bottom" textRotation="0" wrapText="false" indent="0" shrinkToFit="false"/>
      <protection locked="true" hidden="false"/>
    </xf>
    <xf numFmtId="213" fontId="57" fillId="2" borderId="0" xfId="15" applyFont="true" applyBorder="true" applyAlignment="true" applyProtection="true">
      <alignment horizontal="general" vertical="bottom" textRotation="0" wrapText="false" indent="0" shrinkToFit="false"/>
      <protection locked="true" hidden="false"/>
    </xf>
    <xf numFmtId="213" fontId="57" fillId="0" borderId="5" xfId="15" applyFont="true" applyBorder="true" applyAlignment="true" applyProtection="true">
      <alignment horizontal="center" vertical="bottom" textRotation="0" wrapText="false" indent="0" shrinkToFit="false"/>
      <protection locked="true" hidden="false"/>
    </xf>
    <xf numFmtId="213" fontId="57" fillId="0" borderId="5" xfId="15" applyFont="true" applyBorder="true" applyAlignment="true" applyProtection="true">
      <alignment horizontal="right" vertical="bottom" textRotation="0" wrapText="false" indent="0" shrinkToFit="false"/>
      <protection locked="true" hidden="false"/>
    </xf>
    <xf numFmtId="213" fontId="0" fillId="0" borderId="40" xfId="15" applyFont="true" applyBorder="true" applyAlignment="true" applyProtection="true">
      <alignment horizontal="general" vertical="bottom" textRotation="0" wrapText="false" indent="0" shrinkToFit="false"/>
      <protection locked="true" hidden="false"/>
    </xf>
    <xf numFmtId="213" fontId="0" fillId="0" borderId="40" xfId="15" applyFont="true" applyBorder="true" applyAlignment="true" applyProtection="true">
      <alignment horizontal="center" vertical="bottom" textRotation="0" wrapText="false" indent="0" shrinkToFit="false"/>
      <protection locked="true" hidden="false"/>
    </xf>
    <xf numFmtId="213" fontId="61" fillId="2" borderId="0" xfId="15" applyFont="true" applyBorder="true" applyAlignment="true" applyProtection="true">
      <alignment horizontal="left" vertical="bottom" textRotation="0" wrapText="false" indent="0" shrinkToFit="false"/>
      <protection locked="true" hidden="false"/>
    </xf>
    <xf numFmtId="213" fontId="9" fillId="2" borderId="0" xfId="15" applyFont="true" applyBorder="true" applyAlignment="true" applyProtection="true">
      <alignment horizontal="general" vertical="bottom" textRotation="0" wrapText="false" indent="0" shrinkToFit="false"/>
      <protection locked="true" hidden="false"/>
    </xf>
    <xf numFmtId="213" fontId="89" fillId="0" borderId="0" xfId="15" applyFont="true" applyBorder="true" applyAlignment="true" applyProtection="true">
      <alignment horizontal="general" vertical="bottom" textRotation="0" wrapText="false" indent="0" shrinkToFit="false"/>
      <protection locked="true" hidden="false"/>
    </xf>
    <xf numFmtId="213" fontId="89" fillId="2" borderId="0" xfId="15" applyFont="true" applyBorder="true" applyAlignment="true" applyProtection="true">
      <alignment horizontal="general" vertical="bottom" textRotation="0" wrapText="false" indent="0" shrinkToFit="false"/>
      <protection locked="true" hidden="false"/>
    </xf>
    <xf numFmtId="213" fontId="138" fillId="0" borderId="0" xfId="15" applyFont="true" applyBorder="true" applyAlignment="true" applyProtection="true">
      <alignment horizontal="general" vertical="bottom" textRotation="0" wrapText="false" indent="0" shrinkToFit="false"/>
      <protection locked="true" hidden="false"/>
    </xf>
    <xf numFmtId="213" fontId="61" fillId="0" borderId="0" xfId="15" applyFont="true" applyBorder="true" applyAlignment="true" applyProtection="true">
      <alignment horizontal="left" vertical="bottom" textRotation="0" wrapText="false" indent="0" shrinkToFit="false"/>
      <protection locked="true" hidden="false"/>
    </xf>
    <xf numFmtId="213" fontId="9" fillId="0" borderId="0" xfId="15" applyFont="true" applyBorder="true" applyAlignment="true" applyProtection="true">
      <alignment horizontal="left" vertical="bottom" textRotation="0" wrapText="false" indent="0" shrinkToFit="false"/>
      <protection locked="true" hidden="false"/>
    </xf>
    <xf numFmtId="217" fontId="9" fillId="0" borderId="5" xfId="19" applyFont="true" applyBorder="true" applyAlignment="true" applyProtection="true">
      <alignment horizontal="general" vertical="bottom" textRotation="0" wrapText="false" indent="0" shrinkToFit="false"/>
      <protection locked="true" hidden="false"/>
    </xf>
    <xf numFmtId="213" fontId="9" fillId="0" borderId="5" xfId="15" applyFont="true" applyBorder="true" applyAlignment="true" applyProtection="true">
      <alignment horizontal="left" vertical="bottom" textRotation="0" wrapText="false" indent="0" shrinkToFit="false"/>
      <protection locked="true" hidden="false"/>
    </xf>
    <xf numFmtId="213" fontId="139" fillId="0" borderId="0" xfId="15" applyFont="true" applyBorder="true" applyAlignment="true" applyProtection="true">
      <alignment horizontal="general" vertical="bottom" textRotation="0" wrapText="false" indent="0" shrinkToFit="false"/>
      <protection locked="true" hidden="false"/>
    </xf>
    <xf numFmtId="213" fontId="61" fillId="0" borderId="40" xfId="15" applyFont="true" applyBorder="true" applyAlignment="true" applyProtection="true">
      <alignment horizontal="left" vertical="bottom" textRotation="0" wrapText="false" indent="0" shrinkToFit="false"/>
      <protection locked="true" hidden="false"/>
    </xf>
    <xf numFmtId="213" fontId="61" fillId="0" borderId="40" xfId="15" applyFont="true" applyBorder="true" applyAlignment="true" applyProtection="true">
      <alignment horizontal="general" vertical="bottom" textRotation="0" wrapText="false" indent="0" shrinkToFit="false"/>
      <protection locked="true" hidden="false"/>
    </xf>
    <xf numFmtId="217" fontId="61" fillId="0" borderId="40" xfId="19" applyFont="true" applyBorder="true" applyAlignment="true" applyProtection="true">
      <alignment horizontal="general" vertical="bottom" textRotation="0" wrapText="false" indent="0" shrinkToFit="false"/>
      <protection locked="true" hidden="false"/>
    </xf>
    <xf numFmtId="213" fontId="86" fillId="0" borderId="0" xfId="15" applyFont="true" applyBorder="true" applyAlignment="true" applyProtection="true">
      <alignment horizontal="general" vertical="bottom" textRotation="0" wrapText="false" indent="0" shrinkToFit="false"/>
      <protection locked="true" hidden="false"/>
    </xf>
    <xf numFmtId="213" fontId="86" fillId="0" borderId="13" xfId="15" applyFont="true" applyBorder="true" applyAlignment="true" applyProtection="true">
      <alignment horizontal="general" vertical="bottom" textRotation="0" wrapText="false" indent="0" shrinkToFit="false"/>
      <protection locked="true" hidden="false"/>
    </xf>
    <xf numFmtId="213" fontId="86" fillId="2" borderId="0" xfId="15" applyFont="true" applyBorder="true" applyAlignment="true" applyProtection="true">
      <alignment horizontal="general" vertical="bottom" textRotation="0" wrapText="false" indent="0" shrinkToFit="false"/>
      <protection locked="true" hidden="false"/>
    </xf>
    <xf numFmtId="217" fontId="86" fillId="0" borderId="13" xfId="19" applyFont="true" applyBorder="true" applyAlignment="true" applyProtection="true">
      <alignment horizontal="general" vertical="bottom" textRotation="0" wrapText="false" indent="0" shrinkToFit="false"/>
      <protection locked="true" hidden="false"/>
    </xf>
    <xf numFmtId="217" fontId="61" fillId="0" borderId="5" xfId="19" applyFont="true" applyBorder="true" applyAlignment="true" applyProtection="true">
      <alignment horizontal="general" vertical="bottom" textRotation="0" wrapText="false" indent="0" shrinkToFit="false"/>
      <protection locked="true" hidden="false"/>
    </xf>
    <xf numFmtId="213" fontId="86" fillId="0" borderId="14" xfId="15" applyFont="true" applyBorder="true" applyAlignment="true" applyProtection="true">
      <alignment horizontal="general" vertical="bottom" textRotation="0" wrapText="false" indent="0" shrinkToFit="false"/>
      <protection locked="true" hidden="false"/>
    </xf>
    <xf numFmtId="217" fontId="86" fillId="0" borderId="14" xfId="19" applyFont="true" applyBorder="true" applyAlignment="true" applyProtection="true">
      <alignment horizontal="general" vertical="bottom" textRotation="0" wrapText="false" indent="0" shrinkToFit="false"/>
      <protection locked="true" hidden="false"/>
    </xf>
    <xf numFmtId="217" fontId="61" fillId="0" borderId="13" xfId="19" applyFont="true" applyBorder="true" applyAlignment="true" applyProtection="true">
      <alignment horizontal="general" vertical="bottom" textRotation="0" wrapText="false" indent="0" shrinkToFit="false"/>
      <protection locked="true" hidden="false"/>
    </xf>
    <xf numFmtId="164" fontId="18" fillId="0" borderId="0" xfId="0" applyFont="true" applyBorder="false" applyAlignment="true" applyProtection="false">
      <alignment horizontal="left" vertical="bottom" textRotation="0" wrapText="false" indent="0" shrinkToFit="false"/>
      <protection locked="true" hidden="false"/>
    </xf>
    <xf numFmtId="213" fontId="0" fillId="0" borderId="0" xfId="15" applyFont="true" applyBorder="true" applyAlignment="true" applyProtection="true">
      <alignment horizontal="left" vertical="bottom" textRotation="0" wrapText="false" indent="0" shrinkToFit="false"/>
      <protection locked="true" hidden="false"/>
    </xf>
    <xf numFmtId="217" fontId="61" fillId="2" borderId="7" xfId="0" applyFont="true" applyBorder="true" applyAlignment="false" applyProtection="false">
      <alignment horizontal="general" vertical="bottom" textRotation="0" wrapText="false" indent="0" shrinkToFit="false"/>
      <protection locked="true" hidden="false"/>
    </xf>
    <xf numFmtId="217" fontId="61" fillId="2" borderId="8" xfId="0" applyFont="true" applyBorder="true" applyAlignment="false" applyProtection="false">
      <alignment horizontal="general" vertical="bottom" textRotation="0" wrapText="false" indent="0" shrinkToFit="false"/>
      <protection locked="true" hidden="false"/>
    </xf>
    <xf numFmtId="164" fontId="61" fillId="2" borderId="20" xfId="0" applyFont="true" applyBorder="true" applyAlignment="false" applyProtection="false">
      <alignment horizontal="general" vertical="bottom" textRotation="0" wrapText="false" indent="0" shrinkToFit="false"/>
      <protection locked="true" hidden="false"/>
    </xf>
    <xf numFmtId="217" fontId="61" fillId="2" borderId="0" xfId="0" applyFont="true" applyBorder="true" applyAlignment="false" applyProtection="false">
      <alignment horizontal="general" vertical="bottom" textRotation="0" wrapText="false" indent="0" shrinkToFit="false"/>
      <protection locked="true" hidden="false"/>
    </xf>
    <xf numFmtId="217" fontId="61" fillId="2" borderId="21" xfId="0" applyFont="true" applyBorder="true" applyAlignment="false" applyProtection="false">
      <alignment horizontal="general" vertical="bottom" textRotation="0" wrapText="false" indent="0" shrinkToFit="false"/>
      <protection locked="true" hidden="false"/>
    </xf>
    <xf numFmtId="164" fontId="0" fillId="2" borderId="2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9" fontId="0" fillId="2" borderId="0" xfId="0" applyFont="false" applyBorder="true" applyAlignment="false" applyProtection="false">
      <alignment horizontal="general" vertical="bottom" textRotation="0" wrapText="false" indent="0" shrinkToFit="false"/>
      <protection locked="true" hidden="false"/>
    </xf>
    <xf numFmtId="164" fontId="0" fillId="2" borderId="21" xfId="0" applyFont="false" applyBorder="true" applyAlignment="false" applyProtection="false">
      <alignment horizontal="general" vertical="bottom" textRotation="0" wrapText="false" indent="0" shrinkToFit="false"/>
      <protection locked="true" hidden="false"/>
    </xf>
    <xf numFmtId="169" fontId="62" fillId="2" borderId="20" xfId="15" applyFont="true" applyBorder="true" applyAlignment="true" applyProtection="true">
      <alignment horizontal="general" vertical="bottom" textRotation="0" wrapText="false" indent="0" shrinkToFit="false"/>
      <protection locked="true" hidden="false"/>
    </xf>
    <xf numFmtId="169" fontId="62" fillId="2" borderId="0" xfId="15" applyFont="true" applyBorder="true" applyAlignment="true" applyProtection="true">
      <alignment horizontal="left" vertical="bottom" textRotation="0" wrapText="false" indent="0" shrinkToFit="false"/>
      <protection locked="true" hidden="false"/>
    </xf>
    <xf numFmtId="213" fontId="62" fillId="2" borderId="0" xfId="15" applyFont="true" applyBorder="true" applyAlignment="true" applyProtection="true">
      <alignment horizontal="general" vertical="bottom" textRotation="0" wrapText="false" indent="0" shrinkToFit="false"/>
      <protection locked="true" hidden="false"/>
    </xf>
    <xf numFmtId="213" fontId="62" fillId="2" borderId="21" xfId="15" applyFont="true" applyBorder="true" applyAlignment="true" applyProtection="true">
      <alignment horizontal="general" vertical="bottom" textRotation="0" wrapText="false" indent="0" shrinkToFit="false"/>
      <protection locked="true" hidden="false"/>
    </xf>
    <xf numFmtId="169" fontId="0" fillId="0" borderId="20" xfId="15" applyFont="true" applyBorder="true" applyAlignment="true" applyProtection="true">
      <alignment horizontal="general" vertical="bottom" textRotation="0" wrapText="false" indent="0" shrinkToFit="false"/>
      <protection locked="true" hidden="false"/>
    </xf>
    <xf numFmtId="213" fontId="0" fillId="0" borderId="21" xfId="15" applyFont="true" applyBorder="true" applyAlignment="true" applyProtection="true">
      <alignment horizontal="general" vertical="bottom" textRotation="0" wrapText="false" indent="0" shrinkToFit="false"/>
      <protection locked="true" hidden="false"/>
    </xf>
    <xf numFmtId="213" fontId="9" fillId="0" borderId="20" xfId="15" applyFont="true" applyBorder="true" applyAlignment="true" applyProtection="true">
      <alignment horizontal="general" vertical="bottom" textRotation="0" wrapText="false" indent="0" shrinkToFit="false"/>
      <protection locked="true" hidden="false"/>
    </xf>
    <xf numFmtId="213" fontId="9" fillId="0" borderId="21" xfId="15" applyFont="true" applyBorder="true" applyAlignment="true" applyProtection="true">
      <alignment horizontal="general" vertical="bottom" textRotation="0" wrapText="false" indent="0" shrinkToFit="false"/>
      <protection locked="true" hidden="false"/>
    </xf>
    <xf numFmtId="213" fontId="89" fillId="0" borderId="20" xfId="15" applyFont="true" applyBorder="true" applyAlignment="true" applyProtection="true">
      <alignment horizontal="general" vertical="bottom" textRotation="0" wrapText="false" indent="0" shrinkToFit="false"/>
      <protection locked="true" hidden="false"/>
    </xf>
    <xf numFmtId="213" fontId="89" fillId="0" borderId="21" xfId="15" applyFont="true" applyBorder="true" applyAlignment="true" applyProtection="true">
      <alignment horizontal="general" vertical="bottom" textRotation="0" wrapText="false" indent="0" shrinkToFit="false"/>
      <protection locked="true" hidden="false"/>
    </xf>
    <xf numFmtId="164" fontId="89" fillId="0" borderId="0" xfId="0" applyFont="true" applyBorder="false" applyAlignment="false" applyProtection="false">
      <alignment horizontal="general" vertical="bottom" textRotation="0" wrapText="false" indent="0" shrinkToFit="false"/>
      <protection locked="true" hidden="false"/>
    </xf>
    <xf numFmtId="169" fontId="89" fillId="0" borderId="20" xfId="15" applyFont="true" applyBorder="true" applyAlignment="true" applyProtection="true">
      <alignment horizontal="general" vertical="bottom" textRotation="0" wrapText="false" indent="0" shrinkToFit="false"/>
      <protection locked="true" hidden="false"/>
    </xf>
    <xf numFmtId="169" fontId="82" fillId="0" borderId="20" xfId="15" applyFont="true" applyBorder="true" applyAlignment="true" applyProtection="true">
      <alignment horizontal="general" vertical="bottom" textRotation="0" wrapText="false" indent="0" shrinkToFit="false"/>
      <protection locked="true" hidden="false"/>
    </xf>
    <xf numFmtId="164" fontId="82" fillId="0" borderId="0" xfId="0" applyFont="true" applyBorder="true" applyAlignment="false" applyProtection="false">
      <alignment horizontal="general" vertical="bottom" textRotation="0" wrapText="false" indent="0" shrinkToFit="false"/>
      <protection locked="true" hidden="false"/>
    </xf>
    <xf numFmtId="213" fontId="82" fillId="0" borderId="20" xfId="15" applyFont="true" applyBorder="true" applyAlignment="true" applyProtection="true">
      <alignment horizontal="general" vertical="bottom" textRotation="0" wrapText="false" indent="0" shrinkToFit="false"/>
      <protection locked="true" hidden="false"/>
    </xf>
    <xf numFmtId="213" fontId="82" fillId="0" borderId="21" xfId="15" applyFont="true" applyBorder="true" applyAlignment="true" applyProtection="true">
      <alignment horizontal="general" vertical="bottom" textRotation="0" wrapText="false" indent="0" shrinkToFit="false"/>
      <protection locked="true" hidden="false"/>
    </xf>
    <xf numFmtId="164" fontId="0" fillId="0" borderId="20" xfId="0" applyFont="false" applyBorder="true" applyAlignment="false" applyProtection="false">
      <alignment horizontal="general" vertical="bottom" textRotation="0" wrapText="false" indent="0" shrinkToFit="false"/>
      <protection locked="true" hidden="false"/>
    </xf>
    <xf numFmtId="169" fontId="61" fillId="0" borderId="9" xfId="15" applyFont="true" applyBorder="true" applyAlignment="true" applyProtection="true">
      <alignment horizontal="general" vertical="bottom" textRotation="0" wrapText="false" indent="0" shrinkToFit="false"/>
      <protection locked="true" hidden="false"/>
    </xf>
    <xf numFmtId="164" fontId="61" fillId="0" borderId="4" xfId="0" applyFont="true" applyBorder="true" applyAlignment="false" applyProtection="false">
      <alignment horizontal="general" vertical="bottom" textRotation="0" wrapText="false" indent="0" shrinkToFit="false"/>
      <protection locked="true" hidden="false"/>
    </xf>
    <xf numFmtId="213" fontId="61" fillId="0" borderId="4" xfId="15" applyFont="true" applyBorder="true" applyAlignment="true" applyProtection="true">
      <alignment horizontal="general" vertical="bottom" textRotation="0" wrapText="false" indent="0" shrinkToFit="false"/>
      <protection locked="true" hidden="false"/>
    </xf>
    <xf numFmtId="213" fontId="61" fillId="0" borderId="10" xfId="15" applyFont="true" applyBorder="true" applyAlignment="true" applyProtection="true">
      <alignment horizontal="general" vertical="bottom" textRotation="0" wrapText="false" indent="0" shrinkToFit="false"/>
      <protection locked="true" hidden="false"/>
    </xf>
    <xf numFmtId="213" fontId="0" fillId="0" borderId="0" xfId="0" applyFont="false" applyBorder="true" applyAlignment="false" applyProtection="false">
      <alignment horizontal="general" vertical="bottom" textRotation="0" wrapText="false" indent="0" shrinkToFit="false"/>
      <protection locked="true" hidden="false"/>
    </xf>
    <xf numFmtId="230" fontId="0" fillId="0" borderId="0" xfId="15" applyFont="true" applyBorder="true" applyAlignment="true" applyProtection="true">
      <alignment horizontal="general" vertical="bottom" textRotation="0" wrapText="false" indent="0" shrinkToFit="false"/>
      <protection locked="true" hidden="false"/>
    </xf>
    <xf numFmtId="169" fontId="62" fillId="0" borderId="0" xfId="15" applyFont="true" applyBorder="true" applyAlignment="true" applyProtection="true">
      <alignment horizontal="general" vertical="bottom" textRotation="0" wrapText="false" indent="0" shrinkToFit="false"/>
      <protection locked="true" hidden="false"/>
    </xf>
    <xf numFmtId="169" fontId="0" fillId="0" borderId="0" xfId="15" applyFont="true" applyBorder="true" applyAlignment="true" applyProtection="true">
      <alignment horizontal="left" vertical="bottom" textRotation="0" wrapText="false" indent="0" shrinkToFit="false"/>
      <protection locked="true" hidden="false"/>
    </xf>
    <xf numFmtId="169" fontId="0" fillId="0" borderId="0" xfId="15" applyFont="true" applyBorder="true" applyAlignment="true" applyProtection="true">
      <alignment horizontal="general" vertical="bottom" textRotation="0" wrapText="false" indent="0" shrinkToFit="false"/>
      <protection locked="true" hidden="false"/>
    </xf>
    <xf numFmtId="213" fontId="89" fillId="0" borderId="0" xfId="15" applyFont="true" applyBorder="true" applyAlignment="true" applyProtection="true">
      <alignment horizontal="left" vertical="bottom" textRotation="0" wrapText="false" indent="0" shrinkToFit="false"/>
      <protection locked="true" hidden="false"/>
    </xf>
    <xf numFmtId="213" fontId="82" fillId="0" borderId="0" xfId="15" applyFont="true" applyBorder="true" applyAlignment="true" applyProtection="true">
      <alignment horizontal="center" vertical="bottom" textRotation="0" wrapText="false" indent="0" shrinkToFit="false"/>
      <protection locked="true" hidden="false"/>
    </xf>
    <xf numFmtId="169" fontId="89" fillId="0" borderId="0" xfId="15" applyFont="true" applyBorder="true" applyAlignment="true" applyProtection="true">
      <alignment horizontal="general" vertical="bottom" textRotation="0" wrapText="false" indent="0" shrinkToFit="false"/>
      <protection locked="true" hidden="false"/>
    </xf>
    <xf numFmtId="164" fontId="82" fillId="0" borderId="0" xfId="0" applyFont="true" applyBorder="false" applyAlignment="true" applyProtection="false">
      <alignment horizontal="center" vertical="bottom" textRotation="0" wrapText="false" indent="0" shrinkToFit="false"/>
      <protection locked="true" hidden="false"/>
    </xf>
    <xf numFmtId="169" fontId="82" fillId="0" borderId="0" xfId="15" applyFont="true" applyBorder="true" applyAlignment="true" applyProtection="true">
      <alignment horizontal="general" vertical="bottom" textRotation="0" wrapText="false" indent="0" shrinkToFit="false"/>
      <protection locked="true" hidden="false"/>
    </xf>
    <xf numFmtId="213" fontId="82" fillId="2" borderId="0" xfId="15" applyFont="true" applyBorder="true" applyAlignment="true" applyProtection="true">
      <alignment horizontal="center" vertical="bottom" textRotation="0" wrapText="false" indent="0" shrinkToFit="false"/>
      <protection locked="true" hidden="false"/>
    </xf>
    <xf numFmtId="213" fontId="0" fillId="0" borderId="20" xfId="15" applyFont="true" applyBorder="true" applyAlignment="true" applyProtection="true">
      <alignment horizontal="general" vertical="bottom" textRotation="0" wrapText="false" indent="0" shrinkToFit="false"/>
      <protection locked="true" hidden="false"/>
    </xf>
    <xf numFmtId="213" fontId="89" fillId="0" borderId="0" xfId="15" applyFont="true" applyBorder="true" applyAlignment="true" applyProtection="true">
      <alignment horizontal="center" vertical="bottom" textRotation="0" wrapText="false" indent="0" shrinkToFit="false"/>
      <protection locked="true" hidden="false"/>
    </xf>
    <xf numFmtId="213" fontId="61" fillId="2" borderId="20" xfId="15" applyFont="true" applyBorder="true" applyAlignment="true" applyProtection="true">
      <alignment horizontal="general" vertical="bottom" textRotation="0" wrapText="false" indent="0" shrinkToFit="false"/>
      <protection locked="true" hidden="false"/>
    </xf>
    <xf numFmtId="213" fontId="61" fillId="2" borderId="21" xfId="15" applyFont="true" applyBorder="true" applyAlignment="true" applyProtection="true">
      <alignment horizontal="general" vertical="bottom" textRotation="0" wrapText="false" indent="0" shrinkToFit="false"/>
      <protection locked="true" hidden="false"/>
    </xf>
    <xf numFmtId="213" fontId="61" fillId="0" borderId="9" xfId="15" applyFont="true" applyBorder="true" applyAlignment="true" applyProtection="true">
      <alignment horizontal="general" vertical="bottom" textRotation="0" wrapText="false" indent="0" shrinkToFit="false"/>
      <protection locked="true" hidden="false"/>
    </xf>
    <xf numFmtId="213" fontId="62" fillId="0" borderId="0" xfId="15" applyFont="true" applyBorder="true" applyAlignment="true" applyProtection="true">
      <alignment horizontal="left" vertical="bottom" textRotation="0" wrapText="false" indent="0" shrinkToFit="false"/>
      <protection locked="true" hidden="false"/>
    </xf>
    <xf numFmtId="213" fontId="0" fillId="2" borderId="7" xfId="15" applyFont="true" applyBorder="true" applyAlignment="true" applyProtection="true">
      <alignment horizontal="general" vertical="bottom" textRotation="0" wrapText="false" indent="0" shrinkToFit="false"/>
      <protection locked="true" hidden="false"/>
    </xf>
    <xf numFmtId="213" fontId="61" fillId="0" borderId="20" xfId="15" applyFont="true" applyBorder="true" applyAlignment="true" applyProtection="true">
      <alignment horizontal="general" vertical="bottom" textRotation="0" wrapText="false" indent="0" shrinkToFit="false"/>
      <protection locked="true" hidden="false"/>
    </xf>
    <xf numFmtId="213" fontId="61" fillId="0" borderId="21" xfId="15" applyFont="true" applyBorder="true" applyAlignment="true" applyProtection="true">
      <alignment horizontal="general" vertical="bottom" textRotation="0" wrapText="false" indent="0" shrinkToFit="false"/>
      <protection locked="true" hidden="false"/>
    </xf>
    <xf numFmtId="213" fontId="62" fillId="2" borderId="20" xfId="15" applyFont="true" applyBorder="true" applyAlignment="true" applyProtection="true">
      <alignment horizontal="general" vertical="bottom" textRotation="0" wrapText="false" indent="0" shrinkToFit="false"/>
      <protection locked="true" hidden="false"/>
    </xf>
    <xf numFmtId="213" fontId="62" fillId="2" borderId="0" xfId="15" applyFont="true" applyBorder="true" applyAlignment="true" applyProtection="true">
      <alignment horizontal="left" vertical="bottom" textRotation="0" wrapText="false" indent="0" shrinkToFit="false"/>
      <protection locked="true" hidden="false"/>
    </xf>
    <xf numFmtId="213" fontId="62" fillId="0" borderId="20" xfId="15" applyFont="true" applyBorder="true" applyAlignment="true" applyProtection="true">
      <alignment horizontal="general" vertical="bottom" textRotation="0" wrapText="false" indent="0" shrinkToFit="false"/>
      <protection locked="true" hidden="false"/>
    </xf>
    <xf numFmtId="213" fontId="61" fillId="0" borderId="4" xfId="15" applyFont="true" applyBorder="true" applyAlignment="true" applyProtection="true">
      <alignment horizontal="left" vertical="bottom" textRotation="0" wrapText="false" indent="0" shrinkToFit="false"/>
      <protection locked="true" hidden="false"/>
    </xf>
    <xf numFmtId="213" fontId="62" fillId="2" borderId="9" xfId="15" applyFont="true" applyBorder="true" applyAlignment="true" applyProtection="true">
      <alignment horizontal="general" vertical="bottom" textRotation="0" wrapText="false" indent="0" shrinkToFit="false"/>
      <protection locked="true" hidden="false"/>
    </xf>
    <xf numFmtId="213" fontId="62" fillId="2" borderId="4" xfId="15" applyFont="true" applyBorder="true" applyAlignment="true" applyProtection="true">
      <alignment horizontal="left" vertical="bottom" textRotation="0" wrapText="false" indent="0" shrinkToFit="false"/>
      <protection locked="true" hidden="false"/>
    </xf>
    <xf numFmtId="213" fontId="62" fillId="2" borderId="4" xfId="15" applyFont="true" applyBorder="true" applyAlignment="true" applyProtection="true">
      <alignment horizontal="general" vertical="bottom" textRotation="0" wrapText="false" indent="0" shrinkToFit="false"/>
      <protection locked="true" hidden="false"/>
    </xf>
    <xf numFmtId="213" fontId="62" fillId="2" borderId="10" xfId="15" applyFont="true" applyBorder="true" applyAlignment="true" applyProtection="true">
      <alignment horizontal="general" vertical="bottom" textRotation="0" wrapText="false" indent="0" shrinkToFit="false"/>
      <protection locked="true" hidden="false"/>
    </xf>
    <xf numFmtId="213" fontId="0" fillId="0" borderId="23" xfId="15" applyFont="true" applyBorder="true" applyAlignment="true" applyProtection="true">
      <alignment horizontal="general" vertical="bottom" textRotation="0" wrapText="false" indent="0" shrinkToFit="false"/>
      <protection locked="true" hidden="false"/>
    </xf>
    <xf numFmtId="213" fontId="0" fillId="0" borderId="24" xfId="15" applyFont="true" applyBorder="true" applyAlignment="true" applyProtection="true">
      <alignment horizontal="general" vertical="bottom" textRotation="0" wrapText="false" indent="0" shrinkToFit="false"/>
      <protection locked="true" hidden="false"/>
    </xf>
    <xf numFmtId="213" fontId="0" fillId="0" borderId="25" xfId="15" applyFont="true" applyBorder="true" applyAlignment="true" applyProtection="true">
      <alignment horizontal="general" vertical="bottom" textRotation="0" wrapText="false" indent="0" shrinkToFit="false"/>
      <protection locked="true" hidden="false"/>
    </xf>
    <xf numFmtId="213" fontId="0" fillId="0" borderId="26" xfId="15" applyFont="true" applyBorder="true" applyAlignment="true" applyProtection="true">
      <alignment horizontal="general" vertical="bottom" textRotation="0" wrapText="false" indent="0" shrinkToFit="false"/>
      <protection locked="true" hidden="false"/>
    </xf>
    <xf numFmtId="213" fontId="61" fillId="2" borderId="26" xfId="15" applyFont="true" applyBorder="true" applyAlignment="true" applyProtection="true">
      <alignment horizontal="general" vertical="bottom" textRotation="0" wrapText="false" indent="0" shrinkToFit="false"/>
      <protection locked="true" hidden="false"/>
    </xf>
    <xf numFmtId="213" fontId="9" fillId="0" borderId="26" xfId="15" applyFont="true" applyBorder="true" applyAlignment="true" applyProtection="true">
      <alignment horizontal="general" vertical="bottom" textRotation="0" wrapText="false" indent="0" shrinkToFit="false"/>
      <protection locked="true" hidden="false"/>
    </xf>
    <xf numFmtId="213" fontId="0" fillId="0" borderId="33" xfId="15" applyFont="true" applyBorder="true" applyAlignment="true" applyProtection="true">
      <alignment horizontal="general" vertical="bottom" textRotation="0" wrapText="false" indent="0" shrinkToFit="false"/>
      <protection locked="true" hidden="false"/>
    </xf>
    <xf numFmtId="213" fontId="0" fillId="0" borderId="13" xfId="15" applyFont="true" applyBorder="true" applyAlignment="true" applyProtection="true">
      <alignment horizontal="center" vertical="bottom" textRotation="0" wrapText="false" indent="0" shrinkToFit="false"/>
      <protection locked="true" hidden="false"/>
    </xf>
    <xf numFmtId="213" fontId="61" fillId="0" borderId="26" xfId="15" applyFont="true" applyBorder="true" applyAlignment="true" applyProtection="true">
      <alignment horizontal="general" vertical="bottom" textRotation="0" wrapText="false" indent="0" shrinkToFit="false"/>
      <protection locked="true" hidden="false"/>
    </xf>
    <xf numFmtId="213" fontId="78" fillId="0" borderId="0" xfId="15" applyFont="true" applyBorder="true" applyAlignment="true" applyProtection="true">
      <alignment horizontal="center" vertical="bottom" textRotation="0" wrapText="false" indent="0" shrinkToFit="false"/>
      <protection locked="true" hidden="false"/>
    </xf>
    <xf numFmtId="213" fontId="0" fillId="0" borderId="31" xfId="15" applyFont="true" applyBorder="true" applyAlignment="true" applyProtection="true">
      <alignment horizontal="general" vertical="bottom" textRotation="0" wrapText="false" indent="0" shrinkToFit="false"/>
      <protection locked="true" hidden="false"/>
    </xf>
    <xf numFmtId="213" fontId="9" fillId="0" borderId="14" xfId="15" applyFont="true" applyBorder="true" applyAlignment="true" applyProtection="true">
      <alignment horizontal="center" vertical="bottom" textRotation="0" wrapText="false" indent="0" shrinkToFit="false"/>
      <protection locked="true" hidden="false"/>
    </xf>
    <xf numFmtId="213" fontId="9" fillId="0" borderId="14" xfId="15" applyFont="true" applyBorder="true" applyAlignment="true" applyProtection="true">
      <alignment horizontal="general" vertical="bottom" textRotation="0" wrapText="false" indent="0" shrinkToFit="false"/>
      <protection locked="true" hidden="false"/>
    </xf>
    <xf numFmtId="213" fontId="0" fillId="0" borderId="29" xfId="15" applyFont="true" applyBorder="true" applyAlignment="true" applyProtection="true">
      <alignment horizontal="general" vertical="bottom" textRotation="0" wrapText="false" indent="0" shrinkToFit="false"/>
      <protection locked="true" hidden="false"/>
    </xf>
    <xf numFmtId="164" fontId="9" fillId="0" borderId="0" xfId="0" applyFont="true" applyBorder="true" applyAlignment="true" applyProtection="false">
      <alignment horizontal="center" vertical="bottom" textRotation="0" wrapText="false" indent="0" shrinkToFit="false"/>
      <protection locked="true" hidden="false"/>
    </xf>
    <xf numFmtId="213" fontId="0" fillId="0" borderId="0" xfId="0" applyFont="false" applyBorder="false" applyAlignment="true" applyProtection="false">
      <alignment horizontal="center" vertical="bottom" textRotation="0" wrapText="false" indent="0" shrinkToFit="false"/>
      <protection locked="true" hidden="false"/>
    </xf>
    <xf numFmtId="215" fontId="141" fillId="0" borderId="0" xfId="0" applyFont="true" applyBorder="false" applyAlignment="true" applyProtection="false">
      <alignment horizontal="left" vertical="bottom" textRotation="0" wrapText="false" indent="0" shrinkToFit="false"/>
      <protection locked="true" hidden="false"/>
    </xf>
    <xf numFmtId="164" fontId="89" fillId="0" borderId="0" xfId="0" applyFont="true" applyBorder="false" applyAlignment="true" applyProtection="false">
      <alignment horizontal="general" vertical="bottom" textRotation="0" wrapText="false" indent="0" shrinkToFit="false"/>
      <protection locked="true" hidden="false"/>
    </xf>
    <xf numFmtId="215" fontId="89" fillId="0" borderId="0" xfId="0" applyFont="true" applyBorder="false" applyAlignment="true" applyProtection="false">
      <alignment horizontal="general" vertical="bottom" textRotation="0" wrapText="false" indent="0" shrinkToFit="false"/>
      <protection locked="true" hidden="false"/>
    </xf>
    <xf numFmtId="164" fontId="138" fillId="0" borderId="0" xfId="0" applyFont="true" applyBorder="false" applyAlignment="false" applyProtection="false">
      <alignment horizontal="general" vertical="bottom" textRotation="0" wrapText="false" indent="0" shrinkToFit="false"/>
      <protection locked="true" hidden="false"/>
    </xf>
    <xf numFmtId="215" fontId="64" fillId="0" borderId="0" xfId="0" applyFont="true" applyBorder="false" applyAlignment="true" applyProtection="false">
      <alignment horizontal="center" vertical="bottom" textRotation="0" wrapText="false" indent="0" shrinkToFit="false"/>
      <protection locked="true" hidden="false"/>
    </xf>
    <xf numFmtId="215" fontId="69" fillId="0" borderId="0" xfId="0" applyFont="true" applyBorder="false" applyAlignment="true" applyProtection="false">
      <alignment horizontal="left" vertical="bottom" textRotation="0" wrapText="false" indent="0" shrinkToFit="false"/>
      <protection locked="true" hidden="false"/>
    </xf>
    <xf numFmtId="217" fontId="57" fillId="0" borderId="0" xfId="19" applyFont="true" applyBorder="true" applyAlignment="true" applyProtection="true">
      <alignment horizontal="general" vertical="bottom" textRotation="0" wrapText="false" indent="0" shrinkToFit="false"/>
      <protection locked="true" hidden="false"/>
    </xf>
    <xf numFmtId="215" fontId="111" fillId="0" borderId="0" xfId="0" applyFont="true" applyBorder="false" applyAlignment="true" applyProtection="false">
      <alignment horizontal="left" vertical="bottom" textRotation="0" wrapText="false" indent="0" shrinkToFit="false"/>
      <protection locked="true" hidden="false"/>
    </xf>
    <xf numFmtId="215" fontId="111" fillId="0" borderId="0" xfId="0" applyFont="true" applyBorder="false" applyAlignment="true" applyProtection="false">
      <alignment horizontal="general" vertical="bottom" textRotation="0" wrapText="false" indent="0" shrinkToFit="false"/>
      <protection locked="true" hidden="false"/>
    </xf>
    <xf numFmtId="213" fontId="111" fillId="0" borderId="0" xfId="15" applyFont="true" applyBorder="true" applyAlignment="true" applyProtection="true">
      <alignment horizontal="general" vertical="bottom" textRotation="0" wrapText="false" indent="0" shrinkToFit="false"/>
      <protection locked="true" hidden="false"/>
    </xf>
    <xf numFmtId="215" fontId="62" fillId="0" borderId="0" xfId="0" applyFont="true" applyBorder="false" applyAlignment="true" applyProtection="false">
      <alignment horizontal="center" vertical="bottom" textRotation="0" wrapText="false" indent="0" shrinkToFit="false"/>
      <protection locked="true" hidden="false"/>
    </xf>
    <xf numFmtId="215" fontId="62" fillId="0" borderId="0" xfId="0" applyFont="true" applyBorder="false" applyAlignment="true" applyProtection="false">
      <alignment horizontal="general" vertical="bottom" textRotation="0" wrapText="false" indent="0" shrinkToFit="false"/>
      <protection locked="true" hidden="false"/>
    </xf>
    <xf numFmtId="215" fontId="61" fillId="0" borderId="23" xfId="0" applyFont="true" applyBorder="true" applyAlignment="true" applyProtection="false">
      <alignment horizontal="left" vertical="bottom" textRotation="0" wrapText="false" indent="0" shrinkToFit="false"/>
      <protection locked="true" hidden="false"/>
    </xf>
    <xf numFmtId="164" fontId="0" fillId="0" borderId="24" xfId="0" applyFont="false" applyBorder="true" applyAlignment="false" applyProtection="false">
      <alignment horizontal="general" vertical="bottom" textRotation="0" wrapText="false" indent="0" shrinkToFit="false"/>
      <protection locked="true" hidden="false"/>
    </xf>
    <xf numFmtId="164" fontId="0" fillId="0" borderId="25" xfId="0" applyFont="false" applyBorder="true" applyAlignment="false" applyProtection="false">
      <alignment horizontal="general" vertical="bottom" textRotation="0" wrapText="false" indent="0" shrinkToFit="false"/>
      <protection locked="true" hidden="false"/>
    </xf>
    <xf numFmtId="213" fontId="77" fillId="0" borderId="0" xfId="15" applyFont="true" applyBorder="true" applyAlignment="true" applyProtection="true">
      <alignment horizontal="general" vertical="bottom" textRotation="0" wrapText="false" indent="0" shrinkToFit="false"/>
      <protection locked="true" hidden="false"/>
    </xf>
    <xf numFmtId="213" fontId="90" fillId="0" borderId="27" xfId="15" applyFont="true" applyBorder="true" applyAlignment="true" applyProtection="true">
      <alignment horizontal="general" vertical="bottom" textRotation="0" wrapText="false" indent="0" shrinkToFit="false"/>
      <protection locked="true" hidden="false"/>
    </xf>
    <xf numFmtId="213" fontId="0" fillId="0" borderId="26" xfId="15" applyFont="true" applyBorder="true" applyAlignment="true" applyProtection="true">
      <alignment horizontal="left" vertical="bottom" textRotation="0" wrapText="false" indent="0" shrinkToFit="false"/>
      <protection locked="true" hidden="false"/>
    </xf>
    <xf numFmtId="213" fontId="57" fillId="0" borderId="27" xfId="15" applyFont="true" applyBorder="true" applyAlignment="true" applyProtection="true">
      <alignment horizontal="general" vertical="bottom" textRotation="0" wrapText="false" indent="0" shrinkToFit="false"/>
      <protection locked="true" hidden="false"/>
    </xf>
    <xf numFmtId="213" fontId="89" fillId="0" borderId="26" xfId="15" applyFont="true" applyBorder="true" applyAlignment="true" applyProtection="true">
      <alignment horizontal="left" vertical="bottom" textRotation="0" wrapText="false" indent="0" shrinkToFit="false"/>
      <protection locked="true" hidden="false"/>
    </xf>
    <xf numFmtId="213" fontId="89" fillId="0" borderId="27" xfId="15" applyFont="true" applyBorder="true" applyAlignment="true" applyProtection="true">
      <alignment horizontal="general" vertical="bottom" textRotation="0" wrapText="false" indent="0" shrinkToFit="false"/>
      <protection locked="true" hidden="false"/>
    </xf>
    <xf numFmtId="213" fontId="110" fillId="0" borderId="41" xfId="15" applyFont="true" applyBorder="true" applyAlignment="true" applyProtection="true">
      <alignment horizontal="left" vertical="bottom" textRotation="0" wrapText="false" indent="0" shrinkToFit="false"/>
      <protection locked="true" hidden="false"/>
    </xf>
    <xf numFmtId="213" fontId="110" fillId="0" borderId="36" xfId="15" applyFont="true" applyBorder="true" applyAlignment="true" applyProtection="true">
      <alignment horizontal="general" vertical="bottom" textRotation="0" wrapText="false" indent="0" shrinkToFit="false"/>
      <protection locked="true" hidden="false"/>
    </xf>
    <xf numFmtId="213" fontId="110" fillId="0" borderId="42" xfId="15" applyFont="true" applyBorder="true" applyAlignment="true" applyProtection="true">
      <alignment horizontal="general" vertical="bottom" textRotation="0" wrapText="false" indent="0" shrinkToFit="false"/>
      <protection locked="true" hidden="false"/>
    </xf>
    <xf numFmtId="213" fontId="110" fillId="0" borderId="0" xfId="15" applyFont="true" applyBorder="true" applyAlignment="true" applyProtection="true">
      <alignment horizontal="general" vertical="bottom" textRotation="0" wrapText="false" indent="0" shrinkToFit="false"/>
      <protection locked="true" hidden="false"/>
    </xf>
    <xf numFmtId="213" fontId="61" fillId="0" borderId="26" xfId="15" applyFont="true" applyBorder="true" applyAlignment="true" applyProtection="true">
      <alignment horizontal="left" vertical="bottom" textRotation="0" wrapText="false" indent="0" shrinkToFit="false"/>
      <protection locked="true" hidden="false"/>
    </xf>
    <xf numFmtId="213" fontId="16" fillId="0" borderId="26" xfId="15" applyFont="true" applyBorder="true" applyAlignment="true" applyProtection="true">
      <alignment horizontal="left" vertical="bottom" textRotation="0" wrapText="false" indent="0" shrinkToFit="false"/>
      <protection locked="true" hidden="false"/>
    </xf>
    <xf numFmtId="213" fontId="9" fillId="0" borderId="31" xfId="15" applyFont="true" applyBorder="true" applyAlignment="true" applyProtection="true">
      <alignment horizontal="left" vertical="bottom" textRotation="0" wrapText="false" indent="0" shrinkToFit="false"/>
      <protection locked="true" hidden="false"/>
    </xf>
    <xf numFmtId="213" fontId="9" fillId="0" borderId="29" xfId="15" applyFont="true" applyBorder="true" applyAlignment="true" applyProtection="true">
      <alignment horizontal="general" vertical="bottom" textRotation="0" wrapText="false" indent="0" shrinkToFit="false"/>
      <protection locked="true" hidden="false"/>
    </xf>
    <xf numFmtId="164" fontId="69" fillId="0" borderId="0" xfId="0" applyFont="true" applyBorder="false" applyAlignment="true" applyProtection="false">
      <alignment horizontal="general" vertical="bottom" textRotation="0" wrapText="false" indent="0" shrinkToFit="false"/>
      <protection locked="true" hidden="false"/>
    </xf>
    <xf numFmtId="164" fontId="0" fillId="0" borderId="23" xfId="0" applyFont="true" applyBorder="true" applyAlignment="false" applyProtection="false">
      <alignment horizontal="general" vertical="bottom" textRotation="0" wrapText="false" indent="0" shrinkToFit="false"/>
      <protection locked="true" hidden="false"/>
    </xf>
    <xf numFmtId="164" fontId="61" fillId="0" borderId="24" xfId="0" applyFont="true" applyBorder="true" applyAlignment="true" applyProtection="false">
      <alignment horizontal="center" vertical="bottom"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164" fontId="0" fillId="0" borderId="27" xfId="0" applyFont="false" applyBorder="true" applyAlignment="true" applyProtection="false">
      <alignment horizontal="right" vertical="bottom" textRotation="0" wrapText="false" indent="0" shrinkToFit="false"/>
      <protection locked="true" hidden="false"/>
    </xf>
    <xf numFmtId="164" fontId="0" fillId="0" borderId="26" xfId="0" applyFont="true" applyBorder="true" applyAlignment="true" applyProtection="false">
      <alignment horizontal="general" vertical="bottom" textRotation="0" wrapText="false" indent="0" shrinkToFit="false"/>
      <protection locked="true" hidden="false"/>
    </xf>
    <xf numFmtId="164" fontId="80" fillId="0" borderId="0" xfId="0" applyFont="true" applyBorder="true" applyAlignment="true" applyProtection="false">
      <alignment horizontal="center" vertical="bottom" textRotation="0" wrapText="false" indent="0" shrinkToFit="false"/>
      <protection locked="true" hidden="false"/>
    </xf>
    <xf numFmtId="217" fontId="0" fillId="0" borderId="0" xfId="0" applyFont="true" applyBorder="true" applyAlignment="true" applyProtection="false">
      <alignment horizontal="center" vertical="bottom" textRotation="0" wrapText="false" indent="0" shrinkToFit="false"/>
      <protection locked="true" hidden="false"/>
    </xf>
    <xf numFmtId="215" fontId="98" fillId="0" borderId="27"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left" vertical="bottom" textRotation="0" wrapText="false" indent="0" shrinkToFit="false"/>
      <protection locked="true" hidden="false"/>
    </xf>
    <xf numFmtId="216" fontId="0" fillId="0" borderId="27" xfId="19" applyFont="true" applyBorder="true" applyAlignment="true" applyProtection="true">
      <alignment horizontal="general" vertical="bottom" textRotation="0" wrapText="false" indent="0" shrinkToFit="false"/>
      <protection locked="true" hidden="false"/>
    </xf>
    <xf numFmtId="164" fontId="61" fillId="0" borderId="0" xfId="0" applyFont="true" applyBorder="true" applyAlignment="true" applyProtection="false">
      <alignment horizontal="center" vertical="bottom" textRotation="0" wrapText="false" indent="0" shrinkToFit="false"/>
      <protection locked="true" hidden="false"/>
    </xf>
    <xf numFmtId="164" fontId="0" fillId="0" borderId="31" xfId="0" applyFont="true" applyBorder="true" applyAlignment="true" applyProtection="false">
      <alignment horizontal="center" vertical="bottom" textRotation="0" wrapText="false" indent="0" shrinkToFit="false"/>
      <protection locked="true" hidden="false"/>
    </xf>
    <xf numFmtId="164" fontId="0" fillId="0" borderId="14" xfId="0" applyFont="true" applyBorder="true" applyAlignment="true" applyProtection="false">
      <alignment horizontal="left" vertical="bottom" textRotation="0" wrapText="false" indent="0" shrinkToFit="false"/>
      <protection locked="true" hidden="false"/>
    </xf>
    <xf numFmtId="216" fontId="0" fillId="0" borderId="14" xfId="19" applyFont="true" applyBorder="true" applyAlignment="true" applyProtection="true">
      <alignment horizontal="general" vertical="bottom" textRotation="0" wrapText="false" indent="0" shrinkToFit="false"/>
      <protection locked="true" hidden="false"/>
    </xf>
    <xf numFmtId="164" fontId="57" fillId="0" borderId="29" xfId="0" applyFont="true" applyBorder="true" applyAlignment="tru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226" fontId="0" fillId="0" borderId="0" xfId="0" applyFont="false" applyBorder="false" applyAlignment="true" applyProtection="false">
      <alignment horizontal="general" vertical="bottom" textRotation="0" wrapText="false" indent="0" shrinkToFit="false"/>
      <protection locked="true" hidden="false"/>
    </xf>
    <xf numFmtId="226" fontId="0" fillId="0" borderId="6" xfId="0" applyFont="false" applyBorder="true" applyAlignment="true" applyProtection="false">
      <alignment horizontal="general" vertical="bottom" textRotation="0" wrapText="false" indent="0" shrinkToFit="false"/>
      <protection locked="true" hidden="false"/>
    </xf>
    <xf numFmtId="226" fontId="9" fillId="0" borderId="7" xfId="0" applyFont="true" applyBorder="true" applyAlignment="true" applyProtection="false">
      <alignment horizontal="general" vertical="bottom" textRotation="0" wrapText="false" indent="0" shrinkToFit="false"/>
      <protection locked="true" hidden="false"/>
    </xf>
    <xf numFmtId="226" fontId="0" fillId="0" borderId="7" xfId="0" applyFont="false" applyBorder="true" applyAlignment="true" applyProtection="false">
      <alignment horizontal="general" vertical="bottom" textRotation="0" wrapText="false" indent="0" shrinkToFit="false"/>
      <protection locked="true" hidden="false"/>
    </xf>
    <xf numFmtId="226" fontId="142" fillId="0" borderId="20" xfId="0" applyFont="true" applyBorder="true" applyAlignment="true" applyProtection="false">
      <alignment horizontal="general" vertical="bottom" textRotation="0" wrapText="false" indent="0" shrinkToFit="false"/>
      <protection locked="true" hidden="false"/>
    </xf>
    <xf numFmtId="226" fontId="9" fillId="0" borderId="0" xfId="0" applyFont="true" applyBorder="true" applyAlignment="true" applyProtection="false">
      <alignment horizontal="general" vertical="bottom" textRotation="0" wrapText="false" indent="0" shrinkToFit="false"/>
      <protection locked="true" hidden="false"/>
    </xf>
    <xf numFmtId="226" fontId="0" fillId="0" borderId="0" xfId="0" applyFont="false" applyBorder="true" applyAlignment="true" applyProtection="false">
      <alignment horizontal="general" vertical="bottom" textRotation="0" wrapText="false" indent="0" shrinkToFit="false"/>
      <protection locked="true" hidden="false"/>
    </xf>
    <xf numFmtId="226" fontId="0" fillId="0" borderId="21" xfId="0" applyFont="false" applyBorder="true" applyAlignment="true" applyProtection="false">
      <alignment horizontal="general" vertical="bottom" textRotation="0" wrapText="false" indent="0" shrinkToFit="false"/>
      <protection locked="true" hidden="false"/>
    </xf>
    <xf numFmtId="226" fontId="9" fillId="0" borderId="4" xfId="0" applyFont="true" applyBorder="true" applyAlignment="true" applyProtection="false">
      <alignment horizontal="general" vertical="bottom" textRotation="0" wrapText="false" indent="0" shrinkToFit="false"/>
      <protection locked="true" hidden="false"/>
    </xf>
    <xf numFmtId="226" fontId="0" fillId="0" borderId="22" xfId="0" applyFont="false" applyBorder="true" applyAlignment="true" applyProtection="false">
      <alignment horizontal="general" vertical="bottom" textRotation="0" wrapText="false" indent="0" shrinkToFit="false"/>
      <protection locked="true" hidden="false"/>
    </xf>
    <xf numFmtId="226" fontId="142" fillId="0" borderId="22" xfId="0" applyFont="true" applyBorder="true" applyAlignment="true" applyProtection="false">
      <alignment horizontal="general" vertical="bottom" textRotation="0" wrapText="false" indent="0" shrinkToFit="false"/>
      <protection locked="true" hidden="false"/>
    </xf>
    <xf numFmtId="226" fontId="89" fillId="0" borderId="4" xfId="0" applyFont="true" applyBorder="true" applyAlignment="true" applyProtection="false">
      <alignment horizontal="general" vertical="bottom" textRotation="0" wrapText="false" indent="0" shrinkToFit="false"/>
      <protection locked="true" hidden="false"/>
    </xf>
    <xf numFmtId="226" fontId="0" fillId="0" borderId="2" xfId="0" applyFont="false" applyBorder="true" applyAlignment="true" applyProtection="false">
      <alignment horizontal="general" vertical="bottom" textRotation="0" wrapText="false" indent="0" shrinkToFit="false"/>
      <protection locked="true" hidden="false"/>
    </xf>
    <xf numFmtId="213" fontId="0" fillId="0" borderId="6" xfId="0" applyFont="false" applyBorder="true" applyAlignment="false" applyProtection="false">
      <alignment horizontal="general" vertical="bottom" textRotation="0" wrapText="false" indent="0" shrinkToFit="false"/>
      <protection locked="true" hidden="false"/>
    </xf>
    <xf numFmtId="215" fontId="0" fillId="0" borderId="7" xfId="0" applyFont="true" applyBorder="true" applyAlignment="true" applyProtection="false">
      <alignment horizontal="general" vertical="bottom" textRotation="0" wrapText="false" indent="0" shrinkToFit="false"/>
      <protection locked="true" hidden="false"/>
    </xf>
    <xf numFmtId="215" fontId="0" fillId="0" borderId="8" xfId="0" applyFont="true" applyBorder="true" applyAlignment="true" applyProtection="false">
      <alignment horizontal="general" vertical="bottom" textRotation="0" wrapText="false" indent="0" shrinkToFit="false"/>
      <protection locked="true" hidden="false"/>
    </xf>
    <xf numFmtId="213" fontId="91" fillId="0" borderId="20" xfId="0" applyFont="true" applyBorder="true" applyAlignment="false" applyProtection="false">
      <alignment horizontal="general" vertical="bottom" textRotation="0" wrapText="false" indent="0" shrinkToFit="false"/>
      <protection locked="true" hidden="false"/>
    </xf>
    <xf numFmtId="215" fontId="0" fillId="0" borderId="21" xfId="0" applyFont="true" applyBorder="true" applyAlignment="true" applyProtection="false">
      <alignment horizontal="general" vertical="bottom" textRotation="0" wrapText="false" indent="0" shrinkToFit="false"/>
      <protection locked="true" hidden="false"/>
    </xf>
    <xf numFmtId="215" fontId="0" fillId="0" borderId="4" xfId="0" applyFont="true" applyBorder="true" applyAlignment="true" applyProtection="false">
      <alignment horizontal="general" vertical="bottom" textRotation="0" wrapText="false" indent="0" shrinkToFit="false"/>
      <protection locked="true" hidden="false"/>
    </xf>
    <xf numFmtId="213" fontId="0" fillId="0" borderId="22" xfId="0" applyFont="false" applyBorder="true" applyAlignment="false" applyProtection="false">
      <alignment horizontal="general" vertical="bottom" textRotation="0" wrapText="false" indent="0" shrinkToFit="false"/>
      <protection locked="true" hidden="false"/>
    </xf>
    <xf numFmtId="213" fontId="91" fillId="0" borderId="22" xfId="0" applyFont="true" applyBorder="true" applyAlignment="false" applyProtection="false">
      <alignment horizontal="general" vertical="bottom" textRotation="0" wrapText="false" indent="0" shrinkToFit="false"/>
      <protection locked="true" hidden="false"/>
    </xf>
    <xf numFmtId="215" fontId="0" fillId="0" borderId="2" xfId="0" applyFont="true" applyBorder="true" applyAlignment="true" applyProtection="false">
      <alignment horizontal="general" vertical="bottom" textRotation="0" wrapText="false" indent="0" shrinkToFit="false"/>
      <protection locked="true" hidden="false"/>
    </xf>
    <xf numFmtId="215" fontId="0" fillId="0" borderId="30" xfId="0" applyFont="true" applyBorder="true" applyAlignment="true" applyProtection="false">
      <alignment horizontal="general" vertical="bottom" textRotation="0" wrapText="false" indent="0" shrinkToFit="false"/>
      <protection locked="true" hidden="false"/>
    </xf>
    <xf numFmtId="164" fontId="116" fillId="0" borderId="0" xfId="0" applyFont="true" applyBorder="false" applyAlignment="true" applyProtection="false">
      <alignment horizontal="center" vertical="bottom" textRotation="0" wrapText="false" indent="0" shrinkToFit="false"/>
      <protection locked="true" hidden="false"/>
    </xf>
    <xf numFmtId="164" fontId="116" fillId="0" borderId="0" xfId="0" applyFont="true" applyBorder="false" applyAlignment="false" applyProtection="false">
      <alignment horizontal="general" vertical="bottom" textRotation="0" wrapText="false" indent="0" shrinkToFit="false"/>
      <protection locked="true" hidden="false"/>
    </xf>
    <xf numFmtId="215" fontId="116" fillId="0" borderId="0" xfId="0" applyFont="true" applyBorder="false" applyAlignment="false" applyProtection="false">
      <alignment horizontal="general" vertical="bottom" textRotation="0" wrapText="false" indent="0" shrinkToFit="false"/>
      <protection locked="true" hidden="false"/>
    </xf>
    <xf numFmtId="216" fontId="0" fillId="0" borderId="0" xfId="0" applyFont="false" applyBorder="true" applyAlignment="false" applyProtection="false">
      <alignment horizontal="general" vertical="bottom" textRotation="0" wrapText="false" indent="0" shrinkToFit="false"/>
      <protection locked="true" hidden="false"/>
    </xf>
    <xf numFmtId="164" fontId="0" fillId="0" borderId="31" xfId="0" applyFont="false" applyBorder="true" applyAlignment="false" applyProtection="false">
      <alignment horizontal="general" vertical="bottom" textRotation="0" wrapText="false" indent="0" shrinkToFit="false"/>
      <protection locked="true" hidden="false"/>
    </xf>
    <xf numFmtId="213" fontId="0" fillId="0" borderId="23" xfId="15" applyFont="true" applyBorder="true" applyAlignment="true" applyProtection="true">
      <alignment horizontal="left" vertical="bottom" textRotation="0" wrapText="false" indent="0" shrinkToFit="false"/>
      <protection locked="true" hidden="false"/>
    </xf>
    <xf numFmtId="215" fontId="0" fillId="0" borderId="27" xfId="0" applyFont="true" applyBorder="true" applyAlignment="true" applyProtection="false">
      <alignment horizontal="general" vertical="bottom" textRotation="0" wrapText="false" indent="0" shrinkToFit="false"/>
      <protection locked="true" hidden="false"/>
    </xf>
    <xf numFmtId="213" fontId="110" fillId="0" borderId="31" xfId="15" applyFont="true" applyBorder="true" applyAlignment="true" applyProtection="true">
      <alignment horizontal="left" vertical="bottom" textRotation="0" wrapText="false" indent="0" shrinkToFit="false"/>
      <protection locked="true" hidden="false"/>
    </xf>
    <xf numFmtId="164" fontId="0" fillId="2" borderId="0" xfId="0" applyFont="true" applyBorder="true" applyAlignment="true" applyProtection="false">
      <alignment horizontal="left" vertical="bottom" textRotation="0" wrapText="false" indent="0" shrinkToFit="false"/>
      <protection locked="true" hidden="false"/>
    </xf>
    <xf numFmtId="215" fontId="9" fillId="0" borderId="0" xfId="0" applyFont="true" applyBorder="false" applyAlignment="true" applyProtection="false">
      <alignment horizontal="left" vertical="bottom" textRotation="0" wrapText="false" indent="0" shrinkToFit="false"/>
      <protection locked="true" hidden="false"/>
    </xf>
    <xf numFmtId="213" fontId="61" fillId="0" borderId="5" xfId="15" applyFont="true" applyBorder="true" applyAlignment="true" applyProtection="true">
      <alignment horizontal="left" vertical="bottom" textRotation="0" wrapText="false" indent="0" shrinkToFit="false"/>
      <protection locked="true" hidden="false"/>
    </xf>
    <xf numFmtId="213" fontId="115" fillId="2" borderId="0" xfId="15" applyFont="true" applyBorder="true" applyAlignment="true" applyProtection="true">
      <alignment horizontal="general" vertical="bottom" textRotation="0" wrapText="false" indent="0" shrinkToFit="false"/>
      <protection locked="true" hidden="false"/>
    </xf>
    <xf numFmtId="215" fontId="57" fillId="0" borderId="0" xfId="1380" applyFont="true" applyBorder="false" applyAlignment="true" applyProtection="false">
      <alignment horizontal="center" vertical="bottom" textRotation="0" wrapText="false" indent="0" shrinkToFit="false"/>
      <protection locked="true" hidden="false"/>
    </xf>
    <xf numFmtId="215" fontId="57" fillId="0" borderId="0" xfId="1380" applyFont="true" applyBorder="false" applyAlignment="true" applyProtection="false">
      <alignment horizontal="general" vertical="bottom" textRotation="0" wrapText="false" indent="0" shrinkToFit="false"/>
      <protection locked="true" hidden="false"/>
    </xf>
    <xf numFmtId="215" fontId="57" fillId="18" borderId="0" xfId="1380" applyFont="true" applyBorder="false" applyAlignment="true" applyProtection="false">
      <alignment horizontal="general" vertical="bottom" textRotation="0" wrapText="false" indent="0" shrinkToFit="false"/>
      <protection locked="true" hidden="false"/>
    </xf>
    <xf numFmtId="215" fontId="141" fillId="0" borderId="0" xfId="1380" applyFont="true" applyBorder="false" applyAlignment="true" applyProtection="false">
      <alignment horizontal="left" vertical="bottom" textRotation="0" wrapText="false" indent="0" shrinkToFit="false"/>
      <protection locked="true" hidden="false"/>
    </xf>
    <xf numFmtId="215" fontId="57" fillId="0" borderId="0" xfId="1380" applyFont="true" applyBorder="false" applyAlignment="true" applyProtection="false">
      <alignment horizontal="left" vertical="bottom" textRotation="0" wrapText="false" indent="0" shrinkToFit="false"/>
      <protection locked="true" hidden="false"/>
    </xf>
    <xf numFmtId="215" fontId="89" fillId="0" borderId="0" xfId="1380" applyFont="true" applyBorder="false" applyAlignment="true" applyProtection="false">
      <alignment horizontal="general" vertical="bottom" textRotation="0" wrapText="false" indent="0" shrinkToFit="false"/>
      <protection locked="true" hidden="false"/>
    </xf>
    <xf numFmtId="215" fontId="89" fillId="0" borderId="0" xfId="1380" applyFont="true" applyBorder="false" applyAlignment="true" applyProtection="false">
      <alignment horizontal="general" vertical="bottom" textRotation="0" wrapText="false" indent="0" shrinkToFit="false"/>
      <protection locked="true" hidden="false"/>
    </xf>
    <xf numFmtId="215" fontId="89" fillId="18" borderId="0" xfId="1380" applyFont="true" applyBorder="false" applyAlignment="true" applyProtection="false">
      <alignment horizontal="general" vertical="bottom" textRotation="0" wrapText="false" indent="0" shrinkToFit="false"/>
      <protection locked="true" hidden="false"/>
    </xf>
    <xf numFmtId="215" fontId="89" fillId="0" borderId="0" xfId="1380" applyFont="true" applyBorder="false" applyAlignment="true" applyProtection="false">
      <alignment horizontal="general" vertical="bottom" textRotation="0" wrapText="false" indent="0" shrinkToFit="false"/>
      <protection locked="true" hidden="false"/>
    </xf>
    <xf numFmtId="215" fontId="89" fillId="0" borderId="0" xfId="1380" applyFont="true" applyBorder="false" applyAlignment="true" applyProtection="false">
      <alignment horizontal="general" vertical="bottom" textRotation="0" wrapText="false" indent="0" shrinkToFit="false"/>
      <protection locked="true" hidden="false"/>
    </xf>
    <xf numFmtId="164" fontId="89" fillId="0" borderId="0" xfId="0" applyFont="true" applyBorder="false" applyAlignment="false" applyProtection="false">
      <alignment horizontal="general" vertical="bottom" textRotation="0" wrapText="false" indent="0" shrinkToFit="false"/>
      <protection locked="true" hidden="false"/>
    </xf>
    <xf numFmtId="216" fontId="89" fillId="0" borderId="0" xfId="19" applyFont="true" applyBorder="true" applyAlignment="true" applyProtection="true">
      <alignment horizontal="general" vertical="bottom" textRotation="0" wrapText="false" indent="0" shrinkToFit="false"/>
      <protection locked="true" hidden="false"/>
    </xf>
    <xf numFmtId="215" fontId="138" fillId="0" borderId="0" xfId="1380" applyFont="true" applyBorder="false" applyAlignment="true" applyProtection="false">
      <alignment horizontal="general" vertical="bottom" textRotation="0" wrapText="false" indent="0" shrinkToFit="false"/>
      <protection locked="true" hidden="false"/>
    </xf>
    <xf numFmtId="215" fontId="138" fillId="0" borderId="0" xfId="1380" applyFont="true" applyBorder="false" applyAlignment="true" applyProtection="false">
      <alignment horizontal="general" vertical="bottom" textRotation="0" wrapText="false" indent="0" shrinkToFit="false"/>
      <protection locked="true" hidden="false"/>
    </xf>
    <xf numFmtId="164" fontId="138" fillId="0" borderId="0" xfId="0" applyFont="true" applyBorder="false" applyAlignment="false" applyProtection="false">
      <alignment horizontal="general" vertical="bottom" textRotation="0" wrapText="false" indent="0" shrinkToFit="false"/>
      <protection locked="true" hidden="false"/>
    </xf>
    <xf numFmtId="215" fontId="110" fillId="0" borderId="0" xfId="1380" applyFont="true" applyBorder="false" applyAlignment="true" applyProtection="false">
      <alignment horizontal="general" vertical="bottom" textRotation="0" wrapText="false" indent="0" shrinkToFit="false"/>
      <protection locked="true" hidden="false"/>
    </xf>
    <xf numFmtId="215" fontId="110" fillId="0" borderId="0" xfId="1380" applyFont="true" applyBorder="false" applyAlignment="true" applyProtection="false">
      <alignment horizontal="general" vertical="bottom" textRotation="0" wrapText="false" indent="0" shrinkToFit="false"/>
      <protection locked="true" hidden="false"/>
    </xf>
    <xf numFmtId="215" fontId="57" fillId="0" borderId="0" xfId="1380" applyFont="true" applyBorder="false" applyAlignment="true" applyProtection="false">
      <alignment horizontal="general" vertical="bottom" textRotation="0" wrapText="false" indent="0" shrinkToFit="false"/>
      <protection locked="true" hidden="false"/>
    </xf>
    <xf numFmtId="215" fontId="9" fillId="0" borderId="0" xfId="1380" applyFont="true" applyBorder="false" applyAlignment="true" applyProtection="false">
      <alignment horizontal="general" vertical="bottom" textRotation="0" wrapText="false" indent="0" shrinkToFit="false"/>
      <protection locked="true" hidden="false"/>
    </xf>
    <xf numFmtId="215" fontId="9" fillId="0" borderId="0" xfId="1380" applyFont="true" applyBorder="false" applyAlignment="true" applyProtection="false">
      <alignment horizontal="general" vertical="bottom" textRotation="0" wrapText="false" indent="0" shrinkToFit="false"/>
      <protection locked="true" hidden="false"/>
    </xf>
    <xf numFmtId="215" fontId="64" fillId="0" borderId="0" xfId="1380" applyFont="true" applyBorder="false" applyAlignment="true" applyProtection="false">
      <alignment horizontal="general" vertical="bottom" textRotation="0" wrapText="false" indent="0" shrinkToFit="false"/>
      <protection locked="true" hidden="false"/>
    </xf>
    <xf numFmtId="215" fontId="64" fillId="18" borderId="0" xfId="1380" applyFont="true" applyBorder="false" applyAlignment="true" applyProtection="false">
      <alignment horizontal="general" vertical="bottom" textRotation="0" wrapText="false" indent="0" shrinkToFit="false"/>
      <protection locked="true" hidden="false"/>
    </xf>
    <xf numFmtId="215" fontId="61" fillId="0" borderId="24" xfId="0" applyFont="true" applyBorder="true" applyAlignment="true" applyProtection="false">
      <alignment horizontal="left" vertical="bottom" textRotation="0" wrapText="false" indent="0" shrinkToFit="false"/>
      <protection locked="true" hidden="false"/>
    </xf>
    <xf numFmtId="215" fontId="63" fillId="0" borderId="0" xfId="1380" applyFont="true" applyBorder="false" applyAlignment="true" applyProtection="false">
      <alignment horizontal="general" vertical="bottom" textRotation="0" wrapText="false" indent="0" shrinkToFit="false"/>
      <protection locked="true" hidden="false"/>
    </xf>
    <xf numFmtId="213" fontId="110" fillId="0" borderId="26" xfId="15" applyFont="true" applyBorder="true" applyAlignment="true" applyProtection="true">
      <alignment horizontal="left" vertical="bottom" textRotation="0" wrapText="false" indent="0" shrinkToFit="false"/>
      <protection locked="true" hidden="false"/>
    </xf>
    <xf numFmtId="213" fontId="110" fillId="0" borderId="27" xfId="15" applyFont="true" applyBorder="true" applyAlignment="true" applyProtection="true">
      <alignment horizontal="general" vertical="bottom" textRotation="0" wrapText="false" indent="0" shrinkToFit="false"/>
      <protection locked="true" hidden="false"/>
    </xf>
    <xf numFmtId="213" fontId="64" fillId="0" borderId="27" xfId="15" applyFont="true" applyBorder="true" applyAlignment="true" applyProtection="true">
      <alignment horizontal="general" vertical="bottom" textRotation="0" wrapText="false" indent="0" shrinkToFit="false"/>
      <protection locked="true" hidden="false"/>
    </xf>
    <xf numFmtId="213" fontId="16" fillId="0" borderId="0" xfId="15" applyFont="true" applyBorder="true" applyAlignment="true" applyProtection="true">
      <alignment horizontal="left" vertical="bottom" textRotation="0" wrapText="false" indent="0" shrinkToFit="false"/>
      <protection locked="true" hidden="false"/>
    </xf>
    <xf numFmtId="213" fontId="16" fillId="0" borderId="31" xfId="15" applyFont="true" applyBorder="true" applyAlignment="true" applyProtection="true">
      <alignment horizontal="left" vertical="bottom" textRotation="0" wrapText="false" indent="0" shrinkToFit="false"/>
      <protection locked="true" hidden="false"/>
    </xf>
    <xf numFmtId="213" fontId="16" fillId="0" borderId="14" xfId="15" applyFont="true" applyBorder="true" applyAlignment="true" applyProtection="true">
      <alignment horizontal="left" vertical="bottom" textRotation="0" wrapText="false" indent="0" shrinkToFit="false"/>
      <protection locked="true" hidden="false"/>
    </xf>
    <xf numFmtId="215" fontId="57" fillId="0" borderId="0" xfId="1380" applyFont="true" applyBorder="false" applyAlignment="true" applyProtection="false">
      <alignment horizontal="center" vertical="bottom" textRotation="0" wrapText="false" indent="0" shrinkToFit="false"/>
      <protection locked="true" hidden="false"/>
    </xf>
    <xf numFmtId="164" fontId="0" fillId="0" borderId="25" xfId="0" applyFont="false" applyBorder="true" applyAlignment="false" applyProtection="false">
      <alignment horizontal="general" vertical="bottom" textRotation="0" wrapText="false" indent="0" shrinkToFit="false"/>
      <protection locked="true" hidden="false"/>
    </xf>
    <xf numFmtId="215" fontId="57" fillId="0" borderId="0" xfId="1380" applyFont="true" applyBorder="false" applyAlignment="true" applyProtection="false">
      <alignment horizontal="general" vertical="bottom" textRotation="0" wrapText="false" indent="0" shrinkToFit="false"/>
      <protection locked="true" hidden="false"/>
    </xf>
    <xf numFmtId="164" fontId="0" fillId="0" borderId="2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217" fontId="57" fillId="0" borderId="0" xfId="1380" applyFont="true" applyBorder="true" applyAlignment="true" applyProtection="false">
      <alignment horizontal="center" vertical="bottom" textRotation="0" wrapText="false" indent="0" shrinkToFit="false"/>
      <protection locked="true" hidden="false"/>
    </xf>
    <xf numFmtId="187" fontId="57" fillId="0" borderId="0" xfId="1380" applyFont="true" applyBorder="false" applyAlignment="true" applyProtection="false">
      <alignment horizontal="general" vertical="bottom" textRotation="0" wrapText="false" indent="0" shrinkToFit="false"/>
      <protection locked="true" hidden="false"/>
    </xf>
    <xf numFmtId="215" fontId="57" fillId="0" borderId="0" xfId="1380" applyFont="true" applyBorder="true" applyAlignment="true" applyProtection="false">
      <alignment horizontal="general" vertical="bottom" textRotation="0" wrapText="false" indent="0" shrinkToFit="false"/>
      <protection locked="true" hidden="false"/>
    </xf>
    <xf numFmtId="216" fontId="57" fillId="0" borderId="14" xfId="19" applyFont="true" applyBorder="true" applyAlignment="true" applyProtection="true">
      <alignment horizontal="general" vertical="bottom" textRotation="0" wrapText="false" indent="0" shrinkToFit="false"/>
      <protection locked="true" hidden="false"/>
    </xf>
    <xf numFmtId="215" fontId="57" fillId="0" borderId="29" xfId="1380" applyFont="true" applyBorder="true" applyAlignment="true" applyProtection="false">
      <alignment horizontal="general" vertical="bottom" textRotation="0" wrapText="false" indent="0" shrinkToFit="false"/>
      <protection locked="true" hidden="false"/>
    </xf>
    <xf numFmtId="215" fontId="57" fillId="0" borderId="0" xfId="1380" applyFont="true" applyBorder="false" applyAlignment="true" applyProtection="false">
      <alignment horizontal="center" vertical="bottom" textRotation="0" wrapText="false" indent="0" shrinkToFit="false"/>
      <protection locked="true" hidden="false"/>
    </xf>
    <xf numFmtId="226" fontId="89" fillId="0" borderId="2" xfId="0" applyFont="true" applyBorder="true" applyAlignment="true" applyProtection="false">
      <alignment horizontal="general" vertical="bottom" textRotation="0" wrapText="false" indent="0" shrinkToFit="false"/>
      <protection locked="true" hidden="false"/>
    </xf>
    <xf numFmtId="164" fontId="82" fillId="4" borderId="11" xfId="0" applyFont="true" applyBorder="true" applyAlignment="true" applyProtection="false">
      <alignment horizontal="center"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103" fillId="17" borderId="11" xfId="0" applyFont="true" applyBorder="true" applyAlignment="true" applyProtection="false">
      <alignment horizontal="center" vertical="bottom" textRotation="0" wrapText="false" indent="0" shrinkToFit="false"/>
      <protection locked="true" hidden="false"/>
    </xf>
    <xf numFmtId="164" fontId="0" fillId="6" borderId="11" xfId="0" applyFont="false" applyBorder="tru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213" fontId="0" fillId="6" borderId="11" xfId="15" applyFont="true" applyBorder="true" applyAlignment="true" applyProtection="true">
      <alignment horizontal="general" vertical="bottom" textRotation="0" wrapText="false" indent="0" shrinkToFit="false"/>
      <protection locked="true" hidden="false"/>
    </xf>
    <xf numFmtId="213" fontId="82" fillId="4" borderId="12" xfId="15" applyFont="true" applyBorder="true" applyAlignment="true" applyProtection="true">
      <alignment horizontal="general" vertical="bottom" textRotation="0" wrapText="false" indent="0" shrinkToFit="false"/>
      <protection locked="true" hidden="false"/>
    </xf>
    <xf numFmtId="213" fontId="0" fillId="2" borderId="6" xfId="15" applyFont="true" applyBorder="true" applyAlignment="true" applyProtection="true">
      <alignment horizontal="general" vertical="bottom" textRotation="0" wrapText="fals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213" fontId="0" fillId="2" borderId="8" xfId="15" applyFont="true" applyBorder="true" applyAlignment="true" applyProtection="tru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0" fillId="2" borderId="4" xfId="0" applyFont="false" applyBorder="true" applyAlignment="false" applyProtection="false">
      <alignment horizontal="general" vertical="bottom" textRotation="0" wrapText="false" indent="0" shrinkToFit="false"/>
      <protection locked="true" hidden="false"/>
    </xf>
    <xf numFmtId="164" fontId="0" fillId="2" borderId="10" xfId="0" applyFont="false" applyBorder="true" applyAlignment="false" applyProtection="false">
      <alignment horizontal="general" vertical="bottom" textRotation="0" wrapText="false" indent="0" shrinkToFit="false"/>
      <protection locked="true" hidden="false"/>
    </xf>
    <xf numFmtId="217" fontId="9" fillId="0" borderId="11" xfId="19" applyFont="true" applyBorder="true" applyAlignment="true" applyProtection="true">
      <alignment horizontal="general" vertical="bottom" textRotation="0" wrapText="false" indent="0" shrinkToFit="false"/>
      <protection locked="true" hidden="false"/>
    </xf>
    <xf numFmtId="213" fontId="103" fillId="17" borderId="11" xfId="15" applyFont="true" applyBorder="true" applyAlignment="true" applyProtection="true">
      <alignment horizontal="general" vertical="bottom" textRotation="0" wrapText="false" indent="0" shrinkToFit="false"/>
      <protection locked="true" hidden="false"/>
    </xf>
    <xf numFmtId="213" fontId="131" fillId="17" borderId="11" xfId="15" applyFont="true" applyBorder="true" applyAlignment="true" applyProtection="true">
      <alignment horizontal="general" vertical="bottom" textRotation="0" wrapText="false" indent="0" shrinkToFit="false"/>
      <protection locked="true" hidden="false"/>
    </xf>
    <xf numFmtId="164" fontId="0" fillId="19" borderId="0" xfId="0" applyFont="false" applyBorder="false" applyAlignment="true" applyProtection="false">
      <alignment horizontal="center" vertical="bottom" textRotation="0" wrapText="false" indent="0" shrinkToFit="false"/>
      <protection locked="true" hidden="false"/>
    </xf>
    <xf numFmtId="164" fontId="0" fillId="19"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true" applyProtection="false">
      <alignment horizontal="center" vertical="bottom" textRotation="0" wrapText="false" indent="0" shrinkToFit="false"/>
      <protection locked="true" hidden="false"/>
    </xf>
    <xf numFmtId="215" fontId="143" fillId="13" borderId="0" xfId="0" applyFont="true" applyBorder="false" applyAlignment="true" applyProtection="false">
      <alignment horizontal="general" vertical="bottom" textRotation="0" wrapText="false" indent="0" shrinkToFit="false"/>
      <protection locked="true" hidden="false"/>
    </xf>
    <xf numFmtId="164" fontId="57" fillId="13" borderId="0" xfId="0" applyFont="true" applyBorder="false" applyAlignment="true" applyProtection="false">
      <alignment horizontal="left" vertical="bottom" textRotation="0" wrapText="false" indent="0" shrinkToFit="false"/>
      <protection locked="true" hidden="false"/>
    </xf>
    <xf numFmtId="217" fontId="57" fillId="13" borderId="0" xfId="19" applyFont="true" applyBorder="true" applyAlignment="true" applyProtection="true">
      <alignment horizontal="general" vertical="bottom" textRotation="0" wrapText="false" indent="0" shrinkToFit="false"/>
      <protection locked="true" hidden="false"/>
    </xf>
    <xf numFmtId="164" fontId="57" fillId="13" borderId="11" xfId="0" applyFont="true" applyBorder="true" applyAlignment="true" applyProtection="false">
      <alignment horizontal="general" vertical="bottom" textRotation="0" wrapText="false" indent="0" shrinkToFit="false"/>
      <protection locked="true" hidden="false"/>
    </xf>
    <xf numFmtId="217" fontId="57" fillId="13" borderId="6" xfId="19" applyFont="true" applyBorder="true" applyAlignment="true" applyProtection="true">
      <alignment horizontal="general" vertical="bottom" textRotation="0" wrapText="false" indent="0" shrinkToFit="false"/>
      <protection locked="true" hidden="false"/>
    </xf>
    <xf numFmtId="164" fontId="57" fillId="13" borderId="7" xfId="0" applyFont="true" applyBorder="true" applyAlignment="true" applyProtection="false">
      <alignment horizontal="general" vertical="bottom" textRotation="0" wrapText="false" indent="0" shrinkToFit="false"/>
      <protection locked="true" hidden="false"/>
    </xf>
    <xf numFmtId="164" fontId="57" fillId="13" borderId="8" xfId="0" applyFont="true" applyBorder="true" applyAlignment="true" applyProtection="false">
      <alignment horizontal="general" vertical="bottom" textRotation="0" wrapText="false" indent="0" shrinkToFit="false"/>
      <protection locked="true" hidden="false"/>
    </xf>
    <xf numFmtId="182" fontId="57" fillId="13" borderId="11" xfId="0" applyFont="true" applyBorder="true" applyAlignment="true" applyProtection="false">
      <alignment horizontal="general" vertical="bottom" textRotation="0" wrapText="false" indent="0" shrinkToFit="false"/>
      <protection locked="true" hidden="false"/>
    </xf>
    <xf numFmtId="164" fontId="57" fillId="13" borderId="0" xfId="0" applyFont="true" applyBorder="true" applyAlignment="true" applyProtection="false">
      <alignment horizontal="general" vertical="bottom" textRotation="0" wrapText="false" indent="0" shrinkToFit="false"/>
      <protection locked="true" hidden="false"/>
    </xf>
    <xf numFmtId="215" fontId="144" fillId="13" borderId="0" xfId="0" applyFont="true" applyBorder="false" applyAlignment="true" applyProtection="false">
      <alignment horizontal="general" vertical="bottom" textRotation="0" wrapText="false" indent="0" shrinkToFit="false"/>
      <protection locked="true" hidden="false"/>
    </xf>
    <xf numFmtId="215" fontId="57" fillId="13" borderId="11" xfId="0" applyFont="true" applyBorder="true" applyAlignment="true" applyProtection="false">
      <alignment horizontal="left" vertical="bottom" textRotation="0" wrapText="false" indent="0" shrinkToFit="false"/>
      <protection locked="true" hidden="false"/>
    </xf>
    <xf numFmtId="164" fontId="57" fillId="13" borderId="30" xfId="0" applyFont="true" applyBorder="true" applyAlignment="true" applyProtection="false">
      <alignment horizontal="left" vertical="bottom" textRotation="0" wrapText="false" indent="0" shrinkToFit="false"/>
      <protection locked="true" hidden="false"/>
    </xf>
    <xf numFmtId="164" fontId="57" fillId="13" borderId="30" xfId="0" applyFont="true" applyBorder="true" applyAlignment="true" applyProtection="false">
      <alignment horizontal="general" vertical="bottom" textRotation="0" wrapText="false" indent="0" shrinkToFit="false"/>
      <protection locked="true" hidden="false"/>
    </xf>
    <xf numFmtId="217" fontId="57" fillId="13" borderId="11" xfId="0" applyFont="true" applyBorder="true" applyAlignment="true" applyProtection="false">
      <alignment horizontal="general" vertical="bottom" textRotation="0" wrapText="false" indent="0" shrinkToFit="false"/>
      <protection locked="true" hidden="false"/>
    </xf>
    <xf numFmtId="217" fontId="57" fillId="13" borderId="0" xfId="0" applyFont="true" applyBorder="false" applyAlignment="true" applyProtection="false">
      <alignment horizontal="general" vertical="bottom" textRotation="0" wrapText="false" indent="0" shrinkToFit="false"/>
      <protection locked="true" hidden="false"/>
    </xf>
    <xf numFmtId="164" fontId="0" fillId="13" borderId="11" xfId="0" applyFont="true" applyBorder="true" applyAlignment="true" applyProtection="false">
      <alignment horizontal="general" vertical="bottom" textRotation="0" wrapText="false" indent="0" shrinkToFit="false"/>
      <protection locked="true" hidden="false"/>
    </xf>
    <xf numFmtId="215" fontId="0" fillId="13" borderId="11" xfId="0" applyFont="true" applyBorder="true" applyAlignment="true" applyProtection="false">
      <alignment horizontal="general" vertical="bottom" textRotation="0" wrapText="false" indent="0" shrinkToFit="false"/>
      <protection locked="true" hidden="false"/>
    </xf>
    <xf numFmtId="164" fontId="143" fillId="0" borderId="0" xfId="0" applyFont="true" applyBorder="false" applyAlignment="false" applyProtection="false">
      <alignment horizontal="general" vertical="bottom" textRotation="0" wrapText="false" indent="0" shrinkToFit="false"/>
      <protection locked="true" hidden="false"/>
    </xf>
    <xf numFmtId="164" fontId="61" fillId="0" borderId="11" xfId="0" applyFont="true" applyBorder="true" applyAlignment="false" applyProtection="false">
      <alignment horizontal="general" vertical="bottom" textRotation="0" wrapText="false" indent="0" shrinkToFit="false"/>
      <protection locked="true" hidden="false"/>
    </xf>
    <xf numFmtId="164" fontId="78" fillId="0" borderId="0" xfId="0" applyFont="true" applyBorder="false" applyAlignment="false" applyProtection="false">
      <alignment horizontal="general" vertical="bottom" textRotation="0" wrapText="false" indent="0" shrinkToFit="false"/>
      <protection locked="true" hidden="false"/>
    </xf>
    <xf numFmtId="215" fontId="57" fillId="0" borderId="0" xfId="0" applyFont="true" applyBorder="true" applyAlignment="true" applyProtection="false">
      <alignment horizontal="left" vertical="bottom" textRotation="0" wrapText="false" indent="0" shrinkToFit="false"/>
      <protection locked="true" hidden="false"/>
    </xf>
    <xf numFmtId="182" fontId="0" fillId="0" borderId="0" xfId="0" applyFont="false" applyBorder="false" applyAlignment="true" applyProtection="false">
      <alignment horizontal="right"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85" fontId="0" fillId="0" borderId="0" xfId="0" applyFont="false" applyBorder="false" applyAlignment="true" applyProtection="false">
      <alignment horizontal="right" vertical="bottom" textRotation="0" wrapText="false" indent="0" shrinkToFit="false"/>
      <protection locked="true" hidden="false"/>
    </xf>
    <xf numFmtId="182" fontId="0" fillId="0" borderId="11" xfId="0" applyFont="false" applyBorder="true" applyAlignment="true" applyProtection="false">
      <alignment horizontal="right" vertical="bottom" textRotation="0" wrapText="false" indent="0" shrinkToFit="false"/>
      <protection locked="true" hidden="false"/>
    </xf>
    <xf numFmtId="164" fontId="0" fillId="0" borderId="24" xfId="0" applyFont="false" applyBorder="true" applyAlignment="true" applyProtection="false">
      <alignment horizontal="right" vertical="bottom" textRotation="0" wrapText="false" indent="0" shrinkToFit="false"/>
      <protection locked="true" hidden="false"/>
    </xf>
    <xf numFmtId="182" fontId="0" fillId="0" borderId="25" xfId="0" applyFont="false" applyBorder="true" applyAlignment="true" applyProtection="false">
      <alignment horizontal="right" vertical="bottom" textRotation="0" wrapText="false" indent="0" shrinkToFit="false"/>
      <protection locked="true" hidden="false"/>
    </xf>
    <xf numFmtId="164" fontId="145" fillId="0" borderId="26" xfId="0" applyFont="true" applyBorder="true" applyAlignment="false" applyProtection="false">
      <alignment horizontal="general" vertical="bottom" textRotation="0" wrapText="false" indent="0" shrinkToFit="false"/>
      <protection locked="true" hidden="false"/>
    </xf>
    <xf numFmtId="182" fontId="0" fillId="0" borderId="27" xfId="0" applyFont="false" applyBorder="true" applyAlignment="true" applyProtection="false">
      <alignment horizontal="right" vertical="bottom" textRotation="0" wrapText="false" indent="0" shrinkToFit="false"/>
      <protection locked="true" hidden="false"/>
    </xf>
    <xf numFmtId="213" fontId="0" fillId="0" borderId="27" xfId="15" applyFont="true" applyBorder="true" applyAlignment="true" applyProtection="true">
      <alignment horizontal="right" vertical="bottom" textRotation="0" wrapText="false" indent="0" shrinkToFit="false"/>
      <protection locked="true" hidden="false"/>
    </xf>
    <xf numFmtId="182" fontId="0" fillId="0" borderId="0" xfId="0" applyFont="false" applyBorder="true" applyAlignment="true" applyProtection="false">
      <alignment horizontal="right" vertical="bottom" textRotation="0" wrapText="false" indent="0" shrinkToFit="false"/>
      <protection locked="true" hidden="false"/>
    </xf>
    <xf numFmtId="164" fontId="61" fillId="0" borderId="26" xfId="0" applyFont="true" applyBorder="true" applyAlignment="false" applyProtection="false">
      <alignment horizontal="general" vertical="bottom" textRotation="0" wrapText="false" indent="0" shrinkToFit="false"/>
      <protection locked="true" hidden="false"/>
    </xf>
    <xf numFmtId="185" fontId="0" fillId="0" borderId="0" xfId="0" applyFont="false" applyBorder="true" applyAlignment="true" applyProtection="false">
      <alignment horizontal="right" vertical="bottom" textRotation="0" wrapText="false" indent="0" shrinkToFit="false"/>
      <protection locked="true" hidden="false"/>
    </xf>
    <xf numFmtId="185" fontId="0" fillId="0" borderId="27" xfId="0" applyFont="false" applyBorder="true" applyAlignment="true" applyProtection="false">
      <alignment horizontal="right" vertical="bottom" textRotation="0" wrapText="false" indent="0" shrinkToFit="false"/>
      <protection locked="true" hidden="false"/>
    </xf>
    <xf numFmtId="164" fontId="61" fillId="0" borderId="43" xfId="0" applyFont="true" applyBorder="true" applyAlignment="false" applyProtection="false">
      <alignment horizontal="general" vertical="bottom" textRotation="0" wrapText="false" indent="0" shrinkToFit="false"/>
      <protection locked="true" hidden="false"/>
    </xf>
    <xf numFmtId="243" fontId="0" fillId="0" borderId="11" xfId="0" applyFont="false" applyBorder="true" applyAlignment="true" applyProtection="false">
      <alignment horizontal="right" vertical="bottom" textRotation="0" wrapText="false" indent="0" shrinkToFit="false"/>
      <protection locked="true" hidden="false"/>
    </xf>
    <xf numFmtId="164" fontId="0" fillId="0" borderId="44" xfId="0" applyFont="false" applyBorder="true" applyAlignment="true" applyProtection="false">
      <alignment horizontal="right" vertical="bottom" textRotation="0" wrapText="false" indent="0" shrinkToFit="false"/>
      <protection locked="true" hidden="false"/>
    </xf>
    <xf numFmtId="243" fontId="0" fillId="0" borderId="0" xfId="0" applyFont="false" applyBorder="true" applyAlignment="true" applyProtection="false">
      <alignment horizontal="right" vertical="bottom" textRotation="0" wrapText="false" indent="0" shrinkToFit="false"/>
      <protection locked="true" hidden="false"/>
    </xf>
    <xf numFmtId="164" fontId="0" fillId="0" borderId="14" xfId="0" applyFont="false" applyBorder="true" applyAlignment="true" applyProtection="false">
      <alignment horizontal="right" vertical="bottom" textRotation="0" wrapText="false" indent="0" shrinkToFit="false"/>
      <protection locked="true" hidden="false"/>
    </xf>
    <xf numFmtId="164" fontId="0" fillId="0" borderId="29" xfId="0" applyFont="false" applyBorder="true" applyAlignment="true" applyProtection="false">
      <alignment horizontal="right" vertical="bottom" textRotation="0" wrapText="false" indent="0" shrinkToFit="false"/>
      <protection locked="true" hidden="false"/>
    </xf>
    <xf numFmtId="244" fontId="0" fillId="0" borderId="0" xfId="1058" applyFont="true" applyBorder="false" applyAlignment="true" applyProtection="false">
      <alignment horizontal="general" vertical="bottom" textRotation="0" wrapText="false" indent="0" shrinkToFit="false"/>
      <protection locked="true" hidden="false"/>
    </xf>
    <xf numFmtId="215" fontId="141" fillId="0" borderId="0" xfId="1058" applyFont="true" applyBorder="false" applyAlignment="true" applyProtection="false">
      <alignment horizontal="left" vertical="bottom" textRotation="0" wrapText="false" indent="0" shrinkToFit="false"/>
      <protection locked="true" hidden="false"/>
    </xf>
    <xf numFmtId="215" fontId="9" fillId="0" borderId="0" xfId="1058" applyFont="true" applyBorder="false" applyAlignment="true" applyProtection="false">
      <alignment horizontal="general" vertical="bottom" textRotation="0" wrapText="false" indent="0" shrinkToFit="false"/>
      <protection locked="true" hidden="false"/>
    </xf>
    <xf numFmtId="215" fontId="18" fillId="0" borderId="0" xfId="1058" applyFont="true" applyBorder="false" applyAlignment="true" applyProtection="false">
      <alignment horizontal="general" vertical="bottom" textRotation="0" wrapText="false" indent="0" shrinkToFit="false"/>
      <protection locked="true" hidden="false"/>
    </xf>
    <xf numFmtId="215" fontId="0" fillId="0" borderId="0" xfId="1058" applyFont="true" applyBorder="false" applyAlignment="true" applyProtection="false">
      <alignment horizontal="general" vertical="bottom" textRotation="0" wrapText="false" indent="0" shrinkToFit="false"/>
      <protection locked="true" hidden="false"/>
    </xf>
    <xf numFmtId="215" fontId="146" fillId="0" borderId="0" xfId="1058" applyFont="true" applyBorder="false" applyAlignment="true" applyProtection="false">
      <alignment horizontal="left" vertical="bottom" textRotation="0" wrapText="false" indent="0" shrinkToFit="false"/>
      <protection locked="true" hidden="false"/>
    </xf>
    <xf numFmtId="215" fontId="147" fillId="0" borderId="0" xfId="1058" applyFont="true" applyBorder="false" applyAlignment="true" applyProtection="false">
      <alignment horizontal="general" vertical="bottom" textRotation="0" wrapText="false" indent="0" shrinkToFit="false"/>
      <protection locked="true" hidden="false"/>
    </xf>
    <xf numFmtId="215" fontId="57" fillId="0" borderId="0" xfId="1058" applyFont="true" applyBorder="false" applyAlignment="true" applyProtection="false">
      <alignment horizontal="general" vertical="bottom" textRotation="0" wrapText="false" indent="0" shrinkToFit="false"/>
      <protection locked="true" hidden="false"/>
    </xf>
    <xf numFmtId="215" fontId="57" fillId="0" borderId="11" xfId="1058" applyFont="true" applyBorder="true" applyAlignment="true" applyProtection="false">
      <alignment horizontal="center" vertical="bottom" textRotation="0" wrapText="false" indent="0" shrinkToFit="false"/>
      <protection locked="true" hidden="false"/>
    </xf>
    <xf numFmtId="215" fontId="57" fillId="0" borderId="0" xfId="1058" applyFont="true" applyBorder="false" applyAlignment="true" applyProtection="false">
      <alignment horizontal="right" vertical="bottom" textRotation="0" wrapText="false" indent="0" shrinkToFit="false"/>
      <protection locked="true" hidden="false"/>
    </xf>
    <xf numFmtId="215" fontId="0" fillId="0" borderId="0" xfId="1058" applyFont="true" applyBorder="false" applyAlignment="true" applyProtection="false">
      <alignment horizontal="right" vertical="bottom" textRotation="0" wrapText="false" indent="0" shrinkToFit="false"/>
      <protection locked="true" hidden="false"/>
    </xf>
    <xf numFmtId="215" fontId="0" fillId="0" borderId="0" xfId="1058" applyFont="true" applyBorder="false" applyAlignment="true" applyProtection="false">
      <alignment horizontal="center" vertical="bottom" textRotation="0" wrapText="false" indent="0" shrinkToFit="false"/>
      <protection locked="true" hidden="false"/>
    </xf>
    <xf numFmtId="216" fontId="57" fillId="0" borderId="0" xfId="1058" applyFont="true" applyBorder="false" applyAlignment="true" applyProtection="false">
      <alignment horizontal="right" vertical="bottom" textRotation="0" wrapText="false" indent="0" shrinkToFit="false"/>
      <protection locked="true" hidden="false"/>
    </xf>
    <xf numFmtId="215" fontId="57" fillId="0" borderId="0" xfId="1058" applyFont="true" applyBorder="false" applyAlignment="true" applyProtection="false">
      <alignment horizontal="left" vertical="bottom" textRotation="0" wrapText="false" indent="0" shrinkToFit="false"/>
      <protection locked="true" hidden="false"/>
    </xf>
    <xf numFmtId="164" fontId="0" fillId="0" borderId="0" xfId="1057" applyFont="true" applyBorder="false" applyAlignment="true" applyProtection="false">
      <alignment horizontal="right" vertical="bottom" textRotation="0" wrapText="false" indent="0" shrinkToFit="false"/>
      <protection locked="true" hidden="false"/>
    </xf>
    <xf numFmtId="216" fontId="0" fillId="0" borderId="0" xfId="19" applyFont="true" applyBorder="true" applyAlignment="true" applyProtection="true">
      <alignment horizontal="center" vertical="bottom" textRotation="0" wrapText="false" indent="0" shrinkToFit="false"/>
      <protection locked="true" hidden="false"/>
    </xf>
    <xf numFmtId="164" fontId="57" fillId="0" borderId="0" xfId="1058" applyFont="true" applyBorder="false" applyAlignment="true" applyProtection="false">
      <alignment horizontal="right" vertical="bottom" textRotation="0" wrapText="false" indent="0" shrinkToFit="false"/>
      <protection locked="true" hidden="false"/>
    </xf>
    <xf numFmtId="164" fontId="57" fillId="0" borderId="0" xfId="1058" applyFont="true" applyBorder="false" applyAlignment="true" applyProtection="false">
      <alignment horizontal="general" vertical="bottom" textRotation="0" wrapText="false" indent="0" shrinkToFit="false"/>
      <protection locked="true" hidden="false"/>
    </xf>
    <xf numFmtId="215" fontId="57" fillId="0" borderId="0" xfId="1058" applyFont="true" applyBorder="false" applyAlignment="true" applyProtection="false">
      <alignment horizontal="center" vertical="bottom" textRotation="0" wrapText="false" indent="0" shrinkToFit="false"/>
      <protection locked="true" hidden="false"/>
    </xf>
    <xf numFmtId="215" fontId="66" fillId="0" borderId="23" xfId="1058" applyFont="true" applyBorder="true" applyAlignment="true" applyProtection="false">
      <alignment horizontal="center" vertical="bottom" textRotation="0" wrapText="false" indent="0" shrinkToFit="false"/>
      <protection locked="true" hidden="false"/>
    </xf>
    <xf numFmtId="215" fontId="57" fillId="0" borderId="24" xfId="1058" applyFont="true" applyBorder="true" applyAlignment="true" applyProtection="false">
      <alignment horizontal="right" vertical="bottom" textRotation="0" wrapText="false" indent="0" shrinkToFit="false"/>
      <protection locked="true" hidden="false"/>
    </xf>
    <xf numFmtId="215" fontId="57" fillId="0" borderId="25" xfId="1058" applyFont="true" applyBorder="true" applyAlignment="true" applyProtection="false">
      <alignment horizontal="right" vertical="bottom" textRotation="0" wrapText="false" indent="0" shrinkToFit="false"/>
      <protection locked="true" hidden="false"/>
    </xf>
    <xf numFmtId="215" fontId="80" fillId="0" borderId="24" xfId="1058" applyFont="true" applyBorder="true" applyAlignment="true" applyProtection="false">
      <alignment horizontal="right" vertical="bottom" textRotation="0" wrapText="false" indent="0" shrinkToFit="false"/>
      <protection locked="true" hidden="false"/>
    </xf>
    <xf numFmtId="215" fontId="0" fillId="0" borderId="24" xfId="1058" applyFont="true" applyBorder="true" applyAlignment="true" applyProtection="false">
      <alignment horizontal="right" vertical="bottom" textRotation="0" wrapText="false" indent="0" shrinkToFit="false"/>
      <protection locked="true" hidden="false"/>
    </xf>
    <xf numFmtId="215" fontId="0" fillId="0" borderId="24" xfId="1058" applyFont="true" applyBorder="true" applyAlignment="true" applyProtection="false">
      <alignment horizontal="general" vertical="bottom" textRotation="0" wrapText="false" indent="0" shrinkToFit="false"/>
      <protection locked="true" hidden="false"/>
    </xf>
    <xf numFmtId="215" fontId="0" fillId="0" borderId="25" xfId="1058" applyFont="true" applyBorder="true" applyAlignment="true" applyProtection="false">
      <alignment horizontal="general" vertical="bottom" textRotation="0" wrapText="false" indent="0" shrinkToFit="false"/>
      <protection locked="true" hidden="false"/>
    </xf>
    <xf numFmtId="215" fontId="57" fillId="0" borderId="26" xfId="1058" applyFont="true" applyBorder="true" applyAlignment="true" applyProtection="false">
      <alignment horizontal="left" vertical="bottom" textRotation="0" wrapText="false" indent="0" shrinkToFit="false"/>
      <protection locked="true" hidden="false"/>
    </xf>
    <xf numFmtId="217" fontId="57" fillId="0" borderId="0" xfId="19" applyFont="true" applyBorder="true" applyAlignment="true" applyProtection="true">
      <alignment horizontal="right" vertical="bottom" textRotation="0" wrapText="false" indent="0" shrinkToFit="false"/>
      <protection locked="true" hidden="false"/>
    </xf>
    <xf numFmtId="215" fontId="57" fillId="0" borderId="27" xfId="1058" applyFont="true" applyBorder="true" applyAlignment="true" applyProtection="false">
      <alignment horizontal="right" vertical="bottom" textRotation="0" wrapText="false" indent="0" shrinkToFit="false"/>
      <protection locked="true" hidden="false"/>
    </xf>
    <xf numFmtId="215" fontId="57" fillId="0" borderId="0" xfId="1058" applyFont="true" applyBorder="true" applyAlignment="true" applyProtection="false">
      <alignment horizontal="general" vertical="bottom" textRotation="0" wrapText="false" indent="0" shrinkToFit="false"/>
      <protection locked="true" hidden="false"/>
    </xf>
    <xf numFmtId="215" fontId="0" fillId="0" borderId="0" xfId="1058" applyFont="true" applyBorder="true" applyAlignment="true" applyProtection="false">
      <alignment horizontal="general" vertical="bottom" textRotation="0" wrapText="false" indent="0" shrinkToFit="false"/>
      <protection locked="true" hidden="false"/>
    </xf>
    <xf numFmtId="215" fontId="0" fillId="0" borderId="27" xfId="1058" applyFont="true" applyBorder="true" applyAlignment="true" applyProtection="false">
      <alignment horizontal="general" vertical="bottom" textRotation="0" wrapText="false" indent="0" shrinkToFit="false"/>
      <protection locked="true" hidden="false"/>
    </xf>
    <xf numFmtId="215" fontId="57" fillId="0" borderId="33" xfId="1058" applyFont="true" applyBorder="true" applyAlignment="true" applyProtection="false">
      <alignment horizontal="left" vertical="bottom" textRotation="0" wrapText="false" indent="0" shrinkToFit="false"/>
      <protection locked="true" hidden="false"/>
    </xf>
    <xf numFmtId="215" fontId="0" fillId="0" borderId="13" xfId="1058" applyFont="true" applyBorder="true" applyAlignment="true" applyProtection="false">
      <alignment horizontal="general" vertical="bottom" textRotation="0" wrapText="false" indent="0" shrinkToFit="false"/>
      <protection locked="true" hidden="false"/>
    </xf>
    <xf numFmtId="164" fontId="57" fillId="0" borderId="0" xfId="1058" applyFont="true" applyBorder="true" applyAlignment="true" applyProtection="false">
      <alignment horizontal="general" vertical="bottom" textRotation="0" wrapText="false" indent="0" shrinkToFit="false"/>
      <protection locked="true" hidden="false"/>
    </xf>
    <xf numFmtId="215" fontId="57" fillId="0" borderId="0" xfId="1058" applyFont="true" applyBorder="true" applyAlignment="true" applyProtection="false">
      <alignment horizontal="right" vertical="bottom" textRotation="0" wrapText="false" indent="0" shrinkToFit="false"/>
      <protection locked="true" hidden="false"/>
    </xf>
    <xf numFmtId="215" fontId="57" fillId="0" borderId="32" xfId="1058" applyFont="true" applyBorder="true" applyAlignment="true" applyProtection="false">
      <alignment horizontal="left" vertical="bottom" textRotation="0" wrapText="false" indent="0" shrinkToFit="false"/>
      <protection locked="true" hidden="false"/>
    </xf>
    <xf numFmtId="217" fontId="57" fillId="0" borderId="5" xfId="19" applyFont="true" applyBorder="true" applyAlignment="true" applyProtection="true">
      <alignment horizontal="right" vertical="bottom" textRotation="0" wrapText="false" indent="0" shrinkToFit="false"/>
      <protection locked="true" hidden="false"/>
    </xf>
    <xf numFmtId="215" fontId="57" fillId="0" borderId="35" xfId="1058" applyFont="true" applyBorder="true" applyAlignment="true" applyProtection="false">
      <alignment horizontal="right" vertical="bottom"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215" fontId="57" fillId="0" borderId="26" xfId="1058" applyFont="true" applyBorder="true" applyAlignment="true" applyProtection="false">
      <alignment horizontal="general" vertical="bottom" textRotation="0" wrapText="false" indent="0" shrinkToFit="false"/>
      <protection locked="true" hidden="false"/>
    </xf>
    <xf numFmtId="215" fontId="57" fillId="0" borderId="0" xfId="1058" applyFont="true" applyBorder="true" applyAlignment="true" applyProtection="false">
      <alignment horizontal="center" vertical="bottom" textRotation="0" wrapText="false" indent="0" shrinkToFit="false"/>
      <protection locked="true" hidden="false"/>
    </xf>
    <xf numFmtId="213" fontId="57" fillId="0" borderId="13" xfId="15" applyFont="true" applyBorder="true" applyAlignment="true" applyProtection="true">
      <alignment horizontal="right" vertical="bottom" textRotation="0" wrapText="false" indent="0" shrinkToFit="false"/>
      <protection locked="true" hidden="false"/>
    </xf>
    <xf numFmtId="217" fontId="57" fillId="0" borderId="13" xfId="19" applyFont="true" applyBorder="true" applyAlignment="true" applyProtection="true">
      <alignment horizontal="right" vertical="bottom" textRotation="0" wrapText="false" indent="0" shrinkToFit="false"/>
      <protection locked="true" hidden="false"/>
    </xf>
    <xf numFmtId="215" fontId="57" fillId="0" borderId="34" xfId="1058" applyFont="true" applyBorder="true" applyAlignment="true" applyProtection="false">
      <alignment horizontal="right" vertical="bottom" textRotation="0" wrapText="false" indent="0" shrinkToFit="false"/>
      <protection locked="true" hidden="false"/>
    </xf>
    <xf numFmtId="215" fontId="90" fillId="0" borderId="26" xfId="1058" applyFont="true" applyBorder="true" applyAlignment="true" applyProtection="false">
      <alignment horizontal="left" vertical="bottom" textRotation="0" wrapText="false" indent="0" shrinkToFit="false"/>
      <protection locked="true" hidden="false"/>
    </xf>
    <xf numFmtId="215" fontId="80" fillId="0" borderId="0" xfId="1058" applyFont="true" applyBorder="true" applyAlignment="true" applyProtection="false">
      <alignment horizontal="center" vertical="bottom" textRotation="0" wrapText="false" indent="0" shrinkToFit="false"/>
      <protection locked="true" hidden="false"/>
    </xf>
    <xf numFmtId="215" fontId="57" fillId="0" borderId="26" xfId="1058" applyFont="true" applyBorder="true" applyAlignment="true" applyProtection="false">
      <alignment horizontal="center" vertical="bottom" textRotation="0" wrapText="false" indent="0" shrinkToFit="false"/>
      <protection locked="true" hidden="false"/>
    </xf>
    <xf numFmtId="215" fontId="90" fillId="0" borderId="0" xfId="1058" applyFont="true" applyBorder="true" applyAlignment="true" applyProtection="false">
      <alignment horizontal="center" vertical="bottom" textRotation="0" wrapText="false" indent="0" shrinkToFit="false"/>
      <protection locked="true" hidden="false"/>
    </xf>
    <xf numFmtId="215" fontId="0" fillId="0" borderId="0" xfId="1058" applyFont="true" applyBorder="true" applyAlignment="true" applyProtection="false">
      <alignment horizontal="center" vertical="bottom" textRotation="0" wrapText="false" indent="0" shrinkToFit="false"/>
      <protection locked="true" hidden="false"/>
    </xf>
    <xf numFmtId="216" fontId="57" fillId="0" borderId="0" xfId="1058" applyFont="true" applyBorder="true" applyAlignment="true" applyProtection="false">
      <alignment horizontal="center" vertical="bottom" textRotation="0" wrapText="false" indent="0" shrinkToFit="false"/>
      <protection locked="true" hidden="false"/>
    </xf>
    <xf numFmtId="216" fontId="0" fillId="0" borderId="0" xfId="1058" applyFont="true" applyBorder="true" applyAlignment="true" applyProtection="false">
      <alignment horizontal="center" vertical="bottom" textRotation="0" wrapText="false" indent="0" shrinkToFit="false"/>
      <protection locked="true" hidden="false"/>
    </xf>
    <xf numFmtId="215" fontId="66" fillId="0" borderId="26" xfId="1058" applyFont="true" applyBorder="true" applyAlignment="true" applyProtection="false">
      <alignment horizontal="center" vertical="bottom" textRotation="0" wrapText="false" indent="0" shrinkToFit="false"/>
      <protection locked="true" hidden="false"/>
    </xf>
    <xf numFmtId="215" fontId="90" fillId="0" borderId="0" xfId="1058" applyFont="true" applyBorder="true" applyAlignment="true" applyProtection="false">
      <alignment horizontal="right" vertical="bottom" textRotation="0" wrapText="false" indent="0" shrinkToFit="false"/>
      <protection locked="true" hidden="false"/>
    </xf>
    <xf numFmtId="215" fontId="90" fillId="0" borderId="26" xfId="1058" applyFont="true" applyBorder="true" applyAlignment="true" applyProtection="false">
      <alignment horizontal="center" vertical="bottom" textRotation="0" wrapText="false" indent="0" shrinkToFit="false"/>
      <protection locked="true" hidden="false"/>
    </xf>
    <xf numFmtId="216" fontId="98" fillId="0" borderId="0" xfId="1058" applyFont="true" applyBorder="true" applyAlignment="true" applyProtection="false">
      <alignment horizontal="center" vertical="bottom" textRotation="0" wrapText="false" indent="0" shrinkToFit="false"/>
      <protection locked="true" hidden="false"/>
    </xf>
    <xf numFmtId="164" fontId="57" fillId="0" borderId="26" xfId="1058" applyFont="true" applyBorder="true" applyAlignment="true" applyProtection="false">
      <alignment horizontal="left" vertical="bottom" textRotation="0" wrapText="false" indent="0" shrinkToFit="false"/>
      <protection locked="true" hidden="false"/>
    </xf>
    <xf numFmtId="215" fontId="81" fillId="0" borderId="0" xfId="1058" applyFont="true" applyBorder="true" applyAlignment="true" applyProtection="false">
      <alignment horizontal="center" vertical="bottom" textRotation="0" wrapText="false" indent="0" shrinkToFit="false"/>
      <protection locked="true" hidden="false"/>
    </xf>
    <xf numFmtId="217" fontId="57" fillId="0" borderId="0" xfId="1058" applyFont="true" applyBorder="true" applyAlignment="true" applyProtection="false">
      <alignment horizontal="center" vertical="bottom" textRotation="0" wrapText="false" indent="0" shrinkToFit="false"/>
      <protection locked="true" hidden="false"/>
    </xf>
    <xf numFmtId="215" fontId="57" fillId="0" borderId="31" xfId="1058" applyFont="true" applyBorder="true" applyAlignment="true" applyProtection="false">
      <alignment horizontal="general" vertical="bottom" textRotation="0" wrapText="false" indent="0" shrinkToFit="false"/>
      <protection locked="true" hidden="false"/>
    </xf>
    <xf numFmtId="215" fontId="0" fillId="0" borderId="14" xfId="1058" applyFont="true" applyBorder="true" applyAlignment="true" applyProtection="false">
      <alignment horizontal="general" vertical="bottom" textRotation="0" wrapText="false" indent="0" shrinkToFit="false"/>
      <protection locked="true" hidden="false"/>
    </xf>
    <xf numFmtId="215" fontId="0" fillId="0" borderId="29" xfId="1058" applyFont="true" applyBorder="true" applyAlignment="true" applyProtection="false">
      <alignment horizontal="general" vertical="bottom" textRotation="0" wrapText="false" indent="0" shrinkToFit="false"/>
      <protection locked="true" hidden="false"/>
    </xf>
    <xf numFmtId="217" fontId="57" fillId="0" borderId="0" xfId="1058" applyFont="true" applyBorder="false" applyAlignment="true" applyProtection="false">
      <alignment horizontal="center" vertical="bottom" textRotation="0" wrapText="false" indent="0" shrinkToFit="false"/>
      <protection locked="true" hidden="false"/>
    </xf>
    <xf numFmtId="215" fontId="66" fillId="0" borderId="0" xfId="1058" applyFont="true" applyBorder="false" applyAlignment="true" applyProtection="false">
      <alignment horizontal="center" vertical="bottom" textRotation="0" wrapText="false" indent="0" shrinkToFit="false"/>
      <protection locked="true" hidden="false"/>
    </xf>
    <xf numFmtId="164" fontId="57" fillId="0" borderId="24" xfId="1058" applyFont="true" applyBorder="true" applyAlignment="true" applyProtection="false">
      <alignment horizontal="center" vertical="center" textRotation="0" wrapText="false" indent="0" shrinkToFit="false"/>
      <protection locked="true" hidden="false"/>
    </xf>
    <xf numFmtId="215" fontId="57" fillId="0" borderId="24" xfId="1058" applyFont="true" applyBorder="true" applyAlignment="true" applyProtection="false">
      <alignment horizontal="center" vertical="center" textRotation="0" wrapText="false" indent="0" shrinkToFit="false"/>
      <protection locked="true" hidden="false"/>
    </xf>
    <xf numFmtId="215" fontId="57" fillId="0" borderId="24" xfId="1058" applyFont="true" applyBorder="true" applyAlignment="true" applyProtection="false">
      <alignment horizontal="right" vertical="center" textRotation="0" wrapText="false" indent="0" shrinkToFit="false"/>
      <protection locked="true" hidden="false"/>
    </xf>
    <xf numFmtId="215" fontId="65" fillId="0" borderId="24" xfId="1058" applyFont="true" applyBorder="true" applyAlignment="true" applyProtection="false">
      <alignment horizontal="left" vertical="bottom" textRotation="0" wrapText="false" indent="0" shrinkToFit="false"/>
      <protection locked="true" hidden="false"/>
    </xf>
    <xf numFmtId="164" fontId="90" fillId="0" borderId="0" xfId="1058" applyFont="true" applyBorder="true" applyAlignment="true" applyProtection="false">
      <alignment horizontal="center" vertical="center" textRotation="0" wrapText="false" indent="0" shrinkToFit="false"/>
      <protection locked="true" hidden="false"/>
    </xf>
    <xf numFmtId="215" fontId="90" fillId="0" borderId="0" xfId="1058" applyFont="true" applyBorder="true" applyAlignment="true" applyProtection="false">
      <alignment horizontal="center" vertical="center" textRotation="0" wrapText="false" indent="0" shrinkToFit="false"/>
      <protection locked="true" hidden="false"/>
    </xf>
    <xf numFmtId="215" fontId="90" fillId="0" borderId="0" xfId="1058" applyFont="true" applyBorder="true" applyAlignment="true" applyProtection="false">
      <alignment horizontal="right" vertical="center" textRotation="0" wrapText="false" indent="0" shrinkToFit="false"/>
      <protection locked="true" hidden="false"/>
    </xf>
    <xf numFmtId="226" fontId="90" fillId="0" borderId="0" xfId="1058" applyFont="true" applyBorder="true" applyAlignment="true" applyProtection="false">
      <alignment horizontal="right" vertical="bottom" textRotation="0" wrapText="false" indent="0" shrinkToFit="false"/>
      <protection locked="true" hidden="false"/>
    </xf>
    <xf numFmtId="226" fontId="90" fillId="0" borderId="27" xfId="1058" applyFont="true" applyBorder="true" applyAlignment="true" applyProtection="false">
      <alignment horizontal="right" vertical="bottom" textRotation="0" wrapText="false" indent="0" shrinkToFit="false"/>
      <protection locked="true" hidden="false"/>
    </xf>
    <xf numFmtId="164" fontId="57" fillId="0" borderId="0" xfId="1058" applyFont="true" applyBorder="true" applyAlignment="true" applyProtection="false">
      <alignment horizontal="center" vertical="bottom" textRotation="0" wrapText="false" indent="0" shrinkToFit="false"/>
      <protection locked="true" hidden="false"/>
    </xf>
    <xf numFmtId="216" fontId="57" fillId="0" borderId="0" xfId="1058" applyFont="true" applyBorder="true" applyAlignment="true" applyProtection="false">
      <alignment horizontal="general" vertical="bottom" textRotation="0" wrapText="false" indent="0" shrinkToFit="false"/>
      <protection locked="true" hidden="false"/>
    </xf>
    <xf numFmtId="238" fontId="0" fillId="0" borderId="0" xfId="1058" applyFont="true" applyBorder="true" applyAlignment="true" applyProtection="false">
      <alignment horizontal="general" vertical="bottom" textRotation="0" wrapText="false" indent="0" shrinkToFit="false"/>
      <protection locked="true" hidden="false"/>
    </xf>
    <xf numFmtId="215" fontId="57" fillId="0" borderId="0" xfId="1058" applyFont="true" applyBorder="true" applyAlignment="true" applyProtection="false">
      <alignment horizontal="left" vertical="bottom" textRotation="0" wrapText="false" indent="0" shrinkToFit="false"/>
      <protection locked="true" hidden="false"/>
    </xf>
    <xf numFmtId="210" fontId="57" fillId="0" borderId="0" xfId="1058" applyFont="true" applyBorder="true" applyAlignment="true" applyProtection="false">
      <alignment horizontal="right" vertical="bottom" textRotation="0" wrapText="false" indent="0" shrinkToFit="false"/>
      <protection locked="true" hidden="false"/>
    </xf>
    <xf numFmtId="210" fontId="57" fillId="0" borderId="27" xfId="1058" applyFont="true" applyBorder="true" applyAlignment="true" applyProtection="false">
      <alignment horizontal="right" vertical="bottom" textRotation="0" wrapText="false" indent="0" shrinkToFit="false"/>
      <protection locked="true" hidden="false"/>
    </xf>
    <xf numFmtId="215" fontId="0" fillId="0" borderId="0" xfId="1058" applyFont="true" applyBorder="false" applyAlignment="true" applyProtection="true">
      <alignment horizontal="general" vertical="bottom" textRotation="0" wrapText="false" indent="0" shrinkToFit="false"/>
      <protection locked="false" hidden="false"/>
    </xf>
    <xf numFmtId="216" fontId="57" fillId="0" borderId="0" xfId="1058" applyFont="true" applyBorder="true" applyAlignment="true" applyProtection="false">
      <alignment horizontal="right" vertical="bottom" textRotation="0" wrapText="false" indent="0" shrinkToFit="false"/>
      <protection locked="true" hidden="false"/>
    </xf>
    <xf numFmtId="164" fontId="57" fillId="0" borderId="27" xfId="1058" applyFont="true" applyBorder="true" applyAlignment="true" applyProtection="false">
      <alignment horizontal="general" vertical="bottom" textRotation="0" wrapText="false" indent="0" shrinkToFit="false"/>
      <protection locked="true" hidden="false"/>
    </xf>
    <xf numFmtId="164" fontId="57" fillId="0" borderId="0" xfId="1058" applyFont="true" applyBorder="true" applyAlignment="true" applyProtection="false">
      <alignment horizontal="right" vertical="bottom" textRotation="0" wrapText="false" indent="0" shrinkToFit="false"/>
      <protection locked="true" hidden="false"/>
    </xf>
    <xf numFmtId="164" fontId="57" fillId="0" borderId="27" xfId="1058" applyFont="true" applyBorder="true" applyAlignment="true" applyProtection="false">
      <alignment horizontal="right" vertical="bottom" textRotation="0" wrapText="false" indent="0" shrinkToFit="false"/>
      <protection locked="true" hidden="false"/>
    </xf>
    <xf numFmtId="215" fontId="0" fillId="0" borderId="26" xfId="1058" applyFont="true" applyBorder="true" applyAlignment="true" applyProtection="false">
      <alignment horizontal="general" vertical="bottom" textRotation="0" wrapText="false" indent="0" shrinkToFit="false"/>
      <protection locked="true" hidden="false"/>
    </xf>
    <xf numFmtId="215" fontId="0" fillId="0" borderId="31" xfId="1058" applyFont="true" applyBorder="true" applyAlignment="true" applyProtection="false">
      <alignment horizontal="general" vertical="bottom" textRotation="0" wrapText="false" indent="0" shrinkToFit="false"/>
      <protection locked="true" hidden="false"/>
    </xf>
    <xf numFmtId="164" fontId="0" fillId="0" borderId="14" xfId="0" applyFont="false" applyBorder="true" applyAlignment="false" applyProtection="false">
      <alignment horizontal="general" vertical="bottom" textRotation="0" wrapText="false" indent="0" shrinkToFit="false"/>
      <protection locked="true" hidden="false"/>
    </xf>
    <xf numFmtId="164" fontId="0" fillId="0" borderId="0" xfId="1058" applyFont="true" applyBorder="false" applyAlignment="true" applyProtection="false">
      <alignment horizontal="general" vertical="bottom" textRotation="0" wrapText="false" indent="0" shrinkToFit="false"/>
      <protection locked="true" hidden="false"/>
    </xf>
    <xf numFmtId="164" fontId="0" fillId="0" borderId="0" xfId="1058" applyFont="false" applyBorder="false" applyAlignment="false" applyProtection="false">
      <alignment horizontal="general" vertical="bottom" textRotation="0" wrapText="false" indent="0" shrinkToFit="false"/>
      <protection locked="true" hidden="false"/>
    </xf>
    <xf numFmtId="215" fontId="90" fillId="0" borderId="0" xfId="1058" applyFont="true" applyBorder="false" applyAlignment="true" applyProtection="false">
      <alignment horizontal="center" vertical="bottom" textRotation="0" wrapText="false" indent="0" shrinkToFit="false"/>
      <protection locked="true" hidden="false"/>
    </xf>
  </cellXfs>
  <cellStyles count="1376">
    <cellStyle name="Normal" xfId="0" builtinId="0"/>
    <cellStyle name="Comma" xfId="15" builtinId="3"/>
    <cellStyle name="Comma [0]" xfId="16" builtinId="6"/>
    <cellStyle name="Currency" xfId="17" builtinId="4"/>
    <cellStyle name="Currency [0]" xfId="18" builtinId="7"/>
    <cellStyle name="Percent" xfId="19" builtinId="5"/>
    <cellStyle name="__ [0]_94___" xfId="20"/>
    <cellStyle name="__ [0]_94___ 1" xfId="21"/>
    <cellStyle name="__ [0]___" xfId="22"/>
    <cellStyle name="__ [0]___ 1" xfId="23"/>
    <cellStyle name="__ [0]____" xfId="24"/>
    <cellStyle name="__ [0]____ 1" xfId="25"/>
    <cellStyle name="__ [0]______" xfId="26"/>
    <cellStyle name="__ [0]______ 1" xfId="27"/>
    <cellStyle name="__ [0]__________" xfId="28"/>
    <cellStyle name="__ [0]__________ 1" xfId="29"/>
    <cellStyle name="__ [0]_dimon" xfId="30"/>
    <cellStyle name="__ [0]_form" xfId="31"/>
    <cellStyle name="__ [0]_form 1" xfId="32"/>
    <cellStyle name="__ [0]_laroux" xfId="33"/>
    <cellStyle name="__ [0]_laroux 1" xfId="34"/>
    <cellStyle name="__ [0]_laroux_1" xfId="35"/>
    <cellStyle name="__ [0]_laroux_1 1" xfId="36"/>
    <cellStyle name="__ [0]_laroux_2" xfId="37"/>
    <cellStyle name="__ [0]_PERSONAL" xfId="38"/>
    <cellStyle name="__ [0]_PERSONAL 1" xfId="39"/>
    <cellStyle name="__ [0]_PERSONAL_1" xfId="40"/>
    <cellStyle name="__ [0]_PERSONAL_1 1" xfId="41"/>
    <cellStyle name="__ [0]_PERSONAL_2" xfId="42"/>
    <cellStyle name="__ [0]_PERSONAL_2 1" xfId="43"/>
    <cellStyle name="__ [0]_PERSONAL_3" xfId="44"/>
    <cellStyle name="__ [0]_Sheet2" xfId="45"/>
    <cellStyle name="___94___" xfId="46"/>
    <cellStyle name="___94___ 1" xfId="47"/>
    <cellStyle name="___970120" xfId="48"/>
    <cellStyle name="___97___" xfId="49"/>
    <cellStyle name="____.____" xfId="50"/>
    <cellStyle name="_____" xfId="51"/>
    <cellStyle name="_____ 1" xfId="52"/>
    <cellStyle name="_____ 2" xfId="53"/>
    <cellStyle name="_____ 3" xfId="54"/>
    <cellStyle name="______" xfId="55"/>
    <cellStyle name="______ 1" xfId="56"/>
    <cellStyle name="______ 2" xfId="57"/>
    <cellStyle name="______ 3" xfId="58"/>
    <cellStyle name="______1" xfId="59"/>
    <cellStyle name="_______" xfId="60"/>
    <cellStyle name="_______ 1" xfId="61"/>
    <cellStyle name="________" xfId="62"/>
    <cellStyle name="________ 1" xfId="63"/>
    <cellStyle name="________ 2" xfId="64"/>
    <cellStyle name="________1" xfId="65"/>
    <cellStyle name="_________1" xfId="66"/>
    <cellStyle name="_________2" xfId="67"/>
    <cellStyle name="__________" xfId="68"/>
    <cellStyle name="__________ 1" xfId="69"/>
    <cellStyle name="____________" xfId="70"/>
    <cellStyle name="____________ 1" xfId="71"/>
    <cellStyle name="____________ 2" xfId="72"/>
    <cellStyle name="___BEBU_GI" xfId="73"/>
    <cellStyle name="___dimon" xfId="74"/>
    <cellStyle name="___dimon 1" xfId="75"/>
    <cellStyle name="___form" xfId="76"/>
    <cellStyle name="___form 1" xfId="77"/>
    <cellStyle name="___form 2" xfId="78"/>
    <cellStyle name="___ga_PB" xfId="79"/>
    <cellStyle name="___laroux" xfId="80"/>
    <cellStyle name="___laroux 1" xfId="81"/>
    <cellStyle name="___laroux 2" xfId="82"/>
    <cellStyle name="___laroux_1" xfId="83"/>
    <cellStyle name="___laroux_1 1" xfId="84"/>
    <cellStyle name="___laroux_1 2" xfId="85"/>
    <cellStyle name="___laroux_2" xfId="86"/>
    <cellStyle name="___laroux_2 1" xfId="87"/>
    <cellStyle name="___laroux_3" xfId="88"/>
    <cellStyle name="___laroux_4" xfId="89"/>
    <cellStyle name="___laroux_5" xfId="90"/>
    <cellStyle name="___laroux_6" xfId="91"/>
    <cellStyle name="___laroux_7" xfId="92"/>
    <cellStyle name="___laroux_8" xfId="93"/>
    <cellStyle name="___PERSONAL" xfId="94"/>
    <cellStyle name="___PERSONAL 1" xfId="95"/>
    <cellStyle name="___PERSONAL 2" xfId="96"/>
    <cellStyle name="___PERSONAL_1" xfId="97"/>
    <cellStyle name="___PERSONAL_1 1" xfId="98"/>
    <cellStyle name="___PERSONAL_1 2" xfId="99"/>
    <cellStyle name="___PERSONAL_2" xfId="100"/>
    <cellStyle name="___PERSONAL_2 1" xfId="101"/>
    <cellStyle name="___PERSONAL_2 2" xfId="102"/>
    <cellStyle name="___PERSONAL_3" xfId="103"/>
    <cellStyle name="___PERSONAL_3 1" xfId="104"/>
    <cellStyle name="___PERSONAL_4" xfId="105"/>
    <cellStyle name="___Query11" xfId="106"/>
    <cellStyle name="___Sheet1" xfId="107"/>
    <cellStyle name="___Sheet1 (2)" xfId="108"/>
    <cellStyle name="___Sheet2" xfId="109"/>
    <cellStyle name="___Sheet2 1" xfId="110"/>
    <cellStyle name="Comma [0]_12~3SO2" xfId="111"/>
    <cellStyle name="Comma [0]_29" xfId="112"/>
    <cellStyle name="Comma [0]_A" xfId="113"/>
    <cellStyle name="Comma [0]_A_dimon" xfId="114"/>
    <cellStyle name="Comma [0]_algasdefault" xfId="115"/>
    <cellStyle name="Comma [0]_Alternative1" xfId="116"/>
    <cellStyle name="Comma [0]_Alternative1_1" xfId="117"/>
    <cellStyle name="Comma [0]_App E" xfId="118"/>
    <cellStyle name="Comma [0]_Arapahoe" xfId="119"/>
    <cellStyle name="Comma [0]_Assumptions" xfId="120"/>
    <cellStyle name="Comma [0]_bahiadefault" xfId="121"/>
    <cellStyle name="Comma [0]_Book3" xfId="122"/>
    <cellStyle name="Comma [0]_Calculations" xfId="123"/>
    <cellStyle name="Comma [0]_Calculations (2)" xfId="124"/>
    <cellStyle name="Comma [0]_Calculations II" xfId="125"/>
    <cellStyle name="Comma [0]_Calculations III" xfId="126"/>
    <cellStyle name="Comma [0]_Calculations_1" xfId="127"/>
    <cellStyle name="Comma [0]_CAPEX" xfId="128"/>
    <cellStyle name="Comma [0]_CAPEX94" xfId="129"/>
    <cellStyle name="Comma [0]_CCA" xfId="130"/>
    <cellStyle name="Comma [0]_CCOCPX" xfId="131"/>
    <cellStyle name="Comma [0]_Channel Table" xfId="132"/>
    <cellStyle name="Comma [0]_Charts" xfId="133"/>
    <cellStyle name="Comma [0]_Comm File" xfId="134"/>
    <cellStyle name="Comma [0]_coperdefault" xfId="135"/>
    <cellStyle name="Comma [0]_Cur 5100" xfId="136"/>
    <cellStyle name="Comma [0]_DEFAULT" xfId="137"/>
    <cellStyle name="Comma [0]_dimon" xfId="138"/>
    <cellStyle name="Comma [0]_Dowell C1b" xfId="139"/>
    <cellStyle name="Comma [0]_Dowell-C1a" xfId="140"/>
    <cellStyle name="Comma [0]_E&amp;ONW1" xfId="141"/>
    <cellStyle name="Comma [0]_E&amp;ONW2" xfId="142"/>
    <cellStyle name="Comma [0]_E&amp;OOCPX" xfId="143"/>
    <cellStyle name="Comma [0]_emserdefault" xfId="144"/>
    <cellStyle name="Comma [0]_F&amp;COCPX" xfId="145"/>
    <cellStyle name="Comma [0]_FP 20 A (1)" xfId="146"/>
    <cellStyle name="Comma [0]_FP 20 A (2)" xfId="147"/>
    <cellStyle name="Comma [0]_FP-20 (App. E)" xfId="148"/>
    <cellStyle name="Comma [0]_FP-20 (App.A) " xfId="149"/>
    <cellStyle name="Comma [0]_FP-20 (App.D)" xfId="150"/>
    <cellStyle name="Comma [0]_FP-20(App.B)" xfId="151"/>
    <cellStyle name="Comma [0]_FP-20(C1) (a)" xfId="152"/>
    <cellStyle name="Comma [0]_FP-20(C1) (a) (2)" xfId="153"/>
    <cellStyle name="Comma [0]_FP-20(C1) (b)" xfId="154"/>
    <cellStyle name="Comma [0]_FP-20(C1) (b) " xfId="155"/>
    <cellStyle name="Comma [0]_FP-20(C1) (b) (2)" xfId="156"/>
    <cellStyle name="Comma [0]_Full Year FY96" xfId="157"/>
    <cellStyle name="Comma [0]_GenAssum" xfId="158"/>
    <cellStyle name="Comma [0]_GP C1a" xfId="159"/>
    <cellStyle name="Comma [0]_GP C1b" xfId="160"/>
    <cellStyle name="Comma [0]_GP_EI_3" xfId="161"/>
    <cellStyle name="Comma [0]_GQ C1A" xfId="162"/>
    <cellStyle name="Comma [0]_GQ C1B" xfId="163"/>
    <cellStyle name="Comma [0]_groups" xfId="164"/>
    <cellStyle name="Comma [0]_Inputs" xfId="165"/>
    <cellStyle name="Comma [0]_IPM C1b" xfId="166"/>
    <cellStyle name="Comma [0]_IPMC1a" xfId="167"/>
    <cellStyle name="Comma [0]_IS-Hold" xfId="168"/>
    <cellStyle name="Comma [0]_ITOCPX" xfId="169"/>
    <cellStyle name="Comma [0]_laroux" xfId="170"/>
    <cellStyle name="Comma [0]_laroux_1" xfId="171"/>
    <cellStyle name="Comma [0]_laroux_12~3SO2" xfId="172"/>
    <cellStyle name="Comma [0]_laroux_1_12~3SO2" xfId="173"/>
    <cellStyle name="Comma [0]_laroux_1_dimon" xfId="174"/>
    <cellStyle name="Comma [0]_laroux_1_dimon_1" xfId="175"/>
    <cellStyle name="Comma [0]_laroux_1_dimon_2" xfId="176"/>
    <cellStyle name="Comma [0]_laroux_1_laroux" xfId="177"/>
    <cellStyle name="Comma [0]_laroux_1_pldt" xfId="178"/>
    <cellStyle name="Comma [0]_laroux_1_PLDT_dimon" xfId="179"/>
    <cellStyle name="Comma [0]_laroux_1_VERA" xfId="180"/>
    <cellStyle name="Comma [0]_laroux_1_VIRUS-EDY" xfId="181"/>
    <cellStyle name="Comma [0]_laroux_2" xfId="182"/>
    <cellStyle name="Comma [0]_laroux_2_12~3SO2" xfId="183"/>
    <cellStyle name="Comma [0]_laroux_2_dimon" xfId="184"/>
    <cellStyle name="Comma [0]_laroux_2_dimon_1" xfId="185"/>
    <cellStyle name="Comma [0]_laroux_2_laroux" xfId="186"/>
    <cellStyle name="Comma [0]_laroux_2_laroux_dimon" xfId="187"/>
    <cellStyle name="Comma [0]_laroux_2_pldt" xfId="188"/>
    <cellStyle name="Comma [0]_laroux_2_VERA" xfId="189"/>
    <cellStyle name="Comma [0]_laroux_3" xfId="190"/>
    <cellStyle name="Comma [0]_laroux_3_dimon" xfId="191"/>
    <cellStyle name="Comma [0]_laroux_3_dimon_1" xfId="192"/>
    <cellStyle name="Comma [0]_laroux_dimon" xfId="193"/>
    <cellStyle name="Comma [0]_laroux_dimon_1" xfId="194"/>
    <cellStyle name="Comma [0]_laroux_laroux" xfId="195"/>
    <cellStyle name="Comma [0]_laroux_laroux_1" xfId="196"/>
    <cellStyle name="Comma [0]_laroux_laroux_dimon" xfId="197"/>
    <cellStyle name="Comma [0]_laroux_MATERAL2" xfId="198"/>
    <cellStyle name="Comma [0]_laroux_MATERAL2_dimon" xfId="199"/>
    <cellStyle name="Comma [0]_laroux_MATERAL2_dimon_1" xfId="200"/>
    <cellStyle name="Comma [0]_laroux_MATERAL2_laroux" xfId="201"/>
    <cellStyle name="Comma [0]_laroux_MATERAL2_laroux_dimon" xfId="202"/>
    <cellStyle name="Comma [0]_laroux_MATERAL2_pldt" xfId="203"/>
    <cellStyle name="Comma [0]_laroux_MATERAL2_VERA" xfId="204"/>
    <cellStyle name="Comma [0]_laroux_MATERAL2_VIRUS-EDY" xfId="205"/>
    <cellStyle name="Comma [0]_laroux_mud plant bolted" xfId="206"/>
    <cellStyle name="Comma [0]_laroux_mud plant bolted_dimon" xfId="207"/>
    <cellStyle name="Comma [0]_laroux_mud plant bolted_dimon_1" xfId="208"/>
    <cellStyle name="Comma [0]_laroux_PLDT" xfId="209"/>
    <cellStyle name="Comma [0]_laroux_VERA" xfId="210"/>
    <cellStyle name="Comma [0]_laroux_VERA_1" xfId="211"/>
    <cellStyle name="Comma [0]_laroux_VIRUS-EDY" xfId="212"/>
    <cellStyle name="Comma [0]_MACRO1.XLM" xfId="213"/>
    <cellStyle name="Comma [0]_MATERAL2" xfId="214"/>
    <cellStyle name="Comma [0]_MATERAL2_dimon" xfId="215"/>
    <cellStyle name="Comma [0]_MATERAL2_dimon_1" xfId="216"/>
    <cellStyle name="Comma [0]_MKGOCPX" xfId="217"/>
    <cellStyle name="Comma [0]_MOBCPX" xfId="218"/>
    <cellStyle name="Comma [0]_mud plant bolted" xfId="219"/>
    <cellStyle name="Comma [0]_mud plant bolted_dimon" xfId="220"/>
    <cellStyle name="Comma [0]_mud plant bolted_dimon_1" xfId="221"/>
    <cellStyle name="Comma [0]_mud plant bolted_laroux" xfId="222"/>
    <cellStyle name="Comma [0]_mud plant bolted_laroux_dimon" xfId="223"/>
    <cellStyle name="Comma [0]_mud plant bolted_pldt" xfId="224"/>
    <cellStyle name="Comma [0]_mud plant bolted_VERA" xfId="225"/>
    <cellStyle name="Comma [0]_mud plant bolted_VIRUS-EDY" xfId="226"/>
    <cellStyle name="Comma [0]_Odner" xfId="227"/>
    <cellStyle name="Comma [0]_Odner (2)" xfId="228"/>
    <cellStyle name="Comma [0]_Odner (3)" xfId="229"/>
    <cellStyle name="Comma [0]_OSMOCPX" xfId="230"/>
    <cellStyle name="Comma [0]_Other Months" xfId="231"/>
    <cellStyle name="Comma [0]_P&amp;L" xfId="232"/>
    <cellStyle name="Comma [0]_pbdefault" xfId="233"/>
    <cellStyle name="Comma [0]_PERSONAL" xfId="234"/>
    <cellStyle name="Comma [0]_PGMKOCPX" xfId="235"/>
    <cellStyle name="Comma [0]_PGNW1" xfId="236"/>
    <cellStyle name="Comma [0]_PGNW2" xfId="237"/>
    <cellStyle name="Comma [0]_PGNWOCPX" xfId="238"/>
    <cellStyle name="Comma [0]_PHY_LIQ" xfId="239"/>
    <cellStyle name="Comma [0]_Pink" xfId="240"/>
    <cellStyle name="Comma [0]_Plan" xfId="241"/>
    <cellStyle name="Comma [0]_PLDT" xfId="242"/>
    <cellStyle name="Comma [0]_pldt_1" xfId="243"/>
    <cellStyle name="Comma [0]_pldt_Calculations" xfId="244"/>
    <cellStyle name="Comma [0]_pldt_dimon" xfId="245"/>
    <cellStyle name="Comma [0]_priccurv" xfId="246"/>
    <cellStyle name="Comma [0]_PROFILE4" xfId="247"/>
    <cellStyle name="Comma [0]_Projects" xfId="248"/>
    <cellStyle name="Comma [0]_Q1 FY96" xfId="249"/>
    <cellStyle name="Comma [0]_Q2 FY96" xfId="250"/>
    <cellStyle name="Comma [0]_Q3 FY96" xfId="251"/>
    <cellStyle name="Comma [0]_Q4 FY96" xfId="252"/>
    <cellStyle name="Comma [0]_QTR94_95" xfId="253"/>
    <cellStyle name="Comma [0]_Quarter End Months" xfId="254"/>
    <cellStyle name="Comma [0]_r1" xfId="255"/>
    <cellStyle name="Comma [0]_r1_dimon" xfId="256"/>
    <cellStyle name="Comma [0]_RFI" xfId="257"/>
    <cellStyle name="Comma [0]_RFI_1" xfId="258"/>
    <cellStyle name="Comma [0]_RQSTFRM" xfId="259"/>
    <cellStyle name="Comma [0]_Sales Order" xfId="260"/>
    <cellStyle name="Comma [0]_SATOCPX" xfId="261"/>
    <cellStyle name="Comma [0]_Sheet1" xfId="262"/>
    <cellStyle name="Comma [0]_Sheet1_dimon" xfId="263"/>
    <cellStyle name="Comma [0]_Sheet1_laroux" xfId="264"/>
    <cellStyle name="Comma [0]_Sheet4" xfId="265"/>
    <cellStyle name="Comma [0]_Sheet4_pldt" xfId="266"/>
    <cellStyle name="Comma [0]_Shipped" xfId="267"/>
    <cellStyle name="Comma [0]_Snr. CO" xfId="268"/>
    <cellStyle name="Comma [0]_stats" xfId="269"/>
    <cellStyle name="Comma [0]_Subcont File" xfId="270"/>
    <cellStyle name="Comma [0]_Summary Info" xfId="271"/>
    <cellStyle name="Comma [0]_SUMPAGE" xfId="272"/>
    <cellStyle name="Comma [0]_Terms Defined" xfId="273"/>
    <cellStyle name="Comma [0]_TMSNW1" xfId="274"/>
    <cellStyle name="Comma [0]_TMSNW2" xfId="275"/>
    <cellStyle name="Comma [0]_TMSOCPX" xfId="276"/>
    <cellStyle name="Comma [0]_Variance" xfId="277"/>
    <cellStyle name="Comma [0]_VIRUS-EDY" xfId="278"/>
    <cellStyle name="Comma [0]_White" xfId="279"/>
    <cellStyle name="Comma [0]_WIP Chart" xfId="280"/>
    <cellStyle name="Comma [0]_WSP" xfId="281"/>
    <cellStyle name="Comma_12~3SO2" xfId="282"/>
    <cellStyle name="Comma_29" xfId="283"/>
    <cellStyle name="Comma_A" xfId="284"/>
    <cellStyle name="Comma_A_dimon" xfId="285"/>
    <cellStyle name="Comma_algasdefault" xfId="286"/>
    <cellStyle name="Comma_algasdefault_1" xfId="287"/>
    <cellStyle name="Comma_Alternative1" xfId="288"/>
    <cellStyle name="Comma_Alternative1_1" xfId="289"/>
    <cellStyle name="Comma_App E" xfId="290"/>
    <cellStyle name="Comma_Arapahoe" xfId="291"/>
    <cellStyle name="Comma_Assumptions" xfId="292"/>
    <cellStyle name="Comma_bahiadefault" xfId="293"/>
    <cellStyle name="Comma_bahiadefault_1" xfId="294"/>
    <cellStyle name="Comma_Book3" xfId="295"/>
    <cellStyle name="Comma_C-Cap intensity" xfId="296"/>
    <cellStyle name="Comma_C-Capex%rev" xfId="297"/>
    <cellStyle name="Comma_C-Line per Staff" xfId="298"/>
    <cellStyle name="Comma_C-lines distribution" xfId="299"/>
    <cellStyle name="Comma_C-Orig PLDT lines" xfId="300"/>
    <cellStyle name="Comma_C-Ret on Rev" xfId="301"/>
    <cellStyle name="Comma_C-ROACE" xfId="302"/>
    <cellStyle name="Comma_Calculations" xfId="303"/>
    <cellStyle name="Comma_Calculations (2)" xfId="304"/>
    <cellStyle name="Comma_Calculations II" xfId="305"/>
    <cellStyle name="Comma_Calculations III" xfId="306"/>
    <cellStyle name="Comma_Calculations_1" xfId="307"/>
    <cellStyle name="Comma_Capex" xfId="308"/>
    <cellStyle name="Comma_Capex per line" xfId="309"/>
    <cellStyle name="Comma_Capex%rev" xfId="310"/>
    <cellStyle name="Comma_CAPEX94" xfId="311"/>
    <cellStyle name="Comma_CAPEX_dimon" xfId="312"/>
    <cellStyle name="Comma_CCA" xfId="313"/>
    <cellStyle name="Comma_CCOCPX" xfId="314"/>
    <cellStyle name="Comma_Channel Table" xfId="315"/>
    <cellStyle name="Comma_Charts" xfId="316"/>
    <cellStyle name="Comma_Cht-Capex per line" xfId="317"/>
    <cellStyle name="Comma_Cht-Cum Real Opr Cf" xfId="318"/>
    <cellStyle name="Comma_Cht-Dep%Rev" xfId="319"/>
    <cellStyle name="Comma_Cht-Real Opr Cf" xfId="320"/>
    <cellStyle name="Comma_Cht-Rev dist" xfId="321"/>
    <cellStyle name="Comma_Cht-Rev p line" xfId="322"/>
    <cellStyle name="Comma_Cht-Rev per Staff" xfId="323"/>
    <cellStyle name="Comma_Cht-Staff cost%revenue" xfId="324"/>
    <cellStyle name="Comma_Comm File" xfId="325"/>
    <cellStyle name="Comma_coperdefault" xfId="326"/>
    <cellStyle name="Comma_coperdefault_1" xfId="327"/>
    <cellStyle name="Comma_CROCF" xfId="328"/>
    <cellStyle name="Comma_Cum Real Opr Cf" xfId="329"/>
    <cellStyle name="Comma_Cur 5100" xfId="330"/>
    <cellStyle name="Comma_DEFAULT" xfId="331"/>
    <cellStyle name="Comma_Demand Fcst." xfId="332"/>
    <cellStyle name="Comma_Dep%Rev" xfId="333"/>
    <cellStyle name="Comma_dimon" xfId="334"/>
    <cellStyle name="Comma_dimon_1" xfId="335"/>
    <cellStyle name="Comma_Dowell C1b" xfId="336"/>
    <cellStyle name="Comma_Dowell-C1a" xfId="337"/>
    <cellStyle name="Comma_E&amp;ONW1" xfId="338"/>
    <cellStyle name="Comma_E&amp;ONW2" xfId="339"/>
    <cellStyle name="Comma_E&amp;OOCPX" xfId="340"/>
    <cellStyle name="Comma_emserdefault" xfId="341"/>
    <cellStyle name="Comma_emserdefault_1" xfId="342"/>
    <cellStyle name="Comma_EPS" xfId="343"/>
    <cellStyle name="Comma_F&amp;COCPX" xfId="344"/>
    <cellStyle name="Comma_FP 20 A (1)" xfId="345"/>
    <cellStyle name="Comma_FP 20 A (2)" xfId="346"/>
    <cellStyle name="Comma_FP-20 (App. E)" xfId="347"/>
    <cellStyle name="Comma_FP-20 (App.A) " xfId="348"/>
    <cellStyle name="Comma_FP-20 (App.D)" xfId="349"/>
    <cellStyle name="Comma_FP-20(App.B)" xfId="350"/>
    <cellStyle name="Comma_FP-20(C1) (a)" xfId="351"/>
    <cellStyle name="Comma_FP-20(C1) (a) (2)" xfId="352"/>
    <cellStyle name="Comma_FP-20(C1) (b)" xfId="353"/>
    <cellStyle name="Comma_FP-20(C1) (b) " xfId="354"/>
    <cellStyle name="Comma_FP-20(C1) (b) (2)" xfId="355"/>
    <cellStyle name="Comma_Full Year FY96" xfId="356"/>
    <cellStyle name="Comma_GenAssum" xfId="357"/>
    <cellStyle name="Comma_GP C1a" xfId="358"/>
    <cellStyle name="Comma_GP C1b" xfId="359"/>
    <cellStyle name="Comma_GP_EI_3" xfId="360"/>
    <cellStyle name="Comma_GQ C1A" xfId="361"/>
    <cellStyle name="Comma_GQ C1B" xfId="362"/>
    <cellStyle name="Comma_groups" xfId="363"/>
    <cellStyle name="Comma_Inputs" xfId="364"/>
    <cellStyle name="Comma_IPM C1b" xfId="365"/>
    <cellStyle name="Comma_IPMC1a" xfId="366"/>
    <cellStyle name="Comma_IRR" xfId="367"/>
    <cellStyle name="Comma_IS-Hold" xfId="368"/>
    <cellStyle name="Comma_ITOCPX" xfId="369"/>
    <cellStyle name="Comma_laroux" xfId="370"/>
    <cellStyle name="Comma_laroux_1" xfId="371"/>
    <cellStyle name="Comma_laroux_12~3SO2" xfId="372"/>
    <cellStyle name="Comma_laroux_1_12~3SO2" xfId="373"/>
    <cellStyle name="Comma_laroux_1_dimon" xfId="374"/>
    <cellStyle name="Comma_laroux_1_dimon_1" xfId="375"/>
    <cellStyle name="Comma_laroux_1_dimon_1_Project Costs vs Tacke 15" xfId="376"/>
    <cellStyle name="Comma_laroux_1_dimon_2" xfId="377"/>
    <cellStyle name="Comma_laroux_1_laroux" xfId="378"/>
    <cellStyle name="Comma_laroux_1_laroux_Project Costs vs Tacke 15" xfId="379"/>
    <cellStyle name="Comma_laroux_1_pldt" xfId="380"/>
    <cellStyle name="Comma_laroux_1_pldt_1" xfId="381"/>
    <cellStyle name="Comma_laroux_1_PLDT_dimon" xfId="382"/>
    <cellStyle name="Comma_laroux_1_PLDT_dimon_Project Costs vs Tacke 15" xfId="383"/>
    <cellStyle name="Comma_laroux_1_VERA" xfId="384"/>
    <cellStyle name="Comma_laroux_1_VERA_1" xfId="385"/>
    <cellStyle name="Comma_laroux_1_VERA_1_Project Costs vs Tacke 15" xfId="386"/>
    <cellStyle name="Comma_laroux_1_VIRUS-EDY" xfId="387"/>
    <cellStyle name="Comma_laroux_2" xfId="388"/>
    <cellStyle name="Comma_laroux_2_12~3SO2" xfId="389"/>
    <cellStyle name="Comma_laroux_2_dimon" xfId="390"/>
    <cellStyle name="Comma_laroux_2_dimon_1" xfId="391"/>
    <cellStyle name="Comma_laroux_2_dimon_1_Project Costs vs Tacke 15" xfId="392"/>
    <cellStyle name="Comma_laroux_2_laroux" xfId="393"/>
    <cellStyle name="Comma_laroux_2_laroux_dimon" xfId="394"/>
    <cellStyle name="Comma_laroux_2_pldt" xfId="395"/>
    <cellStyle name="Comma_laroux_2_pldt_1" xfId="396"/>
    <cellStyle name="Comma_laroux_2_PLDT_dimon" xfId="397"/>
    <cellStyle name="Comma_laroux_2_VERA" xfId="398"/>
    <cellStyle name="Comma_laroux_2_VERA_1" xfId="399"/>
    <cellStyle name="Comma_laroux_3" xfId="400"/>
    <cellStyle name="Comma_laroux_3_dimon" xfId="401"/>
    <cellStyle name="Comma_laroux_3_dimon_1" xfId="402"/>
    <cellStyle name="Comma_laroux_3_dimon_1_Project Costs vs Tacke 15" xfId="403"/>
    <cellStyle name="Comma_laroux_3_dimon_2" xfId="404"/>
    <cellStyle name="Comma_laroux_3_dimon_Project Costs vs Tacke 15" xfId="405"/>
    <cellStyle name="Comma_laroux_dimon" xfId="406"/>
    <cellStyle name="Comma_laroux_dimon_1" xfId="407"/>
    <cellStyle name="Comma_laroux_laroux" xfId="408"/>
    <cellStyle name="Comma_laroux_laroux_1" xfId="409"/>
    <cellStyle name="Comma_laroux_laroux_dimon" xfId="410"/>
    <cellStyle name="Comma_laroux_pldt" xfId="411"/>
    <cellStyle name="Comma_laroux_PLDT_dimon" xfId="412"/>
    <cellStyle name="Comma_laroux_VERA" xfId="413"/>
    <cellStyle name="Comma_laroux_VERA_1" xfId="414"/>
    <cellStyle name="Comma_laroux_VIRUS-EDY" xfId="415"/>
    <cellStyle name="Comma_Line Inst." xfId="416"/>
    <cellStyle name="Comma_MACRO1.XLM" xfId="417"/>
    <cellStyle name="Comma_MATERAL2" xfId="418"/>
    <cellStyle name="Comma_MATERAL2_dimon" xfId="419"/>
    <cellStyle name="Comma_MATERAL2_dimon_1" xfId="420"/>
    <cellStyle name="Comma_MATERAL2_dimon_1_Project Costs vs Tacke 15" xfId="421"/>
    <cellStyle name="Comma_MATERAL2_dimon_Project Costs vs Tacke 15" xfId="422"/>
    <cellStyle name="Comma_MKGOCPX" xfId="423"/>
    <cellStyle name="Comma_Mkt Shr" xfId="424"/>
    <cellStyle name="Comma_MOBCPX" xfId="425"/>
    <cellStyle name="Comma_mud plant bolted" xfId="426"/>
    <cellStyle name="Comma_NCR-C&amp;W Val" xfId="427"/>
    <cellStyle name="Comma_NCR-Cap intensity" xfId="428"/>
    <cellStyle name="Comma_NCR-Line per Staff" xfId="429"/>
    <cellStyle name="Comma_NCR-Rev dist" xfId="430"/>
    <cellStyle name="Comma_Odner" xfId="431"/>
    <cellStyle name="Comma_Odner (2)" xfId="432"/>
    <cellStyle name="Comma_Odner (3)" xfId="433"/>
    <cellStyle name="Comma_Op Cost Break" xfId="434"/>
    <cellStyle name="Comma_OSMOCPX" xfId="435"/>
    <cellStyle name="Comma_Other Months" xfId="436"/>
    <cellStyle name="Comma_P&amp;L" xfId="437"/>
    <cellStyle name="Comma_pbdefault" xfId="438"/>
    <cellStyle name="Comma_pbdefault_1" xfId="439"/>
    <cellStyle name="Comma_PERSONAL" xfId="440"/>
    <cellStyle name="Comma_PGMKOCPX" xfId="441"/>
    <cellStyle name="Comma_PGNW1" xfId="442"/>
    <cellStyle name="Comma_PGNW2" xfId="443"/>
    <cellStyle name="Comma_PGNWOCPX" xfId="444"/>
    <cellStyle name="Comma_PHY_LIQ" xfId="445"/>
    <cellStyle name="Comma_Pink" xfId="446"/>
    <cellStyle name="Comma_Plan" xfId="447"/>
    <cellStyle name="Comma_PLDT" xfId="448"/>
    <cellStyle name="Comma_pldt_1" xfId="449"/>
    <cellStyle name="Comma_pldt_2" xfId="450"/>
    <cellStyle name="Comma_pldt_Calculations" xfId="451"/>
    <cellStyle name="Comma_pldt_dimon" xfId="452"/>
    <cellStyle name="Comma_priccurv" xfId="453"/>
    <cellStyle name="Comma_PROFILE4" xfId="454"/>
    <cellStyle name="Comma_Projects" xfId="455"/>
    <cellStyle name="Comma_Q1 FY96" xfId="456"/>
    <cellStyle name="Comma_Q2 FY96" xfId="457"/>
    <cellStyle name="Comma_Q3 FY96" xfId="458"/>
    <cellStyle name="Comma_Q4 FY96" xfId="459"/>
    <cellStyle name="Comma_QTR94_95" xfId="460"/>
    <cellStyle name="Comma_Quarter End Months" xfId="461"/>
    <cellStyle name="Comma_r1" xfId="462"/>
    <cellStyle name="Comma_r1_dimon" xfId="463"/>
    <cellStyle name="Comma_Real Opr Cf" xfId="464"/>
    <cellStyle name="Comma_Real Rev per Staff (1)" xfId="465"/>
    <cellStyle name="Comma_Real Rev per Staff (2)" xfId="466"/>
    <cellStyle name="Comma_Region 2-C&amp;W" xfId="467"/>
    <cellStyle name="Comma_Return on Rev" xfId="468"/>
    <cellStyle name="Comma_Rev p line" xfId="469"/>
    <cellStyle name="Comma_RFI" xfId="470"/>
    <cellStyle name="Comma_RFI_1" xfId="471"/>
    <cellStyle name="Comma_ROACE" xfId="472"/>
    <cellStyle name="Comma_ROCF (Tot)" xfId="473"/>
    <cellStyle name="Comma_RQSTFRM" xfId="474"/>
    <cellStyle name="Comma_Sales Order" xfId="475"/>
    <cellStyle name="Comma_SATOCPX" xfId="476"/>
    <cellStyle name="Comma_Sheet1" xfId="477"/>
    <cellStyle name="Comma_Sheet1_dimon" xfId="478"/>
    <cellStyle name="Comma_Sheet1_laroux" xfId="479"/>
    <cellStyle name="Comma_Sheet4" xfId="480"/>
    <cellStyle name="Comma_Sheet4_pldt" xfId="481"/>
    <cellStyle name="Comma_Shipped" xfId="482"/>
    <cellStyle name="Comma_Snr. CO" xfId="483"/>
    <cellStyle name="Comma_Staff cost%rev" xfId="484"/>
    <cellStyle name="Comma_stats" xfId="485"/>
    <cellStyle name="Comma_Subcont File" xfId="486"/>
    <cellStyle name="Comma_Summary Info" xfId="487"/>
    <cellStyle name="Comma_SUMPAGE" xfId="488"/>
    <cellStyle name="Comma_Terms Defined" xfId="489"/>
    <cellStyle name="Comma_TMSNW1" xfId="490"/>
    <cellStyle name="Comma_TMSNW2" xfId="491"/>
    <cellStyle name="Comma_TMSOCPX" xfId="492"/>
    <cellStyle name="Comma_Total-Rev dist." xfId="493"/>
    <cellStyle name="Comma_Variance" xfId="494"/>
    <cellStyle name="Comma_VIRUS-EDY" xfId="495"/>
    <cellStyle name="Comma_White" xfId="496"/>
    <cellStyle name="Comma_WIP Chart" xfId="497"/>
    <cellStyle name="Comma_WSP" xfId="498"/>
    <cellStyle name="Currency [0]_12~3SO2" xfId="499"/>
    <cellStyle name="Currency [0]_29" xfId="500"/>
    <cellStyle name="Currency [0]_A" xfId="501"/>
    <cellStyle name="Currency [0]_A_dimon" xfId="502"/>
    <cellStyle name="Currency [0]_algasdefault" xfId="503"/>
    <cellStyle name="Currency [0]_Alternative1" xfId="504"/>
    <cellStyle name="Currency [0]_Alternative1_1" xfId="505"/>
    <cellStyle name="Currency [0]_App E" xfId="506"/>
    <cellStyle name="Currency [0]_Arapahoe" xfId="507"/>
    <cellStyle name="Currency [0]_Assumptions" xfId="508"/>
    <cellStyle name="Currency [0]_bahiadefault" xfId="509"/>
    <cellStyle name="Currency [0]_Book3" xfId="510"/>
    <cellStyle name="Currency [0]_Calculations" xfId="511"/>
    <cellStyle name="Currency [0]_Calculations (2)" xfId="512"/>
    <cellStyle name="Currency [0]_Calculations II" xfId="513"/>
    <cellStyle name="Currency [0]_Calculations III" xfId="514"/>
    <cellStyle name="Currency [0]_Calculations_1" xfId="515"/>
    <cellStyle name="Currency [0]_CAPEX" xfId="516"/>
    <cellStyle name="Currency [0]_CAPEX94" xfId="517"/>
    <cellStyle name="Currency [0]_Cardig GHS" xfId="518"/>
    <cellStyle name="Currency [0]_Cash Flows" xfId="519"/>
    <cellStyle name="Currency [0]_CCA" xfId="520"/>
    <cellStyle name="Currency [0]_CCA_Project Costs vs Tacke 15" xfId="521"/>
    <cellStyle name="Currency [0]_CCOCPX" xfId="522"/>
    <cellStyle name="Currency [0]_Channel Table" xfId="523"/>
    <cellStyle name="Currency [0]_Charts" xfId="524"/>
    <cellStyle name="Currency [0]_Comm File" xfId="525"/>
    <cellStyle name="Currency [0]_Comm File_Project Costs vs Tacke 15" xfId="526"/>
    <cellStyle name="Currency [0]_coperdefault" xfId="527"/>
    <cellStyle name="Currency [0]_Cost Code" xfId="528"/>
    <cellStyle name="Currency [0]_Cur 5100" xfId="529"/>
    <cellStyle name="Currency [0]_DEFAULT" xfId="530"/>
    <cellStyle name="Currency [0]_dimon" xfId="531"/>
    <cellStyle name="Currency [0]_dimon_1" xfId="532"/>
    <cellStyle name="Currency [0]_dimon_2" xfId="533"/>
    <cellStyle name="Currency [0]_Dowell C1b" xfId="534"/>
    <cellStyle name="Currency [0]_Dowell-C1a" xfId="535"/>
    <cellStyle name="Currency [0]_E&amp;ONW1" xfId="536"/>
    <cellStyle name="Currency [0]_E&amp;ONW2" xfId="537"/>
    <cellStyle name="Currency [0]_E&amp;OOCPX" xfId="538"/>
    <cellStyle name="Currency [0]_emserdefault" xfId="539"/>
    <cellStyle name="Currency [0]_F&amp;COCPX" xfId="540"/>
    <cellStyle name="Currency [0]_FP 20 A (1)" xfId="541"/>
    <cellStyle name="Currency [0]_FP 20 A (2)" xfId="542"/>
    <cellStyle name="Currency [0]_FP-20 (App. E)" xfId="543"/>
    <cellStyle name="Currency [0]_FP-20 (App.A) " xfId="544"/>
    <cellStyle name="Currency [0]_FP-20 (App.D)" xfId="545"/>
    <cellStyle name="Currency [0]_FP-20(App.B)" xfId="546"/>
    <cellStyle name="Currency [0]_FP-20(C1) (a)" xfId="547"/>
    <cellStyle name="Currency [0]_FP-20(C1) (a) (2)" xfId="548"/>
    <cellStyle name="Currency [0]_FP-20(C1) (b)" xfId="549"/>
    <cellStyle name="Currency [0]_FP-20(C1) (b) " xfId="550"/>
    <cellStyle name="Currency [0]_FP-20(C1) (b) (2)" xfId="551"/>
    <cellStyle name="Currency [0]_Full Year FY96" xfId="552"/>
    <cellStyle name="Currency [0]_GenAssum" xfId="553"/>
    <cellStyle name="Currency [0]_GP C1a" xfId="554"/>
    <cellStyle name="Currency [0]_GP C1b" xfId="555"/>
    <cellStyle name="Currency [0]_GP_EI_3" xfId="556"/>
    <cellStyle name="Currency [0]_GQ C1A" xfId="557"/>
    <cellStyle name="Currency [0]_GQ C1B" xfId="558"/>
    <cellStyle name="Currency [0]_groups" xfId="559"/>
    <cellStyle name="Currency [0]_Inputs" xfId="560"/>
    <cellStyle name="Currency [0]_IPM C1b" xfId="561"/>
    <cellStyle name="Currency [0]_IPMC1a" xfId="562"/>
    <cellStyle name="Currency [0]_IS-Hold" xfId="563"/>
    <cellStyle name="Currency [0]_ITOCPX" xfId="564"/>
    <cellStyle name="Currency [0]_laroux" xfId="565"/>
    <cellStyle name="Currency [0]_laroux_1" xfId="566"/>
    <cellStyle name="Currency [0]_laroux_12~3SO2" xfId="567"/>
    <cellStyle name="Currency [0]_laroux_1_12~3SO2" xfId="568"/>
    <cellStyle name="Currency [0]_laroux_1_dimon" xfId="569"/>
    <cellStyle name="Currency [0]_laroux_1_dimon_1" xfId="570"/>
    <cellStyle name="Currency [0]_laroux_1_dimon_2" xfId="571"/>
    <cellStyle name="Currency [0]_laroux_1_dimon_3" xfId="572"/>
    <cellStyle name="Currency [0]_laroux_1_laroux" xfId="573"/>
    <cellStyle name="Currency [0]_laroux_1_laroux_1" xfId="574"/>
    <cellStyle name="Currency [0]_laroux_1_laroux_dimon" xfId="575"/>
    <cellStyle name="Currency [0]_laroux_1_Locas" xfId="576"/>
    <cellStyle name="Currency [0]_laroux_1_pldt" xfId="577"/>
    <cellStyle name="Currency [0]_laroux_1_PLDT_dimon" xfId="578"/>
    <cellStyle name="Currency [0]_laroux_1_VERA" xfId="579"/>
    <cellStyle name="Currency [0]_laroux_1_VERA_1" xfId="580"/>
    <cellStyle name="Currency [0]_laroux_1_VIRUS-EDY" xfId="581"/>
    <cellStyle name="Currency [0]_laroux_2" xfId="582"/>
    <cellStyle name="Currency [0]_laroux_2_12~3SO2" xfId="583"/>
    <cellStyle name="Currency [0]_laroux_2_dimon" xfId="584"/>
    <cellStyle name="Currency [0]_laroux_2_dimon_1" xfId="585"/>
    <cellStyle name="Currency [0]_laroux_2_dimon_2" xfId="586"/>
    <cellStyle name="Currency [0]_laroux_2_dimon_3" xfId="587"/>
    <cellStyle name="Currency [0]_laroux_2_laroux" xfId="588"/>
    <cellStyle name="Currency [0]_laroux_2_laroux_dimon" xfId="589"/>
    <cellStyle name="Currency [0]_laroux_2_Locas" xfId="590"/>
    <cellStyle name="Currency [0]_laroux_2_pldt" xfId="591"/>
    <cellStyle name="Currency [0]_laroux_2_PLDT_dimon" xfId="592"/>
    <cellStyle name="Currency [0]_laroux_2_VIRUS-EDY" xfId="593"/>
    <cellStyle name="Currency [0]_laroux_3" xfId="594"/>
    <cellStyle name="Currency [0]_laroux_3_12~3SO2" xfId="595"/>
    <cellStyle name="Currency [0]_laroux_3_dimon" xfId="596"/>
    <cellStyle name="Currency [0]_laroux_3_dimon_1" xfId="597"/>
    <cellStyle name="Currency [0]_laroux_3_dimon_2" xfId="598"/>
    <cellStyle name="Currency [0]_laroux_3_dimon_3" xfId="599"/>
    <cellStyle name="Currency [0]_laroux_4" xfId="600"/>
    <cellStyle name="Currency [0]_laroux_4_dimon" xfId="601"/>
    <cellStyle name="Currency [0]_laroux_4_dimon_1" xfId="602"/>
    <cellStyle name="Currency [0]_laroux_4_dimon_2" xfId="603"/>
    <cellStyle name="Currency [0]_laroux_5" xfId="604"/>
    <cellStyle name="Currency [0]_laroux_6" xfId="605"/>
    <cellStyle name="Currency [0]_laroux_7" xfId="606"/>
    <cellStyle name="Currency [0]_laroux_dimon" xfId="607"/>
    <cellStyle name="Currency [0]_laroux_dimon_1" xfId="608"/>
    <cellStyle name="Currency [0]_laroux_dimon_2" xfId="609"/>
    <cellStyle name="Currency [0]_laroux_dimon_3" xfId="610"/>
    <cellStyle name="Currency [0]_laroux_laroux" xfId="611"/>
    <cellStyle name="Currency [0]_laroux_laroux_1" xfId="612"/>
    <cellStyle name="Currency [0]_laroux_laroux_1_dimon" xfId="613"/>
    <cellStyle name="Currency [0]_laroux_laroux_dimon" xfId="614"/>
    <cellStyle name="Currency [0]_laroux_Locas" xfId="615"/>
    <cellStyle name="Currency [0]_laroux_MATERAL2" xfId="616"/>
    <cellStyle name="Currency [0]_laroux_MATERAL2_dimon" xfId="617"/>
    <cellStyle name="Currency [0]_laroux_MATERAL2_laroux" xfId="618"/>
    <cellStyle name="Currency [0]_laroux_MATERAL2_laroux_dimon" xfId="619"/>
    <cellStyle name="Currency [0]_laroux_MATERAL2_pldt" xfId="620"/>
    <cellStyle name="Currency [0]_laroux_MATERAL2_VERA" xfId="621"/>
    <cellStyle name="Currency [0]_laroux_MATERAL2_VIRUS-EDY" xfId="622"/>
    <cellStyle name="Currency [0]_laroux_mud plant bolted" xfId="623"/>
    <cellStyle name="Currency [0]_laroux_mud plant bolted_dimon" xfId="624"/>
    <cellStyle name="Currency [0]_laroux_mud plant bolted_dimon_1" xfId="625"/>
    <cellStyle name="Currency [0]_laroux_pldt" xfId="626"/>
    <cellStyle name="Currency [0]_laroux_VERA" xfId="627"/>
    <cellStyle name="Currency [0]_laroux_VERA_1" xfId="628"/>
    <cellStyle name="Currency [0]_laroux_VIRUS-EDY" xfId="629"/>
    <cellStyle name="Currency [0]_List" xfId="630"/>
    <cellStyle name="Currency [0]_MACRO1.XLM" xfId="631"/>
    <cellStyle name="Currency [0]_MATERAL2" xfId="632"/>
    <cellStyle name="Currency [0]_MATERAL2_dimon" xfId="633"/>
    <cellStyle name="Currency [0]_MATERAL2_dimon_1" xfId="634"/>
    <cellStyle name="Currency [0]_MKGOCPX" xfId="635"/>
    <cellStyle name="Currency [0]_MOBCPX" xfId="636"/>
    <cellStyle name="Currency [0]_mud plant bolted" xfId="637"/>
    <cellStyle name="Currency [0]_mud plant bolted_dimon" xfId="638"/>
    <cellStyle name="Currency [0]_mud plant bolted_laroux" xfId="639"/>
    <cellStyle name="Currency [0]_mud plant bolted_laroux_dimon" xfId="640"/>
    <cellStyle name="Currency [0]_mud plant bolted_pldt" xfId="641"/>
    <cellStyle name="Currency [0]_mud plant bolted_VERA" xfId="642"/>
    <cellStyle name="Currency [0]_mud plant bolted_VIRUS-EDY" xfId="643"/>
    <cellStyle name="Currency [0]_Odner" xfId="644"/>
    <cellStyle name="Currency [0]_Odner (2)" xfId="645"/>
    <cellStyle name="Currency [0]_Odner (2)_Project Costs vs Tacke 15" xfId="646"/>
    <cellStyle name="Currency [0]_Odner (3)" xfId="647"/>
    <cellStyle name="Currency [0]_Odner (3)_Project Costs vs Tacke 15" xfId="648"/>
    <cellStyle name="Currency [0]_Odner_Project Costs vs Tacke 15" xfId="649"/>
    <cellStyle name="Currency [0]_OSMOCPX" xfId="650"/>
    <cellStyle name="Currency [0]_Other Months" xfId="651"/>
    <cellStyle name="Currency [0]_P&amp;L" xfId="652"/>
    <cellStyle name="Currency [0]_pbdefault" xfId="653"/>
    <cellStyle name="Currency [0]_PERSONAL" xfId="654"/>
    <cellStyle name="Currency [0]_PGMKOCPX" xfId="655"/>
    <cellStyle name="Currency [0]_PGNW1" xfId="656"/>
    <cellStyle name="Currency [0]_PGNW2" xfId="657"/>
    <cellStyle name="Currency [0]_PGNWOCPX" xfId="658"/>
    <cellStyle name="Currency [0]_PHY_LIQ" xfId="659"/>
    <cellStyle name="Currency [0]_Pink" xfId="660"/>
    <cellStyle name="Currency [0]_Plan" xfId="661"/>
    <cellStyle name="Currency [0]_Plan_Project Costs vs Tacke 15" xfId="662"/>
    <cellStyle name="Currency [0]_PLDT" xfId="663"/>
    <cellStyle name="Currency [0]_pldt_1" xfId="664"/>
    <cellStyle name="Currency [0]_PLDT_1_dimon" xfId="665"/>
    <cellStyle name="Currency [0]_pldt_1_dimon_1" xfId="666"/>
    <cellStyle name="Currency [0]_pldt_2" xfId="667"/>
    <cellStyle name="Currency [0]_pldt_Calculations" xfId="668"/>
    <cellStyle name="Currency [0]_PLDT_dimon" xfId="669"/>
    <cellStyle name="Currency [0]_pldt_dimon_1" xfId="670"/>
    <cellStyle name="Currency [0]_priccurv" xfId="671"/>
    <cellStyle name="Currency [0]_PROFILE4" xfId="672"/>
    <cellStyle name="Currency [0]_Projects" xfId="673"/>
    <cellStyle name="Currency [0]_Projects_Project Costs vs Tacke 15" xfId="674"/>
    <cellStyle name="Currency [0]_Q1 FY96" xfId="675"/>
    <cellStyle name="Currency [0]_Q2 FY96" xfId="676"/>
    <cellStyle name="Currency [0]_Q3 FY96" xfId="677"/>
    <cellStyle name="Currency [0]_Q4 FY96" xfId="678"/>
    <cellStyle name="Currency [0]_QTR94_95" xfId="679"/>
    <cellStyle name="Currency [0]_Quarter End Months" xfId="680"/>
    <cellStyle name="Currency [0]_r1" xfId="681"/>
    <cellStyle name="Currency [0]_r1_dimon" xfId="682"/>
    <cellStyle name="Currency [0]_RFI" xfId="683"/>
    <cellStyle name="Currency [0]_RFI_1" xfId="684"/>
    <cellStyle name="Currency [0]_RFI_1_Project Costs vs Tacke 15" xfId="685"/>
    <cellStyle name="Currency [0]_RQSTFRM" xfId="686"/>
    <cellStyle name="Currency [0]_Sales Order" xfId="687"/>
    <cellStyle name="Currency [0]_SATOCPX" xfId="688"/>
    <cellStyle name="Currency [0]_Sheet1" xfId="689"/>
    <cellStyle name="Currency [0]_Sheet1 (2)" xfId="690"/>
    <cellStyle name="Currency [0]_Sheet1_dimon" xfId="691"/>
    <cellStyle name="Currency [0]_Sheet1_laroux" xfId="692"/>
    <cellStyle name="Currency [0]_Sheet4" xfId="693"/>
    <cellStyle name="Currency [0]_Sheet4_pldt" xfId="694"/>
    <cellStyle name="Currency [0]_Shipped" xfId="695"/>
    <cellStyle name="Currency [0]_Snr. CO" xfId="696"/>
    <cellStyle name="Currency [0]_Snr. CO_Project Costs vs Tacke 15" xfId="697"/>
    <cellStyle name="Currency [0]_stats" xfId="698"/>
    <cellStyle name="Currency [0]_Subcont File" xfId="699"/>
    <cellStyle name="Currency [0]_Subcont File_Project Costs vs Tacke 15" xfId="700"/>
    <cellStyle name="Currency [0]_Summary Info" xfId="701"/>
    <cellStyle name="Currency [0]_Summary Info_Project Costs vs Tacke 15" xfId="702"/>
    <cellStyle name="Currency [0]_SUMPAGE" xfId="703"/>
    <cellStyle name="Currency [0]_Terms Defined" xfId="704"/>
    <cellStyle name="Currency [0]_TMSNW1" xfId="705"/>
    <cellStyle name="Currency [0]_TMSNW2" xfId="706"/>
    <cellStyle name="Currency [0]_TMSOCPX" xfId="707"/>
    <cellStyle name="Currency [0]_Variance" xfId="708"/>
    <cellStyle name="Currency [0]_VERA" xfId="709"/>
    <cellStyle name="Currency [0]_VIRUS-EDY" xfId="710"/>
    <cellStyle name="Currency [0]_VIRUS-EDY_1" xfId="711"/>
    <cellStyle name="Currency [0]_White" xfId="712"/>
    <cellStyle name="Currency [0]_WIP Chart" xfId="713"/>
    <cellStyle name="Currency [0]_WSP" xfId="714"/>
    <cellStyle name="Currency_12~3SO2" xfId="715"/>
    <cellStyle name="Currency_29" xfId="716"/>
    <cellStyle name="Currency_A" xfId="717"/>
    <cellStyle name="Currency_A_dimon" xfId="718"/>
    <cellStyle name="Currency_algasdefault" xfId="719"/>
    <cellStyle name="Currency_algasdefault_1" xfId="720"/>
    <cellStyle name="Currency_Alternative1" xfId="721"/>
    <cellStyle name="Currency_Alternative1_1" xfId="722"/>
    <cellStyle name="Currency_App E" xfId="723"/>
    <cellStyle name="Currency_Arapahoe" xfId="724"/>
    <cellStyle name="Currency_Assumptions" xfId="725"/>
    <cellStyle name="Currency_bahiadefault" xfId="726"/>
    <cellStyle name="Currency_bahiadefault_1" xfId="727"/>
    <cellStyle name="Currency_BIGOUT" xfId="728"/>
    <cellStyle name="Currency_Book3" xfId="729"/>
    <cellStyle name="Currency_Calculations" xfId="730"/>
    <cellStyle name="Currency_Calculations (2)" xfId="731"/>
    <cellStyle name="Currency_Calculations II" xfId="732"/>
    <cellStyle name="Currency_Calculations III" xfId="733"/>
    <cellStyle name="Currency_Calculations_1" xfId="734"/>
    <cellStyle name="Currency_CAPEX" xfId="735"/>
    <cellStyle name="Currency_CAPEX94" xfId="736"/>
    <cellStyle name="Currency_Cardig GHS" xfId="737"/>
    <cellStyle name="Currency_Cash Flows" xfId="738"/>
    <cellStyle name="Currency_CCA" xfId="739"/>
    <cellStyle name="Currency_CCOCPX" xfId="740"/>
    <cellStyle name="Currency_Channel Table" xfId="741"/>
    <cellStyle name="Currency_Charts" xfId="742"/>
    <cellStyle name="Currency_Comm File" xfId="743"/>
    <cellStyle name="Currency_coperdefault" xfId="744"/>
    <cellStyle name="Currency_coperdefault_1" xfId="745"/>
    <cellStyle name="Currency_Cost Code" xfId="746"/>
    <cellStyle name="Currency_Cur 5100" xfId="747"/>
    <cellStyle name="Currency_DEFAULT" xfId="748"/>
    <cellStyle name="Currency_dimon" xfId="749"/>
    <cellStyle name="Currency_dimon_1" xfId="750"/>
    <cellStyle name="Currency_dimon_2" xfId="751"/>
    <cellStyle name="Currency_Dowell C1b" xfId="752"/>
    <cellStyle name="Currency_Dowell-C1a" xfId="753"/>
    <cellStyle name="Currency_E&amp;ONW1" xfId="754"/>
    <cellStyle name="Currency_E&amp;ONW2" xfId="755"/>
    <cellStyle name="Currency_E&amp;OOCPX" xfId="756"/>
    <cellStyle name="Currency_emserdefault" xfId="757"/>
    <cellStyle name="Currency_emserdefault_1" xfId="758"/>
    <cellStyle name="Currency_F&amp;COCPX" xfId="759"/>
    <cellStyle name="Currency_FP 20 A (1)" xfId="760"/>
    <cellStyle name="Currency_FP 20 A (2)" xfId="761"/>
    <cellStyle name="Currency_FP-20 (App. E)" xfId="762"/>
    <cellStyle name="Currency_FP-20 (App.A) " xfId="763"/>
    <cellStyle name="Currency_FP-20 (App.D)" xfId="764"/>
    <cellStyle name="Currency_FP-20(App.B)" xfId="765"/>
    <cellStyle name="Currency_FP-20(C1) (a)" xfId="766"/>
    <cellStyle name="Currency_FP-20(C1) (a) (2)" xfId="767"/>
    <cellStyle name="Currency_FP-20(C1) (b)" xfId="768"/>
    <cellStyle name="Currency_FP-20(C1) (b) " xfId="769"/>
    <cellStyle name="Currency_FP-20(C1) (b) (2)" xfId="770"/>
    <cellStyle name="Currency_Full Year FY96" xfId="771"/>
    <cellStyle name="Currency_GenAssum" xfId="772"/>
    <cellStyle name="Currency_GP C1a" xfId="773"/>
    <cellStyle name="Currency_GP C1b" xfId="774"/>
    <cellStyle name="Currency_GP_EI_3" xfId="775"/>
    <cellStyle name="Currency_GQ C1A" xfId="776"/>
    <cellStyle name="Currency_GQ C1B" xfId="777"/>
    <cellStyle name="Currency_groups" xfId="778"/>
    <cellStyle name="Currency_Inputs" xfId="779"/>
    <cellStyle name="Currency_IPM C1b" xfId="780"/>
    <cellStyle name="Currency_IPMC1a" xfId="781"/>
    <cellStyle name="Currency_IS-Hold" xfId="782"/>
    <cellStyle name="Currency_ITOCPX" xfId="783"/>
    <cellStyle name="Currency_laroux" xfId="784"/>
    <cellStyle name="Currency_laroux_1" xfId="785"/>
    <cellStyle name="Currency_laroux_12~3SO2" xfId="786"/>
    <cellStyle name="Currency_laroux_1_12~3SO2" xfId="787"/>
    <cellStyle name="Currency_laroux_1_dimon" xfId="788"/>
    <cellStyle name="Currency_laroux_1_dimon_1" xfId="789"/>
    <cellStyle name="Currency_laroux_1_dimon_1_Project Costs vs Tacke 15" xfId="790"/>
    <cellStyle name="Currency_laroux_1_dimon_2" xfId="791"/>
    <cellStyle name="Currency_laroux_1_dimon_3" xfId="792"/>
    <cellStyle name="Currency_laroux_1_laroux" xfId="793"/>
    <cellStyle name="Currency_laroux_1_laroux_1" xfId="794"/>
    <cellStyle name="Currency_laroux_1_laroux_1_Project Costs vs Tacke 15" xfId="795"/>
    <cellStyle name="Currency_laroux_1_laroux_dimon" xfId="796"/>
    <cellStyle name="Currency_laroux_1_Locas" xfId="797"/>
    <cellStyle name="Currency_laroux_1_Locas_Project Costs vs Tacke 15" xfId="798"/>
    <cellStyle name="Currency_laroux_1_pldt" xfId="799"/>
    <cellStyle name="Currency_laroux_1_PLDT_dimon" xfId="800"/>
    <cellStyle name="Currency_laroux_1_PLDT_dimon_Project Costs vs Tacke 15" xfId="801"/>
    <cellStyle name="Currency_laroux_1_VERA" xfId="802"/>
    <cellStyle name="Currency_laroux_1_VERA_1" xfId="803"/>
    <cellStyle name="Currency_laroux_1_VIRUS-EDY" xfId="804"/>
    <cellStyle name="Currency_laroux_2" xfId="805"/>
    <cellStyle name="Currency_laroux_2_12~3SO2" xfId="806"/>
    <cellStyle name="Currency_laroux_2_dimon" xfId="807"/>
    <cellStyle name="Currency_laroux_2_dimon_1" xfId="808"/>
    <cellStyle name="Currency_laroux_2_dimon_1_Project Costs vs Tacke 15" xfId="809"/>
    <cellStyle name="Currency_laroux_2_dimon_2" xfId="810"/>
    <cellStyle name="Currency_laroux_2_laroux" xfId="811"/>
    <cellStyle name="Currency_laroux_2_laroux_dimon" xfId="812"/>
    <cellStyle name="Currency_laroux_2_Locas" xfId="813"/>
    <cellStyle name="Currency_laroux_2_pldt" xfId="814"/>
    <cellStyle name="Currency_laroux_2_PLDT_dimon" xfId="815"/>
    <cellStyle name="Currency_laroux_2_VIRUS-EDY" xfId="816"/>
    <cellStyle name="Currency_laroux_3" xfId="817"/>
    <cellStyle name="Currency_laroux_3_12~3SO2" xfId="818"/>
    <cellStyle name="Currency_laroux_3_dimon" xfId="819"/>
    <cellStyle name="Currency_laroux_3_dimon_1" xfId="820"/>
    <cellStyle name="Currency_laroux_3_dimon_2" xfId="821"/>
    <cellStyle name="Currency_laroux_3_dimon_2_Project Costs vs Tacke 15" xfId="822"/>
    <cellStyle name="Currency_laroux_3_dimon_3" xfId="823"/>
    <cellStyle name="Currency_laroux_4" xfId="824"/>
    <cellStyle name="Currency_laroux_4_dimon" xfId="825"/>
    <cellStyle name="Currency_laroux_4_dimon_1" xfId="826"/>
    <cellStyle name="Currency_laroux_4_dimon_2" xfId="827"/>
    <cellStyle name="Currency_laroux_5" xfId="828"/>
    <cellStyle name="Currency_laroux_6" xfId="829"/>
    <cellStyle name="Currency_laroux_7" xfId="830"/>
    <cellStyle name="Currency_laroux_8" xfId="831"/>
    <cellStyle name="Currency_laroux_8_Project Costs vs Tacke 15" xfId="832"/>
    <cellStyle name="Currency_laroux_dimon" xfId="833"/>
    <cellStyle name="Currency_laroux_dimon_1" xfId="834"/>
    <cellStyle name="Currency_laroux_dimon_2" xfId="835"/>
    <cellStyle name="Currency_laroux_dimon_3" xfId="836"/>
    <cellStyle name="Currency_laroux_laroux" xfId="837"/>
    <cellStyle name="Currency_laroux_laroux_1" xfId="838"/>
    <cellStyle name="Currency_laroux_laroux_1_dimon" xfId="839"/>
    <cellStyle name="Currency_laroux_laroux_dimon" xfId="840"/>
    <cellStyle name="Currency_laroux_Locas" xfId="841"/>
    <cellStyle name="Currency_laroux_pldt" xfId="842"/>
    <cellStyle name="Currency_laroux_VERA" xfId="843"/>
    <cellStyle name="Currency_laroux_VERA_1" xfId="844"/>
    <cellStyle name="Currency_laroux_VIRUS-EDY" xfId="845"/>
    <cellStyle name="Currency_List" xfId="846"/>
    <cellStyle name="Currency_MACRO1.XLM" xfId="847"/>
    <cellStyle name="Currency_MATERAL2" xfId="848"/>
    <cellStyle name="Currency_MATERAL2_dimon" xfId="849"/>
    <cellStyle name="Currency_MATERAL2_dimon_1" xfId="850"/>
    <cellStyle name="Currency_MATERAL2_dimon_1_Project Costs vs Tacke 15" xfId="851"/>
    <cellStyle name="Currency_MKGOCPX" xfId="852"/>
    <cellStyle name="Currency_MOBCPX" xfId="853"/>
    <cellStyle name="Currency_mud plant bolted" xfId="854"/>
    <cellStyle name="Currency_mud plant bolted_dimon" xfId="855"/>
    <cellStyle name="Currency_mud plant bolted_dimon_1" xfId="856"/>
    <cellStyle name="Currency_mud plant bolted_dimon_Project Costs vs Tacke 15" xfId="857"/>
    <cellStyle name="Currency_mud plant bolted_PLDT" xfId="858"/>
    <cellStyle name="Currency_mud plant bolted_PLDT_Project Costs vs Tacke 15" xfId="859"/>
    <cellStyle name="Currency_mud plant bolted_VERA" xfId="860"/>
    <cellStyle name="Currency_mud plant bolted_VERA_1" xfId="861"/>
    <cellStyle name="Currency_Odner" xfId="862"/>
    <cellStyle name="Currency_Odner (2)" xfId="863"/>
    <cellStyle name="Currency_Odner (3)" xfId="864"/>
    <cellStyle name="Currency_OSMOCPX" xfId="865"/>
    <cellStyle name="Currency_Other Months" xfId="866"/>
    <cellStyle name="Currency_P&amp;L" xfId="867"/>
    <cellStyle name="Currency_pbdefault" xfId="868"/>
    <cellStyle name="Currency_pbdefault_1" xfId="869"/>
    <cellStyle name="Currency_PERSONAL" xfId="870"/>
    <cellStyle name="Currency_PGMKOCPX" xfId="871"/>
    <cellStyle name="Currency_PGNW1" xfId="872"/>
    <cellStyle name="Currency_PGNW2" xfId="873"/>
    <cellStyle name="Currency_PGNWOCPX" xfId="874"/>
    <cellStyle name="Currency_PHY_LIQ" xfId="875"/>
    <cellStyle name="Currency_Pink" xfId="876"/>
    <cellStyle name="Currency_Plan" xfId="877"/>
    <cellStyle name="Currency_PLDT" xfId="878"/>
    <cellStyle name="Currency_pldt_1" xfId="879"/>
    <cellStyle name="Currency_PLDT_1_dimon" xfId="880"/>
    <cellStyle name="Currency_pldt_1_dimon_1" xfId="881"/>
    <cellStyle name="Currency_pldt_2" xfId="882"/>
    <cellStyle name="Currency_pldt_Calculations" xfId="883"/>
    <cellStyle name="Currency_PLDT_dimon" xfId="884"/>
    <cellStyle name="Currency_pldt_dimon_1" xfId="885"/>
    <cellStyle name="Currency_priccurv" xfId="886"/>
    <cellStyle name="Currency_PROFILE4" xfId="887"/>
    <cellStyle name="Currency_Projects" xfId="888"/>
    <cellStyle name="Currency_Q1 FY96" xfId="889"/>
    <cellStyle name="Currency_Q2 FY96" xfId="890"/>
    <cellStyle name="Currency_Q3 FY96" xfId="891"/>
    <cellStyle name="Currency_Q4 FY96" xfId="892"/>
    <cellStyle name="Currency_QTR94_95" xfId="893"/>
    <cellStyle name="Currency_Quarter End Months" xfId="894"/>
    <cellStyle name="Currency_r1" xfId="895"/>
    <cellStyle name="Currency_r1_dimon" xfId="896"/>
    <cellStyle name="Currency_RFI" xfId="897"/>
    <cellStyle name="Currency_RFI_1" xfId="898"/>
    <cellStyle name="Currency_RQSTFRM" xfId="899"/>
    <cellStyle name="Currency_Sales Order" xfId="900"/>
    <cellStyle name="Currency_SATOCPX" xfId="901"/>
    <cellStyle name="Currency_Sheet1" xfId="902"/>
    <cellStyle name="Currency_Sheet1 (2)" xfId="903"/>
    <cellStyle name="Currency_Sheet1_dimon" xfId="904"/>
    <cellStyle name="Currency_Sheet1_laroux" xfId="905"/>
    <cellStyle name="Currency_Sheet4" xfId="906"/>
    <cellStyle name="Currency_Sheet4_pldt" xfId="907"/>
    <cellStyle name="Currency_Shipped" xfId="908"/>
    <cellStyle name="Currency_Snr. CO" xfId="909"/>
    <cellStyle name="Currency_stats" xfId="910"/>
    <cellStyle name="Currency_Subcont File" xfId="911"/>
    <cellStyle name="Currency_Summary Info" xfId="912"/>
    <cellStyle name="Currency_SUMPAGE" xfId="913"/>
    <cellStyle name="Currency_Terms Defined" xfId="914"/>
    <cellStyle name="Currency_TMSNW1" xfId="915"/>
    <cellStyle name="Currency_TMSNW2" xfId="916"/>
    <cellStyle name="Currency_TMSOCPX" xfId="917"/>
    <cellStyle name="Currency_Variance" xfId="918"/>
    <cellStyle name="Currency_VERA" xfId="919"/>
    <cellStyle name="Currency_VIRUS-EDY" xfId="920"/>
    <cellStyle name="Currency_VIRUS-EDY_1" xfId="921"/>
    <cellStyle name="Currency_White" xfId="922"/>
    <cellStyle name="Currency_WIP Chart" xfId="923"/>
    <cellStyle name="Currency_WSP" xfId="924"/>
    <cellStyle name="Date" xfId="925"/>
    <cellStyle name="Fixed" xfId="926"/>
    <cellStyle name="Grey" xfId="927"/>
    <cellStyle name="HEADER" xfId="928"/>
    <cellStyle name="Header1" xfId="929"/>
    <cellStyle name="Header2" xfId="930"/>
    <cellStyle name="Heading 1" xfId="931"/>
    <cellStyle name="Heading2" xfId="932"/>
    <cellStyle name="HIGHLIGHT" xfId="933"/>
    <cellStyle name="Input [yellow]" xfId="934"/>
    <cellStyle name="Normal - Style1" xfId="935"/>
    <cellStyle name="Normal - Style1_dimon" xfId="936"/>
    <cellStyle name="Normal_12" xfId="937"/>
    <cellStyle name="Normal_12~3SO2" xfId="938"/>
    <cellStyle name="Normal_1998 Base Plan" xfId="939"/>
    <cellStyle name="Normal_20196" xfId="940"/>
    <cellStyle name="Normal_29" xfId="941"/>
    <cellStyle name="Normal_2CE" xfId="942"/>
    <cellStyle name="Normal_2CE Cash Flow Plan2" xfId="943"/>
    <cellStyle name="Normal_2CE-Debt" xfId="944"/>
    <cellStyle name="Normal_2ceassumpt" xfId="945"/>
    <cellStyle name="Normal_3 Year Cash Flow" xfId="946"/>
    <cellStyle name="Normal_4018fin" xfId="947"/>
    <cellStyle name="Normal_4021fin" xfId="948"/>
    <cellStyle name="Normal_A" xfId="949"/>
    <cellStyle name="Normal_A (2)" xfId="950"/>
    <cellStyle name="Normal_A_dimon" xfId="951"/>
    <cellStyle name="Normal_A_dimon_1" xfId="952"/>
    <cellStyle name="Normal_A_VERA" xfId="953"/>
    <cellStyle name="Normal_algasdefault" xfId="954"/>
    <cellStyle name="Normal_algasdefault_1" xfId="955"/>
    <cellStyle name="Normal_Alternative1" xfId="956"/>
    <cellStyle name="Normal_Alternative1_1" xfId="957"/>
    <cellStyle name="Normal_AOPS" xfId="958"/>
    <cellStyle name="Normal_App E" xfId="959"/>
    <cellStyle name="Normal_Arapahoe" xfId="960"/>
    <cellStyle name="Normal_Assumptions" xfId="961"/>
    <cellStyle name="Normal_B" xfId="962"/>
    <cellStyle name="Normal_bahiadefault" xfId="963"/>
    <cellStyle name="Normal_bahiadefault_1" xfId="964"/>
    <cellStyle name="Normal_BIGOUT" xfId="965"/>
    <cellStyle name="Normal_Book3" xfId="966"/>
    <cellStyle name="Normal_BOS Comp" xfId="967"/>
    <cellStyle name="Normal_BREPAIR" xfId="968"/>
    <cellStyle name="Normal_C-Cap intensity" xfId="969"/>
    <cellStyle name="Normal_C-Capex%rev" xfId="970"/>
    <cellStyle name="Normal_C-Line per Staff" xfId="971"/>
    <cellStyle name="Normal_C-lines distribution" xfId="972"/>
    <cellStyle name="Normal_C-Orig PLDT lines" xfId="973"/>
    <cellStyle name="Normal_C-Ret on Rev" xfId="974"/>
    <cellStyle name="Normal_C-ROACE" xfId="975"/>
    <cellStyle name="Normal_Calculations" xfId="976"/>
    <cellStyle name="Normal_Calculations (2)" xfId="977"/>
    <cellStyle name="Normal_Calculations II" xfId="978"/>
    <cellStyle name="Normal_Calculations II_1" xfId="979"/>
    <cellStyle name="Normal_Calculations III" xfId="980"/>
    <cellStyle name="Normal_Calculations_1" xfId="981"/>
    <cellStyle name="Normal_Calculations_2" xfId="982"/>
    <cellStyle name="Normal_Capex" xfId="983"/>
    <cellStyle name="Normal_Capex per line" xfId="984"/>
    <cellStyle name="Normal_Capex%rev" xfId="985"/>
    <cellStyle name="Normal_CAPEX2" xfId="986"/>
    <cellStyle name="Normal_CAPEX94" xfId="987"/>
    <cellStyle name="Normal_CAPEX_dimon" xfId="988"/>
    <cellStyle name="Normal_CAPEX_VERA" xfId="989"/>
    <cellStyle name="Normal_Cardig GHS" xfId="990"/>
    <cellStyle name="Normal_Cash Flows" xfId="991"/>
    <cellStyle name="Normal_Cashflow" xfId="992"/>
    <cellStyle name="Normal_Cashflow Financial" xfId="993"/>
    <cellStyle name="Normal_CCOCPX" xfId="994"/>
    <cellStyle name="Normal_Certs Q2" xfId="995"/>
    <cellStyle name="Normal_Certs Q2 (2)" xfId="996"/>
    <cellStyle name="Normal_Certs Q2 (2)_dimon" xfId="997"/>
    <cellStyle name="Normal_CFMACROS.XLM" xfId="998"/>
    <cellStyle name="Normal_CFMODEL.XLS" xfId="999"/>
    <cellStyle name="Normal_Channel Table" xfId="1000"/>
    <cellStyle name="Normal_Channel Table_1" xfId="1001"/>
    <cellStyle name="Normal_Channel Table_1_Macro2" xfId="1002"/>
    <cellStyle name="Normal_Channel Table_1_Module1" xfId="1003"/>
    <cellStyle name="Normal_Channel Table_2" xfId="1004"/>
    <cellStyle name="Normal_Channel Table_Channel Table" xfId="1005"/>
    <cellStyle name="Normal_Channel Table_Macro2" xfId="1006"/>
    <cellStyle name="Normal_Channel Table_Module1" xfId="1007"/>
    <cellStyle name="Normal_Cht-Capex per line" xfId="1008"/>
    <cellStyle name="Normal_Cht-Cum Real Opr Cf" xfId="1009"/>
    <cellStyle name="Normal_Cht-Dep%Rev" xfId="1010"/>
    <cellStyle name="Normal_Cht-Real Opr Cf" xfId="1011"/>
    <cellStyle name="Normal_Cht-Rev dist" xfId="1012"/>
    <cellStyle name="Normal_Cht-Rev p line" xfId="1013"/>
    <cellStyle name="Normal_Cht-Rev per Staff" xfId="1014"/>
    <cellStyle name="Normal_Cht-Staff cost%revenue" xfId="1015"/>
    <cellStyle name="Normal_Co-wide Monthly" xfId="1016"/>
    <cellStyle name="Normal_Co-wide Monthly_dimon" xfId="1017"/>
    <cellStyle name="Normal_COMOTH" xfId="1018"/>
    <cellStyle name="Normal_Cons2ndCE" xfId="1019"/>
    <cellStyle name="Normal_coperdefault" xfId="1020"/>
    <cellStyle name="Normal_coperdefault_1" xfId="1021"/>
    <cellStyle name="Normal_Cost Code" xfId="1022"/>
    <cellStyle name="Normal_Cost Summ" xfId="1023"/>
    <cellStyle name="Normal_CROCF" xfId="1024"/>
    <cellStyle name="Normal_Cum Real Opr Cf" xfId="1025"/>
    <cellStyle name="Normal_Cur 5100" xfId="1026"/>
    <cellStyle name="Normal_Curves" xfId="1027"/>
    <cellStyle name="Normal_Debt" xfId="1028"/>
    <cellStyle name="Normal_DEFAULT" xfId="1029"/>
    <cellStyle name="Normal_Demand Fcst." xfId="1030"/>
    <cellStyle name="Normal_Dep%Rev" xfId="1031"/>
    <cellStyle name="Normal_dimon" xfId="1032"/>
    <cellStyle name="Normal_dimon_1" xfId="1033"/>
    <cellStyle name="Normal_dimon_1_BOS Comp" xfId="1034"/>
    <cellStyle name="Normal_dimon_1_Project Costs vs Tacke 15" xfId="1035"/>
    <cellStyle name="Normal_dimon_2" xfId="1036"/>
    <cellStyle name="Normal_dimon_2_BOS Comp" xfId="1037"/>
    <cellStyle name="Normal_dimon_2_Project Costs vs Tacke 15" xfId="1038"/>
    <cellStyle name="Normal_dimon_3" xfId="1039"/>
    <cellStyle name="Normal_dimon_3_BOS Comp" xfId="1040"/>
    <cellStyle name="Normal_dimon_3_Project Costs vs Tacke 15" xfId="1041"/>
    <cellStyle name="Normal_dimon_4" xfId="1042"/>
    <cellStyle name="Normal_dimon_5" xfId="1043"/>
    <cellStyle name="Normal_dimon_BOS Comp" xfId="1044"/>
    <cellStyle name="Normal_dimon_Project Costs vs Tacke 15" xfId="1045"/>
    <cellStyle name="Normal_DIV" xfId="1046"/>
    <cellStyle name="Normal_Dowell C1b" xfId="1047"/>
    <cellStyle name="Normal_Dowell-C1a" xfId="1048"/>
    <cellStyle name="Normal_E&amp;ONW1" xfId="1049"/>
    <cellStyle name="Normal_E&amp;ONW2" xfId="1050"/>
    <cellStyle name="Normal_E&amp;OOCPX" xfId="1051"/>
    <cellStyle name="Normal_ELS WIP" xfId="1052"/>
    <cellStyle name="Normal_emserdefault" xfId="1053"/>
    <cellStyle name="Normal_emserdefault_1" xfId="1054"/>
    <cellStyle name="Normal_EPS" xfId="1055"/>
    <cellStyle name="Normal_EQCON" xfId="1056"/>
    <cellStyle name="Normal_EWCSum" xfId="1057"/>
    <cellStyle name="Normal_ExecSum" xfId="1058"/>
    <cellStyle name="Normal_EXTEMP1" xfId="1059"/>
    <cellStyle name="Normal_F&amp;COCPX" xfId="1060"/>
    <cellStyle name="Normal_forecast" xfId="1061"/>
    <cellStyle name="Normal_FP 20 A (1)" xfId="1062"/>
    <cellStyle name="Normal_FP 20 A (2)" xfId="1063"/>
    <cellStyle name="Normal_FP-20 (App. E)" xfId="1064"/>
    <cellStyle name="Normal_FP-20 (App.A) " xfId="1065"/>
    <cellStyle name="Normal_FP-20 (App.A) _1" xfId="1066"/>
    <cellStyle name="Normal_FP-20(C1) (a)" xfId="1067"/>
    <cellStyle name="Normal_FP-20(C1) (a) (2)" xfId="1068"/>
    <cellStyle name="Normal_FP-20(C1) (a)_1" xfId="1069"/>
    <cellStyle name="Normal_FP-20(C1) (b)" xfId="1070"/>
    <cellStyle name="Normal_FP-20(C1) (b) " xfId="1071"/>
    <cellStyle name="Normal_FP-20(C1) (b) (2)" xfId="1072"/>
    <cellStyle name="Normal_FP-20(C1) (e)" xfId="1073"/>
    <cellStyle name="Normal_FP20_C1A" xfId="1074"/>
    <cellStyle name="Normal_FP20_C1B" xfId="1075"/>
    <cellStyle name="Normal_fuel" xfId="1076"/>
    <cellStyle name="Normal_Full Year FY96" xfId="1077"/>
    <cellStyle name="Normal_GE03" xfId="1078"/>
    <cellStyle name="Normal_GE04" xfId="1079"/>
    <cellStyle name="Normal_GenAssum" xfId="1080"/>
    <cellStyle name="Normal_GP C1a" xfId="1081"/>
    <cellStyle name="Normal_GP C1b" xfId="1082"/>
    <cellStyle name="Normal_GP_EI_3" xfId="1083"/>
    <cellStyle name="Normal_GQ C1A" xfId="1084"/>
    <cellStyle name="Normal_GQ C1B" xfId="1085"/>
    <cellStyle name="Normal_groups" xfId="1086"/>
    <cellStyle name="Normal_HC" xfId="1087"/>
    <cellStyle name="Normal_Igobox" xfId="1088"/>
    <cellStyle name="Normal_Igobox_1" xfId="1089"/>
    <cellStyle name="Normal_Igobox_2" xfId="1090"/>
    <cellStyle name="Normal_Igobox_Imacros" xfId="1091"/>
    <cellStyle name="Normal_Igobox_IPP" xfId="1092"/>
    <cellStyle name="Normal_Igobox_Iprintbox" xfId="1093"/>
    <cellStyle name="Normal_Imacros" xfId="1094"/>
    <cellStyle name="Normal_Imacros_1" xfId="1095"/>
    <cellStyle name="Normal_Imacros_2" xfId="1096"/>
    <cellStyle name="Normal_INCOME STATEMENT" xfId="1097"/>
    <cellStyle name="Normal_Input" xfId="1098"/>
    <cellStyle name="Normal_INPUT_1" xfId="1099"/>
    <cellStyle name="Normal_INPUT_GenAssum" xfId="1100"/>
    <cellStyle name="Normal_Inputs" xfId="1101"/>
    <cellStyle name="Normal_Inputs_dimon" xfId="1102"/>
    <cellStyle name="Normal_INVREV" xfId="1103"/>
    <cellStyle name="Normal_IPM C1b" xfId="1104"/>
    <cellStyle name="Normal_IPMC1a" xfId="1105"/>
    <cellStyle name="Normal_IPP" xfId="1106"/>
    <cellStyle name="Normal_IPP_1" xfId="1107"/>
    <cellStyle name="Normal_IPP_1_Igobox" xfId="1108"/>
    <cellStyle name="Normal_IPP_1_Imacros" xfId="1109"/>
    <cellStyle name="Normal_IPP_1_Iprintbox" xfId="1110"/>
    <cellStyle name="Normal_IPP_2" xfId="1111"/>
    <cellStyle name="Normal_Iprintbox" xfId="1112"/>
    <cellStyle name="Normal_Iprintbox_1" xfId="1113"/>
    <cellStyle name="Normal_Iprintbox_2" xfId="1114"/>
    <cellStyle name="Normal_IRR" xfId="1115"/>
    <cellStyle name="Normal_IS-Hold" xfId="1116"/>
    <cellStyle name="Normal_Iterbox" xfId="1117"/>
    <cellStyle name="Normal_ITOCPX" xfId="1118"/>
    <cellStyle name="Normal_laroux" xfId="1119"/>
    <cellStyle name="Normal_laroux_1" xfId="1120"/>
    <cellStyle name="Normal_laroux_12~3SO2" xfId="1121"/>
    <cellStyle name="Normal_laroux_1_12~3SO2" xfId="1122"/>
    <cellStyle name="Normal_laroux_1_dimon" xfId="1123"/>
    <cellStyle name="Normal_laroux_1_dimon_1" xfId="1124"/>
    <cellStyle name="Normal_laroux_1_dimon_2" xfId="1125"/>
    <cellStyle name="Normal_laroux_1_laroux" xfId="1126"/>
    <cellStyle name="Normal_laroux_1_laroux_1" xfId="1127"/>
    <cellStyle name="Normal_laroux_1_laroux_2" xfId="1128"/>
    <cellStyle name="Normal_laroux_1_Locas" xfId="1129"/>
    <cellStyle name="Normal_laroux_1_Locas_1" xfId="1130"/>
    <cellStyle name="Normal_laroux_1_pldt" xfId="1131"/>
    <cellStyle name="Normal_laroux_1_pldt_1" xfId="1132"/>
    <cellStyle name="Normal_laroux_1_PLDT_dimon" xfId="1133"/>
    <cellStyle name="Normal_laroux_1_VERA" xfId="1134"/>
    <cellStyle name="Normal_laroux_1_VERA_1" xfId="1135"/>
    <cellStyle name="Normal_laroux_1_VIRUS-EDY" xfId="1136"/>
    <cellStyle name="Normal_laroux_2" xfId="1137"/>
    <cellStyle name="Normal_laroux_2_dimon" xfId="1138"/>
    <cellStyle name="Normal_laroux_2_dimon_1" xfId="1139"/>
    <cellStyle name="Normal_laroux_2_dimon_2" xfId="1140"/>
    <cellStyle name="Normal_laroux_2_dimon_3" xfId="1141"/>
    <cellStyle name="Normal_laroux_2_laroux" xfId="1142"/>
    <cellStyle name="Normal_laroux_2_laroux_1" xfId="1143"/>
    <cellStyle name="Normal_laroux_2_laroux_2" xfId="1144"/>
    <cellStyle name="Normal_laroux_2_Locas" xfId="1145"/>
    <cellStyle name="Normal_laroux_2_Locas_1" xfId="1146"/>
    <cellStyle name="Normal_laroux_2_pldt" xfId="1147"/>
    <cellStyle name="Normal_laroux_2_pldt_1" xfId="1148"/>
    <cellStyle name="Normal_laroux_2_VIRUS-EDY" xfId="1149"/>
    <cellStyle name="Normal_laroux_3" xfId="1150"/>
    <cellStyle name="Normal_laroux_3_dimon" xfId="1151"/>
    <cellStyle name="Normal_laroux_3_dimon_1" xfId="1152"/>
    <cellStyle name="Normal_laroux_3_dimon_2" xfId="1153"/>
    <cellStyle name="Normal_laroux_3_dimon_3" xfId="1154"/>
    <cellStyle name="Normal_laroux_3_dimon_4" xfId="1155"/>
    <cellStyle name="Normal_laroux_3_laroux" xfId="1156"/>
    <cellStyle name="Normal_laroux_3_laroux_1" xfId="1157"/>
    <cellStyle name="Normal_laroux_3_laroux_2" xfId="1158"/>
    <cellStyle name="Normal_laroux_3_Locas" xfId="1159"/>
    <cellStyle name="Normal_laroux_3_pldt" xfId="1160"/>
    <cellStyle name="Normal_laroux_3_PLDT_dimon" xfId="1161"/>
    <cellStyle name="Normal_laroux_3_VERA" xfId="1162"/>
    <cellStyle name="Normal_laroux_3_VERA_1" xfId="1163"/>
    <cellStyle name="Normal_laroux_3_VIRUS-EDY" xfId="1164"/>
    <cellStyle name="Normal_laroux_4" xfId="1165"/>
    <cellStyle name="Normal_laroux_4_dimon" xfId="1166"/>
    <cellStyle name="Normal_laroux_4_dimon_1" xfId="1167"/>
    <cellStyle name="Normal_laroux_4_dimon_2" xfId="1168"/>
    <cellStyle name="Normal_laroux_4_dimon_3" xfId="1169"/>
    <cellStyle name="Normal_laroux_4_laroux" xfId="1170"/>
    <cellStyle name="Normal_laroux_4_laroux_1" xfId="1171"/>
    <cellStyle name="Normal_laroux_4_laroux_2" xfId="1172"/>
    <cellStyle name="Normal_laroux_4_pldt" xfId="1173"/>
    <cellStyle name="Normal_laroux_4_PLDT_dimon" xfId="1174"/>
    <cellStyle name="Normal_laroux_4_VERA" xfId="1175"/>
    <cellStyle name="Normal_laroux_4_VIRUS-EDY" xfId="1176"/>
    <cellStyle name="Normal_laroux_5" xfId="1177"/>
    <cellStyle name="Normal_laroux_5_dimon" xfId="1178"/>
    <cellStyle name="Normal_laroux_5_dimon_1" xfId="1179"/>
    <cellStyle name="Normal_laroux_5_dimon_2" xfId="1180"/>
    <cellStyle name="Normal_laroux_5_dimon_3" xfId="1181"/>
    <cellStyle name="Normal_laroux_5_laroux" xfId="1182"/>
    <cellStyle name="Normal_laroux_5_laroux_1" xfId="1183"/>
    <cellStyle name="Normal_laroux_5_laroux_2" xfId="1184"/>
    <cellStyle name="Normal_laroux_5_pldt" xfId="1185"/>
    <cellStyle name="Normal_laroux_5_PLDT_dimon" xfId="1186"/>
    <cellStyle name="Normal_laroux_5_VERA" xfId="1187"/>
    <cellStyle name="Normal_laroux_5_VIRUS-EDY" xfId="1188"/>
    <cellStyle name="Normal_laroux_6" xfId="1189"/>
    <cellStyle name="Normal_laroux_6_dimon" xfId="1190"/>
    <cellStyle name="Normal_laroux_6_dimon_1" xfId="1191"/>
    <cellStyle name="Normal_laroux_6_dimon_2" xfId="1192"/>
    <cellStyle name="Normal_laroux_6_dimon_3" xfId="1193"/>
    <cellStyle name="Normal_laroux_6_laroux" xfId="1194"/>
    <cellStyle name="Normal_laroux_6_laroux_1" xfId="1195"/>
    <cellStyle name="Normal_laroux_6_pldt" xfId="1196"/>
    <cellStyle name="Normal_laroux_6_PLDT_dimon" xfId="1197"/>
    <cellStyle name="Normal_laroux_6_VERA" xfId="1198"/>
    <cellStyle name="Normal_laroux_6_VIRUS-EDY" xfId="1199"/>
    <cellStyle name="Normal_laroux_7" xfId="1200"/>
    <cellStyle name="Normal_laroux_7_dimon" xfId="1201"/>
    <cellStyle name="Normal_laroux_7_dimon_1" xfId="1202"/>
    <cellStyle name="Normal_laroux_7_dimon_2" xfId="1203"/>
    <cellStyle name="Normal_laroux_7_laroux" xfId="1204"/>
    <cellStyle name="Normal_laroux_7_VERA" xfId="1205"/>
    <cellStyle name="Normal_laroux_7_VIRUS-EDY" xfId="1206"/>
    <cellStyle name="Normal_laroux_8" xfId="1207"/>
    <cellStyle name="Normal_laroux_8_dimon" xfId="1208"/>
    <cellStyle name="Normal_laroux_8_dimon_1" xfId="1209"/>
    <cellStyle name="Normal_laroux_8_VERA" xfId="1210"/>
    <cellStyle name="Normal_laroux_9" xfId="1211"/>
    <cellStyle name="Normal_laroux_9_dimon" xfId="1212"/>
    <cellStyle name="Normal_laroux_A" xfId="1213"/>
    <cellStyle name="Normal_laroux_B" xfId="1214"/>
    <cellStyle name="Normal_laroux_C" xfId="1215"/>
    <cellStyle name="Normal_laroux_D" xfId="1216"/>
    <cellStyle name="Normal_laroux_dimon" xfId="1217"/>
    <cellStyle name="Normal_laroux_dimon_1" xfId="1218"/>
    <cellStyle name="Normal_laroux_dimon_2" xfId="1219"/>
    <cellStyle name="Normal_laroux_dimon_3" xfId="1220"/>
    <cellStyle name="Normal_laroux_dimon_4" xfId="1221"/>
    <cellStyle name="Normal_laroux_dimon_5" xfId="1222"/>
    <cellStyle name="Normal_laroux_laroux" xfId="1223"/>
    <cellStyle name="Normal_laroux_laroux_1" xfId="1224"/>
    <cellStyle name="Normal_laroux_laroux_2" xfId="1225"/>
    <cellStyle name="Normal_laroux_Locas" xfId="1226"/>
    <cellStyle name="Normal_laroux_pldt" xfId="1227"/>
    <cellStyle name="Normal_laroux_pldt_1" xfId="1228"/>
    <cellStyle name="Normal_laroux_PLDT_dimon" xfId="1229"/>
    <cellStyle name="Normal_laroux_VERA" xfId="1230"/>
    <cellStyle name="Normal_laroux_VERA_1" xfId="1231"/>
    <cellStyle name="Normal_laroux_VIRUS-EDY" xfId="1232"/>
    <cellStyle name="Normal_Libor 1year" xfId="1233"/>
    <cellStyle name="Normal_Line Inst." xfId="1234"/>
    <cellStyle name="Normal_List" xfId="1235"/>
    <cellStyle name="Normal_Locas" xfId="1236"/>
    <cellStyle name="Normal_Locas_1" xfId="1237"/>
    <cellStyle name="Normal_MACRO1.XLM" xfId="1238"/>
    <cellStyle name="Normal_Macro2" xfId="1239"/>
    <cellStyle name="Normal_MAJREP" xfId="1240"/>
    <cellStyle name="Normal_MATERAL2" xfId="1241"/>
    <cellStyle name="Normal_MATERAL2_dimon" xfId="1242"/>
    <cellStyle name="Normal_Material List NEW" xfId="1243"/>
    <cellStyle name="Normal_MID CURVE" xfId="1244"/>
    <cellStyle name="Normal_MKGOCPX" xfId="1245"/>
    <cellStyle name="Normal_Mkt Shr" xfId="1246"/>
    <cellStyle name="Normal_MOBCPX" xfId="1247"/>
    <cellStyle name="Normal_Model" xfId="1248"/>
    <cellStyle name="Normal_Module1" xfId="1249"/>
    <cellStyle name="Normal_Module1 (2)" xfId="1250"/>
    <cellStyle name="Normal_Module1 (2)_1" xfId="1251"/>
    <cellStyle name="Normal_Module1_1" xfId="1252"/>
    <cellStyle name="Normal_Module1_1_PLDT" xfId="1253"/>
    <cellStyle name="Normal_Module5" xfId="1254"/>
    <cellStyle name="Normal_monet" xfId="1255"/>
    <cellStyle name="Normal_MONTHLY" xfId="1256"/>
    <cellStyle name="Normal_MOR  - Supp" xfId="1257"/>
    <cellStyle name="Normal_mud plant bolted" xfId="1258"/>
    <cellStyle name="Normal_mud plant bolted_dimon" xfId="1259"/>
    <cellStyle name="Normal_Multikarya" xfId="1260"/>
    <cellStyle name="Normal_NCR-C&amp;W Val" xfId="1261"/>
    <cellStyle name="Normal_NCR-Cap intensity" xfId="1262"/>
    <cellStyle name="Normal_NCR-Line per Staff" xfId="1263"/>
    <cellStyle name="Normal_NCR-Rev dist" xfId="1264"/>
    <cellStyle name="Normal_Notes" xfId="1265"/>
    <cellStyle name="Normal_Op Cost Break" xfId="1266"/>
    <cellStyle name="Normal_OPSTAT" xfId="1267"/>
    <cellStyle name="Normal_OSMOCPX" xfId="1268"/>
    <cellStyle name="Normal_Other Months" xfId="1269"/>
    <cellStyle name="Normal_Other Obligations" xfId="1270"/>
    <cellStyle name="Normal_Other Obligations_1998 Base Plan" xfId="1271"/>
    <cellStyle name="Normal_P&amp;L" xfId="1272"/>
    <cellStyle name="Normal_pbdefault" xfId="1273"/>
    <cellStyle name="Normal_pbdefault_1" xfId="1274"/>
    <cellStyle name="Normal_PERSONAL" xfId="1275"/>
    <cellStyle name="Normal_PERSONAL_dimon" xfId="1276"/>
    <cellStyle name="Normal_PERSONAL_Locas" xfId="1277"/>
    <cellStyle name="Normal_PG5.XLS" xfId="1278"/>
    <cellStyle name="Normal_PGMKOCPX" xfId="1279"/>
    <cellStyle name="Normal_PGNW1" xfId="1280"/>
    <cellStyle name="Normal_PGNW2" xfId="1281"/>
    <cellStyle name="Normal_PGNWOCPX" xfId="1282"/>
    <cellStyle name="Normal_PH" xfId="1283"/>
    <cellStyle name="Normal_PH_1" xfId="1284"/>
    <cellStyle name="Normal_Pink" xfId="1285"/>
    <cellStyle name="Normal_PLDT" xfId="1286"/>
    <cellStyle name="Normal_PLDT_1" xfId="1287"/>
    <cellStyle name="Normal_pldt_1_Calculations" xfId="1288"/>
    <cellStyle name="Normal_PLDT_1_dimon" xfId="1289"/>
    <cellStyle name="Normal_PLDT_2" xfId="1290"/>
    <cellStyle name="Normal_pldt_2_Calculations" xfId="1291"/>
    <cellStyle name="Normal_PLDT_2_dimon" xfId="1292"/>
    <cellStyle name="Normal_pldt_2_dimon_1" xfId="1293"/>
    <cellStyle name="Normal_pldt_3" xfId="1294"/>
    <cellStyle name="Normal_pldt_3_dimon" xfId="1295"/>
    <cellStyle name="Normal_pldt_4" xfId="1296"/>
    <cellStyle name="Normal_pldt_4_dimon" xfId="1297"/>
    <cellStyle name="Normal_PLDT_4_dimon_1" xfId="1298"/>
    <cellStyle name="Normal_pldt_5" xfId="1299"/>
    <cellStyle name="Normal_pldt_6" xfId="1300"/>
    <cellStyle name="Normal_pldt_6_BOS Comp" xfId="1301"/>
    <cellStyle name="Normal_pldt_6_McMahon" xfId="1302"/>
    <cellStyle name="Normal_pldt_6_McMahon_BOS Comp" xfId="1303"/>
    <cellStyle name="Normal_pldt_6_McMahon_Project Costs vs Tacke 15" xfId="1304"/>
    <cellStyle name="Normal_pldt_6_Project Costs vs Tacke 15" xfId="1305"/>
    <cellStyle name="Normal_pldt_7" xfId="1306"/>
    <cellStyle name="Normal_pldt_Calculations" xfId="1307"/>
    <cellStyle name="Normal_PLDT_dimon" xfId="1308"/>
    <cellStyle name="Normal_PLDT_dimon_1" xfId="1309"/>
    <cellStyle name="Normal_POW-Provision" xfId="1310"/>
    <cellStyle name="Normal_priccurv" xfId="1311"/>
    <cellStyle name="Normal_priccurv_1" xfId="1312"/>
    <cellStyle name="Normal_priccurv_2" xfId="1313"/>
    <cellStyle name="Normal_PrintBox (2)" xfId="1314"/>
    <cellStyle name="Normal_PROD SALES" xfId="1315"/>
    <cellStyle name="Normal_PROD SALES by Region Pg 2" xfId="1316"/>
    <cellStyle name="Normal_PRODUCT" xfId="1317"/>
    <cellStyle name="Normal_Production Payment model" xfId="1318"/>
    <cellStyle name="Normal_production tony" xfId="1319"/>
    <cellStyle name="Normal_PROFILE4" xfId="1320"/>
    <cellStyle name="Normal_Project Costs vs Tacke 15" xfId="1321"/>
    <cellStyle name="Normal_Q08-95.XLS" xfId="1322"/>
    <cellStyle name="Normal_Q1 FY96" xfId="1323"/>
    <cellStyle name="Normal_Q2 FY96" xfId="1324"/>
    <cellStyle name="Normal_Q3 FY96" xfId="1325"/>
    <cellStyle name="Normal_Q4 FY96" xfId="1326"/>
    <cellStyle name="Normal_QMM-1" xfId="1327"/>
    <cellStyle name="Normal_QTR94_95" xfId="1328"/>
    <cellStyle name="Normal_Quarter End Months" xfId="1329"/>
    <cellStyle name="Normal_r1" xfId="1330"/>
    <cellStyle name="Normal_r1_dimon" xfId="1331"/>
    <cellStyle name="Normal_Real Opr Cf" xfId="1332"/>
    <cellStyle name="Normal_Real Rev per Staff (1)" xfId="1333"/>
    <cellStyle name="Normal_Real Rev per Staff (2)" xfId="1334"/>
    <cellStyle name="Normal_Reconcil to Line 660" xfId="1335"/>
    <cellStyle name="Normal_Region 2-C&amp;W" xfId="1336"/>
    <cellStyle name="Normal_Req Summ" xfId="1337"/>
    <cellStyle name="Normal_Return on Rev" xfId="1338"/>
    <cellStyle name="Normal_Rev p line" xfId="1339"/>
    <cellStyle name="Normal_ROACE" xfId="1340"/>
    <cellStyle name="Normal_ROCF (Tot)" xfId="1341"/>
    <cellStyle name="Normal_RQSTFRM" xfId="1342"/>
    <cellStyle name="Normal_Sales Order" xfId="1343"/>
    <cellStyle name="Normal_SATOCPX" xfId="1344"/>
    <cellStyle name="Normal_SC COP" xfId="1345"/>
    <cellStyle name="Normal_Sheet1" xfId="1346"/>
    <cellStyle name="Normal_Sheet1 (2)" xfId="1347"/>
    <cellStyle name="Normal_Sheet1 (2)_VERA" xfId="1348"/>
    <cellStyle name="Normal_Sheet1 (2)_VERA_1" xfId="1349"/>
    <cellStyle name="Normal_Sheet1_dimon" xfId="1350"/>
    <cellStyle name="Normal_Sheet1_dimon_1" xfId="1351"/>
    <cellStyle name="Normal_Sheet1_laroux" xfId="1352"/>
    <cellStyle name="Normal_Sheet1_List" xfId="1353"/>
    <cellStyle name="Normal_Sheet1_VERA" xfId="1354"/>
    <cellStyle name="Normal_Sheet1_VERA_1" xfId="1355"/>
    <cellStyle name="Normal_Sheet4" xfId="1356"/>
    <cellStyle name="Normal_Sheet4_pldt" xfId="1357"/>
    <cellStyle name="Normal_Shipped" xfId="1358"/>
    <cellStyle name="Normal_SOP" xfId="1359"/>
    <cellStyle name="Normal_Staff cost%rev" xfId="1360"/>
    <cellStyle name="Normal_Standard" xfId="1361"/>
    <cellStyle name="Normal_stats" xfId="1362"/>
    <cellStyle name="Normal_Summary" xfId="1363"/>
    <cellStyle name="Normal_SUMPAGE" xfId="1364"/>
    <cellStyle name="Normal_Template" xfId="1365"/>
    <cellStyle name="Normal_Terms Defined" xfId="1366"/>
    <cellStyle name="Normal_TMSNW1" xfId="1367"/>
    <cellStyle name="Normal_TMSNW2" xfId="1368"/>
    <cellStyle name="Normal_TMSOCPX" xfId="1369"/>
    <cellStyle name="Normal_Total-Rev dist." xfId="1370"/>
    <cellStyle name="Normal_Trade2ce" xfId="1371"/>
    <cellStyle name="Normal_variance" xfId="1372"/>
    <cellStyle name="Normal_Variance_1" xfId="1373"/>
    <cellStyle name="Normal_Variance_1998 Base Plan" xfId="1374"/>
    <cellStyle name="Normal_variance_2ceassumpt" xfId="1375"/>
    <cellStyle name="Normal_variance_GregA" xfId="1376"/>
    <cellStyle name="Normal_White" xfId="1377"/>
    <cellStyle name="Normal_WIP Chart" xfId="1378"/>
    <cellStyle name="Normal_WSP" xfId="1379"/>
    <cellStyle name="Normal_Zond" xfId="1380"/>
    <cellStyle name="Percent [2]" xfId="1381"/>
    <cellStyle name="Percent_12~3SO2" xfId="1382"/>
    <cellStyle name="Percent_laroux" xfId="1383"/>
    <cellStyle name="summation" xfId="1384"/>
    <cellStyle name="Total" xfId="1385"/>
    <cellStyle name="Unprot" xfId="1386"/>
    <cellStyle name="Unprot$" xfId="1387"/>
    <cellStyle name="Unprot_dimon" xfId="1388"/>
    <cellStyle name="Unprotect" xfId="1389"/>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EFEFEF"/>
      <rgbColor rgb="FF660066"/>
      <rgbColor rgb="FFFF8080"/>
      <rgbColor rgb="FF0066CC"/>
      <rgbColor rgb="FFDFDFDF"/>
      <rgbColor rgb="FF000080"/>
      <rgbColor rgb="FFFF00FF"/>
      <rgbColor rgb="FFFFFF00"/>
      <rgbColor rgb="FF00FFFF"/>
      <rgbColor rgb="FF800080"/>
      <rgbColor rgb="FF800000"/>
      <rgbColor rgb="FF008080"/>
      <rgbColor rgb="FF0000FF"/>
      <rgbColor rgb="FF00CCFF"/>
      <rgbColor rgb="FFE3E3E3"/>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800" strike="noStrike" u="none">
                <a:solidFill>
                  <a:srgbClr val="000000"/>
                </a:solidFill>
                <a:uFillTx/>
                <a:latin typeface="Arial"/>
              </a:rPr>
              <a:t>PRICE CHART</a:t>
            </a:r>
          </a:p>
        </c:rich>
      </c:tx>
      <c:overlay val="0"/>
      <c:spPr>
        <a:noFill/>
        <a:ln w="0">
          <a:noFill/>
        </a:ln>
      </c:spPr>
    </c:title>
    <c:autoTitleDeleted val="0"/>
    <c:plotArea>
      <c:layout>
        <c:manualLayout>
          <c:xMode val="edge"/>
          <c:yMode val="edge"/>
          <c:x val="0.0105311933948355"/>
          <c:y val="0.062007874015748"/>
          <c:w val="0.989468806605165"/>
          <c:h val="0.937992125984252"/>
        </c:manualLayout>
      </c:layout>
      <c:barChart>
        <c:barDir val="col"/>
        <c:grouping val="clustered"/>
        <c:varyColors val="0"/>
        <c:ser>
          <c:idx val="0"/>
          <c:order val="0"/>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CashFlow!$E$2:$AI$2</c:f>
              <c:strCache>
                <c:ptCount val="31"/>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pt idx="20">
                  <c:v>2022</c:v>
                </c:pt>
                <c:pt idx="21">
                  <c:v>2023</c:v>
                </c:pt>
                <c:pt idx="22">
                  <c:v>2024</c:v>
                </c:pt>
                <c:pt idx="23">
                  <c:v>2025</c:v>
                </c:pt>
                <c:pt idx="24">
                  <c:v>2026</c:v>
                </c:pt>
                <c:pt idx="25">
                  <c:v>2027</c:v>
                </c:pt>
                <c:pt idx="26">
                  <c:v>2028</c:v>
                </c:pt>
                <c:pt idx="27">
                  <c:v>2029</c:v>
                </c:pt>
                <c:pt idx="28">
                  <c:v>2030</c:v>
                </c:pt>
                <c:pt idx="29">
                  <c:v>2031</c:v>
                </c:pt>
                <c:pt idx="30">
                  <c:v>2032</c:v>
                </c:pt>
              </c:strCache>
            </c:strRef>
          </c:cat>
          <c:val>
            <c:numRef>
              <c:f>CashFlow!$E$8:$AI$8</c:f>
              <c:numCache>
                <c:formatCode>#,##0.00000_);[RED]\(#,##0.00000\)</c:formatCode>
                <c:ptCount val="31"/>
                <c:pt idx="0">
                  <c:v>0.0291</c:v>
                </c:pt>
                <c:pt idx="1">
                  <c:v>0.0291</c:v>
                </c:pt>
                <c:pt idx="2">
                  <c:v>0.0291</c:v>
                </c:pt>
                <c:pt idx="3">
                  <c:v>0.0291</c:v>
                </c:pt>
                <c:pt idx="4">
                  <c:v>0.0291</c:v>
                </c:pt>
                <c:pt idx="5">
                  <c:v>0.0291</c:v>
                </c:pt>
                <c:pt idx="6">
                  <c:v>0.0291</c:v>
                </c:pt>
                <c:pt idx="7">
                  <c:v>0.0291</c:v>
                </c:pt>
                <c:pt idx="8">
                  <c:v>0.0291</c:v>
                </c:pt>
                <c:pt idx="9">
                  <c:v>0.0291</c:v>
                </c:pt>
                <c:pt idx="10">
                  <c:v>0.0291</c:v>
                </c:pt>
                <c:pt idx="11">
                  <c:v>0.0291</c:v>
                </c:pt>
                <c:pt idx="12">
                  <c:v>0.0291</c:v>
                </c:pt>
                <c:pt idx="13">
                  <c:v>0.0291</c:v>
                </c:pt>
                <c:pt idx="14">
                  <c:v>0.0291</c:v>
                </c:pt>
                <c:pt idx="15">
                  <c:v>0.0291</c:v>
                </c:pt>
                <c:pt idx="16">
                  <c:v>0.0291</c:v>
                </c:pt>
                <c:pt idx="17">
                  <c:v>0.0291</c:v>
                </c:pt>
                <c:pt idx="18">
                  <c:v>0.0291</c:v>
                </c:pt>
                <c:pt idx="19">
                  <c:v>0.0291</c:v>
                </c:pt>
                <c:pt idx="20">
                  <c:v>0.0291</c:v>
                </c:pt>
                <c:pt idx="21">
                  <c:v>0.0291</c:v>
                </c:pt>
                <c:pt idx="22">
                  <c:v>0.0291</c:v>
                </c:pt>
                <c:pt idx="23">
                  <c:v>0.0291</c:v>
                </c:pt>
                <c:pt idx="24">
                  <c:v>0.0291</c:v>
                </c:pt>
                <c:pt idx="25">
                  <c:v>0.0291</c:v>
                </c:pt>
                <c:pt idx="26">
                  <c:v>0.0291</c:v>
                </c:pt>
                <c:pt idx="27">
                  <c:v>0.0291</c:v>
                </c:pt>
                <c:pt idx="28">
                  <c:v>0.0291</c:v>
                </c:pt>
                <c:pt idx="29">
                  <c:v>0.0291</c:v>
                </c:pt>
                <c:pt idx="30">
                  <c:v>0.0291</c:v>
                </c:pt>
              </c:numCache>
            </c:numRef>
          </c:val>
        </c:ser>
        <c:gapWidth val="10"/>
        <c:overlap val="0"/>
        <c:axId val="63042027"/>
        <c:axId val="49479160"/>
      </c:barChart>
      <c:catAx>
        <c:axId val="63042027"/>
        <c:scaling>
          <c:orientation val="minMax"/>
        </c:scaling>
        <c:delete val="0"/>
        <c:axPos val="b"/>
        <c:numFmt formatCode="[$-409]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49479160"/>
        <c:crossesAt val="0"/>
        <c:auto val="1"/>
        <c:lblAlgn val="ctr"/>
        <c:lblOffset val="100"/>
        <c:noMultiLvlLbl val="0"/>
      </c:catAx>
      <c:valAx>
        <c:axId val="49479160"/>
        <c:scaling>
          <c:orientation val="minMax"/>
        </c:scaling>
        <c:delete val="0"/>
        <c:axPos val="l"/>
        <c:majorGridlines>
          <c:spPr>
            <a:ln w="0">
              <a:solidFill>
                <a:srgbClr val="000000">
                  <a:alpha val="50000"/>
                </a:srgbClr>
              </a:solidFill>
            </a:ln>
          </c:spPr>
        </c:majorGridlines>
        <c:numFmt formatCode="#,##0.000_);[RED]\(#,##0.000\)" sourceLinked="0"/>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63042027"/>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2050" strike="noStrike" u="none">
                <a:solidFill>
                  <a:srgbClr val="000000"/>
                </a:solidFill>
                <a:uFillTx/>
                <a:latin typeface="Arial"/>
              </a:rPr>
              <a:t>Debt Amortisation Chart</a:t>
            </a:r>
          </a:p>
        </c:rich>
      </c:tx>
      <c:overlay val="0"/>
      <c:spPr>
        <a:noFill/>
        <a:ln w="0">
          <a:noFill/>
        </a:ln>
      </c:spPr>
    </c:title>
    <c:autoTitleDeleted val="0"/>
    <c:plotArea>
      <c:lineChart>
        <c:grouping val="stacked"/>
        <c:varyColors val="0"/>
        <c:ser>
          <c:idx val="0"/>
          <c:order val="0"/>
          <c:tx>
            <c:strRef>
              <c:f>SrDebt!$B$96</c:f>
              <c:strCache>
                <c:ptCount val="1"/>
                <c:pt idx="0">
                  <c:v>PROJECT YEAR TOTAL</c:v>
                </c:pt>
              </c:strCache>
            </c:strRef>
          </c:tx>
          <c:spPr>
            <a:solidFill>
              <a:srgbClr val="808080"/>
            </a:solidFill>
            <a:ln w="37800">
              <a:solidFill>
                <a:srgbClr val="808080"/>
              </a:solidFill>
              <a:round/>
            </a:ln>
          </c:spPr>
          <c:marker>
            <c:symbol val="none"/>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37800">
                  <a:solidFill>
                    <a:srgbClr val="000000"/>
                  </a:solidFill>
                </a:ln>
              </c:spPr>
            </c:leaderLines>
            <c:extLst>
              <c:ext xmlns:c15="http://schemas.microsoft.com/office/drawing/2012/chart" uri="{CE6537A1-D6FC-4f65-9D91-7224C49458BB}">
                <c15:showLeaderLines val="1"/>
              </c:ext>
            </c:extLst>
          </c:dLbls>
          <c:val>
            <c:numRef>
              <c:f>SrDebt!$E$97:$AD$97</c:f>
              <c:numCache>
                <c:formatCode>[$-409]#,##0_);\(#,##0\)</c:formatCode>
                <c:ptCount val="26"/>
                <c:pt idx="0">
                  <c:v>12580.9312927461</c:v>
                </c:pt>
                <c:pt idx="1">
                  <c:v>12250.3807334591</c:v>
                </c:pt>
                <c:pt idx="2">
                  <c:v>11893.121668321</c:v>
                </c:pt>
                <c:pt idx="3">
                  <c:v>11502.968526409</c:v>
                </c:pt>
                <c:pt idx="4">
                  <c:v>11070.1229115449</c:v>
                </c:pt>
                <c:pt idx="5">
                  <c:v>10594.1100077067</c:v>
                </c:pt>
                <c:pt idx="6">
                  <c:v>10070.8628412085</c:v>
                </c:pt>
                <c:pt idx="7">
                  <c:v>9505.51781242627</c:v>
                </c:pt>
                <c:pt idx="8">
                  <c:v>8888.35202394655</c:v>
                </c:pt>
                <c:pt idx="9">
                  <c:v>8217.47035977989</c:v>
                </c:pt>
                <c:pt idx="10">
                  <c:v>7487.90880521003</c:v>
                </c:pt>
                <c:pt idx="11">
                  <c:v>6663.4651178596</c:v>
                </c:pt>
                <c:pt idx="12">
                  <c:v>5763.770819283</c:v>
                </c:pt>
                <c:pt idx="13">
                  <c:v>4784.35445277219</c:v>
                </c:pt>
                <c:pt idx="14">
                  <c:v>3718.14887778441</c:v>
                </c:pt>
                <c:pt idx="15">
                  <c:v>2558.58177798839</c:v>
                </c:pt>
                <c:pt idx="16">
                  <c:v>1295.13273763893</c:v>
                </c:pt>
                <c:pt idx="17">
                  <c:v>0</c:v>
                </c:pt>
                <c:pt idx="18">
                  <c:v>0</c:v>
                </c:pt>
                <c:pt idx="19">
                  <c:v>0</c:v>
                </c:pt>
                <c:pt idx="20">
                  <c:v>0</c:v>
                </c:pt>
                <c:pt idx="21">
                  <c:v>0</c:v>
                </c:pt>
                <c:pt idx="22">
                  <c:v>0</c:v>
                </c:pt>
                <c:pt idx="23">
                  <c:v>0</c:v>
                </c:pt>
                <c:pt idx="24">
                  <c:v>0</c:v>
                </c:pt>
                <c:pt idx="25">
                  <c:v>0</c:v>
                </c:pt>
              </c:numCache>
            </c:numRef>
          </c:val>
          <c:smooth val="0"/>
        </c:ser>
        <c:ser>
          <c:idx val="1"/>
          <c:order val="1"/>
          <c:tx>
            <c:strRef>
              <c:f>SrDebt!$B$43</c:f>
              <c:strCache>
                <c:ptCount val="1"/>
                <c:pt idx="0">
                  <c:v>PROJECT YEAR TRANCHE A</c:v>
                </c:pt>
              </c:strCache>
            </c:strRef>
          </c:tx>
          <c:spPr>
            <a:solidFill>
              <a:srgbClr val="ffcc00"/>
            </a:solidFill>
            <a:ln w="37800">
              <a:solidFill>
                <a:srgbClr val="ffcc00"/>
              </a:solidFill>
              <a:round/>
            </a:ln>
          </c:spPr>
          <c:marker>
            <c:symbol val="none"/>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37800">
                  <a:solidFill>
                    <a:srgbClr val="000000"/>
                  </a:solidFill>
                </a:ln>
              </c:spPr>
            </c:leaderLines>
            <c:extLst>
              <c:ext xmlns:c15="http://schemas.microsoft.com/office/drawing/2012/chart" uri="{CE6537A1-D6FC-4f65-9D91-7224C49458BB}">
                <c15:showLeaderLines val="1"/>
              </c:ext>
            </c:extLst>
          </c:dLbls>
          <c:val>
            <c:numRef>
              <c:f>SrDebt!$E$29:$AD$29</c:f>
              <c:numCache>
                <c:formatCode>#,##0</c:formatCode>
                <c:ptCount val="26"/>
                <c:pt idx="0">
                  <c:v>12580.9312927461</c:v>
                </c:pt>
                <c:pt idx="1">
                  <c:v>12250.3807334591</c:v>
                </c:pt>
                <c:pt idx="2">
                  <c:v>11893.121668321</c:v>
                </c:pt>
                <c:pt idx="3">
                  <c:v>11502.968526409</c:v>
                </c:pt>
                <c:pt idx="4">
                  <c:v>11070.1229115449</c:v>
                </c:pt>
                <c:pt idx="5">
                  <c:v>10594.1100077067</c:v>
                </c:pt>
                <c:pt idx="6">
                  <c:v>10070.8628412085</c:v>
                </c:pt>
                <c:pt idx="7">
                  <c:v>9505.51781242627</c:v>
                </c:pt>
                <c:pt idx="8">
                  <c:v>8888.35202394655</c:v>
                </c:pt>
                <c:pt idx="9">
                  <c:v>8217.47035977989</c:v>
                </c:pt>
                <c:pt idx="10">
                  <c:v>7487.90880521003</c:v>
                </c:pt>
                <c:pt idx="11">
                  <c:v>6663.4651178596</c:v>
                </c:pt>
                <c:pt idx="12">
                  <c:v>5763.770819283</c:v>
                </c:pt>
                <c:pt idx="13">
                  <c:v>4784.35445277219</c:v>
                </c:pt>
                <c:pt idx="14">
                  <c:v>3718.14887778441</c:v>
                </c:pt>
                <c:pt idx="15">
                  <c:v>2558.58177798839</c:v>
                </c:pt>
                <c:pt idx="16">
                  <c:v>1295.13273763893</c:v>
                </c:pt>
                <c:pt idx="17">
                  <c:v>0</c:v>
                </c:pt>
                <c:pt idx="18">
                  <c:v>0</c:v>
                </c:pt>
                <c:pt idx="19">
                  <c:v>0</c:v>
                </c:pt>
                <c:pt idx="20">
                  <c:v>0</c:v>
                </c:pt>
                <c:pt idx="21">
                  <c:v>0</c:v>
                </c:pt>
                <c:pt idx="22">
                  <c:v>0</c:v>
                </c:pt>
                <c:pt idx="23">
                  <c:v>0</c:v>
                </c:pt>
                <c:pt idx="24">
                  <c:v>0</c:v>
                </c:pt>
                <c:pt idx="25">
                  <c:v>0</c:v>
                </c:pt>
              </c:numCache>
            </c:numRef>
          </c:val>
          <c:smooth val="0"/>
        </c:ser>
        <c:ser>
          <c:idx val="2"/>
          <c:order val="2"/>
          <c:tx>
            <c:strRef>
              <c:f>SrDebt!$B$88</c:f>
              <c:strCache>
                <c:ptCount val="1"/>
                <c:pt idx="0">
                  <c:v>PROJECT YEAR TRANCHE B</c:v>
                </c:pt>
              </c:strCache>
            </c:strRef>
          </c:tx>
          <c:spPr>
            <a:solidFill>
              <a:srgbClr val="008000"/>
            </a:solidFill>
            <a:ln w="37800">
              <a:solidFill>
                <a:srgbClr val="008000"/>
              </a:solidFill>
              <a:round/>
            </a:ln>
          </c:spPr>
          <c:marker>
            <c:symbol val="none"/>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37800">
                  <a:solidFill>
                    <a:srgbClr val="000000"/>
                  </a:solidFill>
                </a:ln>
              </c:spPr>
            </c:leaderLines>
            <c:extLst>
              <c:ext xmlns:c15="http://schemas.microsoft.com/office/drawing/2012/chart" uri="{CE6537A1-D6FC-4f65-9D91-7224C49458BB}">
                <c15:showLeaderLines val="1"/>
              </c:ext>
            </c:extLst>
          </c:dLbls>
          <c:val>
            <c:numRef>
              <c:f>SrDebt!$E$74:$AD$74</c:f>
              <c:numCache>
                <c:formatCode>#,##0</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numCache>
            </c:numRef>
          </c:val>
          <c:smooth val="0"/>
        </c:ser>
        <c:hiLowLines>
          <c:spPr>
            <a:ln w="0">
              <a:noFill/>
            </a:ln>
          </c:spPr>
        </c:hiLowLines>
        <c:marker val="0"/>
        <c:axId val="29116018"/>
        <c:axId val="814354"/>
      </c:lineChart>
      <c:catAx>
        <c:axId val="29116018"/>
        <c:scaling>
          <c:orientation val="minMax"/>
        </c:scaling>
        <c:delete val="0"/>
        <c:axPos val="b"/>
        <c:title>
          <c:tx>
            <c:rich>
              <a:bodyPr rot="0"/>
              <a:lstStyle/>
              <a:p>
                <a:pPr>
                  <a:defRPr b="0" sz="1300" strike="noStrike" u="none">
                    <a:uFillTx/>
                    <a:latin typeface="Arial"/>
                  </a:defRPr>
                </a:pPr>
                <a:r>
                  <a:rPr b="1" sz="1175" strike="noStrike" u="none">
                    <a:solidFill>
                      <a:srgbClr val="000000"/>
                    </a:solidFill>
                    <a:uFillTx/>
                    <a:latin typeface="Arial"/>
                  </a:rPr>
                  <a:t>Project Year</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175" strike="noStrike" u="none">
                <a:solidFill>
                  <a:srgbClr val="000000"/>
                </a:solidFill>
                <a:uFillTx/>
                <a:latin typeface="Arial"/>
              </a:defRPr>
            </a:pPr>
          </a:p>
        </c:txPr>
        <c:crossAx val="814354"/>
        <c:crossesAt val="0"/>
        <c:auto val="1"/>
        <c:lblAlgn val="ctr"/>
        <c:lblOffset val="100"/>
        <c:noMultiLvlLbl val="0"/>
      </c:catAx>
      <c:valAx>
        <c:axId val="814354"/>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175" strike="noStrike" u="none">
                    <a:solidFill>
                      <a:srgbClr val="000000"/>
                    </a:solidFill>
                    <a:uFillTx/>
                    <a:latin typeface="Arial"/>
                  </a:rPr>
                  <a:t>$(000)</a:t>
                </a:r>
              </a:p>
            </c:rich>
          </c:tx>
          <c:overlay val="0"/>
          <c:spPr>
            <a:noFill/>
            <a:ln w="0">
              <a:noFill/>
            </a:ln>
          </c:spPr>
        </c:title>
        <c:numFmt formatCode="#,##0" sourceLinked="1"/>
        <c:majorTickMark val="out"/>
        <c:minorTickMark val="none"/>
        <c:tickLblPos val="nextTo"/>
        <c:spPr>
          <a:ln w="0">
            <a:solidFill>
              <a:srgbClr val="000000"/>
            </a:solidFill>
          </a:ln>
        </c:spPr>
        <c:txPr>
          <a:bodyPr/>
          <a:lstStyle/>
          <a:p>
            <a:pPr>
              <a:defRPr b="0" sz="1175" strike="noStrike" u="none">
                <a:solidFill>
                  <a:srgbClr val="000000"/>
                </a:solidFill>
                <a:uFillTx/>
                <a:latin typeface="Arial"/>
              </a:defRPr>
            </a:pPr>
          </a:p>
        </c:txPr>
        <c:crossAx val="29116018"/>
        <c:crossesAt val="1"/>
        <c:crossBetween val="midCat"/>
      </c:valAx>
      <c:spPr>
        <a:solidFill>
          <a:srgbClr val="e3e3e3"/>
        </a:solidFill>
        <a:ln w="12600">
          <a:solidFill>
            <a:srgbClr val="000000"/>
          </a:solidFill>
          <a:round/>
        </a:ln>
      </c:spPr>
    </c:plotArea>
    <c:legend>
      <c:legendPos val="r"/>
      <c:overlay val="0"/>
      <c:spPr>
        <a:solidFill>
          <a:srgbClr val="ffffff"/>
        </a:solidFill>
        <a:ln w="0">
          <a:solidFill>
            <a:srgbClr val="000000"/>
          </a:solidFill>
        </a:ln>
      </c:spPr>
      <c:txPr>
        <a:bodyPr/>
        <a:lstStyle/>
        <a:p>
          <a:pPr>
            <a:defRPr b="0" sz="975"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800" strike="noStrike" u="none">
                <a:solidFill>
                  <a:srgbClr val="000000"/>
                </a:solidFill>
                <a:uFillTx/>
                <a:latin typeface="Arial"/>
              </a:rPr>
              <a:t>PRICE CHART</a:t>
            </a:r>
          </a:p>
        </c:rich>
      </c:tx>
      <c:overlay val="0"/>
      <c:spPr>
        <a:noFill/>
        <a:ln w="0">
          <a:noFill/>
        </a:ln>
      </c:spPr>
    </c:title>
    <c:autoTitleDeleted val="0"/>
    <c:plotArea>
      <c:layout>
        <c:manualLayout>
          <c:xMode val="edge"/>
          <c:yMode val="edge"/>
          <c:x val="0.0127147187605254"/>
          <c:y val="0.0943931866572037"/>
          <c:w val="0.98484338160997"/>
          <c:h val="0.897622427253371"/>
        </c:manualLayout>
      </c:layout>
      <c:barChart>
        <c:barDir val="col"/>
        <c:grouping val="clustered"/>
        <c:varyColors val="0"/>
        <c:ser>
          <c:idx val="0"/>
          <c:order val="0"/>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CashFlow!$E$2:$AI$2</c:f>
              <c:strCache>
                <c:ptCount val="31"/>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pt idx="20">
                  <c:v>2022</c:v>
                </c:pt>
                <c:pt idx="21">
                  <c:v>2023</c:v>
                </c:pt>
                <c:pt idx="22">
                  <c:v>2024</c:v>
                </c:pt>
                <c:pt idx="23">
                  <c:v>2025</c:v>
                </c:pt>
                <c:pt idx="24">
                  <c:v>2026</c:v>
                </c:pt>
                <c:pt idx="25">
                  <c:v>2027</c:v>
                </c:pt>
                <c:pt idx="26">
                  <c:v>2028</c:v>
                </c:pt>
                <c:pt idx="27">
                  <c:v>2029</c:v>
                </c:pt>
                <c:pt idx="28">
                  <c:v>2030</c:v>
                </c:pt>
                <c:pt idx="29">
                  <c:v>2031</c:v>
                </c:pt>
                <c:pt idx="30">
                  <c:v>2032</c:v>
                </c:pt>
              </c:strCache>
            </c:strRef>
          </c:cat>
          <c:val>
            <c:numRef>
              <c:f>CashFlow!$E$8:$AI$8</c:f>
              <c:numCache>
                <c:formatCode>#,##0.00000_);[RED]\(#,##0.00000\)</c:formatCode>
                <c:ptCount val="31"/>
                <c:pt idx="0">
                  <c:v>0.0291</c:v>
                </c:pt>
                <c:pt idx="1">
                  <c:v>0.0291</c:v>
                </c:pt>
                <c:pt idx="2">
                  <c:v>0.0291</c:v>
                </c:pt>
                <c:pt idx="3">
                  <c:v>0.0291</c:v>
                </c:pt>
                <c:pt idx="4">
                  <c:v>0.0291</c:v>
                </c:pt>
                <c:pt idx="5">
                  <c:v>0.0291</c:v>
                </c:pt>
                <c:pt idx="6">
                  <c:v>0.0291</c:v>
                </c:pt>
                <c:pt idx="7">
                  <c:v>0.0291</c:v>
                </c:pt>
                <c:pt idx="8">
                  <c:v>0.0291</c:v>
                </c:pt>
                <c:pt idx="9">
                  <c:v>0.0291</c:v>
                </c:pt>
                <c:pt idx="10">
                  <c:v>0.0291</c:v>
                </c:pt>
                <c:pt idx="11">
                  <c:v>0.0291</c:v>
                </c:pt>
                <c:pt idx="12">
                  <c:v>0.0291</c:v>
                </c:pt>
                <c:pt idx="13">
                  <c:v>0.0291</c:v>
                </c:pt>
                <c:pt idx="14">
                  <c:v>0.0291</c:v>
                </c:pt>
                <c:pt idx="15">
                  <c:v>0.0291</c:v>
                </c:pt>
                <c:pt idx="16">
                  <c:v>0.0291</c:v>
                </c:pt>
                <c:pt idx="17">
                  <c:v>0.0291</c:v>
                </c:pt>
                <c:pt idx="18">
                  <c:v>0.0291</c:v>
                </c:pt>
                <c:pt idx="19">
                  <c:v>0.0291</c:v>
                </c:pt>
                <c:pt idx="20">
                  <c:v>0.0291</c:v>
                </c:pt>
                <c:pt idx="21">
                  <c:v>0.0291</c:v>
                </c:pt>
                <c:pt idx="22">
                  <c:v>0.0291</c:v>
                </c:pt>
                <c:pt idx="23">
                  <c:v>0.0291</c:v>
                </c:pt>
                <c:pt idx="24">
                  <c:v>0.0291</c:v>
                </c:pt>
                <c:pt idx="25">
                  <c:v>0.0291</c:v>
                </c:pt>
                <c:pt idx="26">
                  <c:v>0.0291</c:v>
                </c:pt>
                <c:pt idx="27">
                  <c:v>0.0291</c:v>
                </c:pt>
                <c:pt idx="28">
                  <c:v>0.0291</c:v>
                </c:pt>
                <c:pt idx="29">
                  <c:v>0.0291</c:v>
                </c:pt>
                <c:pt idx="30">
                  <c:v>0.0291</c:v>
                </c:pt>
              </c:numCache>
            </c:numRef>
          </c:val>
        </c:ser>
        <c:gapWidth val="10"/>
        <c:overlap val="0"/>
        <c:axId val="24937177"/>
        <c:axId val="74828007"/>
      </c:barChart>
      <c:catAx>
        <c:axId val="24937177"/>
        <c:scaling>
          <c:orientation val="minMax"/>
        </c:scaling>
        <c:delete val="0"/>
        <c:axPos val="b"/>
        <c:numFmt formatCode="[$-409]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74828007"/>
        <c:crossesAt val="0"/>
        <c:auto val="1"/>
        <c:lblAlgn val="ctr"/>
        <c:lblOffset val="100"/>
        <c:noMultiLvlLbl val="0"/>
      </c:catAx>
      <c:valAx>
        <c:axId val="74828007"/>
        <c:scaling>
          <c:orientation val="minMax"/>
        </c:scaling>
        <c:delete val="0"/>
        <c:axPos val="l"/>
        <c:majorGridlines>
          <c:spPr>
            <a:ln w="0">
              <a:solidFill>
                <a:srgbClr val="000000">
                  <a:alpha val="50000"/>
                </a:srgbClr>
              </a:solidFill>
            </a:ln>
          </c:spPr>
        </c:majorGridlines>
        <c:numFmt formatCode="#,##0.00000_);[RED]\(#,##0.00000\)"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24937177"/>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trlProps/ctrlProps10.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_rels/drawing13.xml.rels><?xml version="1.0" encoding="UTF-8"?>
<Relationships xmlns="http://schemas.openxmlformats.org/package/2006/relationships"><Relationship Id="rId1" Type="http://schemas.openxmlformats.org/officeDocument/2006/relationships/chart" Target="../charts/chart2.xml"/>
</Relationships>
</file>

<file path=xl/drawings/_rels/drawing14.xml.rels><?xml version="1.0" encoding="UTF-8"?>
<Relationships xmlns="http://schemas.openxmlformats.org/package/2006/relationships"><Relationship Id="rId1" Type="http://schemas.openxmlformats.org/officeDocument/2006/relationships/chart" Target="../charts/chart3.xml"/>
</Relationships>
</file>

<file path=xl/drawings/_rels/drawing9.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70560</xdr:colOff>
      <xdr:row>6</xdr:row>
      <xdr:rowOff>152640</xdr:rowOff>
    </xdr:from>
    <xdr:to>
      <xdr:col>8</xdr:col>
      <xdr:colOff>1209240</xdr:colOff>
      <xdr:row>10</xdr:row>
      <xdr:rowOff>56880</xdr:rowOff>
    </xdr:to>
    <xdr:sp>
      <xdr:nvSpPr>
        <xdr:cNvPr id="0" name="Text 8"/>
        <xdr:cNvSpPr/>
      </xdr:nvSpPr>
      <xdr:spPr>
        <a:xfrm>
          <a:off x="3432240" y="1200240"/>
          <a:ext cx="7406640" cy="552240"/>
        </a:xfrm>
        <a:prstGeom prst="rect">
          <a:avLst/>
        </a:prstGeom>
        <a:solidFill>
          <a:srgbClr val="ffffff"/>
        </a:solidFill>
        <a:ln w="9360">
          <a:solidFill>
            <a:srgbClr val="000000"/>
          </a:solidFill>
          <a:miter/>
        </a:ln>
        <a:effectLst>
          <a:outerShdw dist="107932" dir="2700000" blurRad="0" rotWithShape="0">
            <a:srgbClr val="808080"/>
          </a:outerShdw>
        </a:effectLst>
      </xdr:spPr>
      <xdr:style>
        <a:lnRef idx="0"/>
        <a:fillRef idx="0"/>
        <a:effectRef idx="0"/>
        <a:fontRef idx="minor"/>
      </xdr:style>
      <xdr:txBody>
        <a:bodyPr lIns="20160" rIns="20160" tIns="20160" bIns="20160" anchor="t">
          <a:noAutofit/>
        </a:bodyPr>
        <a:p>
          <a:r>
            <a:rPr b="0" lang="en-US" sz="1000" strike="noStrike" u="none">
              <a:effectLst/>
              <a:uFillTx/>
              <a:latin typeface="Arial"/>
            </a:rPr>
            <a:t>Internal Assumption Sheet is used for calculations that are internal to EWC only, such as margin and fee calculations.</a:t>
          </a:r>
          <a:endParaRPr b="0" lang="en-US" sz="1000" strike="noStrike" u="none">
            <a:effectLst/>
            <a:uFillTx/>
            <a:latin typeface="Times New Roman"/>
          </a:endParaRPr>
        </a:p>
        <a:p>
          <a:r>
            <a:rPr b="0" lang="en-US" sz="1000" strike="noStrike" u="none">
              <a:effectLst/>
              <a:uFillTx/>
              <a:latin typeface="Arial"/>
            </a:rPr>
            <a:t> When presenting a model outside of Enron, secure this model using the SECURE macro button on the Assum sheet.</a:t>
          </a:r>
          <a:endParaRPr b="0" lang="en-US" sz="1000" strike="noStrike" u="none">
            <a:effectLst/>
            <a:uFillTx/>
            <a:latin typeface="Times New Roman"/>
          </a:endParaRPr>
        </a:p>
      </xdr:txBody>
    </xdr:sp>
    <xdr:clientData/>
  </xdr:twoCellAnchor>
  <xdr:twoCellAnchor editAs="oneCell">
    <xdr:from>
      <xdr:col>7</xdr:col>
      <xdr:colOff>805320</xdr:colOff>
      <xdr:row>82</xdr:row>
      <xdr:rowOff>105120</xdr:rowOff>
    </xdr:from>
    <xdr:to>
      <xdr:col>10</xdr:col>
      <xdr:colOff>1046520</xdr:colOff>
      <xdr:row>88</xdr:row>
      <xdr:rowOff>66240</xdr:rowOff>
    </xdr:to>
    <xdr:sp>
      <xdr:nvSpPr>
        <xdr:cNvPr id="1" name="Text 44"/>
        <xdr:cNvSpPr/>
      </xdr:nvSpPr>
      <xdr:spPr>
        <a:xfrm>
          <a:off x="9005760" y="13600080"/>
          <a:ext cx="3673440" cy="932760"/>
        </a:xfrm>
        <a:prstGeom prst="rect">
          <a:avLst/>
        </a:prstGeom>
        <a:solidFill>
          <a:srgbClr val="ffffff"/>
        </a:solidFill>
        <a:ln w="9360">
          <a:solidFill>
            <a:srgbClr val="000000"/>
          </a:solidFill>
          <a:miter/>
        </a:ln>
        <a:effectLst>
          <a:outerShdw dist="107932" dir="2700000" blurRad="0" rotWithShape="0">
            <a:srgbClr val="808080"/>
          </a:outerShdw>
        </a:effectLst>
      </xdr:spPr>
      <xdr:style>
        <a:lnRef idx="0"/>
        <a:fillRef idx="0"/>
        <a:effectRef idx="0"/>
        <a:fontRef idx="minor"/>
      </xdr:style>
      <xdr:txBody>
        <a:bodyPr lIns="20160" rIns="20160" tIns="20160" bIns="20160" anchor="t">
          <a:noAutofit/>
        </a:bodyPr>
        <a:p>
          <a:r>
            <a:rPr b="0" lang="en-US" sz="1000" strike="noStrike" u="none">
              <a:effectLst/>
              <a:uFillTx/>
              <a:latin typeface="Arial"/>
            </a:rPr>
            <a:t>For models sent to external parties, first calculate the Developer Fee and then manually insert the number and set the switch = 0.   Thus the Developer Fee will not bounce around when external users make changes. Make sure any additions to Cash Sources or Uses of Funds are included in the Developer Fee calc</a:t>
          </a:r>
          <a:endParaRPr b="0" lang="en-US" sz="10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-1707120</xdr:colOff>
          <xdr:row>10</xdr:row>
          <xdr:rowOff>133200</xdr:rowOff>
        </xdr:to>
        <xdr:sp>
          <xdr:nvSpPr>
            <xdr:cNvPr id="1001" name="Button 53" descr="Print Internal" hidden="0"/>
            <xdr:cNvSpPr/>
          </xdr:nvSpPr>
          <xdr:spPr>
            <a:xfrm>
              <a:off x="0" y="0"/>
              <a:ext cx="0" cy="0"/>
            </a:xfrm>
            <a:prstGeom prst="rect">
              <a:avLst/>
            </a:prstGeom>
          </xdr:spPr>
          <xdr:txBody>
            <a:bodyPr anchor="ctr">
              <a:noAutofit/>
            </a:bodyPr>
            <a:p>
              <a:r>
                <a:t>Print Internal</a:t>
              </a:r>
            </a:p>
          </xdr:txBody>
        </xdr:sp>
        <xdr:clientData/>
      </xdr:twoCellAnchor>
    </mc:Choice>
  </mc:AlternateContent>
</xdr:wsDr>
</file>

<file path=xl/drawings/drawing1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49680</xdr:colOff>
          <xdr:row>0</xdr:row>
          <xdr:rowOff>9360</xdr:rowOff>
        </xdr:from>
        <xdr:to>
          <xdr:col>1</xdr:col>
          <xdr:colOff>-48240</xdr:colOff>
          <xdr:row>1</xdr:row>
          <xdr:rowOff>38160</xdr:rowOff>
        </xdr:to>
        <xdr:sp>
          <xdr:nvSpPr>
            <xdr:cNvPr id="1001" name="Button 162" descr="Print Cashflow" hidden="0"/>
            <xdr:cNvSpPr/>
          </xdr:nvSpPr>
          <xdr:spPr>
            <a:xfrm>
              <a:off x="0" y="0"/>
              <a:ext cx="0" cy="0"/>
            </a:xfrm>
            <a:prstGeom prst="rect">
              <a:avLst/>
            </a:prstGeom>
          </xdr:spPr>
          <xdr:txBody>
            <a:bodyPr anchor="ctr">
              <a:noAutofit/>
            </a:bodyPr>
            <a:p>
              <a:r>
                <a:t>Print Cashflow</a:t>
              </a:r>
            </a:p>
          </xdr:txBody>
        </xdr:sp>
        <xdr:clientData/>
      </xdr:twoCellAnchor>
    </mc:Choice>
  </mc:AlternateContent>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271440</xdr:colOff>
      <xdr:row>141</xdr:row>
      <xdr:rowOff>38160</xdr:rowOff>
    </xdr:from>
    <xdr:to>
      <xdr:col>16</xdr:col>
      <xdr:colOff>776160</xdr:colOff>
      <xdr:row>166</xdr:row>
      <xdr:rowOff>162000</xdr:rowOff>
    </xdr:to>
    <xdr:graphicFrame>
      <xdr:nvGraphicFramePr>
        <xdr:cNvPr id="5" name="Chart 666"/>
        <xdr:cNvGraphicFramePr/>
      </xdr:nvGraphicFramePr>
      <xdr:xfrm>
        <a:off x="271440" y="23155200"/>
        <a:ext cx="18030600" cy="41720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8</xdr:col>
      <xdr:colOff>905400</xdr:colOff>
      <xdr:row>1</xdr:row>
      <xdr:rowOff>114480</xdr:rowOff>
    </xdr:from>
    <xdr:to>
      <xdr:col>20</xdr:col>
      <xdr:colOff>362520</xdr:colOff>
      <xdr:row>12</xdr:row>
      <xdr:rowOff>152280</xdr:rowOff>
    </xdr:to>
    <xdr:graphicFrame>
      <xdr:nvGraphicFramePr>
        <xdr:cNvPr id="6" name="Chart 2"/>
        <xdr:cNvGraphicFramePr/>
      </xdr:nvGraphicFramePr>
      <xdr:xfrm>
        <a:off x="11431800" y="295560"/>
        <a:ext cx="8550360" cy="2028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5</xdr:col>
          <xdr:colOff>10080</xdr:colOff>
          <xdr:row>12</xdr:row>
          <xdr:rowOff>162000</xdr:rowOff>
        </xdr:from>
        <xdr:to>
          <xdr:col>6</xdr:col>
          <xdr:colOff>-280440</xdr:colOff>
          <xdr:row>15</xdr:row>
          <xdr:rowOff>123840</xdr:rowOff>
        </xdr:to>
        <xdr:sp>
          <xdr:nvSpPr>
            <xdr:cNvPr id="1001" name="Button 10" descr="Print Assumptions" hidden="0"/>
            <xdr:cNvSpPr/>
          </xdr:nvSpPr>
          <xdr:spPr>
            <a:xfrm>
              <a:off x="0" y="0"/>
              <a:ext cx="0" cy="0"/>
            </a:xfrm>
            <a:prstGeom prst="rect">
              <a:avLst/>
            </a:prstGeom>
          </xdr:spPr>
          <xdr:txBody>
            <a:bodyPr anchor="ctr">
              <a:noAutofit/>
            </a:bodyPr>
            <a:p>
              <a:r>
                <a:t>Print Assumptions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0</xdr:colOff>
          <xdr:row>5</xdr:row>
          <xdr:rowOff>0</xdr:rowOff>
        </xdr:from>
        <xdr:to>
          <xdr:col>6</xdr:col>
          <xdr:colOff>-290520</xdr:colOff>
          <xdr:row>7</xdr:row>
          <xdr:rowOff>123840</xdr:rowOff>
        </xdr:to>
        <xdr:sp>
          <xdr:nvSpPr>
            <xdr:cNvPr id="1002" name="Button 1109" descr="Print Standard" hidden="0"/>
            <xdr:cNvSpPr/>
          </xdr:nvSpPr>
          <xdr:spPr>
            <a:xfrm>
              <a:off x="0" y="0"/>
              <a:ext cx="0" cy="0"/>
            </a:xfrm>
            <a:prstGeom prst="rect">
              <a:avLst/>
            </a:prstGeom>
          </xdr:spPr>
          <xdr:txBody>
            <a:bodyPr anchor="ctr">
              <a:noAutofit/>
            </a:bodyPr>
            <a:p>
              <a:r>
                <a:t>Print Standard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0</xdr:colOff>
          <xdr:row>9</xdr:row>
          <xdr:rowOff>9360</xdr:rowOff>
        </xdr:from>
        <xdr:to>
          <xdr:col>6</xdr:col>
          <xdr:colOff>-290520</xdr:colOff>
          <xdr:row>11</xdr:row>
          <xdr:rowOff>162000</xdr:rowOff>
        </xdr:to>
        <xdr:sp>
          <xdr:nvSpPr>
            <xdr:cNvPr id="1003" name="Button 1110" descr="Print All" hidden="0"/>
            <xdr:cNvSpPr/>
          </xdr:nvSpPr>
          <xdr:spPr>
            <a:xfrm>
              <a:off x="0" y="0"/>
              <a:ext cx="0" cy="0"/>
            </a:xfrm>
            <a:prstGeom prst="rect">
              <a:avLst/>
            </a:prstGeom>
          </xdr:spPr>
          <xdr:txBody>
            <a:bodyPr anchor="ctr">
              <a:noAutofit/>
            </a:bodyPr>
            <a:p>
              <a:r>
                <a:t>Print All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0</xdr:colOff>
          <xdr:row>5</xdr:row>
          <xdr:rowOff>28440</xdr:rowOff>
        </xdr:from>
        <xdr:to>
          <xdr:col>8</xdr:col>
          <xdr:colOff>121680</xdr:colOff>
          <xdr:row>7</xdr:row>
          <xdr:rowOff>161640</xdr:rowOff>
        </xdr:to>
        <xdr:sp>
          <xdr:nvSpPr>
            <xdr:cNvPr id="1004" name="Button 1131" descr="Secure" hidden="0"/>
            <xdr:cNvSpPr/>
          </xdr:nvSpPr>
          <xdr:spPr>
            <a:xfrm>
              <a:off x="0" y="0"/>
              <a:ext cx="0" cy="0"/>
            </a:xfrm>
            <a:prstGeom prst="rect">
              <a:avLst/>
            </a:prstGeom>
          </xdr:spPr>
          <xdr:txBody>
            <a:bodyPr anchor="ctr">
              <a:noAutofit/>
            </a:bodyPr>
            <a:p>
              <a:r>
                <a:t>Secure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6</xdr:col>
          <xdr:colOff>2053800</xdr:colOff>
          <xdr:row>9</xdr:row>
          <xdr:rowOff>28440</xdr:rowOff>
        </xdr:from>
        <xdr:to>
          <xdr:col>8</xdr:col>
          <xdr:colOff>101880</xdr:colOff>
          <xdr:row>11</xdr:row>
          <xdr:rowOff>162000</xdr:rowOff>
        </xdr:to>
        <xdr:sp>
          <xdr:nvSpPr>
            <xdr:cNvPr id="1005" name="Button 1132" descr="Unlock" hidden="0"/>
            <xdr:cNvSpPr/>
          </xdr:nvSpPr>
          <xdr:spPr>
            <a:xfrm>
              <a:off x="0" y="0"/>
              <a:ext cx="0" cy="0"/>
            </a:xfrm>
            <a:prstGeom prst="rect">
              <a:avLst/>
            </a:prstGeom>
          </xdr:spPr>
          <xdr:txBody>
            <a:bodyPr anchor="ctr">
              <a:noAutofit/>
            </a:bodyPr>
            <a:p>
              <a:r>
                <a:t>Unlock</a:t>
              </a:r>
            </a:p>
          </xdr:txBody>
        </xdr:sp>
        <xdr:clientData/>
      </xdr:twoCellAnchor>
    </mc:Choice>
  </mc:AlternateContent>
  <xdr:twoCellAnchor editAs="oneCell">
    <xdr:from>
      <xdr:col>6</xdr:col>
      <xdr:colOff>1017720</xdr:colOff>
      <xdr:row>237</xdr:row>
      <xdr:rowOff>0</xdr:rowOff>
    </xdr:from>
    <xdr:to>
      <xdr:col>9</xdr:col>
      <xdr:colOff>232200</xdr:colOff>
      <xdr:row>242</xdr:row>
      <xdr:rowOff>86040</xdr:rowOff>
    </xdr:to>
    <xdr:sp>
      <xdr:nvSpPr>
        <xdr:cNvPr id="2" name="Text 1215"/>
        <xdr:cNvSpPr/>
      </xdr:nvSpPr>
      <xdr:spPr>
        <a:xfrm>
          <a:off x="10176840" y="38507760"/>
          <a:ext cx="3864600" cy="895680"/>
        </a:xfrm>
        <a:prstGeom prst="rect">
          <a:avLst/>
        </a:prstGeom>
        <a:solidFill>
          <a:srgbClr val="ffffff"/>
        </a:solidFill>
        <a:ln w="9360">
          <a:solidFill>
            <a:srgbClr val="000000"/>
          </a:solidFill>
          <a:miter/>
        </a:ln>
        <a:effectLst>
          <a:outerShdw dist="107932" dir="2700000" blurRad="0" rotWithShape="0">
            <a:srgbClr val="808080"/>
          </a:outerShdw>
        </a:effectLst>
      </xdr:spPr>
      <xdr:style>
        <a:lnRef idx="0"/>
        <a:fillRef idx="0"/>
        <a:effectRef idx="0"/>
        <a:fontRef idx="minor"/>
      </xdr:style>
      <xdr:txBody>
        <a:bodyPr lIns="20160" rIns="20160" tIns="20160" bIns="20160" anchor="t">
          <a:noAutofit/>
        </a:bodyPr>
        <a:p>
          <a:r>
            <a:rPr b="0" lang="en-US" sz="1000" strike="noStrike" u="none">
              <a:effectLst/>
              <a:uFillTx/>
              <a:latin typeface="Arial"/>
            </a:rPr>
            <a:t>Debt is solved by Project Year and then re-casted by Calendar Year on the debt sheets. Input the First payment date (even if the principle payment is skipped the first year) and the model defaults to 6 month semi-annual. If payments are per annum, input as if semi-annual and use Payments per Year switch</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6</xdr:col>
      <xdr:colOff>917280</xdr:colOff>
      <xdr:row>320</xdr:row>
      <xdr:rowOff>28440</xdr:rowOff>
    </xdr:from>
    <xdr:to>
      <xdr:col>8</xdr:col>
      <xdr:colOff>1037880</xdr:colOff>
      <xdr:row>324</xdr:row>
      <xdr:rowOff>104400</xdr:rowOff>
    </xdr:to>
    <xdr:sp>
      <xdr:nvSpPr>
        <xdr:cNvPr id="3" name="Text 1289"/>
        <xdr:cNvSpPr/>
      </xdr:nvSpPr>
      <xdr:spPr>
        <a:xfrm>
          <a:off x="10076400" y="52013880"/>
          <a:ext cx="3512880" cy="733320"/>
        </a:xfrm>
        <a:prstGeom prst="rect">
          <a:avLst/>
        </a:prstGeom>
        <a:solidFill>
          <a:srgbClr val="ffffff"/>
        </a:solidFill>
        <a:ln w="9360">
          <a:solidFill>
            <a:srgbClr val="000000"/>
          </a:solidFill>
          <a:miter/>
        </a:ln>
        <a:effectLst>
          <a:outerShdw dist="17819" dir="2700000" blurRad="0" rotWithShape="0">
            <a:srgbClr val="808080"/>
          </a:outerShdw>
        </a:effectLst>
      </xdr:spPr>
      <xdr:style>
        <a:lnRef idx="0"/>
        <a:fillRef idx="0"/>
        <a:effectRef idx="0"/>
        <a:fontRef idx="minor"/>
      </xdr:style>
      <xdr:txBody>
        <a:bodyPr lIns="20160" rIns="20160" tIns="20160" bIns="20160" anchor="t">
          <a:noAutofit/>
        </a:bodyPr>
        <a:p>
          <a:r>
            <a:rPr b="0" lang="en-US" sz="1000" strike="noStrike" u="none">
              <a:effectLst/>
              <a:uFillTx/>
              <a:latin typeface="Arial"/>
            </a:rPr>
            <a:t>CHECK!   Dates and Values  on Outside and EWC sheets to accurately reflect Project Start and Tax Year effects  - ALL CONTINGENCIES CANNOT BE COVERED WITH AUTOMATION</a:t>
          </a:r>
          <a:endParaRPr b="0" lang="en-US" sz="1000" strike="noStrike" u="none">
            <a:effectLst/>
            <a:uFillTx/>
            <a:latin typeface="Times New Roman"/>
          </a:endParaRPr>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10</xdr:col>
      <xdr:colOff>10440</xdr:colOff>
      <xdr:row>0</xdr:row>
      <xdr:rowOff>66960</xdr:rowOff>
    </xdr:from>
    <xdr:to>
      <xdr:col>17</xdr:col>
      <xdr:colOff>82440</xdr:colOff>
      <xdr:row>11</xdr:row>
      <xdr:rowOff>9360</xdr:rowOff>
    </xdr:to>
    <xdr:graphicFrame>
      <xdr:nvGraphicFramePr>
        <xdr:cNvPr id="4" name="Chart 1"/>
        <xdr:cNvGraphicFramePr/>
      </xdr:nvGraphicFramePr>
      <xdr:xfrm>
        <a:off x="10968480" y="66960"/>
        <a:ext cx="8545680" cy="18284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2</xdr:col>
          <xdr:colOff>9720</xdr:colOff>
          <xdr:row>0</xdr:row>
          <xdr:rowOff>28440</xdr:rowOff>
        </xdr:from>
        <xdr:to>
          <xdr:col>3</xdr:col>
          <xdr:colOff>-28800</xdr:colOff>
          <xdr:row>1</xdr:row>
          <xdr:rowOff>28800</xdr:rowOff>
        </xdr:to>
        <xdr:sp>
          <xdr:nvSpPr>
            <xdr:cNvPr id="1001" name="Button 169" descr="Print EWCSum" hidden="0"/>
            <xdr:cNvSpPr/>
          </xdr:nvSpPr>
          <xdr:spPr>
            <a:xfrm>
              <a:off x="0" y="0"/>
              <a:ext cx="0" cy="0"/>
            </a:xfrm>
            <a:prstGeom prst="rect">
              <a:avLst/>
            </a:prstGeom>
          </xdr:spPr>
          <xdr:txBody>
            <a:bodyPr anchor="ctr">
              <a:noAutofit/>
            </a:bodyPr>
            <a:p>
              <a:r>
                <a:t>Print EWCSum</a:t>
              </a:r>
            </a:p>
          </xdr:txBody>
        </xdr:sp>
        <xdr:clientData/>
      </xdr:twoCellAnchor>
    </mc:Choice>
  </mc:AlternateContent>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2.xml.rels><?xml version="1.0" encoding="UTF-8"?>
<Relationships xmlns="http://schemas.openxmlformats.org/package/2006/relationships"><Relationship Id="rId1" Type="http://schemas.openxmlformats.org/officeDocument/2006/relationships/comments" Target="../comments12.xml"/><Relationship Id="rId2" Type="http://schemas.openxmlformats.org/officeDocument/2006/relationships/vmlDrawing" Target="../drawings/vmlDrawing7.vml"/>
</Relationships>
</file>

<file path=xl/worksheets/_rels/sheet13.xml.rels><?xml version="1.0" encoding="UTF-8"?>
<Relationships xmlns="http://schemas.openxmlformats.org/package/2006/relationships"><Relationship Id="rId1" Type="http://schemas.openxmlformats.org/officeDocument/2006/relationships/comments" Target="../comments13.xml"/><Relationship Id="rId2" Type="http://schemas.openxmlformats.org/officeDocument/2006/relationships/vmlDrawing" Target="../drawings/vmlDrawing8.vml"/>
</Relationships>
</file>

<file path=xl/worksheets/_rels/sheet14.xml.rels><?xml version="1.0" encoding="UTF-8"?>
<Relationships xmlns="http://schemas.openxmlformats.org/package/2006/relationships"><Relationship Id="rId1" Type="http://schemas.openxmlformats.org/officeDocument/2006/relationships/comments" Target="../comments14.xml"/><Relationship Id="rId2" Type="http://schemas.openxmlformats.org/officeDocument/2006/relationships/vmlDrawing" Target="../drawings/vmlDrawing9.vml"/>
</Relationships>
</file>

<file path=xl/worksheets/_rels/sheet16.xml.rels><?xml version="1.0" encoding="UTF-8"?>
<Relationships xmlns="http://schemas.openxmlformats.org/package/2006/relationships"><Relationship Id="rId1" Type="http://schemas.openxmlformats.org/officeDocument/2006/relationships/comments" Target="../comments16.xml"/><Relationship Id="rId2" Type="http://schemas.openxmlformats.org/officeDocument/2006/relationships/vmlDrawing" Target="../drawings/vmlDrawing10.vml"/>
</Relationships>
</file>

<file path=xl/worksheets/_rels/sheet17.xml.rels><?xml version="1.0" encoding="UTF-8"?>
<Relationships xmlns="http://schemas.openxmlformats.org/package/2006/relationships"><Relationship Id="rId1" Type="http://schemas.openxmlformats.org/officeDocument/2006/relationships/drawing" Target="../drawings/drawing14.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2.v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9.xml"/><Relationship Id="rId3" Type="http://schemas.openxmlformats.org/officeDocument/2006/relationships/vmlDrawing" Target="../drawings/vmlDrawing3.vml"/><Relationship Id="rId4" Type="http://schemas.openxmlformats.org/officeDocument/2006/relationships/ctrlProp" Target="../ctrlProps/ctrlProps10.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11.xml"/><Relationship Id="rId3" Type="http://schemas.openxmlformats.org/officeDocument/2006/relationships/vmlDrawing" Target="../drawings/vmlDrawing4.vml"/><Relationship Id="rId4" Type="http://schemas.openxmlformats.org/officeDocument/2006/relationships/ctrlProp" Target="../ctrlProps/ctrlProps12.xml"/>
</Relationships>
</file>

<file path=xl/worksheets/_rels/sheet8.xml.rels><?xml version="1.0" encoding="UTF-8"?>
<Relationships xmlns="http://schemas.openxmlformats.org/package/2006/relationships"><Relationship Id="rId1" Type="http://schemas.openxmlformats.org/officeDocument/2006/relationships/comments" Target="../comments8.xml"/><Relationship Id="rId2" Type="http://schemas.openxmlformats.org/officeDocument/2006/relationships/drawing" Target="../drawings/drawing13.xml"/><Relationship Id="rId3" Type="http://schemas.openxmlformats.org/officeDocument/2006/relationships/vmlDrawing" Target="../drawings/vmlDrawing5.vml"/>
</Relationships>
</file>

<file path=xl/worksheets/_rels/sheet9.xml.rels><?xml version="1.0" encoding="UTF-8"?>
<Relationships xmlns="http://schemas.openxmlformats.org/package/2006/relationships"><Relationship Id="rId1" Type="http://schemas.openxmlformats.org/officeDocument/2006/relationships/comments" Target="../comments9.xml"/><Relationship Id="rId2" Type="http://schemas.openxmlformats.org/officeDocument/2006/relationships/vmlDrawing" Target="../drawings/vmlDrawing6.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84765625" defaultRowHeight="12.75"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90"/>
  <sheetViews>
    <sheetView showFormulas="false" showGridLines="true" showRowColHeaders="true" showZeros="true" rightToLeft="false" tabSelected="false" showOutlineSymbols="true" defaultGridColor="true" view="normal" topLeftCell="A1" colorId="64" zoomScale="75" zoomScaleNormal="75" zoomScalePageLayoutView="75" workbookViewId="0">
      <selection pane="topLeft" activeCell="A1" activeCellId="0" sqref="A1:X50"/>
    </sheetView>
  </sheetViews>
  <sheetFormatPr defaultColWidth="8.70703125" defaultRowHeight="12.75" customHeight="true" zeroHeight="false" outlineLevelRow="0" outlineLevelCol="0"/>
  <cols>
    <col collapsed="false" customWidth="true" hidden="false" outlineLevel="0" max="1" min="1" style="0" width="6.13"/>
    <col collapsed="false" customWidth="true" hidden="false" outlineLevel="0" max="2" min="2" style="0" width="44.41"/>
    <col collapsed="false" customWidth="true" hidden="false" outlineLevel="0" max="3" min="3" style="0" width="15.13"/>
    <col collapsed="false" customWidth="true" hidden="false" outlineLevel="0" max="4" min="4" style="317" width="16.28"/>
    <col collapsed="false" customWidth="true" hidden="false" outlineLevel="0" max="24" min="5" style="0" width="12.42"/>
    <col collapsed="false" customWidth="true" hidden="false" outlineLevel="0" max="27" min="25" style="0" width="10.71"/>
    <col collapsed="false" customWidth="true" hidden="false" outlineLevel="0" max="34" min="28" style="0" width="13.41"/>
    <col collapsed="false" customWidth="true" hidden="false" outlineLevel="0" max="36" min="36" style="17" width="5.28"/>
    <col collapsed="false" customWidth="true" hidden="false" outlineLevel="0" max="37" min="37" style="17" width="4.28"/>
  </cols>
  <sheetData>
    <row r="1" customFormat="false" ht="15.75" hidden="false" customHeight="false" outlineLevel="0" collapsed="false">
      <c r="A1" s="1030"/>
      <c r="B1" s="2" t="str">
        <f aca="false">ExecSum!$E$4</f>
        <v>SMUD - Solano 34.50MW Project</v>
      </c>
      <c r="D1" s="223"/>
      <c r="E1" s="4" t="n">
        <v>1</v>
      </c>
      <c r="F1" s="5" t="n">
        <f aca="false">E1+1</f>
        <v>2</v>
      </c>
      <c r="G1" s="5" t="n">
        <f aca="false">F1+1</f>
        <v>3</v>
      </c>
      <c r="H1" s="5" t="n">
        <f aca="false">G1+1</f>
        <v>4</v>
      </c>
      <c r="I1" s="5" t="n">
        <f aca="false">H1+1</f>
        <v>5</v>
      </c>
      <c r="J1" s="5" t="n">
        <f aca="false">I1+1</f>
        <v>6</v>
      </c>
      <c r="K1" s="5" t="n">
        <f aca="false">J1+1</f>
        <v>7</v>
      </c>
      <c r="L1" s="5" t="n">
        <f aca="false">K1+1</f>
        <v>8</v>
      </c>
      <c r="M1" s="5" t="n">
        <f aca="false">L1+1</f>
        <v>9</v>
      </c>
      <c r="N1" s="5" t="n">
        <f aca="false">M1+1</f>
        <v>10</v>
      </c>
      <c r="O1" s="5" t="n">
        <f aca="false">N1+1</f>
        <v>11</v>
      </c>
      <c r="P1" s="5" t="n">
        <f aca="false">O1+1</f>
        <v>12</v>
      </c>
      <c r="Q1" s="5" t="n">
        <f aca="false">P1+1</f>
        <v>13</v>
      </c>
      <c r="R1" s="5" t="n">
        <f aca="false">Q1+1</f>
        <v>14</v>
      </c>
      <c r="S1" s="5" t="n">
        <f aca="false">R1+1</f>
        <v>15</v>
      </c>
      <c r="T1" s="5" t="n">
        <f aca="false">S1+1</f>
        <v>16</v>
      </c>
      <c r="U1" s="5" t="n">
        <f aca="false">T1+1</f>
        <v>17</v>
      </c>
      <c r="V1" s="5" t="n">
        <f aca="false">U1+1</f>
        <v>18</v>
      </c>
      <c r="W1" s="5" t="n">
        <f aca="false">V1+1</f>
        <v>19</v>
      </c>
      <c r="X1" s="5" t="n">
        <f aca="false">W1+1</f>
        <v>20</v>
      </c>
      <c r="Y1" s="5" t="n">
        <f aca="false">X1+1</f>
        <v>21</v>
      </c>
      <c r="Z1" s="5" t="n">
        <f aca="false">Y1+1</f>
        <v>22</v>
      </c>
      <c r="AA1" s="5" t="n">
        <f aca="false">Z1+1</f>
        <v>23</v>
      </c>
      <c r="AB1" s="5" t="n">
        <f aca="false">AA1+1</f>
        <v>24</v>
      </c>
      <c r="AC1" s="5" t="n">
        <f aca="false">AB1+1</f>
        <v>25</v>
      </c>
      <c r="AD1" s="5" t="n">
        <f aca="false">AC1+1</f>
        <v>26</v>
      </c>
      <c r="AE1" s="5" t="n">
        <f aca="false">AD1+1</f>
        <v>27</v>
      </c>
      <c r="AF1" s="5" t="n">
        <f aca="false">AE1+1</f>
        <v>28</v>
      </c>
      <c r="AG1" s="5" t="n">
        <f aca="false">AF1+1</f>
        <v>29</v>
      </c>
      <c r="AH1" s="5" t="n">
        <f aca="false">AG1+1</f>
        <v>30</v>
      </c>
      <c r="AI1" s="6" t="n">
        <f aca="false">AH1+1</f>
        <v>31</v>
      </c>
      <c r="AJ1" s="19"/>
      <c r="AK1" s="19"/>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row>
    <row r="2" customFormat="false" ht="15.75" hidden="false" customHeight="false" outlineLevel="0" collapsed="false">
      <c r="A2" s="1030"/>
      <c r="B2" s="1031" t="s">
        <v>631</v>
      </c>
      <c r="E2" s="7" t="n">
        <f aca="false">Assum!H25</f>
        <v>2002</v>
      </c>
      <c r="F2" s="8" t="n">
        <f aca="false">E2+1</f>
        <v>2003</v>
      </c>
      <c r="G2" s="8" t="n">
        <f aca="false">F2+1</f>
        <v>2004</v>
      </c>
      <c r="H2" s="8" t="n">
        <f aca="false">G2+1</f>
        <v>2005</v>
      </c>
      <c r="I2" s="8" t="n">
        <f aca="false">H2+1</f>
        <v>2006</v>
      </c>
      <c r="J2" s="8" t="n">
        <f aca="false">I2+1</f>
        <v>2007</v>
      </c>
      <c r="K2" s="8" t="n">
        <f aca="false">J2+1</f>
        <v>2008</v>
      </c>
      <c r="L2" s="8" t="n">
        <f aca="false">K2+1</f>
        <v>2009</v>
      </c>
      <c r="M2" s="8" t="n">
        <f aca="false">L2+1</f>
        <v>2010</v>
      </c>
      <c r="N2" s="8" t="n">
        <f aca="false">M2+1</f>
        <v>2011</v>
      </c>
      <c r="O2" s="8" t="n">
        <f aca="false">N2+1</f>
        <v>2012</v>
      </c>
      <c r="P2" s="8" t="n">
        <f aca="false">O2+1</f>
        <v>2013</v>
      </c>
      <c r="Q2" s="8" t="n">
        <f aca="false">P2+1</f>
        <v>2014</v>
      </c>
      <c r="R2" s="8" t="n">
        <f aca="false">Q2+1</f>
        <v>2015</v>
      </c>
      <c r="S2" s="8" t="n">
        <f aca="false">R2+1</f>
        <v>2016</v>
      </c>
      <c r="T2" s="8" t="n">
        <f aca="false">S2+1</f>
        <v>2017</v>
      </c>
      <c r="U2" s="8" t="n">
        <f aca="false">T2+1</f>
        <v>2018</v>
      </c>
      <c r="V2" s="8" t="n">
        <f aca="false">U2+1</f>
        <v>2019</v>
      </c>
      <c r="W2" s="8" t="n">
        <f aca="false">V2+1</f>
        <v>2020</v>
      </c>
      <c r="X2" s="8" t="n">
        <f aca="false">W2+1</f>
        <v>2021</v>
      </c>
      <c r="Y2" s="8" t="n">
        <f aca="false">X2+1</f>
        <v>2022</v>
      </c>
      <c r="Z2" s="8" t="n">
        <f aca="false">Y2+1</f>
        <v>2023</v>
      </c>
      <c r="AA2" s="8" t="n">
        <f aca="false">Z2+1</f>
        <v>2024</v>
      </c>
      <c r="AB2" s="8" t="n">
        <f aca="false">AA2+1</f>
        <v>2025</v>
      </c>
      <c r="AC2" s="8" t="n">
        <f aca="false">AB2+1</f>
        <v>2026</v>
      </c>
      <c r="AD2" s="8" t="n">
        <f aca="false">AC2+1</f>
        <v>2027</v>
      </c>
      <c r="AE2" s="8" t="n">
        <f aca="false">AD2+1</f>
        <v>2028</v>
      </c>
      <c r="AF2" s="8" t="n">
        <f aca="false">AE2+1</f>
        <v>2029</v>
      </c>
      <c r="AG2" s="8" t="n">
        <f aca="false">AF2+1</f>
        <v>2030</v>
      </c>
      <c r="AH2" s="8" t="n">
        <f aca="false">AG2+1</f>
        <v>2031</v>
      </c>
      <c r="AI2" s="9" t="n">
        <f aca="false">AH2+1</f>
        <v>2032</v>
      </c>
      <c r="AJ2" s="19"/>
      <c r="AK2" s="19"/>
      <c r="AL2" s="124"/>
      <c r="AM2" s="124"/>
      <c r="AN2" s="124"/>
      <c r="AO2" s="124"/>
      <c r="AP2" s="124"/>
      <c r="AQ2" s="124"/>
      <c r="AR2" s="124"/>
      <c r="AS2" s="124"/>
      <c r="AT2" s="124"/>
      <c r="AU2" s="124"/>
      <c r="AV2" s="124"/>
      <c r="AW2" s="124"/>
      <c r="AX2" s="124"/>
      <c r="AY2" s="124"/>
      <c r="AZ2" s="124"/>
      <c r="BA2" s="124"/>
      <c r="BB2" s="124"/>
      <c r="BC2" s="124"/>
      <c r="BD2" s="124"/>
      <c r="BE2" s="124"/>
      <c r="BF2" s="124"/>
      <c r="BG2" s="124"/>
      <c r="BH2" s="124"/>
      <c r="BI2" s="124"/>
      <c r="BJ2" s="124"/>
      <c r="BK2" s="124"/>
      <c r="BL2" s="124"/>
      <c r="BM2" s="124"/>
      <c r="BN2" s="124"/>
      <c r="BO2" s="124"/>
      <c r="BP2" s="124"/>
      <c r="BQ2" s="124"/>
      <c r="BR2" s="124"/>
      <c r="BS2" s="124"/>
      <c r="BT2" s="124"/>
      <c r="BU2" s="124"/>
      <c r="BV2" s="124"/>
      <c r="BW2" s="124"/>
      <c r="BX2" s="124"/>
      <c r="BY2" s="124"/>
      <c r="BZ2" s="124"/>
      <c r="CA2" s="124"/>
      <c r="CB2" s="124"/>
      <c r="CC2" s="124"/>
      <c r="CD2" s="124"/>
      <c r="CE2" s="124"/>
      <c r="CF2" s="124"/>
      <c r="CG2" s="124"/>
      <c r="CH2" s="124"/>
      <c r="CI2" s="124"/>
      <c r="CJ2" s="124"/>
      <c r="CK2" s="124"/>
      <c r="CL2" s="124"/>
      <c r="CM2" s="124"/>
      <c r="CN2" s="124"/>
      <c r="CO2" s="124"/>
      <c r="CP2" s="124"/>
      <c r="CQ2" s="124"/>
      <c r="CR2" s="124"/>
      <c r="CS2" s="124"/>
      <c r="CT2" s="124"/>
      <c r="CU2" s="124"/>
      <c r="CV2" s="124"/>
      <c r="CW2" s="124"/>
      <c r="CX2" s="124"/>
      <c r="CY2" s="124"/>
      <c r="CZ2" s="124"/>
      <c r="DA2" s="124"/>
      <c r="DB2" s="124"/>
      <c r="DC2" s="124"/>
      <c r="DD2" s="124"/>
      <c r="DE2" s="124"/>
    </row>
    <row r="3" customFormat="false" ht="15" hidden="false" customHeight="false" outlineLevel="0" collapsed="false">
      <c r="A3" s="1032"/>
      <c r="B3" s="100"/>
      <c r="C3" s="100"/>
      <c r="D3" s="130"/>
      <c r="E3" s="13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2"/>
      <c r="AK3" s="102"/>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0"/>
      <c r="EB3" s="100"/>
      <c r="EC3" s="100"/>
      <c r="ED3" s="100"/>
      <c r="EE3" s="100"/>
      <c r="EF3" s="100"/>
      <c r="EG3" s="100"/>
      <c r="EH3" s="100"/>
      <c r="EI3" s="100"/>
      <c r="EJ3" s="100"/>
      <c r="EK3" s="100"/>
      <c r="EL3" s="100"/>
      <c r="EM3" s="100"/>
      <c r="EN3" s="100"/>
      <c r="EO3" s="100"/>
      <c r="EP3" s="100"/>
      <c r="EQ3" s="100"/>
      <c r="ER3" s="100"/>
      <c r="ES3" s="100"/>
      <c r="ET3" s="100"/>
      <c r="EU3" s="100"/>
      <c r="EV3" s="100"/>
      <c r="EW3" s="100"/>
      <c r="EX3" s="100"/>
      <c r="EY3" s="100"/>
      <c r="EZ3" s="100"/>
      <c r="FA3" s="100"/>
      <c r="FB3" s="100"/>
      <c r="FC3" s="100"/>
      <c r="FD3" s="100"/>
      <c r="FE3" s="100"/>
      <c r="FF3" s="100"/>
      <c r="FG3" s="100"/>
      <c r="FH3" s="100"/>
      <c r="FI3" s="100"/>
      <c r="FJ3" s="100"/>
      <c r="FK3" s="100"/>
      <c r="FL3" s="100"/>
      <c r="FM3" s="100"/>
      <c r="FN3" s="100"/>
      <c r="FO3" s="100"/>
      <c r="FP3" s="100"/>
      <c r="FQ3" s="100"/>
      <c r="FR3" s="100"/>
      <c r="FS3" s="100"/>
      <c r="FT3" s="100"/>
      <c r="FU3" s="100"/>
      <c r="FV3" s="100"/>
      <c r="FW3" s="100"/>
      <c r="FX3" s="100"/>
      <c r="FY3" s="100"/>
      <c r="FZ3" s="100"/>
      <c r="GA3" s="100"/>
      <c r="GB3" s="100"/>
      <c r="GC3" s="100"/>
      <c r="GD3" s="100"/>
      <c r="GE3" s="100"/>
      <c r="GF3" s="100"/>
      <c r="GG3" s="100"/>
      <c r="GH3" s="100"/>
      <c r="GI3" s="100"/>
      <c r="GJ3" s="100"/>
      <c r="GK3" s="100"/>
      <c r="GL3" s="100"/>
      <c r="GM3" s="100"/>
      <c r="GN3" s="100"/>
      <c r="GO3" s="100"/>
      <c r="GP3" s="100"/>
      <c r="GQ3" s="100"/>
      <c r="GR3" s="100"/>
      <c r="GS3" s="100"/>
      <c r="GT3" s="100"/>
      <c r="GU3" s="100"/>
      <c r="GV3" s="100"/>
      <c r="GW3" s="100"/>
      <c r="GX3" s="100"/>
      <c r="GY3" s="100"/>
      <c r="GZ3" s="100"/>
      <c r="HA3" s="100"/>
      <c r="HB3" s="100"/>
      <c r="HC3" s="100"/>
      <c r="HD3" s="100"/>
      <c r="HE3" s="100"/>
      <c r="HF3" s="100"/>
      <c r="HG3" s="100"/>
      <c r="HH3" s="100"/>
      <c r="HI3" s="100"/>
      <c r="HJ3" s="100"/>
      <c r="HK3" s="100"/>
      <c r="HL3" s="100"/>
      <c r="HM3" s="100"/>
      <c r="HN3" s="100"/>
      <c r="HO3" s="100"/>
      <c r="HP3" s="100"/>
      <c r="HQ3" s="100"/>
      <c r="HR3" s="100"/>
      <c r="HS3" s="100"/>
      <c r="HT3" s="100"/>
      <c r="HU3" s="100"/>
      <c r="HV3" s="100"/>
      <c r="HW3" s="100"/>
      <c r="HX3" s="100"/>
      <c r="HY3" s="100"/>
      <c r="HZ3" s="100"/>
      <c r="IA3" s="100"/>
      <c r="IB3" s="100"/>
      <c r="IC3" s="100"/>
      <c r="ID3" s="100"/>
      <c r="IE3" s="100"/>
      <c r="IF3" s="100"/>
      <c r="IG3" s="100"/>
      <c r="IH3" s="100"/>
      <c r="II3" s="100"/>
      <c r="IJ3" s="100"/>
      <c r="IK3" s="100"/>
      <c r="IL3" s="100"/>
      <c r="IM3" s="100"/>
      <c r="IN3" s="100"/>
      <c r="IO3" s="100"/>
      <c r="IP3" s="100"/>
      <c r="IQ3" s="100"/>
      <c r="IR3" s="100"/>
      <c r="IS3" s="100"/>
      <c r="IT3" s="100"/>
      <c r="IU3" s="100"/>
      <c r="IV3" s="100"/>
      <c r="IW3" s="100"/>
    </row>
    <row r="4" customFormat="false" ht="15" hidden="false" customHeight="false" outlineLevel="0" collapsed="false">
      <c r="A4" s="1032"/>
      <c r="B4" s="0" t="s">
        <v>632</v>
      </c>
      <c r="C4" s="100"/>
      <c r="D4" s="130"/>
      <c r="E4" s="130" t="n">
        <f aca="false">Srcs_Uses!E33</f>
        <v>39076.7399283153</v>
      </c>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2"/>
      <c r="AK4" s="102"/>
      <c r="AL4" s="100"/>
      <c r="AM4" s="100"/>
      <c r="AN4" s="100"/>
      <c r="AO4" s="100"/>
      <c r="AP4" s="100"/>
      <c r="AQ4" s="100"/>
      <c r="AR4" s="100"/>
      <c r="AS4" s="100"/>
      <c r="AT4" s="100"/>
      <c r="AU4" s="100"/>
      <c r="AV4" s="100"/>
      <c r="AW4" s="100"/>
      <c r="AX4" s="100"/>
      <c r="AY4" s="100"/>
      <c r="AZ4" s="100"/>
      <c r="BA4" s="100"/>
      <c r="BB4" s="100"/>
      <c r="BC4" s="100"/>
      <c r="BD4" s="100"/>
      <c r="BE4" s="100"/>
      <c r="BF4" s="100"/>
      <c r="BG4" s="100"/>
      <c r="BH4" s="100"/>
      <c r="BI4" s="100"/>
      <c r="BJ4" s="100"/>
      <c r="BK4" s="100"/>
      <c r="BL4" s="100"/>
      <c r="BM4" s="100"/>
      <c r="BN4" s="100"/>
      <c r="BO4" s="100"/>
      <c r="BP4" s="100"/>
      <c r="BQ4" s="100"/>
      <c r="BR4" s="100"/>
      <c r="BS4" s="100"/>
      <c r="BT4" s="100"/>
      <c r="BU4" s="100"/>
      <c r="BV4" s="100"/>
      <c r="BW4" s="100"/>
      <c r="BX4" s="100"/>
      <c r="BY4" s="100"/>
      <c r="BZ4" s="100"/>
      <c r="CA4" s="100"/>
      <c r="CB4" s="100"/>
      <c r="CC4" s="100"/>
      <c r="CD4" s="100"/>
      <c r="CE4" s="100"/>
      <c r="CF4" s="100"/>
      <c r="CG4" s="100"/>
      <c r="CH4" s="100"/>
      <c r="CI4" s="100"/>
      <c r="CJ4" s="100"/>
      <c r="CK4" s="100"/>
      <c r="CL4" s="100"/>
      <c r="CM4" s="100"/>
      <c r="CN4" s="100"/>
      <c r="CO4" s="100"/>
      <c r="CP4" s="100"/>
      <c r="CQ4" s="100"/>
      <c r="CR4" s="100"/>
      <c r="CS4" s="100"/>
      <c r="CT4" s="100"/>
      <c r="CU4" s="100"/>
      <c r="CV4" s="100"/>
      <c r="CW4" s="100"/>
      <c r="CX4" s="100"/>
      <c r="CY4" s="100"/>
      <c r="CZ4" s="100"/>
      <c r="DA4" s="100"/>
      <c r="DB4" s="100"/>
      <c r="DC4" s="100"/>
      <c r="DD4" s="100"/>
      <c r="DE4" s="100"/>
      <c r="DF4" s="100"/>
      <c r="DG4" s="100"/>
      <c r="DH4" s="100"/>
      <c r="DI4" s="100"/>
      <c r="DJ4" s="100"/>
      <c r="DK4" s="100"/>
      <c r="DL4" s="100"/>
      <c r="DM4" s="100"/>
      <c r="DN4" s="100"/>
      <c r="DO4" s="100"/>
      <c r="DP4" s="100"/>
      <c r="DQ4" s="100"/>
      <c r="DR4" s="100"/>
      <c r="DS4" s="100"/>
      <c r="DT4" s="100"/>
      <c r="DU4" s="100"/>
      <c r="DV4" s="100"/>
      <c r="DW4" s="100"/>
      <c r="DX4" s="100"/>
      <c r="DY4" s="100"/>
      <c r="DZ4" s="100"/>
      <c r="EA4" s="100"/>
      <c r="EB4" s="100"/>
      <c r="EC4" s="100"/>
      <c r="ED4" s="100"/>
      <c r="EE4" s="100"/>
      <c r="EF4" s="100"/>
      <c r="EG4" s="100"/>
      <c r="EH4" s="100"/>
      <c r="EI4" s="100"/>
      <c r="EJ4" s="100"/>
      <c r="EK4" s="100"/>
      <c r="EL4" s="100"/>
      <c r="EM4" s="100"/>
      <c r="EN4" s="100"/>
      <c r="EO4" s="100"/>
      <c r="EP4" s="100"/>
      <c r="EQ4" s="100"/>
      <c r="ER4" s="100"/>
      <c r="ES4" s="100"/>
      <c r="ET4" s="100"/>
      <c r="EU4" s="100"/>
      <c r="EV4" s="100"/>
      <c r="EW4" s="100"/>
      <c r="EX4" s="100"/>
      <c r="EY4" s="100"/>
      <c r="EZ4" s="100"/>
      <c r="FA4" s="100"/>
      <c r="FB4" s="100"/>
      <c r="FC4" s="100"/>
      <c r="FD4" s="100"/>
      <c r="FE4" s="100"/>
      <c r="FF4" s="100"/>
      <c r="FG4" s="100"/>
      <c r="FH4" s="100"/>
      <c r="FI4" s="100"/>
      <c r="FJ4" s="100"/>
      <c r="FK4" s="100"/>
      <c r="FL4" s="100"/>
      <c r="FM4" s="100"/>
      <c r="FN4" s="100"/>
      <c r="FO4" s="100"/>
      <c r="FP4" s="100"/>
      <c r="FQ4" s="100"/>
      <c r="FR4" s="100"/>
      <c r="FS4" s="100"/>
      <c r="FT4" s="100"/>
      <c r="FU4" s="100"/>
      <c r="FV4" s="100"/>
      <c r="FW4" s="100"/>
      <c r="FX4" s="100"/>
      <c r="FY4" s="100"/>
      <c r="FZ4" s="100"/>
      <c r="GA4" s="100"/>
      <c r="GB4" s="100"/>
      <c r="GC4" s="100"/>
      <c r="GD4" s="100"/>
      <c r="GE4" s="100"/>
      <c r="GF4" s="100"/>
      <c r="GG4" s="100"/>
      <c r="GH4" s="100"/>
      <c r="GI4" s="100"/>
      <c r="GJ4" s="100"/>
      <c r="GK4" s="100"/>
      <c r="GL4" s="100"/>
      <c r="GM4" s="100"/>
      <c r="GN4" s="100"/>
      <c r="GO4" s="100"/>
      <c r="GP4" s="100"/>
      <c r="GQ4" s="100"/>
      <c r="GR4" s="100"/>
      <c r="GS4" s="100"/>
      <c r="GT4" s="100"/>
      <c r="GU4" s="100"/>
      <c r="GV4" s="100"/>
      <c r="GW4" s="100"/>
      <c r="GX4" s="100"/>
      <c r="GY4" s="100"/>
      <c r="GZ4" s="100"/>
      <c r="HA4" s="100"/>
      <c r="HB4" s="100"/>
      <c r="HC4" s="100"/>
      <c r="HD4" s="100"/>
      <c r="HE4" s="100"/>
      <c r="HF4" s="100"/>
      <c r="HG4" s="100"/>
      <c r="HH4" s="100"/>
      <c r="HI4" s="100"/>
      <c r="HJ4" s="100"/>
      <c r="HK4" s="100"/>
      <c r="HL4" s="100"/>
      <c r="HM4" s="100"/>
      <c r="HN4" s="100"/>
      <c r="HO4" s="100"/>
      <c r="HP4" s="100"/>
      <c r="HQ4" s="100"/>
      <c r="HR4" s="100"/>
      <c r="HS4" s="100"/>
      <c r="HT4" s="100"/>
      <c r="HU4" s="100"/>
      <c r="HV4" s="100"/>
      <c r="HW4" s="100"/>
      <c r="HX4" s="100"/>
      <c r="HY4" s="100"/>
      <c r="HZ4" s="100"/>
      <c r="IA4" s="100"/>
      <c r="IB4" s="100"/>
      <c r="IC4" s="100"/>
      <c r="ID4" s="100"/>
      <c r="IE4" s="100"/>
      <c r="IF4" s="100"/>
      <c r="IG4" s="100"/>
      <c r="IH4" s="100"/>
      <c r="II4" s="100"/>
      <c r="IJ4" s="100"/>
      <c r="IK4" s="100"/>
      <c r="IL4" s="100"/>
      <c r="IM4" s="100"/>
      <c r="IN4" s="100"/>
      <c r="IO4" s="100"/>
      <c r="IP4" s="100"/>
      <c r="IQ4" s="100"/>
      <c r="IR4" s="100"/>
      <c r="IS4" s="100"/>
      <c r="IT4" s="100"/>
      <c r="IU4" s="100"/>
      <c r="IV4" s="100"/>
      <c r="IW4" s="100"/>
    </row>
    <row r="5" customFormat="false" ht="12.75" hidden="false" customHeight="false" outlineLevel="0" collapsed="false">
      <c r="A5" s="0" t="s">
        <v>633</v>
      </c>
      <c r="B5" s="100" t="str">
        <f aca="false">Srcs_Uses!B24</f>
        <v>INITIAL WORKING CAPITAL </v>
      </c>
      <c r="C5" s="100"/>
      <c r="D5" s="130"/>
      <c r="E5" s="130" t="n">
        <f aca="false">-Srcs_Uses!E24</f>
        <v>-197.5</v>
      </c>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2"/>
      <c r="AK5" s="102"/>
      <c r="AL5" s="100"/>
      <c r="AM5" s="100"/>
      <c r="AN5" s="100"/>
      <c r="AO5" s="100"/>
      <c r="AP5" s="100"/>
      <c r="AQ5" s="100"/>
      <c r="AR5" s="100"/>
      <c r="AS5" s="100"/>
      <c r="AT5" s="100"/>
      <c r="AU5" s="100"/>
      <c r="AV5" s="100"/>
      <c r="AW5" s="100"/>
      <c r="AX5" s="100"/>
      <c r="AY5" s="100"/>
      <c r="AZ5" s="100"/>
      <c r="BA5" s="100"/>
      <c r="BB5" s="100"/>
      <c r="BC5" s="100"/>
      <c r="BD5" s="100"/>
      <c r="BE5" s="100"/>
      <c r="BF5" s="100"/>
      <c r="BG5" s="100"/>
      <c r="BH5" s="100"/>
      <c r="BI5" s="100"/>
      <c r="BJ5" s="100"/>
      <c r="BK5" s="100"/>
      <c r="BL5" s="100"/>
      <c r="BM5" s="100"/>
      <c r="BN5" s="100"/>
      <c r="BO5" s="100"/>
      <c r="BP5" s="100"/>
      <c r="BQ5" s="100"/>
      <c r="BR5" s="100"/>
      <c r="BS5" s="100"/>
      <c r="BT5" s="100"/>
      <c r="BU5" s="100"/>
      <c r="BV5" s="100"/>
      <c r="BW5" s="100"/>
      <c r="BX5" s="100"/>
      <c r="BY5" s="100"/>
      <c r="BZ5" s="100"/>
      <c r="CA5" s="100"/>
      <c r="CB5" s="100"/>
      <c r="CC5" s="100"/>
      <c r="CD5" s="100"/>
      <c r="CE5" s="100"/>
      <c r="CF5" s="100"/>
      <c r="CG5" s="100"/>
      <c r="CH5" s="100"/>
      <c r="CI5" s="100"/>
      <c r="CJ5" s="100"/>
      <c r="CK5" s="100"/>
      <c r="CL5" s="100"/>
      <c r="CM5" s="100"/>
      <c r="CN5" s="100"/>
      <c r="CO5" s="100"/>
      <c r="CP5" s="100"/>
      <c r="CQ5" s="100"/>
      <c r="CR5" s="100"/>
      <c r="CS5" s="100"/>
      <c r="CT5" s="100"/>
      <c r="CU5" s="100"/>
      <c r="CV5" s="100"/>
      <c r="CW5" s="100"/>
      <c r="CX5" s="100"/>
      <c r="CY5" s="100"/>
      <c r="CZ5" s="100"/>
      <c r="DA5" s="100"/>
      <c r="DB5" s="100"/>
      <c r="DC5" s="100"/>
      <c r="DD5" s="100"/>
      <c r="DE5" s="100"/>
      <c r="DF5" s="100"/>
      <c r="DG5" s="100"/>
      <c r="DH5" s="100"/>
      <c r="DI5" s="100"/>
      <c r="DJ5" s="100"/>
      <c r="DK5" s="100"/>
      <c r="DL5" s="100"/>
      <c r="DM5" s="100"/>
      <c r="DN5" s="100"/>
      <c r="DO5" s="100"/>
      <c r="DP5" s="100"/>
      <c r="DQ5" s="100"/>
      <c r="DR5" s="100"/>
      <c r="DS5" s="100"/>
      <c r="DT5" s="100"/>
      <c r="DU5" s="100"/>
      <c r="DV5" s="100"/>
      <c r="DW5" s="100"/>
      <c r="DX5" s="100"/>
      <c r="DY5" s="100"/>
      <c r="DZ5" s="100"/>
      <c r="EA5" s="100"/>
      <c r="EB5" s="100"/>
      <c r="EC5" s="100"/>
      <c r="ED5" s="100"/>
      <c r="EE5" s="100"/>
      <c r="EF5" s="100"/>
      <c r="EG5" s="100"/>
      <c r="EH5" s="100"/>
      <c r="EI5" s="100"/>
      <c r="EJ5" s="100"/>
      <c r="EK5" s="100"/>
      <c r="EL5" s="100"/>
      <c r="EM5" s="100"/>
      <c r="EN5" s="100"/>
      <c r="EO5" s="100"/>
      <c r="EP5" s="100"/>
      <c r="EQ5" s="100"/>
      <c r="ER5" s="100"/>
      <c r="ES5" s="100"/>
      <c r="ET5" s="100"/>
      <c r="EU5" s="100"/>
      <c r="EV5" s="100"/>
      <c r="EW5" s="100"/>
      <c r="EX5" s="100"/>
      <c r="EY5" s="100"/>
      <c r="EZ5" s="100"/>
      <c r="FA5" s="100"/>
      <c r="FB5" s="100"/>
      <c r="FC5" s="100"/>
      <c r="FD5" s="100"/>
      <c r="FE5" s="100"/>
      <c r="FF5" s="100"/>
      <c r="FG5" s="100"/>
      <c r="FH5" s="100"/>
      <c r="FI5" s="100"/>
      <c r="FJ5" s="100"/>
      <c r="FK5" s="100"/>
      <c r="FL5" s="100"/>
      <c r="FM5" s="100"/>
      <c r="FN5" s="100"/>
      <c r="FO5" s="100"/>
      <c r="FP5" s="100"/>
      <c r="FQ5" s="100"/>
      <c r="FR5" s="100"/>
      <c r="FS5" s="100"/>
      <c r="FT5" s="100"/>
      <c r="FU5" s="100"/>
      <c r="FV5" s="100"/>
      <c r="FW5" s="100"/>
      <c r="FX5" s="100"/>
      <c r="FY5" s="100"/>
      <c r="FZ5" s="100"/>
      <c r="GA5" s="100"/>
      <c r="GB5" s="100"/>
      <c r="GC5" s="100"/>
      <c r="GD5" s="100"/>
      <c r="GE5" s="100"/>
      <c r="GF5" s="100"/>
      <c r="GG5" s="100"/>
      <c r="GH5" s="100"/>
      <c r="GI5" s="100"/>
      <c r="GJ5" s="100"/>
      <c r="GK5" s="100"/>
      <c r="GL5" s="100"/>
      <c r="GM5" s="100"/>
      <c r="GN5" s="100"/>
      <c r="GO5" s="100"/>
      <c r="GP5" s="100"/>
      <c r="GQ5" s="100"/>
      <c r="GR5" s="100"/>
      <c r="GS5" s="100"/>
      <c r="GT5" s="100"/>
      <c r="GU5" s="100"/>
      <c r="GV5" s="100"/>
      <c r="GW5" s="100"/>
      <c r="GX5" s="100"/>
      <c r="GY5" s="100"/>
      <c r="GZ5" s="100"/>
      <c r="HA5" s="100"/>
      <c r="HB5" s="100"/>
      <c r="HC5" s="100"/>
      <c r="HD5" s="100"/>
      <c r="HE5" s="100"/>
      <c r="HF5" s="100"/>
      <c r="HG5" s="100"/>
      <c r="HH5" s="100"/>
      <c r="HI5" s="100"/>
      <c r="HJ5" s="100"/>
      <c r="HK5" s="100"/>
      <c r="HL5" s="100"/>
      <c r="HM5" s="100"/>
      <c r="HN5" s="100"/>
      <c r="HO5" s="100"/>
      <c r="HP5" s="100"/>
      <c r="HQ5" s="100"/>
      <c r="HR5" s="100"/>
      <c r="HS5" s="100"/>
      <c r="HT5" s="100"/>
      <c r="HU5" s="100"/>
      <c r="HV5" s="100"/>
      <c r="HW5" s="100"/>
      <c r="HX5" s="100"/>
      <c r="HY5" s="100"/>
      <c r="HZ5" s="100"/>
      <c r="IA5" s="100"/>
      <c r="IB5" s="100"/>
      <c r="IC5" s="100"/>
      <c r="ID5" s="100"/>
      <c r="IE5" s="100"/>
      <c r="IF5" s="100"/>
      <c r="IG5" s="100"/>
      <c r="IH5" s="100"/>
      <c r="II5" s="100"/>
      <c r="IJ5" s="100"/>
      <c r="IK5" s="100"/>
      <c r="IL5" s="100"/>
      <c r="IM5" s="100"/>
      <c r="IN5" s="100"/>
      <c r="IO5" s="100"/>
      <c r="IP5" s="100"/>
      <c r="IQ5" s="100"/>
      <c r="IR5" s="100"/>
      <c r="IS5" s="100"/>
      <c r="IT5" s="100"/>
      <c r="IU5" s="100"/>
      <c r="IV5" s="100"/>
      <c r="IW5" s="100"/>
    </row>
    <row r="6" customFormat="false" ht="15.75" hidden="false" customHeight="false" outlineLevel="0" collapsed="false">
      <c r="A6" s="1032"/>
      <c r="B6" s="332" t="s">
        <v>634</v>
      </c>
      <c r="C6" s="332"/>
      <c r="D6" s="642"/>
      <c r="E6" s="332" t="n">
        <f aca="false">SUM(E4:E5)</f>
        <v>38879.2399283153</v>
      </c>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2"/>
      <c r="AK6" s="102"/>
      <c r="AL6" s="100"/>
      <c r="AM6" s="100"/>
      <c r="AN6" s="100"/>
      <c r="AO6" s="100"/>
      <c r="AP6" s="100"/>
      <c r="AQ6" s="100"/>
      <c r="AR6" s="100"/>
      <c r="AS6" s="100"/>
      <c r="AT6" s="100"/>
      <c r="AU6" s="100"/>
      <c r="AV6" s="100"/>
      <c r="AW6" s="100"/>
      <c r="AX6" s="100"/>
      <c r="AY6" s="100"/>
      <c r="AZ6" s="100"/>
      <c r="BA6" s="100"/>
      <c r="BB6" s="100"/>
      <c r="BC6" s="100"/>
      <c r="BD6" s="100"/>
      <c r="BE6" s="100"/>
      <c r="BF6" s="100"/>
      <c r="BG6" s="100"/>
      <c r="BH6" s="100"/>
      <c r="BI6" s="100"/>
      <c r="BJ6" s="100"/>
      <c r="BK6" s="100"/>
      <c r="BL6" s="100"/>
      <c r="BM6" s="100"/>
      <c r="BN6" s="100"/>
      <c r="BO6" s="100"/>
      <c r="BP6" s="100"/>
      <c r="BQ6" s="100"/>
      <c r="BR6" s="100"/>
      <c r="BS6" s="100"/>
      <c r="BT6" s="100"/>
      <c r="BU6" s="100"/>
      <c r="BV6" s="100"/>
      <c r="BW6" s="100"/>
      <c r="BX6" s="100"/>
      <c r="BY6" s="100"/>
      <c r="BZ6" s="100"/>
      <c r="CA6" s="100"/>
      <c r="CB6" s="100"/>
      <c r="CC6" s="100"/>
      <c r="CD6" s="100"/>
      <c r="CE6" s="100"/>
      <c r="CF6" s="100"/>
      <c r="CG6" s="100"/>
      <c r="CH6" s="100"/>
      <c r="CI6" s="100"/>
      <c r="CJ6" s="100"/>
      <c r="CK6" s="100"/>
      <c r="CL6" s="100"/>
      <c r="CM6" s="100"/>
      <c r="CN6" s="100"/>
      <c r="CO6" s="100"/>
      <c r="CP6" s="100"/>
      <c r="CQ6" s="100"/>
      <c r="CR6" s="100"/>
      <c r="CS6" s="100"/>
      <c r="CT6" s="100"/>
      <c r="CU6" s="100"/>
      <c r="CV6" s="100"/>
      <c r="CW6" s="100"/>
      <c r="CX6" s="100"/>
      <c r="CY6" s="100"/>
      <c r="CZ6" s="100"/>
      <c r="DA6" s="100"/>
      <c r="DB6" s="100"/>
      <c r="DC6" s="100"/>
      <c r="DD6" s="100"/>
      <c r="DE6" s="100"/>
      <c r="DF6" s="100"/>
      <c r="DG6" s="100"/>
      <c r="DH6" s="100"/>
      <c r="DI6" s="100"/>
      <c r="DJ6" s="100"/>
      <c r="DK6" s="100"/>
      <c r="DL6" s="100"/>
      <c r="DM6" s="100"/>
      <c r="DN6" s="100"/>
      <c r="DO6" s="100"/>
      <c r="DP6" s="100"/>
      <c r="DQ6" s="100"/>
      <c r="DR6" s="100"/>
      <c r="DS6" s="100"/>
      <c r="DT6" s="100"/>
      <c r="DU6" s="100"/>
      <c r="DV6" s="100"/>
      <c r="DW6" s="100"/>
      <c r="DX6" s="100"/>
      <c r="DY6" s="100"/>
      <c r="DZ6" s="100"/>
      <c r="EA6" s="100"/>
      <c r="EB6" s="100"/>
      <c r="EC6" s="100"/>
      <c r="ED6" s="100"/>
      <c r="EE6" s="100"/>
      <c r="EF6" s="100"/>
      <c r="EG6" s="100"/>
      <c r="EH6" s="100"/>
      <c r="EI6" s="100"/>
      <c r="EJ6" s="100"/>
      <c r="EK6" s="100"/>
      <c r="EL6" s="100"/>
      <c r="EM6" s="100"/>
      <c r="EN6" s="100"/>
      <c r="EO6" s="100"/>
      <c r="EP6" s="100"/>
      <c r="EQ6" s="100"/>
      <c r="ER6" s="100"/>
      <c r="ES6" s="100"/>
      <c r="ET6" s="100"/>
      <c r="EU6" s="100"/>
      <c r="EV6" s="100"/>
      <c r="EW6" s="100"/>
      <c r="EX6" s="100"/>
      <c r="EY6" s="100"/>
      <c r="EZ6" s="100"/>
      <c r="FA6" s="100"/>
      <c r="FB6" s="100"/>
      <c r="FC6" s="100"/>
      <c r="FD6" s="100"/>
      <c r="FE6" s="100"/>
      <c r="FF6" s="100"/>
      <c r="FG6" s="100"/>
      <c r="FH6" s="100"/>
      <c r="FI6" s="100"/>
      <c r="FJ6" s="100"/>
      <c r="FK6" s="100"/>
      <c r="FL6" s="100"/>
      <c r="FM6" s="100"/>
      <c r="FN6" s="100"/>
      <c r="FO6" s="100"/>
      <c r="FP6" s="100"/>
      <c r="FQ6" s="100"/>
      <c r="FR6" s="100"/>
      <c r="FS6" s="100"/>
      <c r="FT6" s="100"/>
      <c r="FU6" s="100"/>
      <c r="FV6" s="100"/>
      <c r="FW6" s="100"/>
      <c r="FX6" s="100"/>
      <c r="FY6" s="100"/>
      <c r="FZ6" s="100"/>
      <c r="GA6" s="100"/>
      <c r="GB6" s="100"/>
      <c r="GC6" s="100"/>
      <c r="GD6" s="100"/>
      <c r="GE6" s="100"/>
      <c r="GF6" s="100"/>
      <c r="GG6" s="100"/>
      <c r="GH6" s="100"/>
      <c r="GI6" s="100"/>
      <c r="GJ6" s="100"/>
      <c r="GK6" s="100"/>
      <c r="GL6" s="100"/>
      <c r="GM6" s="100"/>
      <c r="GN6" s="100"/>
      <c r="GO6" s="100"/>
      <c r="GP6" s="100"/>
      <c r="GQ6" s="100"/>
      <c r="GR6" s="100"/>
      <c r="GS6" s="100"/>
      <c r="GT6" s="100"/>
      <c r="GU6" s="100"/>
      <c r="GV6" s="100"/>
      <c r="GW6" s="100"/>
      <c r="GX6" s="100"/>
      <c r="GY6" s="100"/>
      <c r="GZ6" s="100"/>
      <c r="HA6" s="100"/>
      <c r="HB6" s="100"/>
      <c r="HC6" s="100"/>
      <c r="HD6" s="100"/>
      <c r="HE6" s="100"/>
      <c r="HF6" s="100"/>
      <c r="HG6" s="100"/>
      <c r="HH6" s="100"/>
      <c r="HI6" s="100"/>
      <c r="HJ6" s="100"/>
      <c r="HK6" s="100"/>
      <c r="HL6" s="100"/>
      <c r="HM6" s="100"/>
      <c r="HN6" s="100"/>
      <c r="HO6" s="100"/>
      <c r="HP6" s="100"/>
      <c r="HQ6" s="100"/>
      <c r="HR6" s="100"/>
      <c r="HS6" s="100"/>
      <c r="HT6" s="100"/>
      <c r="HU6" s="100"/>
      <c r="HV6" s="100"/>
      <c r="HW6" s="100"/>
      <c r="HX6" s="100"/>
      <c r="HY6" s="100"/>
      <c r="HZ6" s="100"/>
      <c r="IA6" s="100"/>
      <c r="IB6" s="100"/>
      <c r="IC6" s="100"/>
      <c r="ID6" s="100"/>
      <c r="IE6" s="100"/>
      <c r="IF6" s="100"/>
      <c r="IG6" s="100"/>
      <c r="IH6" s="100"/>
      <c r="II6" s="100"/>
      <c r="IJ6" s="100"/>
      <c r="IK6" s="100"/>
      <c r="IL6" s="100"/>
      <c r="IM6" s="100"/>
      <c r="IN6" s="100"/>
      <c r="IO6" s="100"/>
      <c r="IP6" s="100"/>
      <c r="IQ6" s="100"/>
      <c r="IR6" s="100"/>
      <c r="IS6" s="100"/>
      <c r="IT6" s="100"/>
      <c r="IU6" s="100"/>
      <c r="IV6" s="100"/>
      <c r="IW6" s="100"/>
    </row>
    <row r="7" customFormat="false" ht="15" hidden="false" customHeight="false" outlineLevel="0" collapsed="false">
      <c r="A7" s="1032"/>
      <c r="C7" s="100"/>
      <c r="D7" s="130"/>
      <c r="E7" s="130"/>
      <c r="F7" s="100"/>
      <c r="G7" s="100"/>
      <c r="H7" s="100"/>
      <c r="I7" s="100"/>
      <c r="J7" s="100"/>
      <c r="K7" s="100"/>
      <c r="L7" s="100"/>
      <c r="M7" s="100"/>
      <c r="N7" s="100"/>
      <c r="O7" s="100"/>
      <c r="P7" s="100"/>
      <c r="Q7" s="100"/>
      <c r="R7" s="100"/>
      <c r="S7" s="100"/>
      <c r="T7" s="100"/>
      <c r="U7" s="100"/>
      <c r="V7" s="100"/>
      <c r="W7" s="100"/>
      <c r="X7" s="100"/>
      <c r="Y7" s="100"/>
      <c r="Z7" s="100"/>
      <c r="AA7" s="100"/>
      <c r="AB7" s="100"/>
      <c r="AC7" s="100"/>
      <c r="AD7" s="100"/>
      <c r="AE7" s="100"/>
      <c r="AF7" s="100"/>
      <c r="AG7" s="100"/>
      <c r="AH7" s="100"/>
      <c r="AI7" s="100"/>
      <c r="AJ7" s="102"/>
      <c r="AK7" s="102"/>
      <c r="AL7" s="100"/>
      <c r="AM7" s="100"/>
      <c r="AN7" s="100"/>
      <c r="AO7" s="100"/>
      <c r="AP7" s="100"/>
      <c r="AQ7" s="100"/>
      <c r="AR7" s="100"/>
      <c r="AS7" s="100"/>
      <c r="AT7" s="100"/>
      <c r="AU7" s="100"/>
      <c r="AV7" s="100"/>
      <c r="AW7" s="100"/>
      <c r="AX7" s="100"/>
      <c r="AY7" s="100"/>
      <c r="AZ7" s="100"/>
      <c r="BA7" s="100"/>
      <c r="BB7" s="100"/>
      <c r="BC7" s="100"/>
      <c r="BD7" s="100"/>
      <c r="BE7" s="100"/>
      <c r="BF7" s="100"/>
      <c r="BG7" s="100"/>
      <c r="BH7" s="100"/>
      <c r="BI7" s="100"/>
      <c r="BJ7" s="100"/>
      <c r="BK7" s="100"/>
      <c r="BL7" s="100"/>
      <c r="BM7" s="100"/>
      <c r="BN7" s="100"/>
      <c r="BO7" s="100"/>
      <c r="BP7" s="100"/>
      <c r="BQ7" s="100"/>
      <c r="BR7" s="100"/>
      <c r="BS7" s="100"/>
      <c r="BT7" s="100"/>
      <c r="BU7" s="100"/>
      <c r="BV7" s="100"/>
      <c r="BW7" s="100"/>
      <c r="BX7" s="100"/>
      <c r="BY7" s="100"/>
      <c r="BZ7" s="100"/>
      <c r="CA7" s="100"/>
      <c r="CB7" s="100"/>
      <c r="CC7" s="100"/>
      <c r="CD7" s="100"/>
      <c r="CE7" s="100"/>
      <c r="CF7" s="100"/>
      <c r="CG7" s="100"/>
      <c r="CH7" s="100"/>
      <c r="CI7" s="100"/>
      <c r="CJ7" s="100"/>
      <c r="CK7" s="100"/>
      <c r="CL7" s="100"/>
      <c r="CM7" s="100"/>
      <c r="CN7" s="100"/>
      <c r="CO7" s="100"/>
      <c r="CP7" s="100"/>
      <c r="CQ7" s="100"/>
      <c r="CR7" s="100"/>
      <c r="CS7" s="100"/>
      <c r="CT7" s="100"/>
      <c r="CU7" s="100"/>
      <c r="CV7" s="100"/>
      <c r="CW7" s="100"/>
      <c r="CX7" s="100"/>
      <c r="CY7" s="100"/>
      <c r="CZ7" s="100"/>
      <c r="DA7" s="100"/>
      <c r="DB7" s="100"/>
      <c r="DC7" s="100"/>
      <c r="DD7" s="100"/>
      <c r="DE7" s="100"/>
      <c r="DF7" s="100"/>
      <c r="DG7" s="100"/>
      <c r="DH7" s="100"/>
      <c r="DI7" s="100"/>
      <c r="DJ7" s="100"/>
      <c r="DK7" s="100"/>
      <c r="DL7" s="100"/>
      <c r="DM7" s="100"/>
      <c r="DN7" s="100"/>
      <c r="DO7" s="100"/>
      <c r="DP7" s="100"/>
      <c r="DQ7" s="100"/>
      <c r="DR7" s="100"/>
      <c r="DS7" s="100"/>
      <c r="DT7" s="100"/>
      <c r="DU7" s="100"/>
      <c r="DV7" s="100"/>
      <c r="DW7" s="100"/>
      <c r="DX7" s="100"/>
      <c r="DY7" s="100"/>
      <c r="DZ7" s="100"/>
      <c r="EA7" s="100"/>
      <c r="EB7" s="100"/>
      <c r="EC7" s="100"/>
      <c r="ED7" s="100"/>
      <c r="EE7" s="100"/>
      <c r="EF7" s="100"/>
      <c r="EG7" s="100"/>
      <c r="EH7" s="100"/>
      <c r="EI7" s="100"/>
      <c r="EJ7" s="100"/>
      <c r="EK7" s="100"/>
      <c r="EL7" s="100"/>
      <c r="EM7" s="100"/>
      <c r="EN7" s="100"/>
      <c r="EO7" s="100"/>
      <c r="EP7" s="100"/>
      <c r="EQ7" s="100"/>
      <c r="ER7" s="100"/>
      <c r="ES7" s="100"/>
      <c r="ET7" s="100"/>
      <c r="EU7" s="100"/>
      <c r="EV7" s="100"/>
      <c r="EW7" s="100"/>
      <c r="EX7" s="100"/>
      <c r="EY7" s="100"/>
      <c r="EZ7" s="100"/>
      <c r="FA7" s="100"/>
      <c r="FB7" s="100"/>
      <c r="FC7" s="100"/>
      <c r="FD7" s="100"/>
      <c r="FE7" s="100"/>
      <c r="FF7" s="100"/>
      <c r="FG7" s="100"/>
      <c r="FH7" s="100"/>
      <c r="FI7" s="100"/>
      <c r="FJ7" s="100"/>
      <c r="FK7" s="100"/>
      <c r="FL7" s="100"/>
      <c r="FM7" s="100"/>
      <c r="FN7" s="100"/>
      <c r="FO7" s="100"/>
      <c r="FP7" s="100"/>
      <c r="FQ7" s="100"/>
      <c r="FR7" s="100"/>
      <c r="FS7" s="100"/>
      <c r="FT7" s="100"/>
      <c r="FU7" s="100"/>
      <c r="FV7" s="100"/>
      <c r="FW7" s="100"/>
      <c r="FX7" s="100"/>
      <c r="FY7" s="100"/>
      <c r="FZ7" s="100"/>
      <c r="GA7" s="100"/>
      <c r="GB7" s="100"/>
      <c r="GC7" s="100"/>
      <c r="GD7" s="100"/>
      <c r="GE7" s="100"/>
      <c r="GF7" s="100"/>
      <c r="GG7" s="100"/>
      <c r="GH7" s="100"/>
      <c r="GI7" s="100"/>
      <c r="GJ7" s="100"/>
      <c r="GK7" s="100"/>
      <c r="GL7" s="100"/>
      <c r="GM7" s="100"/>
      <c r="GN7" s="100"/>
      <c r="GO7" s="100"/>
      <c r="GP7" s="100"/>
      <c r="GQ7" s="100"/>
      <c r="GR7" s="100"/>
      <c r="GS7" s="100"/>
      <c r="GT7" s="100"/>
      <c r="GU7" s="100"/>
      <c r="GV7" s="100"/>
      <c r="GW7" s="100"/>
      <c r="GX7" s="100"/>
      <c r="GY7" s="100"/>
      <c r="GZ7" s="100"/>
      <c r="HA7" s="100"/>
      <c r="HB7" s="100"/>
      <c r="HC7" s="100"/>
      <c r="HD7" s="100"/>
      <c r="HE7" s="100"/>
      <c r="HF7" s="100"/>
      <c r="HG7" s="100"/>
      <c r="HH7" s="100"/>
      <c r="HI7" s="100"/>
      <c r="HJ7" s="100"/>
      <c r="HK7" s="100"/>
      <c r="HL7" s="100"/>
      <c r="HM7" s="100"/>
      <c r="HN7" s="100"/>
      <c r="HO7" s="100"/>
      <c r="HP7" s="100"/>
      <c r="HQ7" s="100"/>
      <c r="HR7" s="100"/>
      <c r="HS7" s="100"/>
      <c r="HT7" s="100"/>
      <c r="HU7" s="100"/>
      <c r="HV7" s="100"/>
      <c r="HW7" s="100"/>
      <c r="HX7" s="100"/>
      <c r="HY7" s="100"/>
      <c r="HZ7" s="100"/>
      <c r="IA7" s="100"/>
      <c r="IB7" s="100"/>
      <c r="IC7" s="100"/>
      <c r="ID7" s="100"/>
      <c r="IE7" s="100"/>
      <c r="IF7" s="100"/>
      <c r="IG7" s="100"/>
      <c r="IH7" s="100"/>
      <c r="II7" s="100"/>
      <c r="IJ7" s="100"/>
      <c r="IK7" s="100"/>
      <c r="IL7" s="100"/>
      <c r="IM7" s="100"/>
      <c r="IN7" s="100"/>
      <c r="IO7" s="100"/>
      <c r="IP7" s="100"/>
      <c r="IQ7" s="100"/>
      <c r="IR7" s="100"/>
      <c r="IS7" s="100"/>
      <c r="IT7" s="100"/>
      <c r="IU7" s="100"/>
      <c r="IV7" s="100"/>
      <c r="IW7" s="100"/>
    </row>
    <row r="8" customFormat="false" ht="12.75" hidden="false" customHeight="false" outlineLevel="0" collapsed="false">
      <c r="A8" s="100"/>
      <c r="B8" s="0" t="s">
        <v>80</v>
      </c>
      <c r="C8" s="646" t="n">
        <f aca="false">Assum!D208</f>
        <v>0.95</v>
      </c>
      <c r="D8" s="646" t="str">
        <f aca="false">Assum!E208</f>
        <v>MACRS HALFYR</v>
      </c>
      <c r="E8" s="100" t="n">
        <f aca="false">$E$6*C8</f>
        <v>36935.2779318995</v>
      </c>
      <c r="G8" s="100"/>
      <c r="H8" s="100"/>
      <c r="I8" s="100"/>
      <c r="J8" s="100"/>
      <c r="K8" s="100"/>
      <c r="L8" s="100"/>
      <c r="M8" s="59"/>
      <c r="N8" s="59"/>
      <c r="O8" s="59"/>
      <c r="P8" s="59"/>
      <c r="Q8" s="59"/>
      <c r="R8" s="59"/>
      <c r="S8" s="59"/>
      <c r="T8" s="59"/>
      <c r="U8" s="59"/>
      <c r="V8" s="59"/>
      <c r="W8" s="59"/>
      <c r="X8" s="59"/>
      <c r="Y8" s="59"/>
      <c r="Z8" s="59"/>
      <c r="AA8" s="59"/>
      <c r="AB8" s="59"/>
      <c r="AC8" s="59"/>
      <c r="AD8" s="59"/>
      <c r="AE8" s="59"/>
      <c r="AF8" s="59"/>
      <c r="AG8" s="59"/>
      <c r="AH8" s="59"/>
      <c r="AI8" s="100"/>
      <c r="AJ8" s="102"/>
      <c r="AK8" s="102"/>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0"/>
      <c r="BJ8" s="100"/>
      <c r="BK8" s="100"/>
      <c r="BL8" s="100"/>
      <c r="BM8" s="100"/>
      <c r="BN8" s="100"/>
      <c r="BO8" s="100"/>
      <c r="BP8" s="100"/>
      <c r="BQ8" s="100"/>
      <c r="BR8" s="100"/>
      <c r="BS8" s="100"/>
      <c r="BT8" s="100"/>
      <c r="BU8" s="100"/>
      <c r="BV8" s="100"/>
      <c r="BW8" s="100"/>
      <c r="BX8" s="100"/>
      <c r="BY8" s="100"/>
      <c r="BZ8" s="100"/>
      <c r="CA8" s="100"/>
      <c r="CB8" s="100"/>
      <c r="CC8" s="100"/>
      <c r="CD8" s="100"/>
      <c r="CE8" s="100"/>
      <c r="CF8" s="100"/>
      <c r="CG8" s="100"/>
      <c r="CH8" s="100"/>
      <c r="CI8" s="100"/>
      <c r="CJ8" s="100"/>
      <c r="CK8" s="100"/>
      <c r="CL8" s="100"/>
      <c r="CM8" s="100"/>
      <c r="CN8" s="100"/>
      <c r="CO8" s="100"/>
      <c r="CP8" s="100"/>
      <c r="CQ8" s="100"/>
      <c r="CR8" s="100"/>
      <c r="CS8" s="100"/>
      <c r="CT8" s="100"/>
      <c r="CU8" s="100"/>
      <c r="CV8" s="100"/>
      <c r="CW8" s="100"/>
      <c r="CX8" s="100"/>
      <c r="CY8" s="100"/>
      <c r="CZ8" s="100"/>
      <c r="DA8" s="100"/>
      <c r="DB8" s="100"/>
      <c r="DC8" s="100"/>
      <c r="DD8" s="100"/>
      <c r="DE8" s="100"/>
      <c r="DF8" s="100"/>
      <c r="DG8" s="100"/>
      <c r="DH8" s="100"/>
      <c r="DI8" s="100"/>
      <c r="DJ8" s="100"/>
      <c r="DK8" s="100"/>
      <c r="DL8" s="100"/>
      <c r="DM8" s="100"/>
      <c r="DN8" s="100"/>
      <c r="DO8" s="100"/>
      <c r="DP8" s="100"/>
      <c r="DQ8" s="100"/>
      <c r="DR8" s="100"/>
      <c r="DS8" s="100"/>
      <c r="DT8" s="100"/>
      <c r="DU8" s="100"/>
      <c r="DV8" s="100"/>
      <c r="DW8" s="100"/>
      <c r="DX8" s="100"/>
      <c r="DY8" s="100"/>
      <c r="DZ8" s="100"/>
      <c r="EA8" s="100"/>
      <c r="EB8" s="100"/>
      <c r="EC8" s="100"/>
      <c r="ED8" s="100"/>
      <c r="EE8" s="100"/>
      <c r="EF8" s="100"/>
      <c r="EG8" s="100"/>
      <c r="EH8" s="100"/>
      <c r="EI8" s="100"/>
      <c r="EJ8" s="100"/>
      <c r="EK8" s="100"/>
      <c r="EL8" s="100"/>
      <c r="EM8" s="100"/>
      <c r="EN8" s="100"/>
      <c r="EO8" s="100"/>
      <c r="EP8" s="100"/>
      <c r="EQ8" s="100"/>
      <c r="ER8" s="100"/>
      <c r="ES8" s="100"/>
      <c r="ET8" s="100"/>
      <c r="EU8" s="100"/>
      <c r="EV8" s="100"/>
      <c r="EW8" s="100"/>
      <c r="EX8" s="100"/>
      <c r="EY8" s="100"/>
      <c r="EZ8" s="100"/>
      <c r="FA8" s="100"/>
      <c r="FB8" s="100"/>
      <c r="FC8" s="100"/>
      <c r="FD8" s="100"/>
      <c r="FE8" s="100"/>
      <c r="FF8" s="100"/>
      <c r="FG8" s="100"/>
      <c r="FH8" s="100"/>
      <c r="FI8" s="100"/>
      <c r="FJ8" s="100"/>
      <c r="FK8" s="100"/>
      <c r="FL8" s="100"/>
      <c r="FM8" s="100"/>
      <c r="FN8" s="100"/>
      <c r="FO8" s="100"/>
      <c r="FP8" s="100"/>
      <c r="FQ8" s="100"/>
      <c r="FR8" s="100"/>
      <c r="FS8" s="100"/>
      <c r="FT8" s="100"/>
      <c r="FU8" s="100"/>
      <c r="FV8" s="100"/>
      <c r="FW8" s="100"/>
      <c r="FX8" s="100"/>
      <c r="FY8" s="100"/>
      <c r="FZ8" s="100"/>
      <c r="GA8" s="100"/>
      <c r="GB8" s="100"/>
      <c r="GC8" s="100"/>
      <c r="GD8" s="100"/>
      <c r="GE8" s="100"/>
      <c r="GF8" s="100"/>
      <c r="GG8" s="100"/>
      <c r="GH8" s="100"/>
      <c r="GI8" s="100"/>
      <c r="GJ8" s="100"/>
      <c r="GK8" s="100"/>
      <c r="GL8" s="100"/>
      <c r="GM8" s="100"/>
      <c r="GN8" s="100"/>
      <c r="GO8" s="100"/>
      <c r="GP8" s="100"/>
      <c r="GQ8" s="100"/>
      <c r="GR8" s="100"/>
      <c r="GS8" s="100"/>
      <c r="GT8" s="100"/>
      <c r="GU8" s="100"/>
      <c r="GV8" s="100"/>
      <c r="GW8" s="100"/>
      <c r="GX8" s="100"/>
      <c r="GY8" s="100"/>
      <c r="GZ8" s="100"/>
      <c r="HA8" s="100"/>
      <c r="HB8" s="100"/>
      <c r="HC8" s="100"/>
      <c r="HD8" s="100"/>
      <c r="HE8" s="100"/>
      <c r="HF8" s="100"/>
      <c r="HG8" s="100"/>
      <c r="HH8" s="100"/>
      <c r="HI8" s="100"/>
      <c r="HJ8" s="100"/>
      <c r="HK8" s="100"/>
      <c r="HL8" s="100"/>
      <c r="HM8" s="100"/>
      <c r="HN8" s="100"/>
      <c r="HO8" s="100"/>
      <c r="HP8" s="100"/>
      <c r="HQ8" s="100"/>
      <c r="HR8" s="100"/>
      <c r="HS8" s="100"/>
      <c r="HT8" s="100"/>
      <c r="HU8" s="100"/>
      <c r="HV8" s="100"/>
      <c r="HW8" s="100"/>
      <c r="HX8" s="100"/>
      <c r="HY8" s="100"/>
      <c r="HZ8" s="100"/>
      <c r="IA8" s="100"/>
      <c r="IB8" s="100"/>
      <c r="IC8" s="100"/>
      <c r="ID8" s="100"/>
      <c r="IE8" s="100"/>
      <c r="IF8" s="100"/>
      <c r="IG8" s="100"/>
      <c r="IH8" s="100"/>
      <c r="II8" s="100"/>
      <c r="IJ8" s="100"/>
      <c r="IK8" s="100"/>
      <c r="IL8" s="100"/>
      <c r="IM8" s="100"/>
      <c r="IN8" s="100"/>
      <c r="IO8" s="100"/>
      <c r="IP8" s="100"/>
      <c r="IQ8" s="100"/>
      <c r="IR8" s="100"/>
      <c r="IS8" s="100"/>
      <c r="IT8" s="100"/>
      <c r="IU8" s="100"/>
      <c r="IV8" s="100"/>
      <c r="IW8" s="100"/>
    </row>
    <row r="9" customFormat="false" ht="12.75" hidden="false" customHeight="false" outlineLevel="0" collapsed="false">
      <c r="A9" s="100"/>
      <c r="B9" s="0" t="s">
        <v>315</v>
      </c>
      <c r="C9" s="646" t="n">
        <f aca="false">Assum!D209</f>
        <v>0</v>
      </c>
      <c r="D9" s="736" t="n">
        <f aca="false">Assum!E209</f>
        <v>10</v>
      </c>
      <c r="E9" s="100" t="n">
        <f aca="false">$E$6*C9</f>
        <v>0</v>
      </c>
      <c r="G9" s="100"/>
      <c r="H9" s="100"/>
      <c r="I9" s="100"/>
      <c r="J9" s="100"/>
      <c r="K9" s="100"/>
      <c r="L9" s="100"/>
      <c r="M9" s="59"/>
      <c r="N9" s="59"/>
      <c r="O9" s="59"/>
      <c r="P9" s="59"/>
      <c r="Q9" s="59"/>
      <c r="R9" s="59"/>
      <c r="S9" s="59"/>
      <c r="T9" s="59"/>
      <c r="U9" s="59"/>
      <c r="V9" s="59"/>
      <c r="W9" s="59"/>
      <c r="X9" s="59"/>
      <c r="Y9" s="59"/>
      <c r="Z9" s="59"/>
      <c r="AA9" s="59"/>
      <c r="AB9" s="59"/>
      <c r="AC9" s="59"/>
      <c r="AD9" s="59"/>
      <c r="AE9" s="59"/>
      <c r="AF9" s="59"/>
      <c r="AG9" s="59"/>
      <c r="AH9" s="59"/>
      <c r="AI9" s="100"/>
      <c r="AJ9" s="102"/>
      <c r="AK9" s="102"/>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100"/>
      <c r="BQ9" s="100"/>
      <c r="BR9" s="100"/>
      <c r="BS9" s="100"/>
      <c r="BT9" s="100"/>
      <c r="BU9" s="100"/>
      <c r="BV9" s="100"/>
      <c r="BW9" s="100"/>
      <c r="BX9" s="100"/>
      <c r="BY9" s="100"/>
      <c r="BZ9" s="100"/>
      <c r="CA9" s="100"/>
      <c r="CB9" s="100"/>
      <c r="CC9" s="100"/>
      <c r="CD9" s="100"/>
      <c r="CE9" s="100"/>
      <c r="CF9" s="100"/>
      <c r="CG9" s="100"/>
      <c r="CH9" s="100"/>
      <c r="CI9" s="100"/>
      <c r="CJ9" s="100"/>
      <c r="CK9" s="100"/>
      <c r="CL9" s="100"/>
      <c r="CM9" s="100"/>
      <c r="CN9" s="100"/>
      <c r="CO9" s="100"/>
      <c r="CP9" s="100"/>
      <c r="CQ9" s="100"/>
      <c r="CR9" s="100"/>
      <c r="CS9" s="100"/>
      <c r="CT9" s="100"/>
      <c r="CU9" s="100"/>
      <c r="CV9" s="100"/>
      <c r="CW9" s="100"/>
      <c r="CX9" s="100"/>
      <c r="CY9" s="100"/>
      <c r="CZ9" s="100"/>
      <c r="DA9" s="100"/>
      <c r="DB9" s="100"/>
      <c r="DC9" s="100"/>
      <c r="DD9" s="100"/>
      <c r="DE9" s="100"/>
      <c r="DF9" s="100"/>
      <c r="DG9" s="100"/>
      <c r="DH9" s="100"/>
      <c r="DI9" s="100"/>
      <c r="DJ9" s="100"/>
      <c r="DK9" s="100"/>
      <c r="DL9" s="100"/>
      <c r="DM9" s="100"/>
      <c r="DN9" s="100"/>
      <c r="DO9" s="100"/>
      <c r="DP9" s="100"/>
      <c r="DQ9" s="100"/>
      <c r="DR9" s="100"/>
      <c r="DS9" s="100"/>
      <c r="DT9" s="100"/>
      <c r="DU9" s="100"/>
      <c r="DV9" s="100"/>
      <c r="DW9" s="100"/>
      <c r="DX9" s="100"/>
      <c r="DY9" s="100"/>
      <c r="DZ9" s="100"/>
      <c r="EA9" s="100"/>
      <c r="EB9" s="100"/>
      <c r="EC9" s="100"/>
      <c r="ED9" s="100"/>
      <c r="EE9" s="100"/>
      <c r="EF9" s="100"/>
      <c r="EG9" s="100"/>
      <c r="EH9" s="100"/>
      <c r="EI9" s="100"/>
      <c r="EJ9" s="100"/>
      <c r="EK9" s="100"/>
      <c r="EL9" s="100"/>
      <c r="EM9" s="100"/>
      <c r="EN9" s="100"/>
      <c r="EO9" s="100"/>
      <c r="EP9" s="100"/>
      <c r="EQ9" s="100"/>
      <c r="ER9" s="100"/>
      <c r="ES9" s="100"/>
      <c r="ET9" s="100"/>
      <c r="EU9" s="100"/>
      <c r="EV9" s="100"/>
      <c r="EW9" s="100"/>
      <c r="EX9" s="100"/>
      <c r="EY9" s="100"/>
      <c r="EZ9" s="100"/>
      <c r="FA9" s="100"/>
      <c r="FB9" s="100"/>
      <c r="FC9" s="100"/>
      <c r="FD9" s="100"/>
      <c r="FE9" s="100"/>
      <c r="FF9" s="100"/>
      <c r="FG9" s="100"/>
      <c r="FH9" s="100"/>
      <c r="FI9" s="100"/>
      <c r="FJ9" s="100"/>
      <c r="FK9" s="100"/>
      <c r="FL9" s="100"/>
      <c r="FM9" s="100"/>
      <c r="FN9" s="100"/>
      <c r="FO9" s="100"/>
      <c r="FP9" s="100"/>
      <c r="FQ9" s="100"/>
      <c r="FR9" s="100"/>
      <c r="FS9" s="100"/>
      <c r="FT9" s="100"/>
      <c r="FU9" s="100"/>
      <c r="FV9" s="100"/>
      <c r="FW9" s="100"/>
      <c r="FX9" s="100"/>
      <c r="FY9" s="100"/>
      <c r="FZ9" s="100"/>
      <c r="GA9" s="100"/>
      <c r="GB9" s="100"/>
      <c r="GC9" s="100"/>
      <c r="GD9" s="100"/>
      <c r="GE9" s="100"/>
      <c r="GF9" s="100"/>
      <c r="GG9" s="100"/>
      <c r="GH9" s="100"/>
      <c r="GI9" s="100"/>
      <c r="GJ9" s="100"/>
      <c r="GK9" s="100"/>
      <c r="GL9" s="100"/>
      <c r="GM9" s="100"/>
      <c r="GN9" s="100"/>
      <c r="GO9" s="100"/>
      <c r="GP9" s="100"/>
      <c r="GQ9" s="100"/>
      <c r="GR9" s="100"/>
      <c r="GS9" s="100"/>
      <c r="GT9" s="100"/>
      <c r="GU9" s="100"/>
      <c r="GV9" s="100"/>
      <c r="GW9" s="100"/>
      <c r="GX9" s="100"/>
      <c r="GY9" s="100"/>
      <c r="GZ9" s="100"/>
      <c r="HA9" s="100"/>
      <c r="HB9" s="100"/>
      <c r="HC9" s="100"/>
      <c r="HD9" s="100"/>
      <c r="HE9" s="100"/>
      <c r="HF9" s="100"/>
      <c r="HG9" s="100"/>
      <c r="HH9" s="100"/>
      <c r="HI9" s="100"/>
      <c r="HJ9" s="100"/>
      <c r="HK9" s="100"/>
      <c r="HL9" s="100"/>
      <c r="HM9" s="100"/>
      <c r="HN9" s="100"/>
      <c r="HO9" s="100"/>
      <c r="HP9" s="100"/>
      <c r="HQ9" s="100"/>
      <c r="HR9" s="100"/>
      <c r="HS9" s="100"/>
      <c r="HT9" s="100"/>
      <c r="HU9" s="100"/>
      <c r="HV9" s="100"/>
      <c r="HW9" s="100"/>
      <c r="HX9" s="100"/>
      <c r="HY9" s="100"/>
      <c r="HZ9" s="100"/>
      <c r="IA9" s="100"/>
      <c r="IB9" s="100"/>
      <c r="IC9" s="100"/>
      <c r="ID9" s="100"/>
      <c r="IE9" s="100"/>
      <c r="IF9" s="100"/>
      <c r="IG9" s="100"/>
      <c r="IH9" s="100"/>
      <c r="II9" s="100"/>
      <c r="IJ9" s="100"/>
      <c r="IK9" s="100"/>
      <c r="IL9" s="100"/>
      <c r="IM9" s="100"/>
      <c r="IN9" s="100"/>
      <c r="IO9" s="100"/>
      <c r="IP9" s="100"/>
      <c r="IQ9" s="100"/>
      <c r="IR9" s="100"/>
      <c r="IS9" s="100"/>
      <c r="IT9" s="100"/>
      <c r="IU9" s="100"/>
      <c r="IV9" s="100"/>
      <c r="IW9" s="100"/>
    </row>
    <row r="10" customFormat="false" ht="12.75" hidden="false" customHeight="false" outlineLevel="0" collapsed="false">
      <c r="A10" s="100"/>
      <c r="B10" s="0" t="s">
        <v>316</v>
      </c>
      <c r="C10" s="646" t="n">
        <f aca="false">Assum!D210</f>
        <v>0.03</v>
      </c>
      <c r="D10" s="736" t="n">
        <f aca="false">Assum!E210</f>
        <v>17</v>
      </c>
      <c r="E10" s="100" t="n">
        <f aca="false">$E$6*C10</f>
        <v>1166.37719784946</v>
      </c>
      <c r="G10" s="100"/>
      <c r="H10" s="100"/>
      <c r="I10" s="100"/>
      <c r="J10" s="100"/>
      <c r="K10" s="100"/>
      <c r="L10" s="100"/>
      <c r="M10" s="59"/>
      <c r="N10" s="59"/>
      <c r="O10" s="59"/>
      <c r="P10" s="59"/>
      <c r="Q10" s="59"/>
      <c r="R10" s="59"/>
      <c r="S10" s="59"/>
      <c r="T10" s="59"/>
      <c r="U10" s="59"/>
      <c r="V10" s="59"/>
      <c r="W10" s="59"/>
      <c r="X10" s="59"/>
      <c r="Y10" s="59"/>
      <c r="Z10" s="59"/>
      <c r="AA10" s="59"/>
      <c r="AB10" s="59"/>
      <c r="AC10" s="59"/>
      <c r="AD10" s="59"/>
      <c r="AE10" s="59"/>
      <c r="AF10" s="59"/>
      <c r="AG10" s="59"/>
      <c r="AH10" s="59"/>
      <c r="AI10" s="100"/>
      <c r="AJ10" s="102"/>
      <c r="AK10" s="102"/>
      <c r="AL10" s="100"/>
      <c r="AM10" s="100"/>
      <c r="AN10" s="100"/>
      <c r="AO10" s="100"/>
      <c r="AP10" s="100"/>
      <c r="AQ10" s="100"/>
      <c r="AR10" s="100"/>
      <c r="AS10" s="100"/>
      <c r="AT10" s="100"/>
      <c r="AU10" s="100"/>
      <c r="AV10" s="100"/>
      <c r="AW10" s="100"/>
      <c r="AX10" s="100"/>
      <c r="AY10" s="100"/>
      <c r="AZ10" s="100"/>
      <c r="BA10" s="100"/>
      <c r="BB10" s="100"/>
      <c r="BC10" s="100"/>
      <c r="BD10" s="100"/>
      <c r="BE10" s="100"/>
      <c r="BF10" s="100"/>
      <c r="BG10" s="100"/>
      <c r="BH10" s="100"/>
      <c r="BI10" s="100"/>
      <c r="BJ10" s="100"/>
      <c r="BK10" s="100"/>
      <c r="BL10" s="100"/>
      <c r="BM10" s="100"/>
      <c r="BN10" s="100"/>
      <c r="BO10" s="100"/>
      <c r="BP10" s="100"/>
      <c r="BQ10" s="100"/>
      <c r="BR10" s="100"/>
      <c r="BS10" s="100"/>
      <c r="BT10" s="100"/>
      <c r="BU10" s="100"/>
      <c r="BV10" s="100"/>
      <c r="BW10" s="100"/>
      <c r="BX10" s="100"/>
      <c r="BY10" s="100"/>
      <c r="BZ10" s="100"/>
      <c r="CA10" s="100"/>
      <c r="CB10" s="100"/>
      <c r="CC10" s="100"/>
      <c r="CD10" s="100"/>
      <c r="CE10" s="100"/>
      <c r="CF10" s="100"/>
      <c r="CG10" s="100"/>
      <c r="CH10" s="100"/>
      <c r="CI10" s="100"/>
      <c r="CJ10" s="100"/>
      <c r="CK10" s="100"/>
      <c r="CL10" s="100"/>
      <c r="CM10" s="100"/>
      <c r="CN10" s="100"/>
      <c r="CO10" s="100"/>
      <c r="CP10" s="100"/>
      <c r="CQ10" s="100"/>
      <c r="CR10" s="100"/>
      <c r="CS10" s="100"/>
      <c r="CT10" s="100"/>
      <c r="CU10" s="100"/>
      <c r="CV10" s="100"/>
      <c r="CW10" s="100"/>
      <c r="CX10" s="100"/>
      <c r="CY10" s="100"/>
      <c r="CZ10" s="100"/>
      <c r="DA10" s="100"/>
      <c r="DB10" s="100"/>
      <c r="DC10" s="100"/>
      <c r="DD10" s="100"/>
      <c r="DE10" s="100"/>
      <c r="DF10" s="100"/>
      <c r="DG10" s="100"/>
      <c r="DH10" s="100"/>
      <c r="DI10" s="100"/>
      <c r="DJ10" s="100"/>
      <c r="DK10" s="100"/>
      <c r="DL10" s="100"/>
      <c r="DM10" s="100"/>
      <c r="DN10" s="100"/>
      <c r="DO10" s="100"/>
      <c r="DP10" s="100"/>
      <c r="DQ10" s="100"/>
      <c r="DR10" s="100"/>
      <c r="DS10" s="100"/>
      <c r="DT10" s="100"/>
      <c r="DU10" s="100"/>
      <c r="DV10" s="100"/>
      <c r="DW10" s="100"/>
      <c r="DX10" s="100"/>
      <c r="DY10" s="100"/>
      <c r="DZ10" s="100"/>
      <c r="EA10" s="100"/>
      <c r="EB10" s="100"/>
      <c r="EC10" s="100"/>
      <c r="ED10" s="100"/>
      <c r="EE10" s="100"/>
      <c r="EF10" s="100"/>
      <c r="EG10" s="100"/>
      <c r="EH10" s="100"/>
      <c r="EI10" s="100"/>
      <c r="EJ10" s="100"/>
      <c r="EK10" s="100"/>
      <c r="EL10" s="100"/>
      <c r="EM10" s="100"/>
      <c r="EN10" s="100"/>
      <c r="EO10" s="100"/>
      <c r="EP10" s="100"/>
      <c r="EQ10" s="100"/>
      <c r="ER10" s="100"/>
      <c r="ES10" s="100"/>
      <c r="ET10" s="100"/>
      <c r="EU10" s="100"/>
      <c r="EV10" s="100"/>
      <c r="EW10" s="100"/>
      <c r="EX10" s="100"/>
      <c r="EY10" s="100"/>
      <c r="EZ10" s="100"/>
      <c r="FA10" s="100"/>
      <c r="FB10" s="100"/>
      <c r="FC10" s="100"/>
      <c r="FD10" s="100"/>
      <c r="FE10" s="100"/>
      <c r="FF10" s="100"/>
      <c r="FG10" s="100"/>
      <c r="FH10" s="100"/>
      <c r="FI10" s="100"/>
      <c r="FJ10" s="100"/>
      <c r="FK10" s="100"/>
      <c r="FL10" s="100"/>
      <c r="FM10" s="100"/>
      <c r="FN10" s="100"/>
      <c r="FO10" s="100"/>
      <c r="FP10" s="100"/>
      <c r="FQ10" s="100"/>
      <c r="FR10" s="100"/>
      <c r="FS10" s="100"/>
      <c r="FT10" s="100"/>
      <c r="FU10" s="100"/>
      <c r="FV10" s="100"/>
      <c r="FW10" s="100"/>
      <c r="FX10" s="100"/>
      <c r="FY10" s="100"/>
      <c r="FZ10" s="100"/>
      <c r="GA10" s="100"/>
      <c r="GB10" s="100"/>
      <c r="GC10" s="100"/>
      <c r="GD10" s="100"/>
      <c r="GE10" s="100"/>
      <c r="GF10" s="100"/>
      <c r="GG10" s="100"/>
      <c r="GH10" s="100"/>
      <c r="GI10" s="100"/>
      <c r="GJ10" s="100"/>
      <c r="GK10" s="100"/>
      <c r="GL10" s="100"/>
      <c r="GM10" s="100"/>
      <c r="GN10" s="100"/>
      <c r="GO10" s="100"/>
      <c r="GP10" s="100"/>
      <c r="GQ10" s="100"/>
      <c r="GR10" s="100"/>
      <c r="GS10" s="100"/>
      <c r="GT10" s="100"/>
      <c r="GU10" s="100"/>
      <c r="GV10" s="100"/>
      <c r="GW10" s="100"/>
      <c r="GX10" s="100"/>
      <c r="GY10" s="100"/>
      <c r="GZ10" s="100"/>
      <c r="HA10" s="100"/>
      <c r="HB10" s="100"/>
      <c r="HC10" s="100"/>
      <c r="HD10" s="100"/>
      <c r="HE10" s="100"/>
      <c r="HF10" s="100"/>
      <c r="HG10" s="100"/>
      <c r="HH10" s="100"/>
      <c r="HI10" s="100"/>
      <c r="HJ10" s="100"/>
      <c r="HK10" s="100"/>
      <c r="HL10" s="100"/>
      <c r="HM10" s="100"/>
      <c r="HN10" s="100"/>
      <c r="HO10" s="100"/>
      <c r="HP10" s="100"/>
      <c r="HQ10" s="100"/>
      <c r="HR10" s="100"/>
      <c r="HS10" s="100"/>
      <c r="HT10" s="100"/>
      <c r="HU10" s="100"/>
      <c r="HV10" s="100"/>
      <c r="HW10" s="100"/>
      <c r="HX10" s="100"/>
      <c r="HY10" s="100"/>
      <c r="HZ10" s="100"/>
      <c r="IA10" s="100"/>
      <c r="IB10" s="100"/>
      <c r="IC10" s="100"/>
      <c r="ID10" s="100"/>
      <c r="IE10" s="100"/>
      <c r="IF10" s="100"/>
      <c r="IG10" s="100"/>
      <c r="IH10" s="100"/>
      <c r="II10" s="100"/>
      <c r="IJ10" s="100"/>
      <c r="IK10" s="100"/>
      <c r="IL10" s="100"/>
      <c r="IM10" s="100"/>
      <c r="IN10" s="100"/>
      <c r="IO10" s="100"/>
      <c r="IP10" s="100"/>
      <c r="IQ10" s="100"/>
      <c r="IR10" s="100"/>
      <c r="IS10" s="100"/>
      <c r="IT10" s="100"/>
      <c r="IU10" s="100"/>
      <c r="IV10" s="100"/>
      <c r="IW10" s="100"/>
    </row>
    <row r="11" customFormat="false" ht="12.75" hidden="false" customHeight="false" outlineLevel="0" collapsed="false">
      <c r="A11" s="100"/>
      <c r="B11" s="0" t="s">
        <v>317</v>
      </c>
      <c r="C11" s="646" t="n">
        <f aca="false">Assum!D211</f>
        <v>0.02</v>
      </c>
      <c r="D11" s="736" t="n">
        <f aca="false">Assum!E211</f>
        <v>20</v>
      </c>
      <c r="E11" s="100" t="n">
        <f aca="false">$E$6*C11</f>
        <v>777.584798566305</v>
      </c>
      <c r="G11" s="100"/>
      <c r="H11" s="100"/>
      <c r="I11" s="100"/>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100"/>
      <c r="AJ11" s="102"/>
      <c r="AK11" s="102"/>
      <c r="AL11" s="100"/>
      <c r="AM11" s="100"/>
      <c r="AN11" s="100"/>
      <c r="AO11" s="100"/>
      <c r="AP11" s="100"/>
      <c r="AQ11" s="100"/>
      <c r="AR11" s="100"/>
      <c r="AS11" s="100"/>
      <c r="AT11" s="100"/>
      <c r="AU11" s="100"/>
      <c r="AV11" s="100"/>
      <c r="AW11" s="100"/>
      <c r="AX11" s="100"/>
      <c r="AY11" s="100"/>
      <c r="AZ11" s="100"/>
      <c r="BA11" s="100"/>
      <c r="BB11" s="100"/>
      <c r="BC11" s="100"/>
      <c r="BD11" s="100"/>
      <c r="BE11" s="100"/>
      <c r="BF11" s="100"/>
      <c r="BG11" s="100"/>
      <c r="BH11" s="100"/>
      <c r="BI11" s="100"/>
      <c r="BJ11" s="100"/>
      <c r="BK11" s="100"/>
      <c r="BL11" s="100"/>
      <c r="BM11" s="100"/>
      <c r="BN11" s="100"/>
      <c r="BO11" s="100"/>
      <c r="BP11" s="100"/>
      <c r="BQ11" s="100"/>
      <c r="BR11" s="100"/>
      <c r="BS11" s="100"/>
      <c r="BT11" s="100"/>
      <c r="BU11" s="100"/>
      <c r="BV11" s="100"/>
      <c r="BW11" s="100"/>
      <c r="BX11" s="100"/>
      <c r="BY11" s="100"/>
      <c r="BZ11" s="100"/>
      <c r="CA11" s="100"/>
      <c r="CB11" s="100"/>
      <c r="CC11" s="100"/>
      <c r="CD11" s="100"/>
      <c r="CE11" s="100"/>
      <c r="CF11" s="100"/>
      <c r="CG11" s="100"/>
      <c r="CH11" s="100"/>
      <c r="CI11" s="100"/>
      <c r="CJ11" s="100"/>
      <c r="CK11" s="100"/>
      <c r="CL11" s="100"/>
      <c r="CM11" s="100"/>
      <c r="CN11" s="100"/>
      <c r="CO11" s="100"/>
      <c r="CP11" s="100"/>
      <c r="CQ11" s="100"/>
      <c r="CR11" s="100"/>
      <c r="CS11" s="100"/>
      <c r="CT11" s="100"/>
      <c r="CU11" s="100"/>
      <c r="CV11" s="100"/>
      <c r="CW11" s="100"/>
      <c r="CX11" s="100"/>
      <c r="CY11" s="100"/>
      <c r="CZ11" s="100"/>
      <c r="DA11" s="100"/>
      <c r="DB11" s="100"/>
      <c r="DC11" s="100"/>
      <c r="DD11" s="100"/>
      <c r="DE11" s="100"/>
      <c r="DF11" s="100"/>
      <c r="DG11" s="100"/>
      <c r="DH11" s="100"/>
      <c r="DI11" s="100"/>
      <c r="DJ11" s="100"/>
      <c r="DK11" s="100"/>
      <c r="DL11" s="100"/>
      <c r="DM11" s="100"/>
      <c r="DN11" s="100"/>
      <c r="DO11" s="100"/>
      <c r="DP11" s="100"/>
      <c r="DQ11" s="100"/>
      <c r="DR11" s="100"/>
      <c r="DS11" s="100"/>
      <c r="DT11" s="100"/>
      <c r="DU11" s="100"/>
      <c r="DV11" s="100"/>
      <c r="DW11" s="100"/>
      <c r="DX11" s="100"/>
      <c r="DY11" s="100"/>
      <c r="DZ11" s="100"/>
      <c r="EA11" s="100"/>
      <c r="EB11" s="100"/>
      <c r="EC11" s="100"/>
      <c r="ED11" s="100"/>
      <c r="EE11" s="100"/>
      <c r="EF11" s="100"/>
      <c r="EG11" s="100"/>
      <c r="EH11" s="100"/>
      <c r="EI11" s="100"/>
      <c r="EJ11" s="100"/>
      <c r="EK11" s="100"/>
      <c r="EL11" s="100"/>
      <c r="EM11" s="100"/>
      <c r="EN11" s="100"/>
      <c r="EO11" s="100"/>
      <c r="EP11" s="100"/>
      <c r="EQ11" s="100"/>
      <c r="ER11" s="100"/>
      <c r="ES11" s="100"/>
      <c r="ET11" s="100"/>
      <c r="EU11" s="100"/>
      <c r="EV11" s="100"/>
      <c r="EW11" s="100"/>
      <c r="EX11" s="100"/>
      <c r="EY11" s="100"/>
      <c r="EZ11" s="100"/>
      <c r="FA11" s="100"/>
      <c r="FB11" s="100"/>
      <c r="FC11" s="100"/>
      <c r="FD11" s="100"/>
      <c r="FE11" s="100"/>
      <c r="FF11" s="100"/>
      <c r="FG11" s="100"/>
      <c r="FH11" s="100"/>
      <c r="FI11" s="100"/>
      <c r="FJ11" s="100"/>
      <c r="FK11" s="100"/>
      <c r="FL11" s="100"/>
      <c r="FM11" s="100"/>
      <c r="FN11" s="100"/>
      <c r="FO11" s="100"/>
      <c r="FP11" s="100"/>
      <c r="FQ11" s="100"/>
      <c r="FR11" s="100"/>
      <c r="FS11" s="100"/>
      <c r="FT11" s="100"/>
      <c r="FU11" s="100"/>
      <c r="FV11" s="100"/>
      <c r="FW11" s="100"/>
      <c r="FX11" s="100"/>
      <c r="FY11" s="100"/>
      <c r="FZ11" s="100"/>
      <c r="GA11" s="100"/>
      <c r="GB11" s="100"/>
      <c r="GC11" s="100"/>
      <c r="GD11" s="100"/>
      <c r="GE11" s="100"/>
      <c r="GF11" s="100"/>
      <c r="GG11" s="100"/>
      <c r="GH11" s="100"/>
      <c r="GI11" s="100"/>
      <c r="GJ11" s="100"/>
      <c r="GK11" s="100"/>
      <c r="GL11" s="100"/>
      <c r="GM11" s="100"/>
      <c r="GN11" s="100"/>
      <c r="GO11" s="100"/>
      <c r="GP11" s="100"/>
      <c r="GQ11" s="100"/>
      <c r="GR11" s="100"/>
      <c r="GS11" s="100"/>
      <c r="GT11" s="100"/>
      <c r="GU11" s="100"/>
      <c r="GV11" s="100"/>
      <c r="GW11" s="100"/>
      <c r="GX11" s="100"/>
      <c r="GY11" s="100"/>
      <c r="GZ11" s="100"/>
      <c r="HA11" s="100"/>
      <c r="HB11" s="100"/>
      <c r="HC11" s="100"/>
      <c r="HD11" s="100"/>
      <c r="HE11" s="100"/>
      <c r="HF11" s="100"/>
      <c r="HG11" s="100"/>
      <c r="HH11" s="100"/>
      <c r="HI11" s="100"/>
      <c r="HJ11" s="100"/>
      <c r="HK11" s="100"/>
      <c r="HL11" s="100"/>
      <c r="HM11" s="100"/>
      <c r="HN11" s="100"/>
      <c r="HO11" s="100"/>
      <c r="HP11" s="100"/>
      <c r="HQ11" s="100"/>
      <c r="HR11" s="100"/>
      <c r="HS11" s="100"/>
      <c r="HT11" s="100"/>
      <c r="HU11" s="100"/>
      <c r="HV11" s="100"/>
      <c r="HW11" s="100"/>
      <c r="HX11" s="100"/>
      <c r="HY11" s="100"/>
      <c r="HZ11" s="100"/>
      <c r="IA11" s="100"/>
      <c r="IB11" s="100"/>
      <c r="IC11" s="100"/>
      <c r="ID11" s="100"/>
      <c r="IE11" s="100"/>
      <c r="IF11" s="100"/>
      <c r="IG11" s="100"/>
      <c r="IH11" s="100"/>
      <c r="II11" s="100"/>
      <c r="IJ11" s="100"/>
      <c r="IK11" s="100"/>
      <c r="IL11" s="100"/>
      <c r="IM11" s="100"/>
      <c r="IN11" s="100"/>
      <c r="IO11" s="100"/>
      <c r="IP11" s="100"/>
      <c r="IQ11" s="100"/>
      <c r="IR11" s="100"/>
      <c r="IS11" s="100"/>
      <c r="IT11" s="100"/>
      <c r="IU11" s="100"/>
      <c r="IV11" s="100"/>
      <c r="IW11" s="100"/>
    </row>
    <row r="12" customFormat="false" ht="13.5" hidden="false" customHeight="false" outlineLevel="0" collapsed="false">
      <c r="A12" s="100"/>
      <c r="B12" s="329" t="s">
        <v>318</v>
      </c>
      <c r="C12" s="1033" t="n">
        <f aca="false">E12/$E$12</f>
        <v>1</v>
      </c>
      <c r="D12" s="331"/>
      <c r="E12" s="332" t="n">
        <f aca="false">E8+E9+E10+E11</f>
        <v>38879.2399283153</v>
      </c>
      <c r="G12" s="100"/>
      <c r="H12" s="100"/>
      <c r="I12" s="100"/>
      <c r="J12" s="100"/>
      <c r="K12" s="100"/>
      <c r="L12" s="100"/>
      <c r="M12" s="100"/>
      <c r="N12" s="100"/>
      <c r="O12" s="100"/>
      <c r="P12" s="100"/>
      <c r="Q12" s="100"/>
      <c r="R12" s="100"/>
      <c r="S12" s="100"/>
      <c r="T12" s="100"/>
      <c r="U12" s="100"/>
      <c r="V12" s="100"/>
      <c r="W12" s="100"/>
      <c r="X12" s="100"/>
      <c r="Y12" s="100"/>
      <c r="Z12" s="100"/>
      <c r="AA12" s="100"/>
      <c r="AB12" s="100"/>
      <c r="AC12" s="100"/>
      <c r="AD12" s="100"/>
      <c r="AE12" s="100"/>
      <c r="AF12" s="100"/>
      <c r="AG12" s="100"/>
      <c r="AH12" s="100"/>
      <c r="AI12" s="100"/>
      <c r="AJ12" s="102"/>
      <c r="AK12" s="102"/>
      <c r="AL12" s="100"/>
      <c r="AM12" s="100"/>
      <c r="AN12" s="100"/>
      <c r="AO12" s="100"/>
      <c r="AP12" s="100"/>
      <c r="AQ12" s="100"/>
      <c r="AR12" s="100"/>
      <c r="AS12" s="100"/>
      <c r="AT12" s="100"/>
      <c r="AU12" s="100"/>
      <c r="AV12" s="100"/>
      <c r="AW12" s="100"/>
      <c r="AX12" s="100"/>
      <c r="AY12" s="100"/>
      <c r="AZ12" s="100"/>
      <c r="BA12" s="100"/>
      <c r="BB12" s="100"/>
      <c r="BC12" s="100"/>
      <c r="BD12" s="100"/>
      <c r="BE12" s="100"/>
      <c r="BF12" s="100"/>
      <c r="BG12" s="100"/>
      <c r="BH12" s="100"/>
      <c r="BI12" s="100"/>
      <c r="BJ12" s="100"/>
      <c r="BK12" s="100"/>
      <c r="BL12" s="100"/>
      <c r="BM12" s="100"/>
      <c r="BN12" s="100"/>
      <c r="BO12" s="100"/>
      <c r="BP12" s="100"/>
      <c r="BQ12" s="100"/>
      <c r="BR12" s="100"/>
      <c r="BS12" s="100"/>
      <c r="BT12" s="100"/>
      <c r="BU12" s="100"/>
      <c r="BV12" s="100"/>
      <c r="BW12" s="100"/>
      <c r="BX12" s="100"/>
      <c r="BY12" s="100"/>
      <c r="BZ12" s="100"/>
      <c r="CA12" s="100"/>
      <c r="CB12" s="100"/>
      <c r="CC12" s="100"/>
      <c r="CD12" s="100"/>
      <c r="CE12" s="100"/>
      <c r="CF12" s="100"/>
      <c r="CG12" s="100"/>
      <c r="CH12" s="100"/>
      <c r="CI12" s="100"/>
      <c r="CJ12" s="100"/>
      <c r="CK12" s="100"/>
      <c r="CL12" s="100"/>
      <c r="CM12" s="100"/>
      <c r="CN12" s="100"/>
      <c r="CO12" s="100"/>
      <c r="CP12" s="100"/>
      <c r="CQ12" s="100"/>
      <c r="CR12" s="100"/>
      <c r="CS12" s="100"/>
      <c r="CT12" s="100"/>
      <c r="CU12" s="100"/>
      <c r="CV12" s="100"/>
      <c r="CW12" s="100"/>
      <c r="CX12" s="100"/>
      <c r="CY12" s="100"/>
      <c r="CZ12" s="100"/>
      <c r="DA12" s="100"/>
      <c r="DB12" s="100"/>
      <c r="DC12" s="100"/>
      <c r="DD12" s="100"/>
      <c r="DE12" s="100"/>
      <c r="DF12" s="100"/>
      <c r="DG12" s="100"/>
      <c r="DH12" s="100"/>
      <c r="DI12" s="100"/>
      <c r="DJ12" s="100"/>
      <c r="DK12" s="100"/>
      <c r="DL12" s="100"/>
      <c r="DM12" s="100"/>
      <c r="DN12" s="100"/>
      <c r="DO12" s="100"/>
      <c r="DP12" s="100"/>
      <c r="DQ12" s="100"/>
      <c r="DR12" s="100"/>
      <c r="DS12" s="100"/>
      <c r="DT12" s="100"/>
      <c r="DU12" s="100"/>
      <c r="DV12" s="100"/>
      <c r="DW12" s="100"/>
      <c r="DX12" s="100"/>
      <c r="DY12" s="100"/>
      <c r="DZ12" s="100"/>
      <c r="EA12" s="100"/>
      <c r="EB12" s="100"/>
      <c r="EC12" s="100"/>
      <c r="ED12" s="100"/>
      <c r="EE12" s="100"/>
      <c r="EF12" s="100"/>
      <c r="EG12" s="100"/>
      <c r="EH12" s="100"/>
      <c r="EI12" s="100"/>
      <c r="EJ12" s="100"/>
      <c r="EK12" s="100"/>
      <c r="EL12" s="100"/>
      <c r="EM12" s="100"/>
      <c r="EN12" s="100"/>
      <c r="EO12" s="100"/>
      <c r="EP12" s="100"/>
      <c r="EQ12" s="100"/>
      <c r="ER12" s="100"/>
      <c r="ES12" s="100"/>
      <c r="ET12" s="100"/>
      <c r="EU12" s="100"/>
      <c r="EV12" s="100"/>
      <c r="EW12" s="100"/>
      <c r="EX12" s="100"/>
      <c r="EY12" s="100"/>
      <c r="EZ12" s="100"/>
      <c r="FA12" s="100"/>
      <c r="FB12" s="100"/>
      <c r="FC12" s="100"/>
      <c r="FD12" s="100"/>
      <c r="FE12" s="100"/>
      <c r="FF12" s="100"/>
      <c r="FG12" s="100"/>
      <c r="FH12" s="100"/>
      <c r="FI12" s="100"/>
      <c r="FJ12" s="100"/>
      <c r="FK12" s="100"/>
      <c r="FL12" s="100"/>
      <c r="FM12" s="100"/>
      <c r="FN12" s="100"/>
      <c r="FO12" s="100"/>
      <c r="FP12" s="100"/>
      <c r="FQ12" s="100"/>
      <c r="FR12" s="100"/>
      <c r="FS12" s="100"/>
      <c r="FT12" s="100"/>
      <c r="FU12" s="100"/>
      <c r="FV12" s="100"/>
      <c r="FW12" s="100"/>
      <c r="FX12" s="100"/>
      <c r="FY12" s="100"/>
      <c r="FZ12" s="100"/>
      <c r="GA12" s="100"/>
      <c r="GB12" s="100"/>
      <c r="GC12" s="100"/>
      <c r="GD12" s="100"/>
      <c r="GE12" s="100"/>
      <c r="GF12" s="100"/>
      <c r="GG12" s="100"/>
      <c r="GH12" s="100"/>
      <c r="GI12" s="100"/>
      <c r="GJ12" s="100"/>
      <c r="GK12" s="100"/>
      <c r="GL12" s="100"/>
      <c r="GM12" s="100"/>
      <c r="GN12" s="100"/>
      <c r="GO12" s="100"/>
      <c r="GP12" s="100"/>
      <c r="GQ12" s="100"/>
      <c r="GR12" s="100"/>
      <c r="GS12" s="100"/>
      <c r="GT12" s="100"/>
      <c r="GU12" s="100"/>
      <c r="GV12" s="100"/>
      <c r="GW12" s="100"/>
      <c r="GX12" s="100"/>
      <c r="GY12" s="100"/>
      <c r="GZ12" s="100"/>
      <c r="HA12" s="100"/>
      <c r="HB12" s="100"/>
      <c r="HC12" s="100"/>
      <c r="HD12" s="100"/>
      <c r="HE12" s="100"/>
      <c r="HF12" s="100"/>
      <c r="HG12" s="100"/>
      <c r="HH12" s="100"/>
      <c r="HI12" s="100"/>
      <c r="HJ12" s="100"/>
      <c r="HK12" s="100"/>
      <c r="HL12" s="100"/>
      <c r="HM12" s="100"/>
      <c r="HN12" s="100"/>
      <c r="HO12" s="100"/>
      <c r="HP12" s="100"/>
      <c r="HQ12" s="100"/>
      <c r="HR12" s="100"/>
      <c r="HS12" s="100"/>
      <c r="HT12" s="100"/>
      <c r="HU12" s="100"/>
      <c r="HV12" s="100"/>
      <c r="HW12" s="100"/>
      <c r="HX12" s="100"/>
      <c r="HY12" s="100"/>
      <c r="HZ12" s="100"/>
      <c r="IA12" s="100"/>
      <c r="IB12" s="100"/>
      <c r="IC12" s="100"/>
      <c r="ID12" s="100"/>
      <c r="IE12" s="100"/>
      <c r="IF12" s="100"/>
      <c r="IG12" s="100"/>
      <c r="IH12" s="100"/>
      <c r="II12" s="100"/>
      <c r="IJ12" s="100"/>
      <c r="IK12" s="100"/>
      <c r="IL12" s="100"/>
      <c r="IM12" s="100"/>
      <c r="IN12" s="100"/>
      <c r="IO12" s="100"/>
      <c r="IP12" s="100"/>
      <c r="IQ12" s="100"/>
      <c r="IR12" s="100"/>
      <c r="IS12" s="100"/>
      <c r="IT12" s="100"/>
      <c r="IU12" s="100"/>
      <c r="IV12" s="100"/>
      <c r="IW12" s="100"/>
    </row>
    <row r="13" customFormat="false" ht="12.75" hidden="false" customHeight="false" outlineLevel="0" collapsed="false">
      <c r="A13" s="111"/>
      <c r="B13" s="1034"/>
      <c r="D13" s="1034"/>
      <c r="E13" s="1035"/>
      <c r="G13" s="366"/>
      <c r="H13" s="124"/>
      <c r="I13" s="124"/>
      <c r="J13" s="124"/>
      <c r="K13" s="124"/>
      <c r="L13" s="124"/>
      <c r="M13" s="124"/>
      <c r="N13" s="124"/>
      <c r="O13" s="124"/>
      <c r="P13" s="124"/>
      <c r="Q13" s="124"/>
      <c r="R13" s="124"/>
      <c r="S13" s="124"/>
      <c r="T13" s="124"/>
      <c r="U13" s="124"/>
      <c r="V13" s="124"/>
      <c r="W13" s="124"/>
      <c r="X13" s="124"/>
      <c r="Y13" s="124"/>
      <c r="Z13" s="124"/>
      <c r="AA13" s="124"/>
      <c r="AB13" s="124"/>
      <c r="AC13" s="124"/>
      <c r="AD13" s="124"/>
      <c r="AE13" s="124"/>
      <c r="AF13" s="124"/>
      <c r="AG13" s="124"/>
      <c r="AH13" s="124"/>
      <c r="AI13" s="124"/>
      <c r="AJ13" s="19"/>
      <c r="AK13" s="19"/>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row>
    <row r="14" customFormat="false" ht="12.75" hidden="false" customHeight="false" outlineLevel="0" collapsed="false">
      <c r="A14" s="111"/>
      <c r="B14" s="1034"/>
      <c r="D14" s="1034"/>
      <c r="E14" s="1035"/>
      <c r="F14" s="1036"/>
      <c r="G14" s="366"/>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9"/>
      <c r="AK14" s="19"/>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row>
    <row r="15" customFormat="false" ht="12.75" hidden="false" customHeight="false" outlineLevel="0" collapsed="false">
      <c r="A15" s="18"/>
      <c r="B15" s="320"/>
      <c r="C15" s="17"/>
      <c r="D15" s="1037"/>
      <c r="E15" s="1037" t="n">
        <v>1</v>
      </c>
      <c r="F15" s="1037" t="n">
        <v>2</v>
      </c>
      <c r="G15" s="1037" t="n">
        <v>3</v>
      </c>
      <c r="H15" s="1037" t="n">
        <v>4</v>
      </c>
      <c r="I15" s="1037" t="n">
        <v>5</v>
      </c>
      <c r="J15" s="1037" t="n">
        <v>6</v>
      </c>
      <c r="K15" s="1037" t="n">
        <v>7</v>
      </c>
      <c r="L15" s="1037" t="n">
        <v>8</v>
      </c>
      <c r="M15" s="1037" t="n">
        <v>9</v>
      </c>
      <c r="N15" s="1037" t="n">
        <v>10</v>
      </c>
      <c r="O15" s="1037" t="n">
        <v>11</v>
      </c>
      <c r="P15" s="1037" t="n">
        <v>12</v>
      </c>
      <c r="Q15" s="1037" t="n">
        <v>13</v>
      </c>
      <c r="R15" s="1037" t="n">
        <v>14</v>
      </c>
      <c r="S15" s="1037" t="n">
        <v>15</v>
      </c>
      <c r="T15" s="1037" t="n">
        <v>16</v>
      </c>
      <c r="U15" s="1037" t="n">
        <v>17</v>
      </c>
      <c r="V15" s="1037" t="n">
        <v>18</v>
      </c>
      <c r="W15" s="1037" t="n">
        <v>19</v>
      </c>
      <c r="X15" s="1037" t="n">
        <v>20</v>
      </c>
      <c r="Y15" s="1037" t="n">
        <v>21</v>
      </c>
      <c r="Z15" s="1037" t="n">
        <v>22</v>
      </c>
      <c r="AA15" s="1037" t="n">
        <v>23</v>
      </c>
      <c r="AB15" s="1037" t="n">
        <v>24</v>
      </c>
      <c r="AC15" s="1037" t="n">
        <v>25</v>
      </c>
      <c r="AD15" s="1037" t="n">
        <v>26</v>
      </c>
      <c r="AE15" s="1037" t="n">
        <v>27</v>
      </c>
      <c r="AF15" s="1037" t="n">
        <v>28</v>
      </c>
      <c r="AG15" s="1037" t="n">
        <v>29</v>
      </c>
      <c r="AH15" s="1037" t="n">
        <v>30</v>
      </c>
      <c r="AI15" s="1037" t="n">
        <v>31</v>
      </c>
      <c r="AJ15" s="19"/>
      <c r="AK15" s="19"/>
      <c r="AL15" s="124"/>
      <c r="AM15" s="4" t="n">
        <f aca="false">D15</f>
        <v>0</v>
      </c>
      <c r="AN15" s="5" t="n">
        <f aca="false">E15</f>
        <v>1</v>
      </c>
      <c r="AO15" s="5" t="n">
        <f aca="false">F15</f>
        <v>2</v>
      </c>
      <c r="AP15" s="5" t="n">
        <f aca="false">G15</f>
        <v>3</v>
      </c>
      <c r="AQ15" s="5" t="n">
        <f aca="false">H15</f>
        <v>4</v>
      </c>
      <c r="AR15" s="5" t="n">
        <f aca="false">I15</f>
        <v>5</v>
      </c>
      <c r="AS15" s="5" t="n">
        <f aca="false">J15</f>
        <v>6</v>
      </c>
      <c r="AT15" s="5" t="n">
        <f aca="false">K15</f>
        <v>7</v>
      </c>
      <c r="AU15" s="5" t="n">
        <f aca="false">L15</f>
        <v>8</v>
      </c>
      <c r="AV15" s="5" t="n">
        <f aca="false">M15</f>
        <v>9</v>
      </c>
      <c r="AW15" s="5" t="n">
        <f aca="false">N15</f>
        <v>10</v>
      </c>
      <c r="AX15" s="5" t="n">
        <f aca="false">O15</f>
        <v>11</v>
      </c>
      <c r="AY15" s="5" t="n">
        <f aca="false">P15</f>
        <v>12</v>
      </c>
      <c r="AZ15" s="5" t="n">
        <f aca="false">Q15</f>
        <v>13</v>
      </c>
      <c r="BA15" s="5" t="n">
        <f aca="false">R15</f>
        <v>14</v>
      </c>
      <c r="BB15" s="5" t="n">
        <f aca="false">S15</f>
        <v>15</v>
      </c>
      <c r="BC15" s="5" t="n">
        <f aca="false">T15</f>
        <v>16</v>
      </c>
      <c r="BD15" s="5" t="n">
        <f aca="false">U15</f>
        <v>17</v>
      </c>
      <c r="BE15" s="5" t="n">
        <f aca="false">V15</f>
        <v>18</v>
      </c>
      <c r="BF15" s="5" t="n">
        <f aca="false">W15</f>
        <v>19</v>
      </c>
      <c r="BG15" s="5" t="n">
        <f aca="false">X15</f>
        <v>20</v>
      </c>
      <c r="BH15" s="5" t="n">
        <f aca="false">Y15</f>
        <v>21</v>
      </c>
      <c r="BI15" s="5" t="n">
        <f aca="false">Z15</f>
        <v>22</v>
      </c>
      <c r="BJ15" s="5" t="n">
        <f aca="false">AA15</f>
        <v>23</v>
      </c>
      <c r="BK15" s="5" t="n">
        <f aca="false">AB15</f>
        <v>24</v>
      </c>
      <c r="BL15" s="5" t="n">
        <f aca="false">AC15</f>
        <v>25</v>
      </c>
      <c r="BM15" s="5" t="n">
        <f aca="false">AD15</f>
        <v>26</v>
      </c>
      <c r="BN15" s="5" t="n">
        <f aca="false">AE15</f>
        <v>27</v>
      </c>
      <c r="BO15" s="5" t="n">
        <f aca="false">AF15</f>
        <v>28</v>
      </c>
      <c r="BP15" s="5" t="n">
        <f aca="false">AG15</f>
        <v>29</v>
      </c>
      <c r="BQ15" s="6" t="n">
        <f aca="false">AH15</f>
        <v>30</v>
      </c>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row>
    <row r="16" customFormat="false" ht="12.75" hidden="false" customHeight="false" outlineLevel="0" collapsed="false">
      <c r="A16" s="18"/>
      <c r="B16" s="1038" t="s">
        <v>635</v>
      </c>
      <c r="C16" s="17"/>
      <c r="D16" s="1039"/>
      <c r="E16" s="1040" t="n">
        <f aca="false">Assum!$H$25</f>
        <v>2002</v>
      </c>
      <c r="F16" s="1040" t="n">
        <f aca="false">E16+1</f>
        <v>2003</v>
      </c>
      <c r="G16" s="1040" t="n">
        <f aca="false">F16+1</f>
        <v>2004</v>
      </c>
      <c r="H16" s="1040" t="n">
        <f aca="false">G16+1</f>
        <v>2005</v>
      </c>
      <c r="I16" s="1040" t="n">
        <f aca="false">H16+1</f>
        <v>2006</v>
      </c>
      <c r="J16" s="1040" t="n">
        <f aca="false">I16+1</f>
        <v>2007</v>
      </c>
      <c r="K16" s="1040" t="n">
        <f aca="false">J16+1</f>
        <v>2008</v>
      </c>
      <c r="L16" s="1040" t="n">
        <f aca="false">K16+1</f>
        <v>2009</v>
      </c>
      <c r="M16" s="1040" t="n">
        <f aca="false">L16+1</f>
        <v>2010</v>
      </c>
      <c r="N16" s="1040" t="n">
        <f aca="false">M16+1</f>
        <v>2011</v>
      </c>
      <c r="O16" s="1040" t="n">
        <f aca="false">N16+1</f>
        <v>2012</v>
      </c>
      <c r="P16" s="1040" t="n">
        <f aca="false">O16+1</f>
        <v>2013</v>
      </c>
      <c r="Q16" s="1040" t="n">
        <f aca="false">P16+1</f>
        <v>2014</v>
      </c>
      <c r="R16" s="1040" t="n">
        <f aca="false">Q16+1</f>
        <v>2015</v>
      </c>
      <c r="S16" s="1040" t="n">
        <f aca="false">R16+1</f>
        <v>2016</v>
      </c>
      <c r="T16" s="1040" t="n">
        <f aca="false">S16+1</f>
        <v>2017</v>
      </c>
      <c r="U16" s="1040" t="n">
        <f aca="false">T16+1</f>
        <v>2018</v>
      </c>
      <c r="V16" s="1040" t="n">
        <f aca="false">U16+1</f>
        <v>2019</v>
      </c>
      <c r="W16" s="1040" t="n">
        <f aca="false">V16+1</f>
        <v>2020</v>
      </c>
      <c r="X16" s="1040" t="n">
        <f aca="false">W16+1</f>
        <v>2021</v>
      </c>
      <c r="Y16" s="1040" t="n">
        <f aca="false">X16+1</f>
        <v>2022</v>
      </c>
      <c r="Z16" s="1040" t="n">
        <f aca="false">Y16+1</f>
        <v>2023</v>
      </c>
      <c r="AA16" s="1040" t="n">
        <f aca="false">Z16+1</f>
        <v>2024</v>
      </c>
      <c r="AB16" s="1040" t="n">
        <f aca="false">AA16+1</f>
        <v>2025</v>
      </c>
      <c r="AC16" s="1040" t="n">
        <f aca="false">AB16+1</f>
        <v>2026</v>
      </c>
      <c r="AD16" s="1040" t="n">
        <f aca="false">AC16+1</f>
        <v>2027</v>
      </c>
      <c r="AE16" s="1040" t="n">
        <f aca="false">AD16+1</f>
        <v>2028</v>
      </c>
      <c r="AF16" s="1040" t="n">
        <f aca="false">AE16+1</f>
        <v>2029</v>
      </c>
      <c r="AG16" s="1040" t="n">
        <f aca="false">AF16+1</f>
        <v>2030</v>
      </c>
      <c r="AH16" s="1040" t="n">
        <f aca="false">AG16+1</f>
        <v>2031</v>
      </c>
      <c r="AI16" s="1040" t="n">
        <f aca="false">AH16+1</f>
        <v>2032</v>
      </c>
      <c r="AJ16" s="19"/>
      <c r="AK16" s="19"/>
      <c r="AL16" s="124"/>
      <c r="AM16" s="7" t="n">
        <f aca="false">D16</f>
        <v>0</v>
      </c>
      <c r="AN16" s="8" t="n">
        <f aca="false">E16</f>
        <v>2002</v>
      </c>
      <c r="AO16" s="8" t="n">
        <f aca="false">F16</f>
        <v>2003</v>
      </c>
      <c r="AP16" s="8" t="n">
        <f aca="false">G16</f>
        <v>2004</v>
      </c>
      <c r="AQ16" s="8" t="n">
        <f aca="false">H16</f>
        <v>2005</v>
      </c>
      <c r="AR16" s="8" t="n">
        <f aca="false">I16</f>
        <v>2006</v>
      </c>
      <c r="AS16" s="8" t="n">
        <f aca="false">J16</f>
        <v>2007</v>
      </c>
      <c r="AT16" s="8" t="n">
        <f aca="false">K16</f>
        <v>2008</v>
      </c>
      <c r="AU16" s="8" t="n">
        <f aca="false">L16</f>
        <v>2009</v>
      </c>
      <c r="AV16" s="8" t="n">
        <f aca="false">M16</f>
        <v>2010</v>
      </c>
      <c r="AW16" s="8" t="n">
        <f aca="false">N16</f>
        <v>2011</v>
      </c>
      <c r="AX16" s="8" t="n">
        <f aca="false">O16</f>
        <v>2012</v>
      </c>
      <c r="AY16" s="8" t="n">
        <f aca="false">P16</f>
        <v>2013</v>
      </c>
      <c r="AZ16" s="8" t="n">
        <f aca="false">Q16</f>
        <v>2014</v>
      </c>
      <c r="BA16" s="8" t="n">
        <f aca="false">R16</f>
        <v>2015</v>
      </c>
      <c r="BB16" s="8" t="n">
        <f aca="false">S16</f>
        <v>2016</v>
      </c>
      <c r="BC16" s="8" t="n">
        <f aca="false">T16</f>
        <v>2017</v>
      </c>
      <c r="BD16" s="8" t="n">
        <f aca="false">U16</f>
        <v>2018</v>
      </c>
      <c r="BE16" s="8" t="n">
        <f aca="false">V16</f>
        <v>2019</v>
      </c>
      <c r="BF16" s="8" t="n">
        <f aca="false">W16</f>
        <v>2020</v>
      </c>
      <c r="BG16" s="8" t="n">
        <f aca="false">X16</f>
        <v>2021</v>
      </c>
      <c r="BH16" s="8" t="n">
        <f aca="false">Y16</f>
        <v>2022</v>
      </c>
      <c r="BI16" s="8" t="n">
        <f aca="false">Z16</f>
        <v>2023</v>
      </c>
      <c r="BJ16" s="8" t="n">
        <f aca="false">AA16</f>
        <v>2024</v>
      </c>
      <c r="BK16" s="8" t="n">
        <f aca="false">AB16</f>
        <v>2025</v>
      </c>
      <c r="BL16" s="8" t="n">
        <f aca="false">AC16</f>
        <v>2026</v>
      </c>
      <c r="BM16" s="8" t="n">
        <f aca="false">AD16</f>
        <v>2027</v>
      </c>
      <c r="BN16" s="8" t="n">
        <f aca="false">AE16</f>
        <v>2028</v>
      </c>
      <c r="BO16" s="8" t="n">
        <f aca="false">AF16</f>
        <v>2029</v>
      </c>
      <c r="BP16" s="8" t="n">
        <f aca="false">AG16</f>
        <v>2030</v>
      </c>
      <c r="BQ16" s="9" t="n">
        <f aca="false">AH16</f>
        <v>2031</v>
      </c>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row>
    <row r="17" customFormat="false" ht="12.75" hidden="false" customHeight="false" outlineLevel="0" collapsed="false">
      <c r="A17" s="22"/>
      <c r="B17" s="430" t="s">
        <v>636</v>
      </c>
      <c r="C17" s="21"/>
      <c r="D17" s="278"/>
      <c r="E17" s="1041" t="n">
        <f aca="false">CashFlow!E6</f>
        <v>1</v>
      </c>
      <c r="F17" s="1041" t="n">
        <f aca="false">CashFlow!F6</f>
        <v>1</v>
      </c>
      <c r="G17" s="1041" t="n">
        <f aca="false">CashFlow!G6</f>
        <v>1</v>
      </c>
      <c r="H17" s="1041" t="n">
        <f aca="false">CashFlow!H6</f>
        <v>1</v>
      </c>
      <c r="I17" s="1041" t="n">
        <f aca="false">CashFlow!I6</f>
        <v>1</v>
      </c>
      <c r="J17" s="1041" t="n">
        <f aca="false">CashFlow!J6</f>
        <v>1</v>
      </c>
      <c r="K17" s="1041" t="n">
        <f aca="false">CashFlow!K6</f>
        <v>1</v>
      </c>
      <c r="L17" s="1041" t="n">
        <f aca="false">CashFlow!L6</f>
        <v>1</v>
      </c>
      <c r="M17" s="1041" t="n">
        <f aca="false">CashFlow!M6</f>
        <v>1</v>
      </c>
      <c r="N17" s="1041" t="n">
        <f aca="false">CashFlow!N6</f>
        <v>1</v>
      </c>
      <c r="O17" s="1041" t="n">
        <f aca="false">CashFlow!O6</f>
        <v>1</v>
      </c>
      <c r="P17" s="1041" t="n">
        <f aca="false">CashFlow!P6</f>
        <v>1</v>
      </c>
      <c r="Q17" s="1041" t="n">
        <f aca="false">CashFlow!Q6</f>
        <v>1</v>
      </c>
      <c r="R17" s="1041" t="n">
        <f aca="false">CashFlow!R6</f>
        <v>1</v>
      </c>
      <c r="S17" s="1041" t="n">
        <f aca="false">CashFlow!S6</f>
        <v>1</v>
      </c>
      <c r="T17" s="1041" t="n">
        <f aca="false">CashFlow!T6</f>
        <v>1</v>
      </c>
      <c r="U17" s="1041" t="n">
        <f aca="false">CashFlow!U6</f>
        <v>1</v>
      </c>
      <c r="V17" s="1041" t="n">
        <f aca="false">CashFlow!V6</f>
        <v>1</v>
      </c>
      <c r="W17" s="1041" t="n">
        <f aca="false">CashFlow!W6</f>
        <v>1</v>
      </c>
      <c r="X17" s="1041" t="n">
        <f aca="false">CashFlow!X6</f>
        <v>1</v>
      </c>
      <c r="Y17" s="1041" t="n">
        <f aca="false">CashFlow!Y6</f>
        <v>0</v>
      </c>
      <c r="Z17" s="1041" t="n">
        <f aca="false">CashFlow!Z6</f>
        <v>0</v>
      </c>
      <c r="AA17" s="1041" t="n">
        <f aca="false">CashFlow!AA6</f>
        <v>0</v>
      </c>
      <c r="AB17" s="1041" t="n">
        <f aca="false">CashFlow!AB6</f>
        <v>0</v>
      </c>
      <c r="AC17" s="1041" t="n">
        <f aca="false">CashFlow!AC6</f>
        <v>0</v>
      </c>
      <c r="AD17" s="1041" t="n">
        <f aca="false">CashFlow!AD6</f>
        <v>0</v>
      </c>
      <c r="AE17" s="1041" t="n">
        <f aca="false">CashFlow!AE6</f>
        <v>0</v>
      </c>
      <c r="AF17" s="1041" t="n">
        <f aca="false">CashFlow!AF6</f>
        <v>0</v>
      </c>
      <c r="AG17" s="1041" t="n">
        <f aca="false">CashFlow!AG6</f>
        <v>0</v>
      </c>
      <c r="AH17" s="1041" t="n">
        <f aca="false">CashFlow!AH6</f>
        <v>0</v>
      </c>
      <c r="AI17" s="1041" t="n">
        <f aca="false">CashFlow!AI6</f>
        <v>0</v>
      </c>
      <c r="AJ17" s="23"/>
      <c r="AK17" s="23"/>
      <c r="AL17" s="23"/>
      <c r="AM17" s="278"/>
      <c r="AN17" s="278"/>
      <c r="AO17" s="278"/>
      <c r="AP17" s="278"/>
      <c r="AQ17" s="278"/>
      <c r="AR17" s="278"/>
      <c r="AS17" s="278"/>
      <c r="AT17" s="278"/>
      <c r="AU17" s="278"/>
      <c r="AV17" s="278"/>
      <c r="AW17" s="278"/>
      <c r="AX17" s="278"/>
      <c r="AY17" s="278"/>
      <c r="AZ17" s="278"/>
      <c r="BA17" s="278"/>
      <c r="BB17" s="278"/>
      <c r="BC17" s="278"/>
      <c r="BD17" s="278"/>
      <c r="BE17" s="278"/>
      <c r="BF17" s="278"/>
      <c r="BG17" s="278"/>
      <c r="BH17" s="278"/>
      <c r="BI17" s="278"/>
      <c r="BJ17" s="278"/>
      <c r="BK17" s="278"/>
      <c r="BL17" s="278"/>
      <c r="BM17" s="278"/>
      <c r="BN17" s="278"/>
      <c r="BO17" s="278"/>
      <c r="BP17" s="278"/>
      <c r="BQ17" s="278"/>
      <c r="BR17" s="23"/>
      <c r="BS17" s="23"/>
      <c r="BT17" s="23"/>
      <c r="BU17" s="23"/>
      <c r="BV17" s="23"/>
      <c r="BW17" s="23"/>
      <c r="BX17" s="23"/>
      <c r="BY17" s="23"/>
      <c r="BZ17" s="23"/>
      <c r="CA17" s="23"/>
      <c r="CB17" s="23"/>
      <c r="CC17" s="23"/>
      <c r="CD17" s="23"/>
      <c r="CE17" s="23"/>
      <c r="CF17" s="23"/>
      <c r="CG17" s="23"/>
      <c r="CH17" s="23"/>
      <c r="CI17" s="23"/>
      <c r="CJ17" s="23"/>
      <c r="CK17" s="23"/>
      <c r="CL17" s="23"/>
      <c r="CM17" s="23"/>
      <c r="CN17" s="23"/>
      <c r="CO17" s="23"/>
      <c r="CP17" s="23"/>
      <c r="CQ17" s="23"/>
      <c r="CR17" s="23"/>
      <c r="CS17" s="23"/>
      <c r="CT17" s="23"/>
      <c r="CU17" s="23"/>
      <c r="CV17" s="23"/>
      <c r="CW17" s="23"/>
      <c r="CX17" s="23"/>
      <c r="CY17" s="23"/>
      <c r="CZ17" s="23"/>
      <c r="DA17" s="23"/>
      <c r="DB17" s="23"/>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c r="HD17" s="21"/>
      <c r="HE17" s="21"/>
      <c r="HF17" s="21"/>
      <c r="HG17" s="21"/>
      <c r="HH17" s="21"/>
      <c r="HI17" s="21"/>
      <c r="HJ17" s="21"/>
      <c r="HK17" s="21"/>
      <c r="HL17" s="21"/>
      <c r="HM17" s="21"/>
      <c r="HN17" s="21"/>
      <c r="HO17" s="21"/>
      <c r="HP17" s="21"/>
      <c r="HQ17" s="21"/>
      <c r="HR17" s="21"/>
      <c r="HS17" s="21"/>
      <c r="HT17" s="21"/>
      <c r="HU17" s="21"/>
      <c r="HV17" s="21"/>
      <c r="HW17" s="21"/>
      <c r="HX17" s="21"/>
      <c r="HY17" s="21"/>
      <c r="HZ17" s="21"/>
      <c r="IA17" s="21"/>
      <c r="IB17" s="21"/>
      <c r="IC17" s="21"/>
      <c r="ID17" s="21"/>
      <c r="IE17" s="21"/>
      <c r="IF17" s="21"/>
      <c r="IG17" s="21"/>
      <c r="IH17" s="21"/>
      <c r="II17" s="21"/>
      <c r="IJ17" s="21"/>
      <c r="IK17" s="21"/>
      <c r="IL17" s="21"/>
      <c r="IM17" s="21"/>
      <c r="IN17" s="21"/>
      <c r="IO17" s="21"/>
      <c r="IP17" s="21"/>
      <c r="IQ17" s="21"/>
      <c r="IR17" s="21"/>
      <c r="IS17" s="21"/>
      <c r="IT17" s="21"/>
      <c r="IU17" s="21"/>
      <c r="IV17" s="21"/>
      <c r="IW17" s="21"/>
    </row>
    <row r="18" customFormat="false" ht="12.75" hidden="false" customHeight="false" outlineLevel="0" collapsed="false">
      <c r="A18" s="111"/>
      <c r="B18" s="1042" t="str">
        <f aca="false">D8</f>
        <v>MACRS HALFYR</v>
      </c>
      <c r="D18" s="223"/>
      <c r="E18" s="451" t="n">
        <f aca="false">IF(Assum!$H$24&gt;0.25,Assum!E204,Assum!E203)</f>
        <v>0.2</v>
      </c>
      <c r="F18" s="451" t="n">
        <f aca="false">IF(Assum!$H$24&gt;0.25,Assum!F204,Assum!F203)</f>
        <v>0.32</v>
      </c>
      <c r="G18" s="451" t="n">
        <f aca="false">IF(Assum!$H$24&gt;0.25,Assum!G204,Assum!G203)</f>
        <v>0.192</v>
      </c>
      <c r="H18" s="451" t="n">
        <f aca="false">IF(Assum!$H$24&gt;0.25,Assum!H204,Assum!H203)</f>
        <v>0.1152</v>
      </c>
      <c r="I18" s="451" t="n">
        <f aca="false">IF(Assum!$H$24&gt;0.25,Assum!I204,Assum!I203)</f>
        <v>0.1152</v>
      </c>
      <c r="J18" s="451" t="n">
        <f aca="false">IF(Assum!$H$24&gt;0.25,Assum!J204,Assum!J203)</f>
        <v>0.0576</v>
      </c>
      <c r="K18" s="451" t="n">
        <f aca="false">IF(Assum!$H$24&gt;0.25,Assum!K204,Assum!K203)</f>
        <v>0</v>
      </c>
      <c r="L18" s="451" t="n">
        <f aca="false">IF(Assum!$H$24&gt;0.25,Assum!L204,Assum!L203)</f>
        <v>0</v>
      </c>
      <c r="M18" s="451" t="n">
        <f aca="false">IF(Assum!$H$24&gt;0.25,Assum!M204,Assum!M203)</f>
        <v>0</v>
      </c>
      <c r="N18" s="451" t="n">
        <f aca="false">IF(Assum!$H$24&gt;0.25,Assum!N204,Assum!N203)</f>
        <v>0</v>
      </c>
      <c r="O18" s="451" t="n">
        <f aca="false">IF(Assum!$H$24&gt;0.25,Assum!O204,Assum!O203)</f>
        <v>0</v>
      </c>
      <c r="P18" s="451" t="n">
        <f aca="false">IF(Assum!$H$24&gt;0.25,Assum!P204,Assum!P203)</f>
        <v>0</v>
      </c>
      <c r="Q18" s="451" t="n">
        <f aca="false">IF(Assum!$H$24&gt;0.25,Assum!Q204,Assum!Q203)</f>
        <v>0</v>
      </c>
      <c r="R18" s="451" t="n">
        <f aca="false">IF(Assum!$H$24&gt;0.25,Assum!R204,Assum!R203)</f>
        <v>0</v>
      </c>
      <c r="S18" s="451" t="n">
        <f aca="false">IF(Assum!$H$24&gt;0.25,Assum!S204,Assum!S203)</f>
        <v>0</v>
      </c>
      <c r="T18" s="451" t="n">
        <f aca="false">IF(Assum!$H$24&gt;0.25,Assum!T204,Assum!T203)</f>
        <v>0</v>
      </c>
      <c r="U18" s="451" t="n">
        <f aca="false">IF(Assum!$H$24&gt;0.25,Assum!U204,Assum!U203)</f>
        <v>0</v>
      </c>
      <c r="V18" s="451" t="n">
        <f aca="false">IF(Assum!$H$24&gt;0.25,Assum!V204,Assum!V203)</f>
        <v>0</v>
      </c>
      <c r="W18" s="451" t="n">
        <f aca="false">IF(Assum!$H$24&gt;0.25,Assum!W204,Assum!W203)</f>
        <v>0</v>
      </c>
      <c r="X18" s="451" t="n">
        <f aca="false">IF(Assum!$H$24&gt;0.25,Assum!X204,Assum!X203)</f>
        <v>0</v>
      </c>
      <c r="Y18" s="451" t="n">
        <f aca="false">IF(Assum!$H$24&gt;0.25,Assum!Y204,Assum!Y203)</f>
        <v>0</v>
      </c>
      <c r="Z18" s="451" t="n">
        <f aca="false">IF(Assum!$H$24&gt;0.25,Assum!Z204,Assum!Z203)</f>
        <v>0</v>
      </c>
      <c r="AA18" s="451" t="n">
        <f aca="false">IF(Assum!$H$24&gt;0.25,Assum!AA204,Assum!AA203)</f>
        <v>0</v>
      </c>
      <c r="AB18" s="451" t="n">
        <f aca="false">IF(Assum!$H$24&gt;0.25,Assum!AB204,Assum!AB203)</f>
        <v>0</v>
      </c>
      <c r="AC18" s="451" t="n">
        <f aca="false">IF(Assum!$H$24&gt;0.25,Assum!AC204,Assum!AC203)</f>
        <v>0</v>
      </c>
      <c r="AD18" s="451" t="n">
        <f aca="false">IF(Assum!$H$24&gt;0.25,Assum!AD204,Assum!AD203)</f>
        <v>0</v>
      </c>
      <c r="AE18" s="451" t="n">
        <f aca="false">IF(Assum!$H$24&gt;0.25,Assum!AE204,Assum!AE203)</f>
        <v>0</v>
      </c>
      <c r="AF18" s="451" t="n">
        <f aca="false">IF(Assum!$H$24&gt;0.25,Assum!AF204,Assum!AF203)</f>
        <v>0</v>
      </c>
      <c r="AG18" s="451" t="n">
        <f aca="false">IF(Assum!$H$24&gt;0.25,Assum!AG204,Assum!AG203)</f>
        <v>0</v>
      </c>
      <c r="AH18" s="451" t="n">
        <f aca="false">IF(Assum!$H$24&gt;0.25,Assum!AH204,Assum!AH203)</f>
        <v>0</v>
      </c>
      <c r="AI18" s="451" t="n">
        <f aca="false">IF(Assum!$H$24&gt;0.25,Assum!AI204,Assum!AI203)</f>
        <v>0</v>
      </c>
      <c r="AJ18" s="19"/>
      <c r="AK18" s="19"/>
      <c r="AL18" s="124"/>
      <c r="AM18" s="223"/>
      <c r="AN18" s="111"/>
      <c r="AO18" s="111"/>
      <c r="AP18" s="111"/>
      <c r="AQ18" s="111"/>
      <c r="AR18" s="111"/>
      <c r="AS18" s="111"/>
      <c r="AT18" s="111"/>
      <c r="AU18" s="111"/>
      <c r="AV18" s="111"/>
      <c r="AW18" s="111"/>
      <c r="AX18" s="111"/>
      <c r="AY18" s="111"/>
      <c r="AZ18" s="111"/>
      <c r="BA18" s="111"/>
      <c r="BB18" s="111"/>
      <c r="BC18" s="111"/>
      <c r="BD18" s="111"/>
      <c r="BE18" s="111"/>
      <c r="BF18" s="111"/>
      <c r="BG18" s="111"/>
      <c r="BH18" s="111"/>
      <c r="BI18" s="111"/>
      <c r="BJ18" s="111"/>
      <c r="BK18" s="111"/>
      <c r="BL18" s="111"/>
      <c r="BM18" s="111"/>
      <c r="BN18" s="111"/>
      <c r="BO18" s="111"/>
      <c r="BP18" s="111"/>
      <c r="BQ18" s="111"/>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row>
    <row r="19" customFormat="false" ht="12.75" hidden="false" customHeight="false" outlineLevel="0" collapsed="false">
      <c r="A19" s="111"/>
      <c r="B19" s="275" t="s">
        <v>637</v>
      </c>
      <c r="D19" s="1043"/>
      <c r="E19" s="451" t="n">
        <f aca="false">1/$D$11*E17</f>
        <v>0.05</v>
      </c>
      <c r="F19" s="451" t="n">
        <f aca="false">1/$D$11*F17</f>
        <v>0.05</v>
      </c>
      <c r="G19" s="451" t="n">
        <f aca="false">1/$D$11*G17</f>
        <v>0.05</v>
      </c>
      <c r="H19" s="451" t="n">
        <f aca="false">1/$D$11*H17</f>
        <v>0.05</v>
      </c>
      <c r="I19" s="451" t="n">
        <f aca="false">1/$D$11*I17</f>
        <v>0.05</v>
      </c>
      <c r="J19" s="451" t="n">
        <f aca="false">1/$D$11*J17</f>
        <v>0.05</v>
      </c>
      <c r="K19" s="451" t="n">
        <f aca="false">1/$D$11*K17</f>
        <v>0.05</v>
      </c>
      <c r="L19" s="451" t="n">
        <f aca="false">1/$D$11*L17</f>
        <v>0.05</v>
      </c>
      <c r="M19" s="451" t="n">
        <f aca="false">1/$D$11*M17</f>
        <v>0.05</v>
      </c>
      <c r="N19" s="451" t="n">
        <f aca="false">1/$D$11*N17</f>
        <v>0.05</v>
      </c>
      <c r="O19" s="451" t="n">
        <f aca="false">1/$D$11*O17</f>
        <v>0.05</v>
      </c>
      <c r="P19" s="451" t="n">
        <f aca="false">1/$D$11*P17</f>
        <v>0.05</v>
      </c>
      <c r="Q19" s="451" t="n">
        <f aca="false">1/$D$11*Q17</f>
        <v>0.05</v>
      </c>
      <c r="R19" s="451" t="n">
        <f aca="false">1/$D$11*R17</f>
        <v>0.05</v>
      </c>
      <c r="S19" s="451" t="n">
        <f aca="false">1/$D$11*S17</f>
        <v>0.05</v>
      </c>
      <c r="T19" s="451" t="n">
        <f aca="false">1/$D$11*T17</f>
        <v>0.05</v>
      </c>
      <c r="U19" s="451" t="n">
        <f aca="false">1/$D$11*U17</f>
        <v>0.05</v>
      </c>
      <c r="V19" s="451" t="n">
        <f aca="false">1/$D$11*V17</f>
        <v>0.05</v>
      </c>
      <c r="W19" s="451" t="n">
        <f aca="false">1/$D$11*W17</f>
        <v>0.05</v>
      </c>
      <c r="X19" s="451" t="n">
        <f aca="false">1/$D$11*X17</f>
        <v>0.05</v>
      </c>
      <c r="Y19" s="451" t="n">
        <f aca="false">1/$D$11*Y17</f>
        <v>0</v>
      </c>
      <c r="Z19" s="451" t="n">
        <f aca="false">1/$D$11*Z17</f>
        <v>0</v>
      </c>
      <c r="AA19" s="451" t="n">
        <f aca="false">1/$D$11*AA17</f>
        <v>0</v>
      </c>
      <c r="AB19" s="451" t="n">
        <f aca="false">1/$D$11*AB17</f>
        <v>0</v>
      </c>
      <c r="AC19" s="451" t="n">
        <f aca="false">1/$D$11*AC17</f>
        <v>0</v>
      </c>
      <c r="AD19" s="451" t="n">
        <f aca="false">1/$D$11*AD17</f>
        <v>0</v>
      </c>
      <c r="AE19" s="451" t="n">
        <f aca="false">1/$D$11*AE17</f>
        <v>0</v>
      </c>
      <c r="AF19" s="451" t="n">
        <f aca="false">1/$D$11*AF17</f>
        <v>0</v>
      </c>
      <c r="AG19" s="451" t="n">
        <f aca="false">1/$D$11*AG17</f>
        <v>0</v>
      </c>
      <c r="AH19" s="451" t="n">
        <f aca="false">1/$D$11*AH17</f>
        <v>0</v>
      </c>
      <c r="AI19" s="451" t="n">
        <f aca="false">1/$D$11*AI17</f>
        <v>0</v>
      </c>
      <c r="AJ19" s="19"/>
      <c r="AK19" s="19"/>
      <c r="AL19" s="124"/>
      <c r="AM19" s="1043"/>
      <c r="AN19" s="111"/>
      <c r="AO19" s="111"/>
      <c r="AP19" s="111"/>
      <c r="AQ19" s="111"/>
      <c r="AR19" s="111"/>
      <c r="AS19" s="111"/>
      <c r="AT19" s="111"/>
      <c r="AU19" s="111"/>
      <c r="AV19" s="111"/>
      <c r="AW19" s="111"/>
      <c r="AX19" s="111"/>
      <c r="AY19" s="111"/>
      <c r="AZ19" s="111"/>
      <c r="BA19" s="111"/>
      <c r="BB19" s="111"/>
      <c r="BC19" s="111"/>
      <c r="BD19" s="111"/>
      <c r="BE19" s="111"/>
      <c r="BF19" s="111"/>
      <c r="BG19" s="111"/>
      <c r="BH19" s="111"/>
      <c r="BI19" s="111"/>
      <c r="BJ19" s="111"/>
      <c r="BK19" s="111"/>
      <c r="BL19" s="111"/>
      <c r="BM19" s="111"/>
      <c r="BN19" s="111"/>
      <c r="BO19" s="111"/>
      <c r="BP19" s="111"/>
      <c r="BQ19" s="111"/>
      <c r="BR19" s="124"/>
      <c r="BS19" s="124"/>
      <c r="BT19" s="124"/>
      <c r="BU19" s="124"/>
      <c r="BV19" s="124"/>
      <c r="BW19" s="124"/>
      <c r="BX19" s="124"/>
      <c r="BY19" s="124"/>
      <c r="BZ19" s="124"/>
      <c r="CA19" s="124"/>
      <c r="CB19" s="124"/>
      <c r="CC19" s="124"/>
      <c r="CD19" s="124"/>
      <c r="CE19" s="124"/>
      <c r="CF19" s="124"/>
      <c r="CG19" s="124"/>
      <c r="CH19" s="124"/>
      <c r="CI19" s="124"/>
      <c r="CJ19" s="124"/>
      <c r="CK19" s="124"/>
      <c r="CL19" s="124"/>
      <c r="CM19" s="124"/>
      <c r="CN19" s="124"/>
      <c r="CO19" s="124"/>
      <c r="CP19" s="124"/>
      <c r="CQ19" s="124"/>
      <c r="CR19" s="124"/>
      <c r="CS19" s="124"/>
      <c r="CT19" s="124"/>
      <c r="CU19" s="124"/>
      <c r="CV19" s="124"/>
      <c r="CW19" s="124"/>
      <c r="CX19" s="124"/>
      <c r="CY19" s="124"/>
      <c r="CZ19" s="124"/>
      <c r="DA19" s="124"/>
      <c r="DB19" s="124"/>
    </row>
    <row r="20" customFormat="false" ht="12.75" hidden="false" customHeight="false" outlineLevel="0" collapsed="false">
      <c r="A20" s="111"/>
      <c r="B20" s="275"/>
      <c r="D20" s="1043"/>
      <c r="E20" s="111"/>
      <c r="F20" s="111"/>
      <c r="G20" s="111"/>
      <c r="H20" s="111"/>
      <c r="I20" s="111"/>
      <c r="J20" s="111"/>
      <c r="K20" s="111"/>
      <c r="L20" s="111"/>
      <c r="M20" s="111"/>
      <c r="N20" s="111"/>
      <c r="O20" s="111"/>
      <c r="P20" s="111"/>
      <c r="Q20" s="111"/>
      <c r="R20" s="111"/>
      <c r="S20" s="111"/>
      <c r="T20" s="111"/>
      <c r="U20" s="111"/>
      <c r="V20" s="111"/>
      <c r="W20" s="111"/>
      <c r="X20" s="111"/>
      <c r="Y20" s="111"/>
      <c r="Z20" s="111"/>
      <c r="AA20" s="111"/>
      <c r="AB20" s="111"/>
      <c r="AC20" s="111"/>
      <c r="AD20" s="111"/>
      <c r="AE20" s="111"/>
      <c r="AF20" s="111"/>
      <c r="AG20" s="111"/>
      <c r="AH20" s="111"/>
      <c r="AI20" s="111"/>
      <c r="AJ20" s="19"/>
      <c r="AK20" s="19"/>
      <c r="AL20" s="124"/>
      <c r="AM20" s="1043"/>
      <c r="AN20" s="111"/>
      <c r="AO20" s="111"/>
      <c r="AP20" s="111"/>
      <c r="AQ20" s="111"/>
      <c r="AR20" s="111"/>
      <c r="AS20" s="111"/>
      <c r="AT20" s="111"/>
      <c r="AU20" s="111"/>
      <c r="AV20" s="111"/>
      <c r="AW20" s="111"/>
      <c r="AX20" s="111"/>
      <c r="AY20" s="111"/>
      <c r="AZ20" s="111"/>
      <c r="BA20" s="111"/>
      <c r="BB20" s="111"/>
      <c r="BC20" s="111"/>
      <c r="BD20" s="111"/>
      <c r="BE20" s="111"/>
      <c r="BF20" s="111"/>
      <c r="BG20" s="111"/>
      <c r="BH20" s="111"/>
      <c r="BI20" s="111"/>
      <c r="BJ20" s="111"/>
      <c r="BK20" s="111"/>
      <c r="BL20" s="111"/>
      <c r="BM20" s="111"/>
      <c r="BN20" s="111"/>
      <c r="BO20" s="111"/>
      <c r="BP20" s="111"/>
      <c r="BQ20" s="111"/>
      <c r="BR20" s="124"/>
      <c r="BS20" s="124"/>
      <c r="BT20" s="124"/>
      <c r="BU20" s="124"/>
      <c r="BV20" s="124"/>
      <c r="BW20" s="124"/>
      <c r="BX20" s="124"/>
      <c r="BY20" s="124"/>
      <c r="BZ20" s="124"/>
      <c r="CA20" s="124"/>
      <c r="CB20" s="124"/>
      <c r="CC20" s="124"/>
      <c r="CD20" s="124"/>
      <c r="CE20" s="124"/>
      <c r="CF20" s="124"/>
      <c r="CG20" s="124"/>
      <c r="CH20" s="124"/>
      <c r="CI20" s="124"/>
      <c r="CJ20" s="124"/>
      <c r="CK20" s="124"/>
      <c r="CL20" s="124"/>
      <c r="CM20" s="124"/>
      <c r="CN20" s="124"/>
      <c r="CO20" s="124"/>
      <c r="CP20" s="124"/>
      <c r="CQ20" s="124"/>
      <c r="CR20" s="124"/>
      <c r="CS20" s="124"/>
      <c r="CT20" s="124"/>
      <c r="CU20" s="124"/>
      <c r="CV20" s="124"/>
      <c r="CW20" s="124"/>
      <c r="CX20" s="124"/>
      <c r="CY20" s="124"/>
      <c r="CZ20" s="124"/>
      <c r="DA20" s="124"/>
      <c r="DB20" s="124"/>
    </row>
    <row r="21" customFormat="false" ht="12.75" hidden="false" customHeight="false" outlineLevel="0" collapsed="false">
      <c r="A21" s="100"/>
      <c r="B21" s="130" t="s">
        <v>638</v>
      </c>
      <c r="C21" s="1044" t="n">
        <f aca="false">SUM(E21:AH21)</f>
        <v>36935.2779318995</v>
      </c>
      <c r="D21" s="130"/>
      <c r="E21" s="100" t="n">
        <f aca="false">$E$8*E18</f>
        <v>7387.0555863799</v>
      </c>
      <c r="F21" s="100" t="n">
        <f aca="false">$E$8*F18</f>
        <v>11819.2889382078</v>
      </c>
      <c r="G21" s="100" t="n">
        <f aca="false">$E$8*G18</f>
        <v>7091.5733629247</v>
      </c>
      <c r="H21" s="100" t="n">
        <f aca="false">$E$8*H18</f>
        <v>4254.94401775482</v>
      </c>
      <c r="I21" s="100" t="n">
        <f aca="false">$E$8*I18</f>
        <v>4254.94401775482</v>
      </c>
      <c r="J21" s="100" t="n">
        <f aca="false">$E$8*J18</f>
        <v>2127.47200887741</v>
      </c>
      <c r="K21" s="100" t="n">
        <f aca="false">$E$8*K18</f>
        <v>0</v>
      </c>
      <c r="L21" s="100" t="n">
        <f aca="false">$E$8*L18</f>
        <v>0</v>
      </c>
      <c r="M21" s="100" t="n">
        <f aca="false">$E$8*M18</f>
        <v>0</v>
      </c>
      <c r="N21" s="100" t="n">
        <f aca="false">$E$8*N18</f>
        <v>0</v>
      </c>
      <c r="O21" s="100" t="n">
        <f aca="false">$E$8*O18</f>
        <v>0</v>
      </c>
      <c r="P21" s="100" t="n">
        <f aca="false">$E$8*P18</f>
        <v>0</v>
      </c>
      <c r="Q21" s="100" t="n">
        <f aca="false">$E$8*Q18</f>
        <v>0</v>
      </c>
      <c r="R21" s="100" t="n">
        <f aca="false">$E$8*R18</f>
        <v>0</v>
      </c>
      <c r="S21" s="100" t="n">
        <f aca="false">$E$8*S18</f>
        <v>0</v>
      </c>
      <c r="T21" s="100" t="n">
        <f aca="false">$E$8*T18</f>
        <v>0</v>
      </c>
      <c r="U21" s="100" t="n">
        <f aca="false">$E$8*U18</f>
        <v>0</v>
      </c>
      <c r="V21" s="100" t="n">
        <f aca="false">$E$8*V18</f>
        <v>0</v>
      </c>
      <c r="W21" s="100" t="n">
        <f aca="false">$E$8*W18</f>
        <v>0</v>
      </c>
      <c r="X21" s="100" t="n">
        <f aca="false">$E$8*X18</f>
        <v>0</v>
      </c>
      <c r="Y21" s="100" t="n">
        <f aca="false">$E$8*Y18</f>
        <v>0</v>
      </c>
      <c r="Z21" s="100" t="n">
        <f aca="false">$E$8*Z18</f>
        <v>0</v>
      </c>
      <c r="AA21" s="100" t="n">
        <f aca="false">$E$8*AA18</f>
        <v>0</v>
      </c>
      <c r="AB21" s="100" t="n">
        <f aca="false">$E$8*AB18</f>
        <v>0</v>
      </c>
      <c r="AC21" s="100" t="n">
        <f aca="false">$E$8*AC18</f>
        <v>0</v>
      </c>
      <c r="AD21" s="100" t="n">
        <f aca="false">$E$8*AD18</f>
        <v>0</v>
      </c>
      <c r="AE21" s="100" t="n">
        <f aca="false">$E$8*AE18</f>
        <v>0</v>
      </c>
      <c r="AF21" s="100" t="n">
        <f aca="false">$E$8*AF18</f>
        <v>0</v>
      </c>
      <c r="AG21" s="100" t="n">
        <f aca="false">$E$8*AG18</f>
        <v>0</v>
      </c>
      <c r="AH21" s="100" t="n">
        <f aca="false">$E$8*AH18</f>
        <v>0</v>
      </c>
      <c r="AI21" s="100" t="n">
        <f aca="false">$E$8*AI18</f>
        <v>0</v>
      </c>
      <c r="AJ21" s="102"/>
      <c r="AK21" s="102"/>
      <c r="AL21" s="100"/>
      <c r="AM21" s="13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c r="BM21" s="100"/>
      <c r="BN21" s="100"/>
      <c r="BO21" s="100"/>
      <c r="BP21" s="100"/>
      <c r="BQ21" s="100"/>
      <c r="BR21" s="100"/>
      <c r="BS21" s="100"/>
      <c r="BT21" s="100"/>
      <c r="BU21" s="100"/>
      <c r="BV21" s="100"/>
      <c r="BW21" s="100"/>
      <c r="BX21" s="100"/>
      <c r="BY21" s="100"/>
      <c r="BZ21" s="100"/>
      <c r="CA21" s="100"/>
      <c r="CB21" s="100"/>
      <c r="CC21" s="100"/>
      <c r="CD21" s="100"/>
      <c r="CE21" s="100"/>
      <c r="CF21" s="100"/>
      <c r="CG21" s="100"/>
      <c r="CH21" s="100"/>
      <c r="CI21" s="100"/>
      <c r="CJ21" s="100"/>
      <c r="CK21" s="100"/>
      <c r="CL21" s="100"/>
      <c r="CM21" s="100"/>
      <c r="CN21" s="100"/>
      <c r="CO21" s="100"/>
      <c r="CP21" s="100"/>
      <c r="CQ21" s="100"/>
      <c r="CR21" s="100"/>
      <c r="CS21" s="100"/>
      <c r="CT21" s="100"/>
      <c r="CU21" s="100"/>
      <c r="CV21" s="100"/>
      <c r="CW21" s="100"/>
      <c r="CX21" s="100"/>
      <c r="CY21" s="100"/>
      <c r="CZ21" s="100"/>
      <c r="DA21" s="100"/>
      <c r="DB21" s="100"/>
      <c r="DC21" s="100"/>
      <c r="DD21" s="100"/>
      <c r="DE21" s="100"/>
      <c r="DF21" s="100"/>
      <c r="DG21" s="100"/>
      <c r="DH21" s="100"/>
      <c r="DI21" s="100"/>
      <c r="DJ21" s="100"/>
      <c r="DK21" s="100"/>
      <c r="DL21" s="100"/>
      <c r="DM21" s="100"/>
      <c r="DN21" s="100"/>
      <c r="DO21" s="100"/>
      <c r="DP21" s="100"/>
      <c r="DQ21" s="100"/>
      <c r="DR21" s="100"/>
      <c r="DS21" s="100"/>
      <c r="DT21" s="100"/>
      <c r="DU21" s="100"/>
      <c r="DV21" s="100"/>
      <c r="DW21" s="100"/>
      <c r="DX21" s="100"/>
      <c r="DY21" s="100"/>
      <c r="DZ21" s="100"/>
      <c r="EA21" s="100"/>
      <c r="EB21" s="100"/>
      <c r="EC21" s="100"/>
      <c r="ED21" s="100"/>
      <c r="EE21" s="100"/>
      <c r="EF21" s="100"/>
      <c r="EG21" s="100"/>
      <c r="EH21" s="100"/>
      <c r="EI21" s="100"/>
      <c r="EJ21" s="100"/>
      <c r="EK21" s="100"/>
      <c r="EL21" s="100"/>
      <c r="EM21" s="100"/>
      <c r="EN21" s="100"/>
      <c r="EO21" s="100"/>
      <c r="EP21" s="100"/>
      <c r="EQ21" s="100"/>
      <c r="ER21" s="100"/>
      <c r="ES21" s="100"/>
      <c r="ET21" s="100"/>
      <c r="EU21" s="100"/>
      <c r="EV21" s="100"/>
      <c r="EW21" s="100"/>
      <c r="EX21" s="100"/>
      <c r="EY21" s="100"/>
      <c r="EZ21" s="100"/>
      <c r="FA21" s="100"/>
      <c r="FB21" s="100"/>
      <c r="FC21" s="100"/>
      <c r="FD21" s="100"/>
      <c r="FE21" s="100"/>
      <c r="FF21" s="100"/>
      <c r="FG21" s="100"/>
      <c r="FH21" s="100"/>
      <c r="FI21" s="100"/>
      <c r="FJ21" s="100"/>
      <c r="FK21" s="100"/>
      <c r="FL21" s="100"/>
      <c r="FM21" s="100"/>
      <c r="FN21" s="100"/>
      <c r="FO21" s="100"/>
      <c r="FP21" s="100"/>
      <c r="FQ21" s="100"/>
      <c r="FR21" s="100"/>
      <c r="FS21" s="100"/>
      <c r="FT21" s="100"/>
      <c r="FU21" s="100"/>
      <c r="FV21" s="100"/>
      <c r="FW21" s="100"/>
      <c r="FX21" s="100"/>
      <c r="FY21" s="100"/>
      <c r="FZ21" s="100"/>
      <c r="GA21" s="100"/>
      <c r="GB21" s="100"/>
      <c r="GC21" s="100"/>
      <c r="GD21" s="100"/>
      <c r="GE21" s="100"/>
      <c r="GF21" s="100"/>
      <c r="GG21" s="100"/>
      <c r="GH21" s="100"/>
      <c r="GI21" s="100"/>
      <c r="GJ21" s="100"/>
      <c r="GK21" s="100"/>
      <c r="GL21" s="100"/>
      <c r="GM21" s="100"/>
      <c r="GN21" s="100"/>
      <c r="GO21" s="100"/>
      <c r="GP21" s="100"/>
      <c r="GQ21" s="100"/>
      <c r="GR21" s="100"/>
      <c r="GS21" s="100"/>
      <c r="GT21" s="100"/>
      <c r="GU21" s="100"/>
      <c r="GV21" s="100"/>
      <c r="GW21" s="100"/>
      <c r="GX21" s="100"/>
      <c r="GY21" s="100"/>
      <c r="GZ21" s="100"/>
      <c r="HA21" s="100"/>
      <c r="HB21" s="100"/>
      <c r="HC21" s="100"/>
      <c r="HD21" s="100"/>
      <c r="HE21" s="100"/>
      <c r="HF21" s="100"/>
      <c r="HG21" s="100"/>
      <c r="HH21" s="100"/>
      <c r="HI21" s="100"/>
      <c r="HJ21" s="100"/>
      <c r="HK21" s="100"/>
      <c r="HL21" s="100"/>
      <c r="HM21" s="100"/>
      <c r="HN21" s="100"/>
      <c r="HO21" s="100"/>
      <c r="HP21" s="100"/>
      <c r="HQ21" s="100"/>
      <c r="HR21" s="100"/>
      <c r="HS21" s="100"/>
      <c r="HT21" s="100"/>
      <c r="HU21" s="100"/>
      <c r="HV21" s="100"/>
      <c r="HW21" s="100"/>
      <c r="HX21" s="100"/>
      <c r="HY21" s="100"/>
      <c r="HZ21" s="100"/>
      <c r="IA21" s="100"/>
      <c r="IB21" s="100"/>
      <c r="IC21" s="100"/>
      <c r="ID21" s="100"/>
      <c r="IE21" s="100"/>
      <c r="IF21" s="100"/>
      <c r="IG21" s="100"/>
      <c r="IH21" s="100"/>
      <c r="II21" s="100"/>
      <c r="IJ21" s="100"/>
      <c r="IK21" s="100"/>
      <c r="IL21" s="100"/>
      <c r="IM21" s="100"/>
      <c r="IN21" s="100"/>
      <c r="IO21" s="100"/>
      <c r="IP21" s="100"/>
      <c r="IQ21" s="100"/>
      <c r="IR21" s="100"/>
      <c r="IS21" s="100"/>
      <c r="IT21" s="100"/>
      <c r="IU21" s="100"/>
      <c r="IV21" s="100"/>
      <c r="IW21" s="100"/>
    </row>
    <row r="22" customFormat="false" ht="12.75" hidden="false" customHeight="false" outlineLevel="0" collapsed="false">
      <c r="A22" s="100"/>
      <c r="B22" s="100" t="s">
        <v>483</v>
      </c>
      <c r="C22" s="1044" t="n">
        <f aca="false">SUM(E22:AI22)</f>
        <v>36935.2779318995</v>
      </c>
      <c r="D22" s="130"/>
      <c r="E22" s="100" t="n">
        <f aca="false">$E$8*E19</f>
        <v>1846.76389659497</v>
      </c>
      <c r="F22" s="100" t="n">
        <f aca="false">$E$8*F19</f>
        <v>1846.76389659497</v>
      </c>
      <c r="G22" s="100" t="n">
        <f aca="false">$E$8*G19</f>
        <v>1846.76389659497</v>
      </c>
      <c r="H22" s="100" t="n">
        <f aca="false">$E$8*H19</f>
        <v>1846.76389659497</v>
      </c>
      <c r="I22" s="100" t="n">
        <f aca="false">$E$8*I19</f>
        <v>1846.76389659497</v>
      </c>
      <c r="J22" s="100" t="n">
        <f aca="false">$E$8*J19</f>
        <v>1846.76389659497</v>
      </c>
      <c r="K22" s="100" t="n">
        <f aca="false">$E$8*K19</f>
        <v>1846.76389659497</v>
      </c>
      <c r="L22" s="100" t="n">
        <f aca="false">$E$8*L19</f>
        <v>1846.76389659497</v>
      </c>
      <c r="M22" s="100" t="n">
        <f aca="false">$E$8*M19</f>
        <v>1846.76389659497</v>
      </c>
      <c r="N22" s="100" t="n">
        <f aca="false">$E$8*N19</f>
        <v>1846.76389659497</v>
      </c>
      <c r="O22" s="100" t="n">
        <f aca="false">$E$8*O19</f>
        <v>1846.76389659497</v>
      </c>
      <c r="P22" s="100" t="n">
        <f aca="false">$E$8*P19</f>
        <v>1846.76389659497</v>
      </c>
      <c r="Q22" s="100" t="n">
        <f aca="false">$E$8*Q19</f>
        <v>1846.76389659497</v>
      </c>
      <c r="R22" s="100" t="n">
        <f aca="false">$E$8*R19</f>
        <v>1846.76389659497</v>
      </c>
      <c r="S22" s="100" t="n">
        <f aca="false">$E$8*S19</f>
        <v>1846.76389659497</v>
      </c>
      <c r="T22" s="100" t="n">
        <f aca="false">$E$8*T19</f>
        <v>1846.76389659497</v>
      </c>
      <c r="U22" s="100" t="n">
        <f aca="false">$E$8*U19</f>
        <v>1846.76389659497</v>
      </c>
      <c r="V22" s="100" t="n">
        <f aca="false">$E$8*V19</f>
        <v>1846.76389659497</v>
      </c>
      <c r="W22" s="100" t="n">
        <f aca="false">$E$8*W19</f>
        <v>1846.76389659497</v>
      </c>
      <c r="X22" s="100" t="n">
        <f aca="false">$E$8*X19</f>
        <v>1846.76389659497</v>
      </c>
      <c r="Y22" s="100" t="n">
        <f aca="false">$E$8*Y19</f>
        <v>0</v>
      </c>
      <c r="Z22" s="100" t="n">
        <f aca="false">$E$8*Z19</f>
        <v>0</v>
      </c>
      <c r="AA22" s="100" t="n">
        <f aca="false">$E$8*AA19</f>
        <v>0</v>
      </c>
      <c r="AB22" s="100" t="n">
        <f aca="false">$E$8*AB19</f>
        <v>0</v>
      </c>
      <c r="AC22" s="100" t="n">
        <f aca="false">$E$8*AC19</f>
        <v>0</v>
      </c>
      <c r="AD22" s="100" t="n">
        <f aca="false">$E$8*AD19</f>
        <v>0</v>
      </c>
      <c r="AE22" s="100" t="n">
        <f aca="false">$E$8*AE19</f>
        <v>0</v>
      </c>
      <c r="AF22" s="100" t="n">
        <f aca="false">$E$8*AF19</f>
        <v>0</v>
      </c>
      <c r="AG22" s="100" t="n">
        <f aca="false">$E$8*AG19</f>
        <v>0</v>
      </c>
      <c r="AH22" s="100" t="n">
        <f aca="false">$E$8*AH19</f>
        <v>0</v>
      </c>
      <c r="AI22" s="100" t="n">
        <f aca="false">$E$8*AI19</f>
        <v>0</v>
      </c>
      <c r="AJ22" s="102"/>
      <c r="AK22" s="102"/>
      <c r="AL22" s="100"/>
      <c r="AM22" s="130"/>
      <c r="AN22" s="100"/>
      <c r="AO22" s="100"/>
      <c r="AP22" s="100"/>
      <c r="AQ22" s="100"/>
      <c r="AR22" s="100"/>
      <c r="AS22" s="100"/>
      <c r="AT22" s="100"/>
      <c r="AU22" s="100"/>
      <c r="AV22" s="100"/>
      <c r="AW22" s="100"/>
      <c r="AX22" s="100"/>
      <c r="AY22" s="100"/>
      <c r="AZ22" s="100"/>
      <c r="BA22" s="100"/>
      <c r="BB22" s="100"/>
      <c r="BC22" s="100"/>
      <c r="BD22" s="100"/>
      <c r="BE22" s="100"/>
      <c r="BF22" s="100"/>
      <c r="BG22" s="100"/>
      <c r="BH22" s="100"/>
      <c r="BI22" s="100"/>
      <c r="BJ22" s="100"/>
      <c r="BK22" s="100"/>
      <c r="BL22" s="100"/>
      <c r="BM22" s="100"/>
      <c r="BN22" s="100"/>
      <c r="BO22" s="100"/>
      <c r="BP22" s="100"/>
      <c r="BQ22" s="100"/>
      <c r="BR22" s="100"/>
      <c r="BS22" s="100"/>
      <c r="BT22" s="100"/>
      <c r="BU22" s="100"/>
      <c r="BV22" s="100"/>
      <c r="BW22" s="100"/>
      <c r="BX22" s="100"/>
      <c r="BY22" s="100"/>
      <c r="BZ22" s="100"/>
      <c r="CA22" s="100"/>
      <c r="CB22" s="100"/>
      <c r="CC22" s="100"/>
      <c r="CD22" s="100"/>
      <c r="CE22" s="100"/>
      <c r="CF22" s="100"/>
      <c r="CG22" s="100"/>
      <c r="CH22" s="100"/>
      <c r="CI22" s="100"/>
      <c r="CJ22" s="100"/>
      <c r="CK22" s="100"/>
      <c r="CL22" s="100"/>
      <c r="CM22" s="100"/>
      <c r="CN22" s="100"/>
      <c r="CO22" s="100"/>
      <c r="CP22" s="100"/>
      <c r="CQ22" s="100"/>
      <c r="CR22" s="100"/>
      <c r="CS22" s="100"/>
      <c r="CT22" s="100"/>
      <c r="CU22" s="100"/>
      <c r="CV22" s="100"/>
      <c r="CW22" s="100"/>
      <c r="CX22" s="100"/>
      <c r="CY22" s="100"/>
      <c r="CZ22" s="100"/>
      <c r="DA22" s="100"/>
      <c r="DB22" s="100"/>
      <c r="DC22" s="100"/>
      <c r="DD22" s="100"/>
      <c r="DE22" s="100"/>
      <c r="DF22" s="100"/>
      <c r="DG22" s="100"/>
      <c r="DH22" s="100"/>
      <c r="DI22" s="100"/>
      <c r="DJ22" s="100"/>
      <c r="DK22" s="100"/>
      <c r="DL22" s="100"/>
      <c r="DM22" s="100"/>
      <c r="DN22" s="100"/>
      <c r="DO22" s="100"/>
      <c r="DP22" s="100"/>
      <c r="DQ22" s="100"/>
      <c r="DR22" s="100"/>
      <c r="DS22" s="100"/>
      <c r="DT22" s="100"/>
      <c r="DU22" s="100"/>
      <c r="DV22" s="100"/>
      <c r="DW22" s="100"/>
      <c r="DX22" s="100"/>
      <c r="DY22" s="100"/>
      <c r="DZ22" s="100"/>
      <c r="EA22" s="100"/>
      <c r="EB22" s="100"/>
      <c r="EC22" s="100"/>
      <c r="ED22" s="100"/>
      <c r="EE22" s="100"/>
      <c r="EF22" s="100"/>
      <c r="EG22" s="100"/>
      <c r="EH22" s="100"/>
      <c r="EI22" s="100"/>
      <c r="EJ22" s="100"/>
      <c r="EK22" s="100"/>
      <c r="EL22" s="100"/>
      <c r="EM22" s="100"/>
      <c r="EN22" s="100"/>
      <c r="EO22" s="100"/>
      <c r="EP22" s="100"/>
      <c r="EQ22" s="100"/>
      <c r="ER22" s="100"/>
      <c r="ES22" s="100"/>
      <c r="ET22" s="100"/>
      <c r="EU22" s="100"/>
      <c r="EV22" s="100"/>
      <c r="EW22" s="100"/>
      <c r="EX22" s="100"/>
      <c r="EY22" s="100"/>
      <c r="EZ22" s="100"/>
      <c r="FA22" s="100"/>
      <c r="FB22" s="100"/>
      <c r="FC22" s="100"/>
      <c r="FD22" s="100"/>
      <c r="FE22" s="100"/>
      <c r="FF22" s="100"/>
      <c r="FG22" s="100"/>
      <c r="FH22" s="100"/>
      <c r="FI22" s="100"/>
      <c r="FJ22" s="100"/>
      <c r="FK22" s="100"/>
      <c r="FL22" s="100"/>
      <c r="FM22" s="100"/>
      <c r="FN22" s="100"/>
      <c r="FO22" s="100"/>
      <c r="FP22" s="100"/>
      <c r="FQ22" s="100"/>
      <c r="FR22" s="100"/>
      <c r="FS22" s="100"/>
      <c r="FT22" s="100"/>
      <c r="FU22" s="100"/>
      <c r="FV22" s="100"/>
      <c r="FW22" s="100"/>
      <c r="FX22" s="100"/>
      <c r="FY22" s="100"/>
      <c r="FZ22" s="100"/>
      <c r="GA22" s="100"/>
      <c r="GB22" s="100"/>
      <c r="GC22" s="100"/>
      <c r="GD22" s="100"/>
      <c r="GE22" s="100"/>
      <c r="GF22" s="100"/>
      <c r="GG22" s="100"/>
      <c r="GH22" s="100"/>
      <c r="GI22" s="100"/>
      <c r="GJ22" s="100"/>
      <c r="GK22" s="100"/>
      <c r="GL22" s="100"/>
      <c r="GM22" s="100"/>
      <c r="GN22" s="100"/>
      <c r="GO22" s="100"/>
      <c r="GP22" s="100"/>
      <c r="GQ22" s="100"/>
      <c r="GR22" s="100"/>
      <c r="GS22" s="100"/>
      <c r="GT22" s="100"/>
      <c r="GU22" s="100"/>
      <c r="GV22" s="100"/>
      <c r="GW22" s="100"/>
      <c r="GX22" s="100"/>
      <c r="GY22" s="100"/>
      <c r="GZ22" s="100"/>
      <c r="HA22" s="100"/>
      <c r="HB22" s="100"/>
      <c r="HC22" s="100"/>
      <c r="HD22" s="100"/>
      <c r="HE22" s="100"/>
      <c r="HF22" s="100"/>
      <c r="HG22" s="100"/>
      <c r="HH22" s="100"/>
      <c r="HI22" s="100"/>
      <c r="HJ22" s="100"/>
      <c r="HK22" s="100"/>
      <c r="HL22" s="100"/>
      <c r="HM22" s="100"/>
      <c r="HN22" s="100"/>
      <c r="HO22" s="100"/>
      <c r="HP22" s="100"/>
      <c r="HQ22" s="100"/>
      <c r="HR22" s="100"/>
      <c r="HS22" s="100"/>
      <c r="HT22" s="100"/>
      <c r="HU22" s="100"/>
      <c r="HV22" s="100"/>
      <c r="HW22" s="100"/>
      <c r="HX22" s="100"/>
      <c r="HY22" s="100"/>
      <c r="HZ22" s="100"/>
      <c r="IA22" s="100"/>
      <c r="IB22" s="100"/>
      <c r="IC22" s="100"/>
      <c r="ID22" s="100"/>
      <c r="IE22" s="100"/>
      <c r="IF22" s="100"/>
      <c r="IG22" s="100"/>
      <c r="IH22" s="100"/>
      <c r="II22" s="100"/>
      <c r="IJ22" s="100"/>
      <c r="IK22" s="100"/>
      <c r="IL22" s="100"/>
      <c r="IM22" s="100"/>
      <c r="IN22" s="100"/>
      <c r="IO22" s="100"/>
      <c r="IP22" s="100"/>
      <c r="IQ22" s="100"/>
      <c r="IR22" s="100"/>
      <c r="IS22" s="100"/>
      <c r="IT22" s="100"/>
      <c r="IU22" s="100"/>
      <c r="IV22" s="100"/>
      <c r="IW22" s="100"/>
    </row>
    <row r="23" customFormat="false" ht="12.75" hidden="false" customHeight="false" outlineLevel="0" collapsed="false">
      <c r="A23" s="100"/>
      <c r="B23" s="100"/>
      <c r="C23" s="100"/>
      <c r="D23" s="13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2"/>
      <c r="AK23" s="102"/>
      <c r="AL23" s="100"/>
      <c r="AM23" s="13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c r="BM23" s="100"/>
      <c r="BN23" s="100"/>
      <c r="BO23" s="100"/>
      <c r="BP23" s="100"/>
      <c r="BQ23" s="100"/>
      <c r="BR23" s="100"/>
      <c r="BS23" s="100"/>
      <c r="BT23" s="100"/>
      <c r="BU23" s="100"/>
      <c r="BV23" s="100"/>
      <c r="BW23" s="100"/>
      <c r="BX23" s="100"/>
      <c r="BY23" s="100"/>
      <c r="BZ23" s="100"/>
      <c r="CA23" s="100"/>
      <c r="CB23" s="100"/>
      <c r="CC23" s="100"/>
      <c r="CD23" s="100"/>
      <c r="CE23" s="100"/>
      <c r="CF23" s="100"/>
      <c r="CG23" s="100"/>
      <c r="CH23" s="100"/>
      <c r="CI23" s="100"/>
      <c r="CJ23" s="100"/>
      <c r="CK23" s="100"/>
      <c r="CL23" s="100"/>
      <c r="CM23" s="100"/>
      <c r="CN23" s="100"/>
      <c r="CO23" s="100"/>
      <c r="CP23" s="100"/>
      <c r="CQ23" s="100"/>
      <c r="CR23" s="100"/>
      <c r="CS23" s="100"/>
      <c r="CT23" s="100"/>
      <c r="CU23" s="100"/>
      <c r="CV23" s="100"/>
      <c r="CW23" s="100"/>
      <c r="CX23" s="100"/>
      <c r="CY23" s="100"/>
      <c r="CZ23" s="100"/>
      <c r="DA23" s="100"/>
      <c r="DB23" s="100"/>
      <c r="DC23" s="100"/>
      <c r="DD23" s="100"/>
      <c r="DE23" s="100"/>
      <c r="DF23" s="100"/>
      <c r="DG23" s="100"/>
      <c r="DH23" s="100"/>
      <c r="DI23" s="100"/>
      <c r="DJ23" s="100"/>
      <c r="DK23" s="100"/>
      <c r="DL23" s="100"/>
      <c r="DM23" s="100"/>
      <c r="DN23" s="100"/>
      <c r="DO23" s="100"/>
      <c r="DP23" s="100"/>
      <c r="DQ23" s="100"/>
      <c r="DR23" s="100"/>
      <c r="DS23" s="100"/>
      <c r="DT23" s="100"/>
      <c r="DU23" s="100"/>
      <c r="DV23" s="100"/>
      <c r="DW23" s="100"/>
      <c r="DX23" s="100"/>
      <c r="DY23" s="100"/>
      <c r="DZ23" s="100"/>
      <c r="EA23" s="100"/>
      <c r="EB23" s="100"/>
      <c r="EC23" s="100"/>
      <c r="ED23" s="100"/>
      <c r="EE23" s="100"/>
      <c r="EF23" s="100"/>
      <c r="EG23" s="100"/>
      <c r="EH23" s="100"/>
      <c r="EI23" s="100"/>
      <c r="EJ23" s="100"/>
      <c r="EK23" s="100"/>
      <c r="EL23" s="100"/>
      <c r="EM23" s="100"/>
      <c r="EN23" s="100"/>
      <c r="EO23" s="100"/>
      <c r="EP23" s="100"/>
      <c r="EQ23" s="100"/>
      <c r="ER23" s="100"/>
      <c r="ES23" s="100"/>
      <c r="ET23" s="100"/>
      <c r="EU23" s="100"/>
      <c r="EV23" s="100"/>
      <c r="EW23" s="100"/>
      <c r="EX23" s="100"/>
      <c r="EY23" s="100"/>
      <c r="EZ23" s="100"/>
      <c r="FA23" s="100"/>
      <c r="FB23" s="100"/>
      <c r="FC23" s="100"/>
      <c r="FD23" s="100"/>
      <c r="FE23" s="100"/>
      <c r="FF23" s="100"/>
      <c r="FG23" s="100"/>
      <c r="FH23" s="100"/>
      <c r="FI23" s="100"/>
      <c r="FJ23" s="100"/>
      <c r="FK23" s="100"/>
      <c r="FL23" s="100"/>
      <c r="FM23" s="100"/>
      <c r="FN23" s="100"/>
      <c r="FO23" s="100"/>
      <c r="FP23" s="100"/>
      <c r="FQ23" s="100"/>
      <c r="FR23" s="100"/>
      <c r="FS23" s="100"/>
      <c r="FT23" s="100"/>
      <c r="FU23" s="100"/>
      <c r="FV23" s="100"/>
      <c r="FW23" s="100"/>
      <c r="FX23" s="100"/>
      <c r="FY23" s="100"/>
      <c r="FZ23" s="100"/>
      <c r="GA23" s="100"/>
      <c r="GB23" s="100"/>
      <c r="GC23" s="100"/>
      <c r="GD23" s="100"/>
      <c r="GE23" s="100"/>
      <c r="GF23" s="100"/>
      <c r="GG23" s="100"/>
      <c r="GH23" s="100"/>
      <c r="GI23" s="100"/>
      <c r="GJ23" s="100"/>
      <c r="GK23" s="100"/>
      <c r="GL23" s="100"/>
      <c r="GM23" s="100"/>
      <c r="GN23" s="100"/>
      <c r="GO23" s="100"/>
      <c r="GP23" s="100"/>
      <c r="GQ23" s="100"/>
      <c r="GR23" s="100"/>
      <c r="GS23" s="100"/>
      <c r="GT23" s="100"/>
      <c r="GU23" s="100"/>
      <c r="GV23" s="100"/>
      <c r="GW23" s="100"/>
      <c r="GX23" s="100"/>
      <c r="GY23" s="100"/>
      <c r="GZ23" s="100"/>
      <c r="HA23" s="100"/>
      <c r="HB23" s="100"/>
      <c r="HC23" s="100"/>
      <c r="HD23" s="100"/>
      <c r="HE23" s="100"/>
      <c r="HF23" s="100"/>
      <c r="HG23" s="100"/>
      <c r="HH23" s="100"/>
      <c r="HI23" s="100"/>
      <c r="HJ23" s="100"/>
      <c r="HK23" s="100"/>
      <c r="HL23" s="100"/>
      <c r="HM23" s="100"/>
      <c r="HN23" s="100"/>
      <c r="HO23" s="100"/>
      <c r="HP23" s="100"/>
      <c r="HQ23" s="100"/>
      <c r="HR23" s="100"/>
      <c r="HS23" s="100"/>
      <c r="HT23" s="100"/>
      <c r="HU23" s="100"/>
      <c r="HV23" s="100"/>
      <c r="HW23" s="100"/>
      <c r="HX23" s="100"/>
      <c r="HY23" s="100"/>
      <c r="HZ23" s="100"/>
      <c r="IA23" s="100"/>
      <c r="IB23" s="100"/>
      <c r="IC23" s="100"/>
      <c r="ID23" s="100"/>
      <c r="IE23" s="100"/>
      <c r="IF23" s="100"/>
      <c r="IG23" s="100"/>
      <c r="IH23" s="100"/>
      <c r="II23" s="100"/>
      <c r="IJ23" s="100"/>
      <c r="IK23" s="100"/>
      <c r="IL23" s="100"/>
      <c r="IM23" s="100"/>
      <c r="IN23" s="100"/>
      <c r="IO23" s="100"/>
      <c r="IP23" s="100"/>
      <c r="IQ23" s="100"/>
      <c r="IR23" s="100"/>
      <c r="IS23" s="100"/>
      <c r="IT23" s="100"/>
      <c r="IU23" s="100"/>
      <c r="IV23" s="100"/>
      <c r="IW23" s="100"/>
    </row>
    <row r="24" customFormat="false" ht="12.75" hidden="false" customHeight="false" outlineLevel="0" collapsed="false">
      <c r="A24" s="102"/>
      <c r="B24" s="1045" t="s">
        <v>639</v>
      </c>
      <c r="C24" s="100"/>
      <c r="D24" s="130"/>
      <c r="E24" s="100"/>
      <c r="F24" s="100"/>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2"/>
      <c r="AK24" s="102"/>
      <c r="AL24" s="100"/>
      <c r="AM24" s="130"/>
      <c r="AN24" s="100"/>
      <c r="AO24" s="100"/>
      <c r="AP24" s="100"/>
      <c r="AQ24" s="100"/>
      <c r="AR24" s="100"/>
      <c r="AS24" s="100"/>
      <c r="AT24" s="100"/>
      <c r="AU24" s="100"/>
      <c r="AV24" s="100"/>
      <c r="AW24" s="100"/>
      <c r="AX24" s="100"/>
      <c r="AY24" s="100"/>
      <c r="AZ24" s="100"/>
      <c r="BA24" s="100"/>
      <c r="BB24" s="100"/>
      <c r="BC24" s="100"/>
      <c r="BD24" s="100"/>
      <c r="BE24" s="100"/>
      <c r="BF24" s="100"/>
      <c r="BG24" s="100"/>
      <c r="BH24" s="100"/>
      <c r="BI24" s="100"/>
      <c r="BJ24" s="100"/>
      <c r="BK24" s="100"/>
      <c r="BL24" s="100"/>
      <c r="BM24" s="100"/>
      <c r="BN24" s="100"/>
      <c r="BO24" s="100"/>
      <c r="BP24" s="100"/>
      <c r="BQ24" s="100"/>
      <c r="BR24" s="100"/>
      <c r="BS24" s="100"/>
      <c r="BT24" s="100"/>
      <c r="BU24" s="100"/>
      <c r="BV24" s="100"/>
      <c r="BW24" s="100"/>
      <c r="BX24" s="100"/>
      <c r="BY24" s="100"/>
      <c r="BZ24" s="100"/>
      <c r="CA24" s="100"/>
      <c r="CB24" s="100"/>
      <c r="CC24" s="100"/>
      <c r="CD24" s="100"/>
      <c r="CE24" s="100"/>
      <c r="CF24" s="100"/>
      <c r="CG24" s="100"/>
      <c r="CH24" s="100"/>
      <c r="CI24" s="100"/>
      <c r="CJ24" s="100"/>
      <c r="CK24" s="100"/>
      <c r="CL24" s="100"/>
      <c r="CM24" s="100"/>
      <c r="CN24" s="100"/>
      <c r="CO24" s="100"/>
      <c r="CP24" s="100"/>
      <c r="CQ24" s="100"/>
      <c r="CR24" s="100"/>
      <c r="CS24" s="100"/>
      <c r="CT24" s="100"/>
      <c r="CU24" s="100"/>
      <c r="CV24" s="100"/>
      <c r="CW24" s="100"/>
      <c r="CX24" s="100"/>
      <c r="CY24" s="100"/>
      <c r="CZ24" s="100"/>
      <c r="DA24" s="100"/>
      <c r="DB24" s="100"/>
      <c r="DC24" s="100"/>
      <c r="DD24" s="100"/>
      <c r="DE24" s="100"/>
      <c r="DF24" s="100"/>
      <c r="DG24" s="100"/>
      <c r="DH24" s="100"/>
      <c r="DI24" s="100"/>
      <c r="DJ24" s="100"/>
      <c r="DK24" s="100"/>
      <c r="DL24" s="100"/>
      <c r="DM24" s="100"/>
      <c r="DN24" s="100"/>
      <c r="DO24" s="100"/>
      <c r="DP24" s="100"/>
      <c r="DQ24" s="100"/>
      <c r="DR24" s="100"/>
      <c r="DS24" s="100"/>
      <c r="DT24" s="100"/>
      <c r="DU24" s="100"/>
      <c r="DV24" s="100"/>
      <c r="DW24" s="100"/>
      <c r="DX24" s="100"/>
      <c r="DY24" s="100"/>
      <c r="DZ24" s="100"/>
      <c r="EA24" s="100"/>
      <c r="EB24" s="100"/>
      <c r="EC24" s="100"/>
      <c r="ED24" s="100"/>
      <c r="EE24" s="100"/>
      <c r="EF24" s="100"/>
      <c r="EG24" s="100"/>
      <c r="EH24" s="100"/>
      <c r="EI24" s="100"/>
      <c r="EJ24" s="100"/>
      <c r="EK24" s="100"/>
      <c r="EL24" s="100"/>
      <c r="EM24" s="100"/>
      <c r="EN24" s="100"/>
      <c r="EO24" s="100"/>
      <c r="EP24" s="100"/>
      <c r="EQ24" s="100"/>
      <c r="ER24" s="100"/>
      <c r="ES24" s="100"/>
      <c r="ET24" s="100"/>
      <c r="EU24" s="100"/>
      <c r="EV24" s="100"/>
      <c r="EW24" s="100"/>
      <c r="EX24" s="100"/>
      <c r="EY24" s="100"/>
      <c r="EZ24" s="100"/>
      <c r="FA24" s="100"/>
      <c r="FB24" s="100"/>
      <c r="FC24" s="100"/>
      <c r="FD24" s="100"/>
      <c r="FE24" s="100"/>
      <c r="FF24" s="100"/>
      <c r="FG24" s="100"/>
      <c r="FH24" s="100"/>
      <c r="FI24" s="100"/>
      <c r="FJ24" s="100"/>
      <c r="FK24" s="100"/>
      <c r="FL24" s="100"/>
      <c r="FM24" s="100"/>
      <c r="FN24" s="100"/>
      <c r="FO24" s="100"/>
      <c r="FP24" s="100"/>
      <c r="FQ24" s="100"/>
      <c r="FR24" s="100"/>
      <c r="FS24" s="100"/>
      <c r="FT24" s="100"/>
      <c r="FU24" s="100"/>
      <c r="FV24" s="100"/>
      <c r="FW24" s="100"/>
      <c r="FX24" s="100"/>
      <c r="FY24" s="100"/>
      <c r="FZ24" s="100"/>
      <c r="GA24" s="100"/>
      <c r="GB24" s="100"/>
      <c r="GC24" s="100"/>
      <c r="GD24" s="100"/>
      <c r="GE24" s="100"/>
      <c r="GF24" s="100"/>
      <c r="GG24" s="100"/>
      <c r="GH24" s="100"/>
      <c r="GI24" s="100"/>
      <c r="GJ24" s="100"/>
      <c r="GK24" s="100"/>
      <c r="GL24" s="100"/>
      <c r="GM24" s="100"/>
      <c r="GN24" s="100"/>
      <c r="GO24" s="100"/>
      <c r="GP24" s="100"/>
      <c r="GQ24" s="100"/>
      <c r="GR24" s="100"/>
      <c r="GS24" s="100"/>
      <c r="GT24" s="100"/>
      <c r="GU24" s="100"/>
      <c r="GV24" s="100"/>
      <c r="GW24" s="100"/>
      <c r="GX24" s="100"/>
      <c r="GY24" s="100"/>
      <c r="GZ24" s="100"/>
      <c r="HA24" s="100"/>
      <c r="HB24" s="100"/>
      <c r="HC24" s="100"/>
      <c r="HD24" s="100"/>
      <c r="HE24" s="100"/>
      <c r="HF24" s="100"/>
      <c r="HG24" s="100"/>
      <c r="HH24" s="100"/>
      <c r="HI24" s="100"/>
      <c r="HJ24" s="100"/>
      <c r="HK24" s="100"/>
      <c r="HL24" s="100"/>
      <c r="HM24" s="100"/>
      <c r="HN24" s="100"/>
      <c r="HO24" s="100"/>
      <c r="HP24" s="100"/>
      <c r="HQ24" s="100"/>
      <c r="HR24" s="100"/>
      <c r="HS24" s="100"/>
      <c r="HT24" s="100"/>
      <c r="HU24" s="100"/>
      <c r="HV24" s="100"/>
      <c r="HW24" s="100"/>
      <c r="HX24" s="100"/>
      <c r="HY24" s="100"/>
      <c r="HZ24" s="100"/>
      <c r="IA24" s="100"/>
      <c r="IB24" s="100"/>
      <c r="IC24" s="100"/>
      <c r="ID24" s="100"/>
      <c r="IE24" s="100"/>
      <c r="IF24" s="100"/>
      <c r="IG24" s="100"/>
      <c r="IH24" s="100"/>
      <c r="II24" s="100"/>
      <c r="IJ24" s="100"/>
      <c r="IK24" s="100"/>
      <c r="IL24" s="100"/>
      <c r="IM24" s="100"/>
      <c r="IN24" s="100"/>
      <c r="IO24" s="100"/>
      <c r="IP24" s="100"/>
      <c r="IQ24" s="100"/>
      <c r="IR24" s="100"/>
      <c r="IS24" s="100"/>
      <c r="IT24" s="100"/>
      <c r="IU24" s="100"/>
      <c r="IV24" s="100"/>
      <c r="IW24" s="100"/>
    </row>
    <row r="25" customFormat="false" ht="12.75" hidden="false" customHeight="false" outlineLevel="0" collapsed="false">
      <c r="A25" s="59"/>
      <c r="B25" s="59" t="s">
        <v>640</v>
      </c>
      <c r="C25" s="1044" t="n">
        <f aca="false">SUM(E25:AI25)</f>
        <v>0</v>
      </c>
      <c r="D25" s="130"/>
      <c r="E25" s="674" t="n">
        <f aca="false">IF(E15&lt;=$D$9,$E$9/$D$9,0)*E17</f>
        <v>0</v>
      </c>
      <c r="F25" s="674" t="n">
        <f aca="false">IF(F15&lt;=$D$9,$E$9/$D$9,0)+IF(F15=$D$9+1,(1-$E$17)*E25,0)</f>
        <v>0</v>
      </c>
      <c r="G25" s="674" t="n">
        <f aca="false">IF(G15&lt;=$D$9,$E$9/$D$9,0)+IF(G15=$D$9+1,(1-$E$17)*F25,0)</f>
        <v>0</v>
      </c>
      <c r="H25" s="674" t="n">
        <f aca="false">IF(H15&lt;=$D$9,$E$9/$D$9,0)+IF(H15=$D$9+1,(1-$E$17)*G25,0)</f>
        <v>0</v>
      </c>
      <c r="I25" s="674" t="n">
        <f aca="false">IF(I15&lt;=$D$9,$E$9/$D$9,0)+IF(I15=$D$9+1,(1-$E$17)*H25,0)</f>
        <v>0</v>
      </c>
      <c r="J25" s="674" t="n">
        <f aca="false">IF(J15&lt;=$D$9,$E$9/$D$9,0)+IF(J15=$D$9+1,(1-$E$17)*I25,0)</f>
        <v>0</v>
      </c>
      <c r="K25" s="674" t="n">
        <f aca="false">IF(K15&lt;=$D$9,$E$9/$D$9,0)+IF(K15=$D$9+1,(1-$E$17)*J25,0)</f>
        <v>0</v>
      </c>
      <c r="L25" s="674" t="n">
        <f aca="false">IF(L15&lt;=$D$9,$E$9/$D$9,0)+IF(L15=$D$9+1,(1-$E$17)*K25,0)</f>
        <v>0</v>
      </c>
      <c r="M25" s="674" t="n">
        <f aca="false">IF(M15&lt;=$D$9,$E$9/$D$9,0)+IF(M15=$D$9+1,(1-$E$17)*L25,0)</f>
        <v>0</v>
      </c>
      <c r="N25" s="674" t="n">
        <f aca="false">IF(N15&lt;=$D$9,$E$9/$D$9,0)+IF(N15=$D$9+1,(1-$E$17)*M25,0)</f>
        <v>0</v>
      </c>
      <c r="O25" s="674" t="n">
        <f aca="false">IF(O15&lt;=$D$9,$E$9/$D$9,0)+IF(O15=$D$9+1,(1-$E$17)*N25,0)</f>
        <v>0</v>
      </c>
      <c r="P25" s="674" t="n">
        <f aca="false">IF(P15&lt;=$D$9,$E$9/$D$9,0)+IF(P15=$D$9+1,(1-$E$17)*O25,0)</f>
        <v>0</v>
      </c>
      <c r="Q25" s="674" t="n">
        <f aca="false">IF(Q15&lt;=$D$9,$E$9/$D$9,0)+IF(Q15=$D$9+1,(1-$E$17)*P25,0)</f>
        <v>0</v>
      </c>
      <c r="R25" s="674" t="n">
        <f aca="false">IF(R15&lt;=$D$9,$E$9/$D$9,0)+IF(R15=$D$9+1,(1-$E$17)*Q25,0)</f>
        <v>0</v>
      </c>
      <c r="S25" s="674" t="n">
        <f aca="false">IF(S15&lt;=$D$9,$E$9/$D$9,0)+IF(S15=$D$9+1,(1-$E$17)*R25,0)</f>
        <v>0</v>
      </c>
      <c r="T25" s="674" t="n">
        <f aca="false">IF(T15&lt;=$D$9,$E$9/$D$9,0)+IF(T15=$D$9+1,(1-$E$17)*S25,0)</f>
        <v>0</v>
      </c>
      <c r="U25" s="674" t="n">
        <f aca="false">IF(U15&lt;=$D$9,$E$9/$D$9,0)+IF(U15=$D$9+1,(1-$E$17)*T25,0)</f>
        <v>0</v>
      </c>
      <c r="V25" s="674" t="n">
        <f aca="false">IF(V15&lt;=$D$9,$E$9/$D$9,0)+IF(V15=$D$9+1,(1-$E$17)*U25,0)</f>
        <v>0</v>
      </c>
      <c r="W25" s="674" t="n">
        <f aca="false">IF(W15&lt;=$D$9,$E$9/$D$9,0)+IF(W15=$D$9+1,(1-$E$17)*V25,0)</f>
        <v>0</v>
      </c>
      <c r="X25" s="674" t="n">
        <f aca="false">IF(X15&lt;=$D$9,$E$9/$D$9,0)+IF(X15=$D$9+1,(1-$E$17)*W25,0)</f>
        <v>0</v>
      </c>
      <c r="Y25" s="674" t="n">
        <f aca="false">IF(Y15&lt;=$D$9,$E$9/$D$9,0)+IF(Y15=$D$9+1,(1-$E$17)*X25,0)</f>
        <v>0</v>
      </c>
      <c r="Z25" s="674" t="n">
        <f aca="false">IF(Z15&lt;=$D$9,$E$9/$D$9,0)+IF(Z15=$D$9+1,(1-$E$17)*Y25,0)</f>
        <v>0</v>
      </c>
      <c r="AA25" s="674" t="n">
        <f aca="false">IF(AA15&lt;=$D$9,$E$9/$D$9,0)+IF(AA15=$D$9+1,(1-$E$17)*Z25,0)</f>
        <v>0</v>
      </c>
      <c r="AB25" s="674" t="n">
        <f aca="false">IF(AB15&lt;=$D$9,$E$9/$D$9,0)+IF(AB15=$D$9+1,(1-$E$17)*AA25,0)</f>
        <v>0</v>
      </c>
      <c r="AC25" s="674" t="n">
        <f aca="false">IF(AC15&lt;=$D$9,$E$9/$D$9,0)+IF(AC15=$D$9+1,(1-$E$17)*AB25,0)</f>
        <v>0</v>
      </c>
      <c r="AD25" s="674" t="n">
        <f aca="false">IF(AD15&lt;=$D$9,$E$9/$D$9,0)+IF(AD15=$D$9+1,(1-$E$17)*AC25,0)</f>
        <v>0</v>
      </c>
      <c r="AE25" s="674" t="n">
        <f aca="false">IF(AE15&lt;=$D$9,$E$9/$D$9,0)+IF(AE15=$D$9+1,(1-$E$17)*AD25,0)</f>
        <v>0</v>
      </c>
      <c r="AF25" s="674" t="n">
        <f aca="false">IF(AF15&lt;=$D$9,$E$9/$D$9,0)+IF(AF15=$D$9+1,(1-$E$17)*AE25,0)</f>
        <v>0</v>
      </c>
      <c r="AG25" s="674" t="n">
        <f aca="false">IF(AG15&lt;=$D$9,$E$9/$D$9,0)+IF(AG15=$D$9+1,(1-$E$17)*AF25,0)</f>
        <v>0</v>
      </c>
      <c r="AH25" s="674" t="n">
        <f aca="false">IF(AH15&lt;=$D$9,$E$9/$D$9,0)+IF(AH15=$D$9+1,(1-$E$17)*AG25,0)</f>
        <v>0</v>
      </c>
      <c r="AI25" s="674" t="n">
        <f aca="false">IF(AI15&lt;=$D$9,$E$9/$D$9,0)+IF(AI15=$D$9+1,(1-$E$17)*AH25,0)</f>
        <v>0</v>
      </c>
      <c r="AJ25" s="1046"/>
      <c r="AK25" s="1046"/>
      <c r="AL25" s="59"/>
      <c r="AM25" s="130"/>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674"/>
      <c r="BK25" s="674"/>
      <c r="BL25" s="674"/>
      <c r="BM25" s="674"/>
      <c r="BN25" s="674"/>
      <c r="BO25" s="674"/>
      <c r="BP25" s="674"/>
      <c r="BQ25" s="674"/>
      <c r="BR25" s="59"/>
      <c r="BS25" s="59"/>
      <c r="BT25" s="59"/>
      <c r="BU25" s="59"/>
      <c r="BV25" s="59"/>
      <c r="BW25" s="59"/>
      <c r="BX25" s="59"/>
      <c r="BY25" s="59"/>
      <c r="BZ25" s="59"/>
      <c r="CA25" s="59"/>
      <c r="CB25" s="59"/>
      <c r="CC25" s="59"/>
      <c r="CD25" s="59"/>
      <c r="CE25" s="59"/>
      <c r="CF25" s="59"/>
      <c r="CG25" s="59"/>
      <c r="CH25" s="59"/>
      <c r="CI25" s="59"/>
      <c r="CJ25" s="59"/>
      <c r="CK25" s="59"/>
      <c r="CL25" s="59"/>
      <c r="CM25" s="59"/>
      <c r="CN25" s="59"/>
      <c r="CO25" s="59"/>
      <c r="CP25" s="59"/>
      <c r="CQ25" s="59"/>
      <c r="CR25" s="59"/>
      <c r="CS25" s="59"/>
      <c r="CT25" s="59"/>
      <c r="CU25" s="59"/>
      <c r="CV25" s="59"/>
      <c r="CW25" s="59"/>
      <c r="CX25" s="59"/>
      <c r="CY25" s="59"/>
      <c r="CZ25" s="59"/>
      <c r="DA25" s="59"/>
      <c r="DB25" s="59"/>
      <c r="DC25" s="100"/>
      <c r="DD25" s="100"/>
      <c r="DE25" s="100"/>
      <c r="DF25" s="100"/>
      <c r="DG25" s="100"/>
      <c r="DH25" s="100"/>
      <c r="DI25" s="100"/>
      <c r="DJ25" s="100"/>
      <c r="DK25" s="100"/>
      <c r="DL25" s="100"/>
      <c r="DM25" s="100"/>
      <c r="DN25" s="100"/>
      <c r="DO25" s="100"/>
      <c r="DP25" s="100"/>
      <c r="DQ25" s="100"/>
      <c r="DR25" s="100"/>
      <c r="DS25" s="100"/>
      <c r="DT25" s="100"/>
      <c r="DU25" s="100"/>
      <c r="DV25" s="100"/>
      <c r="DW25" s="100"/>
      <c r="DX25" s="100"/>
      <c r="DY25" s="100"/>
      <c r="DZ25" s="100"/>
      <c r="EA25" s="100"/>
      <c r="EB25" s="100"/>
      <c r="EC25" s="100"/>
      <c r="ED25" s="100"/>
      <c r="EE25" s="100"/>
      <c r="EF25" s="100"/>
      <c r="EG25" s="100"/>
      <c r="EH25" s="100"/>
      <c r="EI25" s="100"/>
      <c r="EJ25" s="100"/>
      <c r="EK25" s="100"/>
      <c r="EL25" s="100"/>
      <c r="EM25" s="100"/>
      <c r="EN25" s="100"/>
      <c r="EO25" s="100"/>
      <c r="EP25" s="100"/>
      <c r="EQ25" s="100"/>
      <c r="ER25" s="100"/>
      <c r="ES25" s="100"/>
      <c r="ET25" s="100"/>
      <c r="EU25" s="100"/>
      <c r="EV25" s="100"/>
      <c r="EW25" s="100"/>
      <c r="EX25" s="100"/>
      <c r="EY25" s="100"/>
      <c r="EZ25" s="100"/>
      <c r="FA25" s="100"/>
      <c r="FB25" s="100"/>
      <c r="FC25" s="100"/>
      <c r="FD25" s="100"/>
      <c r="FE25" s="100"/>
      <c r="FF25" s="100"/>
      <c r="FG25" s="100"/>
      <c r="FH25" s="100"/>
      <c r="FI25" s="100"/>
      <c r="FJ25" s="100"/>
      <c r="FK25" s="100"/>
      <c r="FL25" s="100"/>
      <c r="FM25" s="100"/>
      <c r="FN25" s="100"/>
      <c r="FO25" s="100"/>
      <c r="FP25" s="100"/>
      <c r="FQ25" s="100"/>
      <c r="FR25" s="100"/>
      <c r="FS25" s="100"/>
      <c r="FT25" s="100"/>
      <c r="FU25" s="100"/>
      <c r="FV25" s="100"/>
      <c r="FW25" s="100"/>
      <c r="FX25" s="100"/>
      <c r="FY25" s="100"/>
      <c r="FZ25" s="100"/>
      <c r="GA25" s="100"/>
      <c r="GB25" s="100"/>
      <c r="GC25" s="100"/>
      <c r="GD25" s="100"/>
      <c r="GE25" s="100"/>
      <c r="GF25" s="100"/>
      <c r="GG25" s="100"/>
      <c r="GH25" s="100"/>
      <c r="GI25" s="100"/>
      <c r="GJ25" s="100"/>
      <c r="GK25" s="100"/>
      <c r="GL25" s="100"/>
      <c r="GM25" s="100"/>
      <c r="GN25" s="100"/>
      <c r="GO25" s="100"/>
      <c r="GP25" s="100"/>
      <c r="GQ25" s="100"/>
      <c r="GR25" s="100"/>
      <c r="GS25" s="100"/>
      <c r="GT25" s="100"/>
      <c r="GU25" s="100"/>
      <c r="GV25" s="100"/>
      <c r="GW25" s="100"/>
      <c r="GX25" s="100"/>
      <c r="GY25" s="100"/>
      <c r="GZ25" s="100"/>
      <c r="HA25" s="100"/>
      <c r="HB25" s="100"/>
      <c r="HC25" s="100"/>
      <c r="HD25" s="100"/>
      <c r="HE25" s="100"/>
      <c r="HF25" s="100"/>
      <c r="HG25" s="100"/>
      <c r="HH25" s="100"/>
      <c r="HI25" s="100"/>
      <c r="HJ25" s="100"/>
      <c r="HK25" s="100"/>
      <c r="HL25" s="100"/>
      <c r="HM25" s="100"/>
      <c r="HN25" s="100"/>
      <c r="HO25" s="100"/>
      <c r="HP25" s="100"/>
      <c r="HQ25" s="100"/>
      <c r="HR25" s="100"/>
      <c r="HS25" s="100"/>
      <c r="HT25" s="100"/>
      <c r="HU25" s="100"/>
      <c r="HV25" s="100"/>
      <c r="HW25" s="100"/>
      <c r="HX25" s="100"/>
      <c r="HY25" s="100"/>
      <c r="HZ25" s="100"/>
      <c r="IA25" s="100"/>
      <c r="IB25" s="100"/>
      <c r="IC25" s="100"/>
      <c r="ID25" s="100"/>
      <c r="IE25" s="100"/>
      <c r="IF25" s="100"/>
      <c r="IG25" s="100"/>
      <c r="IH25" s="100"/>
      <c r="II25" s="100"/>
      <c r="IJ25" s="100"/>
      <c r="IK25" s="100"/>
      <c r="IL25" s="100"/>
      <c r="IM25" s="100"/>
      <c r="IN25" s="100"/>
      <c r="IO25" s="100"/>
      <c r="IP25" s="100"/>
      <c r="IQ25" s="100"/>
      <c r="IR25" s="100"/>
      <c r="IS25" s="100"/>
      <c r="IT25" s="100"/>
      <c r="IU25" s="100"/>
      <c r="IV25" s="100"/>
      <c r="IW25" s="100"/>
    </row>
    <row r="26" customFormat="false" ht="12.75" hidden="false" customHeight="false" outlineLevel="0" collapsed="false">
      <c r="A26" s="59"/>
      <c r="B26" s="59" t="s">
        <v>641</v>
      </c>
      <c r="C26" s="1044" t="n">
        <f aca="false">SUM(E26:AI26)</f>
        <v>1166.37719784946</v>
      </c>
      <c r="D26" s="130"/>
      <c r="E26" s="674" t="n">
        <f aca="false">IF(E15&lt;=$D$10,$E$10/$D$10,0)*E17</f>
        <v>68.6104234029093</v>
      </c>
      <c r="F26" s="674" t="n">
        <f aca="false">IF(F15&lt;=$D$10,$E$10/$D$10,0)+IF(F15=$D$10+1,(1-$E$17)*E26,0)</f>
        <v>68.6104234029093</v>
      </c>
      <c r="G26" s="674" t="n">
        <f aca="false">IF(G15&lt;=$D$10,$E$10/$D$10,0)+IF(G15=$D$10+1,(1-$E$17)*F26,0)</f>
        <v>68.6104234029093</v>
      </c>
      <c r="H26" s="674" t="n">
        <f aca="false">IF(H15&lt;=$D$10,$E$10/$D$10,0)+IF(H15=$D$10+1,(1-$E$17)*G26,0)</f>
        <v>68.6104234029093</v>
      </c>
      <c r="I26" s="674" t="n">
        <f aca="false">IF(I15&lt;=$D$10,$E$10/$D$10,0)+IF(I15=$D$10+1,(1-$E$17)*H26,0)</f>
        <v>68.6104234029093</v>
      </c>
      <c r="J26" s="674" t="n">
        <f aca="false">IF(J15&lt;=$D$10,$E$10/$D$10,0)+IF(J15=$D$10+1,(1-$E$17)*I26,0)</f>
        <v>68.6104234029093</v>
      </c>
      <c r="K26" s="674" t="n">
        <f aca="false">IF(K15&lt;=$D$10,$E$10/$D$10,0)+IF(K15=$D$10+1,(1-$E$17)*J26,0)</f>
        <v>68.6104234029093</v>
      </c>
      <c r="L26" s="674" t="n">
        <f aca="false">IF(L15&lt;=$D$10,$E$10/$D$10,0)+IF(L15=$D$10+1,(1-$E$17)*K26,0)</f>
        <v>68.6104234029093</v>
      </c>
      <c r="M26" s="674" t="n">
        <f aca="false">IF(M15&lt;=$D$10,$E$10/$D$10,0)+IF(M15=$D$10+1,(1-$E$17)*L26,0)</f>
        <v>68.6104234029093</v>
      </c>
      <c r="N26" s="674" t="n">
        <f aca="false">IF(N15&lt;=$D$10,$E$10/$D$10,0)+IF(N15=$D$10+1,(1-$E$17)*M26,0)</f>
        <v>68.6104234029093</v>
      </c>
      <c r="O26" s="674" t="n">
        <f aca="false">IF(O15&lt;=$D$10,$E$10/$D$10,0)+IF(O15=$D$10+1,(1-$E$17)*N26,0)</f>
        <v>68.6104234029093</v>
      </c>
      <c r="P26" s="674" t="n">
        <f aca="false">IF(P15&lt;=$D$10,$E$10/$D$10,0)+IF(P15=$D$10+1,(1-$E$17)*O26,0)</f>
        <v>68.6104234029093</v>
      </c>
      <c r="Q26" s="674" t="n">
        <f aca="false">IF(Q15&lt;=$D$10,$E$10/$D$10,0)+IF(Q15=$D$10+1,(1-$E$17)*P26,0)</f>
        <v>68.6104234029093</v>
      </c>
      <c r="R26" s="674" t="n">
        <f aca="false">IF(R15&lt;=$D$10,$E$10/$D$10,0)+IF(R15=$D$10+1,(1-$E$17)*Q26,0)</f>
        <v>68.6104234029093</v>
      </c>
      <c r="S26" s="674" t="n">
        <f aca="false">IF(S15&lt;=$D$10,$E$10/$D$10,0)+IF(S15=$D$10+1,(1-$E$17)*R26,0)</f>
        <v>68.6104234029093</v>
      </c>
      <c r="T26" s="674" t="n">
        <f aca="false">IF(T15&lt;=$D$10,$E$10/$D$10,0)+IF(T15=$D$10+1,(1-$E$17)*S26,0)</f>
        <v>68.6104234029093</v>
      </c>
      <c r="U26" s="674" t="n">
        <f aca="false">IF(U15&lt;=$D$10,$E$10/$D$10,0)+IF(U15=$D$10+1,(1-$E$17)*T26,0)</f>
        <v>68.6104234029093</v>
      </c>
      <c r="V26" s="674" t="n">
        <f aca="false">IF(V15&lt;=$D$10,$E$10/$D$10,0)+IF(V15=$D$10+1,(1-$E$17)*U26,0)</f>
        <v>0</v>
      </c>
      <c r="W26" s="674" t="n">
        <f aca="false">IF(W15&lt;=$D$10,$E$10/$D$10,0)+IF(W15=$D$10+1,(1-$E$17)*V26,0)</f>
        <v>0</v>
      </c>
      <c r="X26" s="674" t="n">
        <f aca="false">IF(X15&lt;=$D$10,$E$10/$D$10,0)+IF(X15=$D$10+1,(1-$E$17)*W26,0)</f>
        <v>0</v>
      </c>
      <c r="Y26" s="674" t="n">
        <f aca="false">IF(Y15&lt;=$D$10,$E$10/$D$10,0)+IF(Y15=$D$10+1,(1-$E$17)*X26,0)</f>
        <v>0</v>
      </c>
      <c r="Z26" s="674" t="n">
        <f aca="false">IF(Z15&lt;=$D$10,$E$10/$D$10,0)+IF(Z15=$D$10+1,(1-$E$17)*Y26,0)</f>
        <v>0</v>
      </c>
      <c r="AA26" s="674" t="n">
        <f aca="false">IF(AA15&lt;=$D$10,$E$10/$D$10,0)+IF(AA15=$D$10+1,(1-$E$17)*Z26,0)</f>
        <v>0</v>
      </c>
      <c r="AB26" s="674" t="n">
        <f aca="false">IF(AB15&lt;=$D$10,$E$10/$D$10,0)+IF(AB15=$D$10+1,(1-$E$17)*AA26,0)</f>
        <v>0</v>
      </c>
      <c r="AC26" s="674" t="n">
        <f aca="false">IF(AC15&lt;=$D$10,$E$10/$D$10,0)+IF(AC15=$D$10+1,(1-$E$17)*AB26,0)</f>
        <v>0</v>
      </c>
      <c r="AD26" s="674" t="n">
        <f aca="false">IF(AD15&lt;=$D$10,$E$10/$D$10,0)+IF(AD15=$D$10+1,(1-$E$17)*AC26,0)</f>
        <v>0</v>
      </c>
      <c r="AE26" s="674" t="n">
        <f aca="false">IF(AE15&lt;=$D$10,$E$10/$D$10,0)+IF(AE15=$D$10+1,(1-$E$17)*AD26,0)</f>
        <v>0</v>
      </c>
      <c r="AF26" s="674" t="n">
        <f aca="false">IF(AF15&lt;=$D$10,$E$10/$D$10,0)+IF(AF15=$D$10+1,(1-$E$17)*AE26,0)</f>
        <v>0</v>
      </c>
      <c r="AG26" s="674" t="n">
        <f aca="false">IF(AG15&lt;=$D$10,$E$10/$D$10,0)+IF(AG15=$D$10+1,(1-$E$17)*AF26,0)</f>
        <v>0</v>
      </c>
      <c r="AH26" s="674" t="n">
        <f aca="false">IF(AH15&lt;=$D$10,$E$10/$D$10,0)+IF(AH15=$D$10+1,(1-$E$17)*AG26,0)</f>
        <v>0</v>
      </c>
      <c r="AI26" s="674" t="n">
        <f aca="false">IF(AI15&lt;=$D$10,$E$10/$D$10,0)+IF(AI15=$D$10+1,(1-$E$17)*AH26,0)</f>
        <v>0</v>
      </c>
      <c r="AJ26" s="1046"/>
      <c r="AK26" s="1046"/>
      <c r="AL26" s="59"/>
      <c r="AM26" s="130"/>
      <c r="AN26" s="674"/>
      <c r="AO26" s="674"/>
      <c r="AP26" s="674"/>
      <c r="AQ26" s="674"/>
      <c r="AR26" s="674"/>
      <c r="AS26" s="674"/>
      <c r="AT26" s="674"/>
      <c r="AU26" s="674"/>
      <c r="AV26" s="674"/>
      <c r="AW26" s="674"/>
      <c r="AX26" s="674"/>
      <c r="AY26" s="674"/>
      <c r="AZ26" s="674"/>
      <c r="BA26" s="674"/>
      <c r="BB26" s="674"/>
      <c r="BC26" s="674"/>
      <c r="BD26" s="674"/>
      <c r="BE26" s="674"/>
      <c r="BF26" s="674"/>
      <c r="BG26" s="674"/>
      <c r="BH26" s="674"/>
      <c r="BI26" s="674"/>
      <c r="BJ26" s="674"/>
      <c r="BK26" s="674"/>
      <c r="BL26" s="674"/>
      <c r="BM26" s="674"/>
      <c r="BN26" s="674"/>
      <c r="BO26" s="674"/>
      <c r="BP26" s="674"/>
      <c r="BQ26" s="674"/>
      <c r="BR26" s="59"/>
      <c r="BS26" s="59"/>
      <c r="BT26" s="59"/>
      <c r="BU26" s="59"/>
      <c r="BV26" s="59"/>
      <c r="BW26" s="59"/>
      <c r="BX26" s="59"/>
      <c r="BY26" s="59"/>
      <c r="BZ26" s="59"/>
      <c r="CA26" s="59"/>
      <c r="CB26" s="59"/>
      <c r="CC26" s="59"/>
      <c r="CD26" s="59"/>
      <c r="CE26" s="59"/>
      <c r="CF26" s="59"/>
      <c r="CG26" s="59"/>
      <c r="CH26" s="59"/>
      <c r="CI26" s="59"/>
      <c r="CJ26" s="59"/>
      <c r="CK26" s="59"/>
      <c r="CL26" s="59"/>
      <c r="CM26" s="59"/>
      <c r="CN26" s="59"/>
      <c r="CO26" s="59"/>
      <c r="CP26" s="59"/>
      <c r="CQ26" s="59"/>
      <c r="CR26" s="59"/>
      <c r="CS26" s="59"/>
      <c r="CT26" s="59"/>
      <c r="CU26" s="59"/>
      <c r="CV26" s="59"/>
      <c r="CW26" s="59"/>
      <c r="CX26" s="59"/>
      <c r="CY26" s="59"/>
      <c r="CZ26" s="59"/>
      <c r="DA26" s="59"/>
      <c r="DB26" s="59"/>
      <c r="DC26" s="100"/>
      <c r="DD26" s="100"/>
      <c r="DE26" s="100"/>
      <c r="DF26" s="100"/>
      <c r="DG26" s="100"/>
      <c r="DH26" s="100"/>
      <c r="DI26" s="100"/>
      <c r="DJ26" s="100"/>
      <c r="DK26" s="100"/>
      <c r="DL26" s="100"/>
      <c r="DM26" s="100"/>
      <c r="DN26" s="100"/>
      <c r="DO26" s="100"/>
      <c r="DP26" s="100"/>
      <c r="DQ26" s="100"/>
      <c r="DR26" s="100"/>
      <c r="DS26" s="100"/>
      <c r="DT26" s="100"/>
      <c r="DU26" s="100"/>
      <c r="DV26" s="100"/>
      <c r="DW26" s="100"/>
      <c r="DX26" s="100"/>
      <c r="DY26" s="100"/>
      <c r="DZ26" s="100"/>
      <c r="EA26" s="100"/>
      <c r="EB26" s="100"/>
      <c r="EC26" s="100"/>
      <c r="ED26" s="100"/>
      <c r="EE26" s="100"/>
      <c r="EF26" s="100"/>
      <c r="EG26" s="100"/>
      <c r="EH26" s="100"/>
      <c r="EI26" s="100"/>
      <c r="EJ26" s="100"/>
      <c r="EK26" s="100"/>
      <c r="EL26" s="100"/>
      <c r="EM26" s="100"/>
      <c r="EN26" s="100"/>
      <c r="EO26" s="100"/>
      <c r="EP26" s="100"/>
      <c r="EQ26" s="100"/>
      <c r="ER26" s="100"/>
      <c r="ES26" s="100"/>
      <c r="ET26" s="100"/>
      <c r="EU26" s="100"/>
      <c r="EV26" s="100"/>
      <c r="EW26" s="100"/>
      <c r="EX26" s="100"/>
      <c r="EY26" s="100"/>
      <c r="EZ26" s="100"/>
      <c r="FA26" s="100"/>
      <c r="FB26" s="100"/>
      <c r="FC26" s="100"/>
      <c r="FD26" s="100"/>
      <c r="FE26" s="100"/>
      <c r="FF26" s="100"/>
      <c r="FG26" s="100"/>
      <c r="FH26" s="100"/>
      <c r="FI26" s="100"/>
      <c r="FJ26" s="100"/>
      <c r="FK26" s="100"/>
      <c r="FL26" s="100"/>
      <c r="FM26" s="100"/>
      <c r="FN26" s="100"/>
      <c r="FO26" s="100"/>
      <c r="FP26" s="100"/>
      <c r="FQ26" s="100"/>
      <c r="FR26" s="100"/>
      <c r="FS26" s="100"/>
      <c r="FT26" s="100"/>
      <c r="FU26" s="100"/>
      <c r="FV26" s="100"/>
      <c r="FW26" s="100"/>
      <c r="FX26" s="100"/>
      <c r="FY26" s="100"/>
      <c r="FZ26" s="100"/>
      <c r="GA26" s="100"/>
      <c r="GB26" s="100"/>
      <c r="GC26" s="100"/>
      <c r="GD26" s="100"/>
      <c r="GE26" s="100"/>
      <c r="GF26" s="100"/>
      <c r="GG26" s="100"/>
      <c r="GH26" s="100"/>
      <c r="GI26" s="100"/>
      <c r="GJ26" s="100"/>
      <c r="GK26" s="100"/>
      <c r="GL26" s="100"/>
      <c r="GM26" s="100"/>
      <c r="GN26" s="100"/>
      <c r="GO26" s="100"/>
      <c r="GP26" s="100"/>
      <c r="GQ26" s="100"/>
      <c r="GR26" s="100"/>
      <c r="GS26" s="100"/>
      <c r="GT26" s="100"/>
      <c r="GU26" s="100"/>
      <c r="GV26" s="100"/>
      <c r="GW26" s="100"/>
      <c r="GX26" s="100"/>
      <c r="GY26" s="100"/>
      <c r="GZ26" s="100"/>
      <c r="HA26" s="100"/>
      <c r="HB26" s="100"/>
      <c r="HC26" s="100"/>
      <c r="HD26" s="100"/>
      <c r="HE26" s="100"/>
      <c r="HF26" s="100"/>
      <c r="HG26" s="100"/>
      <c r="HH26" s="100"/>
      <c r="HI26" s="100"/>
      <c r="HJ26" s="100"/>
      <c r="HK26" s="100"/>
      <c r="HL26" s="100"/>
      <c r="HM26" s="100"/>
      <c r="HN26" s="100"/>
      <c r="HO26" s="100"/>
      <c r="HP26" s="100"/>
      <c r="HQ26" s="100"/>
      <c r="HR26" s="100"/>
      <c r="HS26" s="100"/>
      <c r="HT26" s="100"/>
      <c r="HU26" s="100"/>
      <c r="HV26" s="100"/>
      <c r="HW26" s="100"/>
      <c r="HX26" s="100"/>
      <c r="HY26" s="100"/>
      <c r="HZ26" s="100"/>
      <c r="IA26" s="100"/>
      <c r="IB26" s="100"/>
      <c r="IC26" s="100"/>
      <c r="ID26" s="100"/>
      <c r="IE26" s="100"/>
      <c r="IF26" s="100"/>
      <c r="IG26" s="100"/>
      <c r="IH26" s="100"/>
      <c r="II26" s="100"/>
      <c r="IJ26" s="100"/>
      <c r="IK26" s="100"/>
      <c r="IL26" s="100"/>
      <c r="IM26" s="100"/>
      <c r="IN26" s="100"/>
      <c r="IO26" s="100"/>
      <c r="IP26" s="100"/>
      <c r="IQ26" s="100"/>
      <c r="IR26" s="100"/>
      <c r="IS26" s="100"/>
      <c r="IT26" s="100"/>
      <c r="IU26" s="100"/>
      <c r="IV26" s="100"/>
      <c r="IW26" s="100"/>
    </row>
    <row r="27" customFormat="false" ht="12.75" hidden="false" customHeight="false" outlineLevel="0" collapsed="false">
      <c r="A27" s="100"/>
      <c r="B27" s="722" t="s">
        <v>642</v>
      </c>
      <c r="C27" s="1044" t="n">
        <f aca="false">SUM(E27:AI27)</f>
        <v>777.584798566305</v>
      </c>
      <c r="D27" s="130"/>
      <c r="E27" s="674" t="n">
        <f aca="false">IF(E15&lt;=$D$11,$E$11/$D$11,0)*E17</f>
        <v>38.8792399283153</v>
      </c>
      <c r="F27" s="674" t="n">
        <f aca="false">IF(F15&lt;=$D$11,$E$11/$D$11,0)+IF(F15=$D$11+1,(1-$E$17)*E27,0)</f>
        <v>38.8792399283153</v>
      </c>
      <c r="G27" s="674" t="n">
        <f aca="false">IF(G15&lt;=$D$11,$E$11/$D$11,0)+IF(G15=$D$11+1,(1-$E$17)*F27,0)</f>
        <v>38.8792399283153</v>
      </c>
      <c r="H27" s="674" t="n">
        <f aca="false">IF(H15&lt;=$D$11,$E$11/$D$11,0)+IF(H15=$D$11+1,(1-$E$17)*G27,0)</f>
        <v>38.8792399283153</v>
      </c>
      <c r="I27" s="674" t="n">
        <f aca="false">IF(I15&lt;=$D$11,$E$11/$D$11,0)+IF(I15=$D$11+1,(1-$E$17)*H27,0)</f>
        <v>38.8792399283153</v>
      </c>
      <c r="J27" s="674" t="n">
        <f aca="false">IF(J15&lt;=$D$11,$E$11/$D$11,0)+IF(J15=$D$11+1,(1-$E$17)*I27,0)</f>
        <v>38.8792399283153</v>
      </c>
      <c r="K27" s="674" t="n">
        <f aca="false">IF(K15&lt;=$D$11,$E$11/$D$11,0)+IF(K15=$D$11+1,(1-$E$17)*J27,0)</f>
        <v>38.8792399283153</v>
      </c>
      <c r="L27" s="674" t="n">
        <f aca="false">IF(L15&lt;=$D$11,$E$11/$D$11,0)+IF(L15=$D$11+1,(1-$E$17)*K27,0)</f>
        <v>38.8792399283153</v>
      </c>
      <c r="M27" s="674" t="n">
        <f aca="false">IF(M15&lt;=$D$11,$E$11/$D$11,0)+IF(M15=$D$11+1,(1-$E$17)*L27,0)</f>
        <v>38.8792399283153</v>
      </c>
      <c r="N27" s="674" t="n">
        <f aca="false">IF(N15&lt;=$D$11,$E$11/$D$11,0)+IF(N15=$D$11+1,(1-$E$17)*M27,0)</f>
        <v>38.8792399283153</v>
      </c>
      <c r="O27" s="674" t="n">
        <f aca="false">IF(O15&lt;=$D$11,$E$11/$D$11,0)+IF(O15=$D$11+1,(1-$E$17)*N27,0)</f>
        <v>38.8792399283153</v>
      </c>
      <c r="P27" s="674" t="n">
        <f aca="false">IF(P15&lt;=$D$11,$E$11/$D$11,0)+IF(P15=$D$11+1,(1-$E$17)*O27,0)</f>
        <v>38.8792399283153</v>
      </c>
      <c r="Q27" s="674" t="n">
        <f aca="false">IF(Q15&lt;=$D$11,$E$11/$D$11,0)+IF(Q15=$D$11+1,(1-$E$17)*P27,0)</f>
        <v>38.8792399283153</v>
      </c>
      <c r="R27" s="674" t="n">
        <f aca="false">IF(R15&lt;=$D$11,$E$11/$D$11,0)+IF(R15=$D$11+1,(1-$E$17)*Q27,0)</f>
        <v>38.8792399283153</v>
      </c>
      <c r="S27" s="674" t="n">
        <f aca="false">IF(S15&lt;=$D$11,$E$11/$D$11,0)+IF(S15=$D$11+1,(1-$E$17)*R27,0)</f>
        <v>38.8792399283153</v>
      </c>
      <c r="T27" s="674" t="n">
        <f aca="false">IF(T15&lt;=$D$11,$E$11/$D$11,0)+IF(T15=$D$11+1,(1-$E$17)*S27,0)</f>
        <v>38.8792399283153</v>
      </c>
      <c r="U27" s="674" t="n">
        <f aca="false">IF(U15&lt;=$D$11,$E$11/$D$11,0)+IF(U15=$D$11+1,(1-$E$17)*T27,0)</f>
        <v>38.8792399283153</v>
      </c>
      <c r="V27" s="674" t="n">
        <f aca="false">IF(V15&lt;=$D$11,$E$11/$D$11,0)+IF(V15=$D$11+1,(1-$E$17)*U27,0)</f>
        <v>38.8792399283153</v>
      </c>
      <c r="W27" s="674" t="n">
        <f aca="false">IF(W15&lt;=$D$11,$E$11/$D$11,0)+IF(W15=$D$11+1,(1-$E$17)*V27,0)</f>
        <v>38.8792399283153</v>
      </c>
      <c r="X27" s="674" t="n">
        <f aca="false">IF(X15&lt;=$D$11,$E$11/$D$11,0)+IF(X15=$D$11+1,(1-$E$17)*W27,0)</f>
        <v>38.8792399283153</v>
      </c>
      <c r="Y27" s="674" t="n">
        <f aca="false">IF(Y15&lt;=$D$11,$E$11/$D$11,0)+IF(Y15=$D$11+1,(1-$E$17)*X27,0)</f>
        <v>0</v>
      </c>
      <c r="Z27" s="674" t="n">
        <f aca="false">IF(Z15&lt;=$D$11,$E$11/$D$11,0)+IF(Z15=$D$11+1,(1-$E$17)*Y27,0)</f>
        <v>0</v>
      </c>
      <c r="AA27" s="674" t="n">
        <f aca="false">IF(AA15&lt;=$D$11,$E$11/$D$11,0)+IF(AA15=$D$11+1,(1-$E$17)*Z27,0)</f>
        <v>0</v>
      </c>
      <c r="AB27" s="674" t="n">
        <f aca="false">IF(AB15&lt;=$D$11,$E$11/$D$11,0)+IF(AB15=$D$11+1,(1-$E$17)*AA27,0)</f>
        <v>0</v>
      </c>
      <c r="AC27" s="674" t="n">
        <f aca="false">IF(AC15&lt;=$D$11,$E$11/$D$11,0)+IF(AC15=$D$11+1,(1-$E$17)*AB27,0)</f>
        <v>0</v>
      </c>
      <c r="AD27" s="674" t="n">
        <f aca="false">IF(AD15&lt;=$D$11,$E$11/$D$11,0)+IF(AD15=$D$11+1,(1-$E$17)*AC27,0)</f>
        <v>0</v>
      </c>
      <c r="AE27" s="674" t="n">
        <f aca="false">IF(AE15&lt;=$D$11,$E$11/$D$11,0)+IF(AE15=$D$11+1,(1-$E$17)*AD27,0)</f>
        <v>0</v>
      </c>
      <c r="AF27" s="674" t="n">
        <f aca="false">IF(AF15&lt;=$D$11,$E$11/$D$11,0)+IF(AF15=$D$11+1,(1-$E$17)*AE27,0)</f>
        <v>0</v>
      </c>
      <c r="AG27" s="674" t="n">
        <f aca="false">IF(AG15&lt;=$D$11,$E$11/$D$11,0)+IF(AG15=$D$11+1,(1-$E$17)*AF27,0)</f>
        <v>0</v>
      </c>
      <c r="AH27" s="674" t="n">
        <f aca="false">IF(AH15&lt;=$D$11,$E$11/$D$11,0)+IF(AH15=$D$11+1,(1-$E$17)*AG27,0)</f>
        <v>0</v>
      </c>
      <c r="AI27" s="674" t="n">
        <f aca="false">IF(AI15&lt;=$D$11,$E$11/$D$11,0)+IF(AI15=$D$11+1,(1-$E$17)*AH27,0)</f>
        <v>0</v>
      </c>
      <c r="AJ27" s="102"/>
      <c r="AK27" s="102"/>
      <c r="AL27" s="100"/>
      <c r="AM27" s="130"/>
      <c r="AN27" s="100"/>
      <c r="AO27" s="674"/>
      <c r="AP27" s="674"/>
      <c r="AQ27" s="674"/>
      <c r="AR27" s="674"/>
      <c r="AS27" s="674"/>
      <c r="AT27" s="674"/>
      <c r="AU27" s="674"/>
      <c r="AV27" s="674"/>
      <c r="AW27" s="674"/>
      <c r="AX27" s="674"/>
      <c r="AY27" s="674"/>
      <c r="AZ27" s="674"/>
      <c r="BA27" s="674"/>
      <c r="BB27" s="674"/>
      <c r="BC27" s="674"/>
      <c r="BD27" s="674"/>
      <c r="BE27" s="674"/>
      <c r="BF27" s="674"/>
      <c r="BG27" s="674"/>
      <c r="BH27" s="674"/>
      <c r="BI27" s="674"/>
      <c r="BJ27" s="674"/>
      <c r="BK27" s="674"/>
      <c r="BL27" s="674"/>
      <c r="BM27" s="674"/>
      <c r="BN27" s="674"/>
      <c r="BO27" s="674"/>
      <c r="BP27" s="674"/>
      <c r="BQ27" s="674"/>
      <c r="BR27" s="100"/>
      <c r="BS27" s="100"/>
      <c r="BT27" s="100"/>
      <c r="BU27" s="100"/>
      <c r="BV27" s="100"/>
      <c r="BW27" s="100"/>
      <c r="BX27" s="100"/>
      <c r="BY27" s="100"/>
      <c r="BZ27" s="100"/>
      <c r="CA27" s="100"/>
      <c r="CB27" s="100"/>
      <c r="CC27" s="100"/>
      <c r="CD27" s="100"/>
      <c r="CE27" s="100"/>
      <c r="CF27" s="100"/>
      <c r="CG27" s="100"/>
      <c r="CH27" s="100"/>
      <c r="CI27" s="100"/>
      <c r="CJ27" s="100"/>
      <c r="CK27" s="100"/>
      <c r="CL27" s="100"/>
      <c r="CM27" s="100"/>
      <c r="CN27" s="100"/>
      <c r="CO27" s="100"/>
      <c r="CP27" s="100"/>
      <c r="CQ27" s="100"/>
      <c r="CR27" s="100"/>
      <c r="CS27" s="100"/>
      <c r="CT27" s="100"/>
      <c r="CU27" s="100"/>
      <c r="CV27" s="100"/>
      <c r="CW27" s="100"/>
      <c r="CX27" s="100"/>
      <c r="CY27" s="100"/>
      <c r="CZ27" s="100"/>
      <c r="DA27" s="100"/>
      <c r="DB27" s="100"/>
      <c r="DC27" s="100"/>
      <c r="DD27" s="100"/>
      <c r="DE27" s="100"/>
      <c r="DF27" s="100"/>
      <c r="DG27" s="100"/>
      <c r="DH27" s="100"/>
      <c r="DI27" s="100"/>
      <c r="DJ27" s="100"/>
      <c r="DK27" s="100"/>
      <c r="DL27" s="100"/>
      <c r="DM27" s="100"/>
      <c r="DN27" s="100"/>
      <c r="DO27" s="100"/>
      <c r="DP27" s="100"/>
      <c r="DQ27" s="100"/>
      <c r="DR27" s="100"/>
      <c r="DS27" s="100"/>
      <c r="DT27" s="100"/>
      <c r="DU27" s="100"/>
      <c r="DV27" s="100"/>
      <c r="DW27" s="100"/>
      <c r="DX27" s="100"/>
      <c r="DY27" s="100"/>
      <c r="DZ27" s="100"/>
      <c r="EA27" s="100"/>
      <c r="EB27" s="100"/>
      <c r="EC27" s="100"/>
      <c r="ED27" s="100"/>
      <c r="EE27" s="100"/>
      <c r="EF27" s="100"/>
      <c r="EG27" s="100"/>
      <c r="EH27" s="100"/>
      <c r="EI27" s="100"/>
      <c r="EJ27" s="100"/>
      <c r="EK27" s="100"/>
      <c r="EL27" s="100"/>
      <c r="EM27" s="100"/>
      <c r="EN27" s="100"/>
      <c r="EO27" s="100"/>
      <c r="EP27" s="100"/>
      <c r="EQ27" s="100"/>
      <c r="ER27" s="100"/>
      <c r="ES27" s="100"/>
      <c r="ET27" s="100"/>
      <c r="EU27" s="100"/>
      <c r="EV27" s="100"/>
      <c r="EW27" s="100"/>
      <c r="EX27" s="100"/>
      <c r="EY27" s="100"/>
      <c r="EZ27" s="100"/>
      <c r="FA27" s="100"/>
      <c r="FB27" s="100"/>
      <c r="FC27" s="100"/>
      <c r="FD27" s="100"/>
      <c r="FE27" s="100"/>
      <c r="FF27" s="100"/>
      <c r="FG27" s="100"/>
      <c r="FH27" s="100"/>
      <c r="FI27" s="100"/>
      <c r="FJ27" s="100"/>
      <c r="FK27" s="100"/>
      <c r="FL27" s="100"/>
      <c r="FM27" s="100"/>
      <c r="FN27" s="100"/>
      <c r="FO27" s="100"/>
      <c r="FP27" s="100"/>
      <c r="FQ27" s="100"/>
      <c r="FR27" s="100"/>
      <c r="FS27" s="100"/>
      <c r="FT27" s="100"/>
      <c r="FU27" s="100"/>
      <c r="FV27" s="100"/>
      <c r="FW27" s="100"/>
      <c r="FX27" s="100"/>
      <c r="FY27" s="100"/>
      <c r="FZ27" s="100"/>
      <c r="GA27" s="100"/>
      <c r="GB27" s="100"/>
      <c r="GC27" s="100"/>
      <c r="GD27" s="100"/>
      <c r="GE27" s="100"/>
      <c r="GF27" s="100"/>
      <c r="GG27" s="100"/>
      <c r="GH27" s="100"/>
      <c r="GI27" s="100"/>
      <c r="GJ27" s="100"/>
      <c r="GK27" s="100"/>
      <c r="GL27" s="100"/>
      <c r="GM27" s="100"/>
      <c r="GN27" s="100"/>
      <c r="GO27" s="100"/>
      <c r="GP27" s="100"/>
      <c r="GQ27" s="100"/>
      <c r="GR27" s="100"/>
      <c r="GS27" s="100"/>
      <c r="GT27" s="100"/>
      <c r="GU27" s="100"/>
      <c r="GV27" s="100"/>
      <c r="GW27" s="100"/>
      <c r="GX27" s="100"/>
      <c r="GY27" s="100"/>
      <c r="GZ27" s="100"/>
      <c r="HA27" s="100"/>
      <c r="HB27" s="100"/>
      <c r="HC27" s="100"/>
      <c r="HD27" s="100"/>
      <c r="HE27" s="100"/>
      <c r="HF27" s="100"/>
      <c r="HG27" s="100"/>
      <c r="HH27" s="100"/>
      <c r="HI27" s="100"/>
      <c r="HJ27" s="100"/>
      <c r="HK27" s="100"/>
      <c r="HL27" s="100"/>
      <c r="HM27" s="100"/>
      <c r="HN27" s="100"/>
      <c r="HO27" s="100"/>
      <c r="HP27" s="100"/>
      <c r="HQ27" s="100"/>
      <c r="HR27" s="100"/>
      <c r="HS27" s="100"/>
      <c r="HT27" s="100"/>
      <c r="HU27" s="100"/>
      <c r="HV27" s="100"/>
      <c r="HW27" s="100"/>
      <c r="HX27" s="100"/>
      <c r="HY27" s="100"/>
      <c r="HZ27" s="100"/>
      <c r="IA27" s="100"/>
      <c r="IB27" s="100"/>
      <c r="IC27" s="100"/>
      <c r="ID27" s="100"/>
      <c r="IE27" s="100"/>
      <c r="IF27" s="100"/>
      <c r="IG27" s="100"/>
      <c r="IH27" s="100"/>
      <c r="II27" s="100"/>
      <c r="IJ27" s="100"/>
      <c r="IK27" s="100"/>
      <c r="IL27" s="100"/>
      <c r="IM27" s="100"/>
      <c r="IN27" s="100"/>
      <c r="IO27" s="100"/>
      <c r="IP27" s="100"/>
      <c r="IQ27" s="100"/>
      <c r="IR27" s="100"/>
      <c r="IS27" s="100"/>
      <c r="IT27" s="100"/>
      <c r="IU27" s="100"/>
      <c r="IV27" s="100"/>
      <c r="IW27" s="100"/>
    </row>
    <row r="28" customFormat="false" ht="13.5" hidden="false" customHeight="false" outlineLevel="0" collapsed="false">
      <c r="A28" s="100"/>
      <c r="B28" s="720" t="s">
        <v>643</v>
      </c>
      <c r="C28" s="1047" t="n">
        <f aca="false">SUM(E28:AI28)</f>
        <v>1943.96199641576</v>
      </c>
      <c r="D28" s="130"/>
      <c r="E28" s="1048" t="n">
        <f aca="false">SUM(E25:E27)</f>
        <v>107.489663331225</v>
      </c>
      <c r="F28" s="1048" t="n">
        <f aca="false">SUM(F25:F27)</f>
        <v>107.489663331225</v>
      </c>
      <c r="G28" s="1048" t="n">
        <f aca="false">SUM(G25:G27)</f>
        <v>107.489663331225</v>
      </c>
      <c r="H28" s="1048" t="n">
        <f aca="false">SUM(H25:H27)</f>
        <v>107.489663331225</v>
      </c>
      <c r="I28" s="1048" t="n">
        <f aca="false">SUM(I25:I27)</f>
        <v>107.489663331225</v>
      </c>
      <c r="J28" s="1048" t="n">
        <f aca="false">SUM(J25:J27)</f>
        <v>107.489663331225</v>
      </c>
      <c r="K28" s="1048" t="n">
        <f aca="false">SUM(K25:K27)</f>
        <v>107.489663331225</v>
      </c>
      <c r="L28" s="1048" t="n">
        <f aca="false">SUM(L25:L27)</f>
        <v>107.489663331225</v>
      </c>
      <c r="M28" s="1048" t="n">
        <f aca="false">SUM(M25:M27)</f>
        <v>107.489663331225</v>
      </c>
      <c r="N28" s="1048" t="n">
        <f aca="false">SUM(N25:N27)</f>
        <v>107.489663331225</v>
      </c>
      <c r="O28" s="1048" t="n">
        <f aca="false">SUM(O25:O27)</f>
        <v>107.489663331225</v>
      </c>
      <c r="P28" s="1048" t="n">
        <f aca="false">SUM(P25:P27)</f>
        <v>107.489663331225</v>
      </c>
      <c r="Q28" s="1048" t="n">
        <f aca="false">SUM(Q25:Q27)</f>
        <v>107.489663331225</v>
      </c>
      <c r="R28" s="1048" t="n">
        <f aca="false">SUM(R25:R27)</f>
        <v>107.489663331225</v>
      </c>
      <c r="S28" s="1048" t="n">
        <f aca="false">SUM(S25:S27)</f>
        <v>107.489663331225</v>
      </c>
      <c r="T28" s="1048" t="n">
        <f aca="false">SUM(T25:T27)</f>
        <v>107.489663331225</v>
      </c>
      <c r="U28" s="1048" t="n">
        <f aca="false">SUM(U25:U27)</f>
        <v>107.489663331225</v>
      </c>
      <c r="V28" s="1048" t="n">
        <f aca="false">SUM(V25:V27)</f>
        <v>38.8792399283153</v>
      </c>
      <c r="W28" s="1048" t="n">
        <f aca="false">SUM(W25:W27)</f>
        <v>38.8792399283153</v>
      </c>
      <c r="X28" s="1048" t="n">
        <f aca="false">SUM(X25:X27)</f>
        <v>38.8792399283153</v>
      </c>
      <c r="Y28" s="1048" t="n">
        <f aca="false">SUM(Y25:Y27)</f>
        <v>0</v>
      </c>
      <c r="Z28" s="1048" t="n">
        <f aca="false">SUM(Z25:Z27)</f>
        <v>0</v>
      </c>
      <c r="AA28" s="1048" t="n">
        <f aca="false">SUM(AA25:AA27)</f>
        <v>0</v>
      </c>
      <c r="AB28" s="1048" t="n">
        <f aca="false">SUM(AB25:AB27)</f>
        <v>0</v>
      </c>
      <c r="AC28" s="1048" t="n">
        <f aca="false">SUM(AC25:AC27)</f>
        <v>0</v>
      </c>
      <c r="AD28" s="1048" t="n">
        <f aca="false">SUM(AD25:AD27)</f>
        <v>0</v>
      </c>
      <c r="AE28" s="1048" t="n">
        <f aca="false">SUM(AE25:AE27)</f>
        <v>0</v>
      </c>
      <c r="AF28" s="1048" t="n">
        <f aca="false">SUM(AF25:AF27)</f>
        <v>0</v>
      </c>
      <c r="AG28" s="1048" t="n">
        <f aca="false">SUM(AG25:AG27)</f>
        <v>0</v>
      </c>
      <c r="AH28" s="1048" t="n">
        <f aca="false">SUM(AH25:AH27)</f>
        <v>0</v>
      </c>
      <c r="AI28" s="1048" t="n">
        <f aca="false">SUM(AI25:AI27)</f>
        <v>0</v>
      </c>
      <c r="AJ28" s="102"/>
      <c r="AK28" s="102"/>
      <c r="AL28" s="100"/>
      <c r="AM28" s="130"/>
      <c r="AN28" s="674"/>
      <c r="AO28" s="674"/>
      <c r="AP28" s="674"/>
      <c r="AQ28" s="674"/>
      <c r="AR28" s="674"/>
      <c r="AS28" s="674"/>
      <c r="AT28" s="674"/>
      <c r="AU28" s="674"/>
      <c r="AV28" s="674"/>
      <c r="AW28" s="674"/>
      <c r="AX28" s="674"/>
      <c r="AY28" s="674"/>
      <c r="AZ28" s="674"/>
      <c r="BA28" s="674"/>
      <c r="BB28" s="674"/>
      <c r="BC28" s="674"/>
      <c r="BD28" s="674"/>
      <c r="BE28" s="674"/>
      <c r="BF28" s="674"/>
      <c r="BG28" s="674"/>
      <c r="BH28" s="674"/>
      <c r="BI28" s="674"/>
      <c r="BJ28" s="674"/>
      <c r="BK28" s="674"/>
      <c r="BL28" s="674"/>
      <c r="BM28" s="674"/>
      <c r="BN28" s="674"/>
      <c r="BO28" s="674"/>
      <c r="BP28" s="674"/>
      <c r="BQ28" s="674"/>
      <c r="BR28" s="100"/>
      <c r="BS28" s="100"/>
      <c r="BT28" s="100"/>
      <c r="BU28" s="100"/>
      <c r="BV28" s="100"/>
      <c r="BW28" s="100"/>
      <c r="BX28" s="100"/>
      <c r="BY28" s="100"/>
      <c r="BZ28" s="100"/>
      <c r="CA28" s="100"/>
      <c r="CB28" s="100"/>
      <c r="CC28" s="100"/>
      <c r="CD28" s="100"/>
      <c r="CE28" s="100"/>
      <c r="CF28" s="100"/>
      <c r="CG28" s="100"/>
      <c r="CH28" s="100"/>
      <c r="CI28" s="100"/>
      <c r="CJ28" s="100"/>
      <c r="CK28" s="100"/>
      <c r="CL28" s="100"/>
      <c r="CM28" s="100"/>
      <c r="CN28" s="100"/>
      <c r="CO28" s="100"/>
      <c r="CP28" s="100"/>
      <c r="CQ28" s="100"/>
      <c r="CR28" s="100"/>
      <c r="CS28" s="100"/>
      <c r="CT28" s="100"/>
      <c r="CU28" s="100"/>
      <c r="CV28" s="100"/>
      <c r="CW28" s="100"/>
      <c r="CX28" s="100"/>
      <c r="CY28" s="100"/>
      <c r="CZ28" s="100"/>
      <c r="DA28" s="100"/>
      <c r="DB28" s="100"/>
      <c r="DC28" s="100"/>
      <c r="DD28" s="100"/>
      <c r="DE28" s="100"/>
      <c r="DF28" s="100"/>
      <c r="DG28" s="100"/>
      <c r="DH28" s="100"/>
      <c r="DI28" s="100"/>
      <c r="DJ28" s="100"/>
      <c r="DK28" s="100"/>
      <c r="DL28" s="100"/>
      <c r="DM28" s="100"/>
      <c r="DN28" s="100"/>
      <c r="DO28" s="100"/>
      <c r="DP28" s="100"/>
      <c r="DQ28" s="100"/>
      <c r="DR28" s="100"/>
      <c r="DS28" s="100"/>
      <c r="DT28" s="100"/>
      <c r="DU28" s="100"/>
      <c r="DV28" s="100"/>
      <c r="DW28" s="100"/>
      <c r="DX28" s="100"/>
      <c r="DY28" s="100"/>
      <c r="DZ28" s="100"/>
      <c r="EA28" s="100"/>
      <c r="EB28" s="100"/>
      <c r="EC28" s="100"/>
      <c r="ED28" s="100"/>
      <c r="EE28" s="100"/>
      <c r="EF28" s="100"/>
      <c r="EG28" s="100"/>
      <c r="EH28" s="100"/>
      <c r="EI28" s="100"/>
      <c r="EJ28" s="100"/>
      <c r="EK28" s="100"/>
      <c r="EL28" s="100"/>
      <c r="EM28" s="100"/>
      <c r="EN28" s="100"/>
      <c r="EO28" s="100"/>
      <c r="EP28" s="100"/>
      <c r="EQ28" s="100"/>
      <c r="ER28" s="100"/>
      <c r="ES28" s="100"/>
      <c r="ET28" s="100"/>
      <c r="EU28" s="100"/>
      <c r="EV28" s="100"/>
      <c r="EW28" s="100"/>
      <c r="EX28" s="100"/>
      <c r="EY28" s="100"/>
      <c r="EZ28" s="100"/>
      <c r="FA28" s="100"/>
      <c r="FB28" s="100"/>
      <c r="FC28" s="100"/>
      <c r="FD28" s="100"/>
      <c r="FE28" s="100"/>
      <c r="FF28" s="100"/>
      <c r="FG28" s="100"/>
      <c r="FH28" s="100"/>
      <c r="FI28" s="100"/>
      <c r="FJ28" s="100"/>
      <c r="FK28" s="100"/>
      <c r="FL28" s="100"/>
      <c r="FM28" s="100"/>
      <c r="FN28" s="100"/>
      <c r="FO28" s="100"/>
      <c r="FP28" s="100"/>
      <c r="FQ28" s="100"/>
      <c r="FR28" s="100"/>
      <c r="FS28" s="100"/>
      <c r="FT28" s="100"/>
      <c r="FU28" s="100"/>
      <c r="FV28" s="100"/>
      <c r="FW28" s="100"/>
      <c r="FX28" s="100"/>
      <c r="FY28" s="100"/>
      <c r="FZ28" s="100"/>
      <c r="GA28" s="100"/>
      <c r="GB28" s="100"/>
      <c r="GC28" s="100"/>
      <c r="GD28" s="100"/>
      <c r="GE28" s="100"/>
      <c r="GF28" s="100"/>
      <c r="GG28" s="100"/>
      <c r="GH28" s="100"/>
      <c r="GI28" s="100"/>
      <c r="GJ28" s="100"/>
      <c r="GK28" s="100"/>
      <c r="GL28" s="100"/>
      <c r="GM28" s="100"/>
      <c r="GN28" s="100"/>
      <c r="GO28" s="100"/>
      <c r="GP28" s="100"/>
      <c r="GQ28" s="100"/>
      <c r="GR28" s="100"/>
      <c r="GS28" s="100"/>
      <c r="GT28" s="100"/>
      <c r="GU28" s="100"/>
      <c r="GV28" s="100"/>
      <c r="GW28" s="100"/>
      <c r="GX28" s="100"/>
      <c r="GY28" s="100"/>
      <c r="GZ28" s="100"/>
      <c r="HA28" s="100"/>
      <c r="HB28" s="100"/>
      <c r="HC28" s="100"/>
      <c r="HD28" s="100"/>
      <c r="HE28" s="100"/>
      <c r="HF28" s="100"/>
      <c r="HG28" s="100"/>
      <c r="HH28" s="100"/>
      <c r="HI28" s="100"/>
      <c r="HJ28" s="100"/>
      <c r="HK28" s="100"/>
      <c r="HL28" s="100"/>
      <c r="HM28" s="100"/>
      <c r="HN28" s="100"/>
      <c r="HO28" s="100"/>
      <c r="HP28" s="100"/>
      <c r="HQ28" s="100"/>
      <c r="HR28" s="100"/>
      <c r="HS28" s="100"/>
      <c r="HT28" s="100"/>
      <c r="HU28" s="100"/>
      <c r="HV28" s="100"/>
      <c r="HW28" s="100"/>
      <c r="HX28" s="100"/>
      <c r="HY28" s="100"/>
      <c r="HZ28" s="100"/>
      <c r="IA28" s="100"/>
      <c r="IB28" s="100"/>
      <c r="IC28" s="100"/>
      <c r="ID28" s="100"/>
      <c r="IE28" s="100"/>
      <c r="IF28" s="100"/>
      <c r="IG28" s="100"/>
      <c r="IH28" s="100"/>
      <c r="II28" s="100"/>
      <c r="IJ28" s="100"/>
      <c r="IK28" s="100"/>
      <c r="IL28" s="100"/>
      <c r="IM28" s="100"/>
      <c r="IN28" s="100"/>
      <c r="IO28" s="100"/>
      <c r="IP28" s="100"/>
      <c r="IQ28" s="100"/>
      <c r="IR28" s="100"/>
      <c r="IS28" s="100"/>
      <c r="IT28" s="100"/>
      <c r="IU28" s="100"/>
      <c r="IV28" s="100"/>
      <c r="IW28" s="100"/>
    </row>
    <row r="29" customFormat="false" ht="14.25" hidden="false" customHeight="false" outlineLevel="0" collapsed="false">
      <c r="A29" s="100"/>
      <c r="B29" s="1049" t="s">
        <v>644</v>
      </c>
      <c r="C29" s="1050" t="n">
        <f aca="false">C22+C28</f>
        <v>38879.2399283153</v>
      </c>
      <c r="D29" s="130"/>
      <c r="E29" s="674"/>
      <c r="F29" s="674"/>
      <c r="G29" s="674"/>
      <c r="H29" s="674"/>
      <c r="I29" s="674"/>
      <c r="J29" s="674"/>
      <c r="K29" s="674"/>
      <c r="L29" s="674"/>
      <c r="M29" s="674"/>
      <c r="N29" s="674"/>
      <c r="O29" s="674"/>
      <c r="P29" s="674"/>
      <c r="Q29" s="674"/>
      <c r="R29" s="674"/>
      <c r="S29" s="674"/>
      <c r="T29" s="674"/>
      <c r="U29" s="674"/>
      <c r="V29" s="674"/>
      <c r="W29" s="674"/>
      <c r="X29" s="674"/>
      <c r="Y29" s="674"/>
      <c r="Z29" s="674"/>
      <c r="AA29" s="674"/>
      <c r="AB29" s="674"/>
      <c r="AC29" s="674"/>
      <c r="AD29" s="674"/>
      <c r="AE29" s="674"/>
      <c r="AF29" s="674"/>
      <c r="AG29" s="674"/>
      <c r="AH29" s="674"/>
      <c r="AI29" s="100"/>
      <c r="AJ29" s="102"/>
      <c r="AK29" s="102"/>
      <c r="AL29" s="100"/>
      <c r="AM29" s="130"/>
      <c r="AN29" s="674"/>
      <c r="AO29" s="674"/>
      <c r="AP29" s="674"/>
      <c r="AQ29" s="674"/>
      <c r="AR29" s="674"/>
      <c r="AS29" s="674"/>
      <c r="AT29" s="674"/>
      <c r="AU29" s="674"/>
      <c r="AV29" s="674"/>
      <c r="AW29" s="674"/>
      <c r="AX29" s="674"/>
      <c r="AY29" s="674"/>
      <c r="AZ29" s="674"/>
      <c r="BA29" s="674"/>
      <c r="BB29" s="674"/>
      <c r="BC29" s="674"/>
      <c r="BD29" s="674"/>
      <c r="BE29" s="674"/>
      <c r="BF29" s="674"/>
      <c r="BG29" s="674"/>
      <c r="BH29" s="674"/>
      <c r="BI29" s="674"/>
      <c r="BJ29" s="674"/>
      <c r="BK29" s="674"/>
      <c r="BL29" s="674"/>
      <c r="BM29" s="674"/>
      <c r="BN29" s="674"/>
      <c r="BO29" s="674"/>
      <c r="BP29" s="674"/>
      <c r="BQ29" s="674"/>
      <c r="BR29" s="100"/>
      <c r="BS29" s="100"/>
      <c r="BT29" s="100"/>
      <c r="BU29" s="100"/>
      <c r="BV29" s="100"/>
      <c r="BW29" s="100"/>
      <c r="BX29" s="100"/>
      <c r="BY29" s="100"/>
      <c r="BZ29" s="100"/>
      <c r="CA29" s="100"/>
      <c r="CB29" s="100"/>
      <c r="CC29" s="100"/>
      <c r="CD29" s="100"/>
      <c r="CE29" s="100"/>
      <c r="CF29" s="100"/>
      <c r="CG29" s="100"/>
      <c r="CH29" s="100"/>
      <c r="CI29" s="100"/>
      <c r="CJ29" s="100"/>
      <c r="CK29" s="100"/>
      <c r="CL29" s="100"/>
      <c r="CM29" s="100"/>
      <c r="CN29" s="100"/>
      <c r="CO29" s="100"/>
      <c r="CP29" s="100"/>
      <c r="CQ29" s="100"/>
      <c r="CR29" s="100"/>
      <c r="CS29" s="100"/>
      <c r="CT29" s="100"/>
      <c r="CU29" s="100"/>
      <c r="CV29" s="100"/>
      <c r="CW29" s="100"/>
      <c r="CX29" s="100"/>
      <c r="CY29" s="100"/>
      <c r="CZ29" s="100"/>
      <c r="DA29" s="100"/>
      <c r="DB29" s="100"/>
      <c r="DC29" s="100"/>
      <c r="DD29" s="100"/>
      <c r="DE29" s="100"/>
      <c r="DF29" s="100"/>
      <c r="DG29" s="100"/>
      <c r="DH29" s="100"/>
      <c r="DI29" s="100"/>
      <c r="DJ29" s="100"/>
      <c r="DK29" s="100"/>
      <c r="DL29" s="100"/>
      <c r="DM29" s="100"/>
      <c r="DN29" s="100"/>
      <c r="DO29" s="100"/>
      <c r="DP29" s="100"/>
      <c r="DQ29" s="100"/>
      <c r="DR29" s="100"/>
      <c r="DS29" s="100"/>
      <c r="DT29" s="100"/>
      <c r="DU29" s="100"/>
      <c r="DV29" s="100"/>
      <c r="DW29" s="100"/>
      <c r="DX29" s="100"/>
      <c r="DY29" s="100"/>
      <c r="DZ29" s="100"/>
      <c r="EA29" s="100"/>
      <c r="EB29" s="100"/>
      <c r="EC29" s="100"/>
      <c r="ED29" s="100"/>
      <c r="EE29" s="100"/>
      <c r="EF29" s="100"/>
      <c r="EG29" s="100"/>
      <c r="EH29" s="100"/>
      <c r="EI29" s="100"/>
      <c r="EJ29" s="100"/>
      <c r="EK29" s="100"/>
      <c r="EL29" s="100"/>
      <c r="EM29" s="100"/>
      <c r="EN29" s="100"/>
      <c r="EO29" s="100"/>
      <c r="EP29" s="100"/>
      <c r="EQ29" s="100"/>
      <c r="ER29" s="100"/>
      <c r="ES29" s="100"/>
      <c r="ET29" s="100"/>
      <c r="EU29" s="100"/>
      <c r="EV29" s="100"/>
      <c r="EW29" s="100"/>
      <c r="EX29" s="100"/>
      <c r="EY29" s="100"/>
      <c r="EZ29" s="100"/>
      <c r="FA29" s="100"/>
      <c r="FB29" s="100"/>
      <c r="FC29" s="100"/>
      <c r="FD29" s="100"/>
      <c r="FE29" s="100"/>
      <c r="FF29" s="100"/>
      <c r="FG29" s="100"/>
      <c r="FH29" s="100"/>
      <c r="FI29" s="100"/>
      <c r="FJ29" s="100"/>
      <c r="FK29" s="100"/>
      <c r="FL29" s="100"/>
      <c r="FM29" s="100"/>
      <c r="FN29" s="100"/>
      <c r="FO29" s="100"/>
      <c r="FP29" s="100"/>
      <c r="FQ29" s="100"/>
      <c r="FR29" s="100"/>
      <c r="FS29" s="100"/>
      <c r="FT29" s="100"/>
      <c r="FU29" s="100"/>
      <c r="FV29" s="100"/>
      <c r="FW29" s="100"/>
      <c r="FX29" s="100"/>
      <c r="FY29" s="100"/>
      <c r="FZ29" s="100"/>
      <c r="GA29" s="100"/>
      <c r="GB29" s="100"/>
      <c r="GC29" s="100"/>
      <c r="GD29" s="100"/>
      <c r="GE29" s="100"/>
      <c r="GF29" s="100"/>
      <c r="GG29" s="100"/>
      <c r="GH29" s="100"/>
      <c r="GI29" s="100"/>
      <c r="GJ29" s="100"/>
      <c r="GK29" s="100"/>
      <c r="GL29" s="100"/>
      <c r="GM29" s="100"/>
      <c r="GN29" s="100"/>
      <c r="GO29" s="100"/>
      <c r="GP29" s="100"/>
      <c r="GQ29" s="100"/>
      <c r="GR29" s="100"/>
      <c r="GS29" s="100"/>
      <c r="GT29" s="100"/>
      <c r="GU29" s="100"/>
      <c r="GV29" s="100"/>
      <c r="GW29" s="100"/>
      <c r="GX29" s="100"/>
      <c r="GY29" s="100"/>
      <c r="GZ29" s="100"/>
      <c r="HA29" s="100"/>
      <c r="HB29" s="100"/>
      <c r="HC29" s="100"/>
      <c r="HD29" s="100"/>
      <c r="HE29" s="100"/>
      <c r="HF29" s="100"/>
      <c r="HG29" s="100"/>
      <c r="HH29" s="100"/>
      <c r="HI29" s="100"/>
      <c r="HJ29" s="100"/>
      <c r="HK29" s="100"/>
      <c r="HL29" s="100"/>
      <c r="HM29" s="100"/>
      <c r="HN29" s="100"/>
      <c r="HO29" s="100"/>
      <c r="HP29" s="100"/>
      <c r="HQ29" s="100"/>
      <c r="HR29" s="100"/>
      <c r="HS29" s="100"/>
      <c r="HT29" s="100"/>
      <c r="HU29" s="100"/>
      <c r="HV29" s="100"/>
      <c r="HW29" s="100"/>
      <c r="HX29" s="100"/>
      <c r="HY29" s="100"/>
      <c r="HZ29" s="100"/>
      <c r="IA29" s="100"/>
      <c r="IB29" s="100"/>
      <c r="IC29" s="100"/>
      <c r="ID29" s="100"/>
      <c r="IE29" s="100"/>
      <c r="IF29" s="100"/>
      <c r="IG29" s="100"/>
      <c r="IH29" s="100"/>
      <c r="II29" s="100"/>
      <c r="IJ29" s="100"/>
      <c r="IK29" s="100"/>
      <c r="IL29" s="100"/>
      <c r="IM29" s="100"/>
      <c r="IN29" s="100"/>
      <c r="IO29" s="100"/>
      <c r="IP29" s="100"/>
      <c r="IQ29" s="100"/>
      <c r="IR29" s="100"/>
      <c r="IS29" s="100"/>
      <c r="IT29" s="100"/>
      <c r="IU29" s="100"/>
      <c r="IV29" s="100"/>
      <c r="IW29" s="100"/>
    </row>
    <row r="30" customFormat="false" ht="12.75" hidden="false" customHeight="false" outlineLevel="0" collapsed="false">
      <c r="A30" s="100"/>
      <c r="B30" s="100"/>
      <c r="C30" s="100"/>
      <c r="D30" s="130"/>
      <c r="E30" s="674"/>
      <c r="F30" s="674"/>
      <c r="G30" s="674"/>
      <c r="H30" s="674"/>
      <c r="I30" s="674"/>
      <c r="J30" s="674"/>
      <c r="K30" s="674"/>
      <c r="L30" s="674"/>
      <c r="M30" s="674"/>
      <c r="N30" s="674"/>
      <c r="O30" s="674"/>
      <c r="P30" s="674"/>
      <c r="Q30" s="674"/>
      <c r="R30" s="674"/>
      <c r="S30" s="674"/>
      <c r="T30" s="674"/>
      <c r="U30" s="674"/>
      <c r="V30" s="674"/>
      <c r="W30" s="674"/>
      <c r="X30" s="674"/>
      <c r="Y30" s="674"/>
      <c r="Z30" s="674"/>
      <c r="AA30" s="674"/>
      <c r="AB30" s="674"/>
      <c r="AC30" s="674"/>
      <c r="AD30" s="674"/>
      <c r="AE30" s="674"/>
      <c r="AF30" s="674"/>
      <c r="AG30" s="674"/>
      <c r="AH30" s="674"/>
      <c r="AI30" s="100"/>
      <c r="AJ30" s="102"/>
      <c r="AK30" s="102"/>
      <c r="AL30" s="100"/>
      <c r="AM30" s="130"/>
      <c r="AN30" s="674"/>
      <c r="AO30" s="674"/>
      <c r="AP30" s="674"/>
      <c r="AQ30" s="674"/>
      <c r="AR30" s="674"/>
      <c r="AS30" s="674"/>
      <c r="AT30" s="674"/>
      <c r="AU30" s="674"/>
      <c r="AV30" s="674"/>
      <c r="AW30" s="674"/>
      <c r="AX30" s="674"/>
      <c r="AY30" s="674"/>
      <c r="AZ30" s="674"/>
      <c r="BA30" s="674"/>
      <c r="BB30" s="674"/>
      <c r="BC30" s="674"/>
      <c r="BD30" s="674"/>
      <c r="BE30" s="674"/>
      <c r="BF30" s="674"/>
      <c r="BG30" s="674"/>
      <c r="BH30" s="674"/>
      <c r="BI30" s="674"/>
      <c r="BJ30" s="674"/>
      <c r="BK30" s="674"/>
      <c r="BL30" s="674"/>
      <c r="BM30" s="674"/>
      <c r="BN30" s="674"/>
      <c r="BO30" s="674"/>
      <c r="BP30" s="674"/>
      <c r="BQ30" s="674"/>
      <c r="BR30" s="100"/>
      <c r="BS30" s="100"/>
      <c r="BT30" s="100"/>
      <c r="BU30" s="100"/>
      <c r="BV30" s="100"/>
      <c r="BW30" s="100"/>
      <c r="BX30" s="100"/>
      <c r="BY30" s="100"/>
      <c r="BZ30" s="100"/>
      <c r="CA30" s="100"/>
      <c r="CB30" s="100"/>
      <c r="CC30" s="100"/>
      <c r="CD30" s="100"/>
      <c r="CE30" s="100"/>
      <c r="CF30" s="100"/>
      <c r="CG30" s="100"/>
      <c r="CH30" s="100"/>
      <c r="CI30" s="100"/>
      <c r="CJ30" s="100"/>
      <c r="CK30" s="100"/>
      <c r="CL30" s="100"/>
      <c r="CM30" s="100"/>
      <c r="CN30" s="100"/>
      <c r="CO30" s="100"/>
      <c r="CP30" s="100"/>
      <c r="CQ30" s="100"/>
      <c r="CR30" s="100"/>
      <c r="CS30" s="100"/>
      <c r="CT30" s="100"/>
      <c r="CU30" s="100"/>
      <c r="CV30" s="100"/>
      <c r="CW30" s="100"/>
      <c r="CX30" s="100"/>
      <c r="CY30" s="100"/>
      <c r="CZ30" s="100"/>
      <c r="DA30" s="100"/>
      <c r="DB30" s="100"/>
      <c r="DC30" s="100"/>
      <c r="DD30" s="100"/>
      <c r="DE30" s="100"/>
      <c r="DF30" s="100"/>
      <c r="DG30" s="100"/>
      <c r="DH30" s="100"/>
      <c r="DI30" s="100"/>
      <c r="DJ30" s="100"/>
      <c r="DK30" s="100"/>
      <c r="DL30" s="100"/>
      <c r="DM30" s="100"/>
      <c r="DN30" s="100"/>
      <c r="DO30" s="100"/>
      <c r="DP30" s="100"/>
      <c r="DQ30" s="100"/>
      <c r="DR30" s="100"/>
      <c r="DS30" s="100"/>
      <c r="DT30" s="100"/>
      <c r="DU30" s="100"/>
      <c r="DV30" s="100"/>
      <c r="DW30" s="100"/>
      <c r="DX30" s="100"/>
      <c r="DY30" s="100"/>
      <c r="DZ30" s="100"/>
      <c r="EA30" s="100"/>
      <c r="EB30" s="100"/>
      <c r="EC30" s="100"/>
      <c r="ED30" s="100"/>
      <c r="EE30" s="100"/>
      <c r="EF30" s="100"/>
      <c r="EG30" s="100"/>
      <c r="EH30" s="100"/>
      <c r="EI30" s="100"/>
      <c r="EJ30" s="100"/>
      <c r="EK30" s="100"/>
      <c r="EL30" s="100"/>
      <c r="EM30" s="100"/>
      <c r="EN30" s="100"/>
      <c r="EO30" s="100"/>
      <c r="EP30" s="100"/>
      <c r="EQ30" s="100"/>
      <c r="ER30" s="100"/>
      <c r="ES30" s="100"/>
      <c r="ET30" s="100"/>
      <c r="EU30" s="100"/>
      <c r="EV30" s="100"/>
      <c r="EW30" s="100"/>
      <c r="EX30" s="100"/>
      <c r="EY30" s="100"/>
      <c r="EZ30" s="100"/>
      <c r="FA30" s="100"/>
      <c r="FB30" s="100"/>
      <c r="FC30" s="100"/>
      <c r="FD30" s="100"/>
      <c r="FE30" s="100"/>
      <c r="FF30" s="100"/>
      <c r="FG30" s="100"/>
      <c r="FH30" s="100"/>
      <c r="FI30" s="100"/>
      <c r="FJ30" s="100"/>
      <c r="FK30" s="100"/>
      <c r="FL30" s="100"/>
      <c r="FM30" s="100"/>
      <c r="FN30" s="100"/>
      <c r="FO30" s="100"/>
      <c r="FP30" s="100"/>
      <c r="FQ30" s="100"/>
      <c r="FR30" s="100"/>
      <c r="FS30" s="100"/>
      <c r="FT30" s="100"/>
      <c r="FU30" s="100"/>
      <c r="FV30" s="100"/>
      <c r="FW30" s="100"/>
      <c r="FX30" s="100"/>
      <c r="FY30" s="100"/>
      <c r="FZ30" s="100"/>
      <c r="GA30" s="100"/>
      <c r="GB30" s="100"/>
      <c r="GC30" s="100"/>
      <c r="GD30" s="100"/>
      <c r="GE30" s="100"/>
      <c r="GF30" s="100"/>
      <c r="GG30" s="100"/>
      <c r="GH30" s="100"/>
      <c r="GI30" s="100"/>
      <c r="GJ30" s="100"/>
      <c r="GK30" s="100"/>
      <c r="GL30" s="100"/>
      <c r="GM30" s="100"/>
      <c r="GN30" s="100"/>
      <c r="GO30" s="100"/>
      <c r="GP30" s="100"/>
      <c r="GQ30" s="100"/>
      <c r="GR30" s="100"/>
      <c r="GS30" s="100"/>
      <c r="GT30" s="100"/>
      <c r="GU30" s="100"/>
      <c r="GV30" s="100"/>
      <c r="GW30" s="100"/>
      <c r="GX30" s="100"/>
      <c r="GY30" s="100"/>
      <c r="GZ30" s="100"/>
      <c r="HA30" s="100"/>
      <c r="HB30" s="100"/>
      <c r="HC30" s="100"/>
      <c r="HD30" s="100"/>
      <c r="HE30" s="100"/>
      <c r="HF30" s="100"/>
      <c r="HG30" s="100"/>
      <c r="HH30" s="100"/>
      <c r="HI30" s="100"/>
      <c r="HJ30" s="100"/>
      <c r="HK30" s="100"/>
      <c r="HL30" s="100"/>
      <c r="HM30" s="100"/>
      <c r="HN30" s="100"/>
      <c r="HO30" s="100"/>
      <c r="HP30" s="100"/>
      <c r="HQ30" s="100"/>
      <c r="HR30" s="100"/>
      <c r="HS30" s="100"/>
      <c r="HT30" s="100"/>
      <c r="HU30" s="100"/>
      <c r="HV30" s="100"/>
      <c r="HW30" s="100"/>
      <c r="HX30" s="100"/>
      <c r="HY30" s="100"/>
      <c r="HZ30" s="100"/>
      <c r="IA30" s="100"/>
      <c r="IB30" s="100"/>
      <c r="IC30" s="100"/>
      <c r="ID30" s="100"/>
      <c r="IE30" s="100"/>
      <c r="IF30" s="100"/>
      <c r="IG30" s="100"/>
      <c r="IH30" s="100"/>
      <c r="II30" s="100"/>
      <c r="IJ30" s="100"/>
      <c r="IK30" s="100"/>
      <c r="IL30" s="100"/>
      <c r="IM30" s="100"/>
      <c r="IN30" s="100"/>
      <c r="IO30" s="100"/>
      <c r="IP30" s="100"/>
      <c r="IQ30" s="100"/>
      <c r="IR30" s="100"/>
      <c r="IS30" s="100"/>
      <c r="IT30" s="100"/>
      <c r="IU30" s="100"/>
      <c r="IV30" s="100"/>
      <c r="IW30" s="100"/>
    </row>
    <row r="31" customFormat="false" ht="12.75" hidden="false" customHeight="false" outlineLevel="0" collapsed="false">
      <c r="A31" s="102"/>
      <c r="B31" s="1051" t="s">
        <v>645</v>
      </c>
      <c r="C31" s="102"/>
      <c r="D31" s="105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c r="AD31" s="102"/>
      <c r="AE31" s="102"/>
      <c r="AF31" s="102"/>
      <c r="AG31" s="102"/>
      <c r="AH31" s="102"/>
      <c r="AI31" s="102"/>
      <c r="AJ31" s="102"/>
      <c r="AK31" s="102"/>
      <c r="AL31" s="102"/>
      <c r="AM31" s="1052"/>
      <c r="AN31" s="1045" t="s">
        <v>646</v>
      </c>
      <c r="AO31" s="102"/>
      <c r="AP31" s="102"/>
      <c r="AQ31" s="102"/>
      <c r="AR31" s="102"/>
      <c r="AS31" s="102"/>
      <c r="AT31" s="102"/>
      <c r="AU31" s="102"/>
      <c r="AV31" s="102"/>
      <c r="AW31" s="102"/>
      <c r="AX31" s="102"/>
      <c r="AY31" s="102"/>
      <c r="AZ31" s="102"/>
      <c r="BA31" s="102"/>
      <c r="BB31" s="102"/>
      <c r="BC31" s="102"/>
      <c r="BD31" s="102"/>
      <c r="BE31" s="102"/>
      <c r="BF31" s="102"/>
      <c r="BG31" s="102"/>
      <c r="BH31" s="102"/>
      <c r="BI31" s="102"/>
      <c r="BJ31" s="102"/>
      <c r="BK31" s="102"/>
      <c r="BL31" s="102"/>
      <c r="BM31" s="102"/>
      <c r="BN31" s="102"/>
      <c r="BO31" s="102"/>
      <c r="BP31" s="102"/>
      <c r="BQ31" s="102"/>
      <c r="BR31" s="102"/>
      <c r="BS31" s="102"/>
      <c r="BT31" s="102"/>
      <c r="BU31" s="102"/>
      <c r="BV31" s="102"/>
      <c r="BW31" s="102"/>
      <c r="BX31" s="102"/>
      <c r="BY31" s="102"/>
      <c r="BZ31" s="102"/>
      <c r="CA31" s="102"/>
      <c r="CB31" s="102"/>
      <c r="CC31" s="102"/>
      <c r="CD31" s="102"/>
      <c r="CE31" s="102"/>
      <c r="CF31" s="102"/>
      <c r="CG31" s="102"/>
      <c r="CH31" s="102"/>
      <c r="CI31" s="102"/>
      <c r="CJ31" s="102"/>
      <c r="CK31" s="102"/>
      <c r="CL31" s="102"/>
      <c r="CM31" s="102"/>
      <c r="CN31" s="102"/>
      <c r="CO31" s="102"/>
      <c r="CP31" s="102"/>
      <c r="CQ31" s="102"/>
      <c r="CR31" s="102"/>
      <c r="CS31" s="102"/>
      <c r="CT31" s="102"/>
      <c r="CU31" s="102"/>
      <c r="CV31" s="102"/>
      <c r="CW31" s="102"/>
      <c r="CX31" s="102"/>
      <c r="CY31" s="102"/>
      <c r="CZ31" s="102"/>
      <c r="DA31" s="102"/>
      <c r="DB31" s="102"/>
      <c r="DC31" s="102"/>
      <c r="DD31" s="102"/>
      <c r="DE31" s="102"/>
      <c r="DF31" s="102"/>
      <c r="DG31" s="102"/>
      <c r="DH31" s="102"/>
      <c r="DI31" s="102"/>
      <c r="DJ31" s="102"/>
      <c r="DK31" s="102"/>
      <c r="DL31" s="102"/>
      <c r="DM31" s="102"/>
      <c r="DN31" s="102"/>
      <c r="DO31" s="102"/>
      <c r="DP31" s="102"/>
      <c r="DQ31" s="102"/>
      <c r="DR31" s="102"/>
      <c r="DS31" s="102"/>
      <c r="DT31" s="102"/>
      <c r="DU31" s="102"/>
      <c r="DV31" s="102"/>
      <c r="DW31" s="102"/>
      <c r="DX31" s="102"/>
      <c r="DY31" s="102"/>
      <c r="DZ31" s="102"/>
      <c r="EA31" s="102"/>
      <c r="EB31" s="102"/>
      <c r="EC31" s="102"/>
      <c r="ED31" s="102"/>
      <c r="EE31" s="102"/>
      <c r="EF31" s="102"/>
      <c r="EG31" s="102"/>
      <c r="EH31" s="102"/>
      <c r="EI31" s="102"/>
      <c r="EJ31" s="102"/>
      <c r="EK31" s="102"/>
      <c r="EL31" s="102"/>
      <c r="EM31" s="102"/>
      <c r="EN31" s="102"/>
      <c r="EO31" s="102"/>
      <c r="EP31" s="102"/>
      <c r="EQ31" s="102"/>
      <c r="ER31" s="102"/>
      <c r="ES31" s="102"/>
      <c r="ET31" s="102"/>
      <c r="EU31" s="102"/>
      <c r="EV31" s="102"/>
      <c r="EW31" s="102"/>
      <c r="EX31" s="102"/>
      <c r="EY31" s="102"/>
      <c r="EZ31" s="102"/>
      <c r="FA31" s="102"/>
      <c r="FB31" s="102"/>
      <c r="FC31" s="102"/>
      <c r="FD31" s="102"/>
      <c r="FE31" s="102"/>
      <c r="FF31" s="102"/>
      <c r="FG31" s="102"/>
      <c r="FH31" s="102"/>
      <c r="FI31" s="102"/>
      <c r="FJ31" s="102"/>
      <c r="FK31" s="102"/>
      <c r="FL31" s="102"/>
      <c r="FM31" s="102"/>
      <c r="FN31" s="102"/>
      <c r="FO31" s="102"/>
      <c r="FP31" s="102"/>
      <c r="FQ31" s="102"/>
      <c r="FR31" s="102"/>
      <c r="FS31" s="102"/>
      <c r="FT31" s="102"/>
      <c r="FU31" s="102"/>
      <c r="FV31" s="102"/>
      <c r="FW31" s="102"/>
      <c r="FX31" s="102"/>
      <c r="FY31" s="102"/>
      <c r="FZ31" s="102"/>
      <c r="GA31" s="102"/>
      <c r="GB31" s="102"/>
      <c r="GC31" s="102"/>
      <c r="GD31" s="102"/>
      <c r="GE31" s="102"/>
      <c r="GF31" s="102"/>
      <c r="GG31" s="102"/>
      <c r="GH31" s="102"/>
      <c r="GI31" s="102"/>
      <c r="GJ31" s="102"/>
      <c r="GK31" s="102"/>
      <c r="GL31" s="102"/>
      <c r="GM31" s="102"/>
      <c r="GN31" s="102"/>
      <c r="GO31" s="102"/>
      <c r="GP31" s="102"/>
      <c r="GQ31" s="102"/>
      <c r="GR31" s="102"/>
      <c r="GS31" s="102"/>
      <c r="GT31" s="102"/>
      <c r="GU31" s="102"/>
      <c r="GV31" s="102"/>
      <c r="GW31" s="102"/>
      <c r="GX31" s="102"/>
      <c r="GY31" s="102"/>
      <c r="GZ31" s="102"/>
      <c r="HA31" s="102"/>
      <c r="HB31" s="102"/>
      <c r="HC31" s="102"/>
      <c r="HD31" s="102"/>
      <c r="HE31" s="102"/>
      <c r="HF31" s="102"/>
      <c r="HG31" s="102"/>
      <c r="HH31" s="102"/>
      <c r="HI31" s="102"/>
      <c r="HJ31" s="102"/>
      <c r="HK31" s="102"/>
      <c r="HL31" s="102"/>
      <c r="HM31" s="102"/>
      <c r="HN31" s="102"/>
      <c r="HO31" s="102"/>
      <c r="HP31" s="102"/>
      <c r="HQ31" s="102"/>
      <c r="HR31" s="102"/>
      <c r="HS31" s="102"/>
      <c r="HT31" s="102"/>
      <c r="HU31" s="102"/>
      <c r="HV31" s="102"/>
      <c r="HW31" s="102"/>
      <c r="HX31" s="102"/>
      <c r="HY31" s="102"/>
      <c r="HZ31" s="102"/>
      <c r="IA31" s="102"/>
      <c r="IB31" s="102"/>
      <c r="IC31" s="102"/>
      <c r="ID31" s="102"/>
      <c r="IE31" s="102"/>
      <c r="IF31" s="102"/>
      <c r="IG31" s="102"/>
      <c r="IH31" s="102"/>
      <c r="II31" s="102"/>
      <c r="IJ31" s="102"/>
      <c r="IK31" s="102"/>
      <c r="IL31" s="102"/>
      <c r="IM31" s="102"/>
      <c r="IN31" s="102"/>
      <c r="IO31" s="102"/>
      <c r="IP31" s="102"/>
      <c r="IQ31" s="102"/>
      <c r="IR31" s="102"/>
      <c r="IS31" s="102"/>
      <c r="IT31" s="102"/>
      <c r="IU31" s="102"/>
      <c r="IV31" s="102"/>
      <c r="IW31" s="102"/>
    </row>
    <row r="32" customFormat="false" ht="12.75" hidden="false" customHeight="false" outlineLevel="0" collapsed="false">
      <c r="A32" s="1053"/>
      <c r="B32" s="1053"/>
      <c r="C32" s="100"/>
      <c r="D32" s="130"/>
      <c r="E32" s="1053"/>
      <c r="F32" s="1053"/>
      <c r="G32" s="1053"/>
      <c r="H32" s="1053"/>
      <c r="I32" s="1053"/>
      <c r="J32" s="1053"/>
      <c r="K32" s="1053"/>
      <c r="L32" s="1053"/>
      <c r="M32" s="1053"/>
      <c r="N32" s="1053"/>
      <c r="O32" s="1053"/>
      <c r="P32" s="1053"/>
      <c r="Q32" s="1053"/>
      <c r="R32" s="1053"/>
      <c r="S32" s="1053"/>
      <c r="T32" s="1053"/>
      <c r="U32" s="1053"/>
      <c r="V32" s="1053"/>
      <c r="W32" s="1053"/>
      <c r="X32" s="1053"/>
      <c r="Y32" s="1053"/>
      <c r="Z32" s="1053"/>
      <c r="AA32" s="1053"/>
      <c r="AB32" s="1053"/>
      <c r="AC32" s="1053"/>
      <c r="AD32" s="1053"/>
      <c r="AE32" s="1053"/>
      <c r="AF32" s="1053"/>
      <c r="AG32" s="1053"/>
      <c r="AH32" s="1053"/>
      <c r="AI32" s="1053"/>
      <c r="AJ32" s="1054"/>
      <c r="AK32" s="1054"/>
      <c r="AL32" s="1053"/>
      <c r="AM32" s="130"/>
      <c r="AN32" s="1053"/>
      <c r="AO32" s="1053"/>
      <c r="AP32" s="1053"/>
      <c r="AQ32" s="1053"/>
      <c r="AR32" s="1053"/>
      <c r="AS32" s="1053"/>
      <c r="AT32" s="1053"/>
      <c r="AU32" s="1053"/>
      <c r="AV32" s="1053"/>
      <c r="AW32" s="1053"/>
      <c r="AX32" s="1053"/>
      <c r="AY32" s="1053"/>
      <c r="AZ32" s="1053"/>
      <c r="BA32" s="1053"/>
      <c r="BB32" s="1053"/>
      <c r="BC32" s="1053"/>
      <c r="BD32" s="1053"/>
      <c r="BE32" s="1053"/>
      <c r="BF32" s="1053"/>
      <c r="BG32" s="1053"/>
      <c r="BH32" s="1053"/>
      <c r="BI32" s="1053"/>
      <c r="BJ32" s="1053"/>
      <c r="BK32" s="1053"/>
      <c r="BL32" s="1053"/>
      <c r="BM32" s="1053"/>
      <c r="BN32" s="1053"/>
      <c r="BO32" s="1053"/>
      <c r="BP32" s="1053"/>
      <c r="BQ32" s="1053"/>
      <c r="BR32" s="1053"/>
      <c r="BS32" s="1053"/>
      <c r="BT32" s="1053"/>
      <c r="BU32" s="1053"/>
      <c r="BV32" s="1053"/>
      <c r="BW32" s="1053"/>
      <c r="BX32" s="1053"/>
      <c r="BY32" s="1053"/>
      <c r="BZ32" s="1053"/>
      <c r="CA32" s="1053"/>
      <c r="CB32" s="1053"/>
      <c r="CC32" s="1053"/>
      <c r="CD32" s="1053"/>
      <c r="CE32" s="1053"/>
      <c r="CF32" s="1053"/>
      <c r="CG32" s="1053"/>
      <c r="CH32" s="1053"/>
      <c r="CI32" s="1053"/>
      <c r="CJ32" s="1053"/>
      <c r="CK32" s="1053"/>
      <c r="CL32" s="1053"/>
      <c r="CM32" s="1053"/>
      <c r="CN32" s="1053"/>
      <c r="CO32" s="1053"/>
      <c r="CP32" s="1053"/>
      <c r="CQ32" s="1053"/>
      <c r="CR32" s="1053"/>
      <c r="CS32" s="1053"/>
      <c r="CT32" s="1053"/>
      <c r="CU32" s="1053"/>
      <c r="CV32" s="1053"/>
      <c r="CW32" s="1053"/>
      <c r="CX32" s="1053"/>
      <c r="CY32" s="1053"/>
      <c r="CZ32" s="1053"/>
      <c r="DA32" s="1053"/>
      <c r="DB32" s="1053"/>
      <c r="DC32" s="1053"/>
      <c r="DD32" s="1053"/>
      <c r="DE32" s="1053"/>
      <c r="DF32" s="1053"/>
      <c r="DG32" s="1053"/>
      <c r="DH32" s="1053"/>
      <c r="DI32" s="1053"/>
      <c r="DJ32" s="1053"/>
      <c r="DK32" s="1053"/>
      <c r="DL32" s="1053"/>
      <c r="DM32" s="1053"/>
      <c r="DN32" s="1053"/>
      <c r="DO32" s="1053"/>
      <c r="DP32" s="1053"/>
      <c r="DQ32" s="1053"/>
      <c r="DR32" s="1053"/>
      <c r="DS32" s="1053"/>
      <c r="DT32" s="1053"/>
      <c r="DU32" s="1053"/>
      <c r="DV32" s="1053"/>
      <c r="DW32" s="1053"/>
      <c r="DX32" s="1053"/>
      <c r="DY32" s="1053"/>
      <c r="DZ32" s="1053"/>
      <c r="EA32" s="1053"/>
      <c r="EB32" s="1053"/>
      <c r="EC32" s="1053"/>
      <c r="ED32" s="1053"/>
      <c r="EE32" s="1053"/>
      <c r="EF32" s="1053"/>
      <c r="EG32" s="1053"/>
      <c r="EH32" s="1053"/>
      <c r="EI32" s="1053"/>
      <c r="EJ32" s="1053"/>
      <c r="EK32" s="1053"/>
      <c r="EL32" s="1053"/>
      <c r="EM32" s="1053"/>
      <c r="EN32" s="1053"/>
      <c r="EO32" s="1053"/>
      <c r="EP32" s="1053"/>
      <c r="EQ32" s="1053"/>
      <c r="ER32" s="1053"/>
      <c r="ES32" s="1053"/>
      <c r="ET32" s="1053"/>
      <c r="EU32" s="1053"/>
      <c r="EV32" s="1053"/>
      <c r="EW32" s="1053"/>
      <c r="EX32" s="1053"/>
      <c r="EY32" s="1053"/>
      <c r="EZ32" s="1053"/>
      <c r="FA32" s="1053"/>
      <c r="FB32" s="1053"/>
      <c r="FC32" s="1053"/>
      <c r="FD32" s="1053"/>
      <c r="FE32" s="1053"/>
      <c r="FF32" s="1053"/>
      <c r="FG32" s="1053"/>
      <c r="FH32" s="1053"/>
      <c r="FI32" s="1053"/>
      <c r="FJ32" s="1053"/>
      <c r="FK32" s="1053"/>
      <c r="FL32" s="1053"/>
      <c r="FM32" s="1053"/>
      <c r="FN32" s="1053"/>
      <c r="FO32" s="1053"/>
      <c r="FP32" s="1053"/>
      <c r="FQ32" s="1053"/>
      <c r="FR32" s="1053"/>
      <c r="FS32" s="1053"/>
      <c r="FT32" s="1053"/>
      <c r="FU32" s="1053"/>
      <c r="FV32" s="1053"/>
      <c r="FW32" s="1053"/>
      <c r="FX32" s="1053"/>
      <c r="FY32" s="1053"/>
      <c r="FZ32" s="1053"/>
      <c r="GA32" s="1053"/>
      <c r="GB32" s="1053"/>
      <c r="GC32" s="1053"/>
      <c r="GD32" s="1053"/>
      <c r="GE32" s="1053"/>
      <c r="GF32" s="1053"/>
      <c r="GG32" s="1053"/>
      <c r="GH32" s="1053"/>
      <c r="GI32" s="1053"/>
      <c r="GJ32" s="1053"/>
      <c r="GK32" s="1053"/>
      <c r="GL32" s="1053"/>
      <c r="GM32" s="1053"/>
      <c r="GN32" s="1053"/>
      <c r="GO32" s="1053"/>
      <c r="GP32" s="1053"/>
      <c r="GQ32" s="1053"/>
      <c r="GR32" s="1053"/>
      <c r="GS32" s="1053"/>
      <c r="GT32" s="1053"/>
      <c r="GU32" s="1053"/>
      <c r="GV32" s="1053"/>
      <c r="GW32" s="1053"/>
      <c r="GX32" s="1053"/>
      <c r="GY32" s="1053"/>
      <c r="GZ32" s="1053"/>
      <c r="HA32" s="1053"/>
      <c r="HB32" s="1053"/>
      <c r="HC32" s="1053"/>
      <c r="HD32" s="1053"/>
      <c r="HE32" s="1053"/>
      <c r="HF32" s="1053"/>
      <c r="HG32" s="1053"/>
      <c r="HH32" s="1053"/>
      <c r="HI32" s="1053"/>
      <c r="HJ32" s="1053"/>
      <c r="HK32" s="1053"/>
      <c r="HL32" s="1053"/>
      <c r="HM32" s="1053"/>
      <c r="HN32" s="1053"/>
      <c r="HO32" s="1053"/>
      <c r="HP32" s="1053"/>
      <c r="HQ32" s="1053"/>
      <c r="HR32" s="1053"/>
      <c r="HS32" s="1053"/>
      <c r="HT32" s="1053"/>
      <c r="HU32" s="1053"/>
      <c r="HV32" s="1053"/>
      <c r="HW32" s="1053"/>
      <c r="HX32" s="1053"/>
      <c r="HY32" s="1053"/>
      <c r="HZ32" s="1053"/>
      <c r="IA32" s="1053"/>
      <c r="IB32" s="1053"/>
      <c r="IC32" s="1053"/>
      <c r="ID32" s="1053"/>
      <c r="IE32" s="1053"/>
      <c r="IF32" s="1053"/>
      <c r="IG32" s="1053"/>
      <c r="IH32" s="1053"/>
      <c r="II32" s="1053"/>
      <c r="IJ32" s="1053"/>
      <c r="IK32" s="1053"/>
      <c r="IL32" s="1053"/>
      <c r="IM32" s="1053"/>
      <c r="IN32" s="1053"/>
      <c r="IO32" s="1053"/>
      <c r="IP32" s="1053"/>
      <c r="IQ32" s="1053"/>
      <c r="IR32" s="1053"/>
      <c r="IS32" s="1053"/>
      <c r="IT32" s="1053"/>
      <c r="IU32" s="1053"/>
      <c r="IV32" s="1053"/>
      <c r="IW32" s="1053"/>
    </row>
    <row r="33" customFormat="false" ht="12.75" hidden="false" customHeight="false" outlineLevel="0" collapsed="false">
      <c r="A33" s="1055"/>
      <c r="B33" s="1056" t="s">
        <v>647</v>
      </c>
      <c r="C33" s="100"/>
      <c r="D33" s="130"/>
      <c r="E33" s="313" t="n">
        <f aca="false">CashFlow!E13</f>
        <v>3703.96222781693</v>
      </c>
      <c r="F33" s="313" t="n">
        <f aca="false">CashFlow!F13</f>
        <v>3703.96222781693</v>
      </c>
      <c r="G33" s="313" t="n">
        <f aca="false">CashFlow!G13</f>
        <v>3703.96222781693</v>
      </c>
      <c r="H33" s="313" t="n">
        <f aca="false">CashFlow!H13</f>
        <v>3703.96222781693</v>
      </c>
      <c r="I33" s="313" t="n">
        <f aca="false">CashFlow!I13</f>
        <v>3703.96222781693</v>
      </c>
      <c r="J33" s="313" t="n">
        <f aca="false">CashFlow!J13</f>
        <v>3703.96222781693</v>
      </c>
      <c r="K33" s="313" t="n">
        <f aca="false">CashFlow!K13</f>
        <v>3703.96222781693</v>
      </c>
      <c r="L33" s="313" t="n">
        <f aca="false">CashFlow!L13</f>
        <v>3703.96222781693</v>
      </c>
      <c r="M33" s="313" t="n">
        <f aca="false">CashFlow!M13</f>
        <v>3703.96222781693</v>
      </c>
      <c r="N33" s="313" t="n">
        <f aca="false">CashFlow!N13</f>
        <v>3703.96222781693</v>
      </c>
      <c r="O33" s="313" t="n">
        <f aca="false">CashFlow!O13</f>
        <v>3703.96222781693</v>
      </c>
      <c r="P33" s="313" t="n">
        <f aca="false">CashFlow!P13</f>
        <v>3703.96222781693</v>
      </c>
      <c r="Q33" s="313" t="n">
        <f aca="false">CashFlow!Q13</f>
        <v>3703.96222781693</v>
      </c>
      <c r="R33" s="313" t="n">
        <f aca="false">CashFlow!R13</f>
        <v>3703.96222781693</v>
      </c>
      <c r="S33" s="313" t="n">
        <f aca="false">CashFlow!S13</f>
        <v>3703.96222781693</v>
      </c>
      <c r="T33" s="313" t="n">
        <f aca="false">CashFlow!T13</f>
        <v>3703.96222781693</v>
      </c>
      <c r="U33" s="313" t="n">
        <f aca="false">CashFlow!U13</f>
        <v>3703.96222781693</v>
      </c>
      <c r="V33" s="313" t="n">
        <f aca="false">CashFlow!V13</f>
        <v>3703.96222781693</v>
      </c>
      <c r="W33" s="313" t="n">
        <f aca="false">CashFlow!W13</f>
        <v>3703.96222781693</v>
      </c>
      <c r="X33" s="313" t="n">
        <f aca="false">CashFlow!X13</f>
        <v>3703.96222781693</v>
      </c>
      <c r="Y33" s="313" t="n">
        <f aca="false">CashFlow!Y13</f>
        <v>0</v>
      </c>
      <c r="Z33" s="313" t="n">
        <f aca="false">CashFlow!Z13</f>
        <v>0</v>
      </c>
      <c r="AA33" s="313" t="n">
        <f aca="false">CashFlow!AA13</f>
        <v>0</v>
      </c>
      <c r="AB33" s="313" t="n">
        <f aca="false">CashFlow!AB13</f>
        <v>0</v>
      </c>
      <c r="AC33" s="313" t="n">
        <f aca="false">CashFlow!AC13</f>
        <v>0</v>
      </c>
      <c r="AD33" s="313" t="n">
        <f aca="false">CashFlow!AD13</f>
        <v>0</v>
      </c>
      <c r="AE33" s="313" t="n">
        <f aca="false">CashFlow!AE13</f>
        <v>0</v>
      </c>
      <c r="AF33" s="313" t="n">
        <f aca="false">CashFlow!AF13</f>
        <v>0</v>
      </c>
      <c r="AG33" s="313" t="n">
        <f aca="false">CashFlow!AG13</f>
        <v>0</v>
      </c>
      <c r="AH33" s="313" t="n">
        <f aca="false">CashFlow!AH13</f>
        <v>0</v>
      </c>
      <c r="AI33" s="313" t="n">
        <f aca="false">CashFlow!AI13</f>
        <v>0</v>
      </c>
      <c r="AJ33" s="1045"/>
      <c r="AK33" s="1045"/>
      <c r="AL33" s="313"/>
      <c r="AM33" s="130"/>
      <c r="AN33" s="963" t="n">
        <f aca="false">E33/E$33</f>
        <v>1</v>
      </c>
      <c r="AO33" s="963" t="n">
        <f aca="false">F33/F$33</f>
        <v>1</v>
      </c>
      <c r="AP33" s="963" t="n">
        <f aca="false">G33/G$33</f>
        <v>1</v>
      </c>
      <c r="AQ33" s="963" t="n">
        <f aca="false">H33/H$33</f>
        <v>1</v>
      </c>
      <c r="AR33" s="963" t="n">
        <f aca="false">I33/I$33</f>
        <v>1</v>
      </c>
      <c r="AS33" s="963" t="n">
        <f aca="false">J33/J$33</f>
        <v>1</v>
      </c>
      <c r="AT33" s="963" t="n">
        <f aca="false">K33/K$33</f>
        <v>1</v>
      </c>
      <c r="AU33" s="963" t="n">
        <f aca="false">L33/L$33</f>
        <v>1</v>
      </c>
      <c r="AV33" s="963" t="n">
        <f aca="false">M33/M$33</f>
        <v>1</v>
      </c>
      <c r="AW33" s="963" t="n">
        <f aca="false">N33/N$33</f>
        <v>1</v>
      </c>
      <c r="AX33" s="963" t="n">
        <f aca="false">O33/O$33</f>
        <v>1</v>
      </c>
      <c r="AY33" s="963" t="n">
        <f aca="false">P33/P$33</f>
        <v>1</v>
      </c>
      <c r="AZ33" s="963" t="n">
        <f aca="false">Q33/Q$33</f>
        <v>1</v>
      </c>
      <c r="BA33" s="963" t="n">
        <f aca="false">R33/R$33</f>
        <v>1</v>
      </c>
      <c r="BB33" s="963" t="n">
        <f aca="false">S33/S$33</f>
        <v>1</v>
      </c>
      <c r="BC33" s="963" t="n">
        <f aca="false">T33/T$33</f>
        <v>1</v>
      </c>
      <c r="BD33" s="963" t="n">
        <f aca="false">U33/U$33</f>
        <v>1</v>
      </c>
      <c r="BE33" s="963" t="n">
        <f aca="false">V33/V$33</f>
        <v>1</v>
      </c>
      <c r="BF33" s="963" t="n">
        <f aca="false">W33/W$33</f>
        <v>1</v>
      </c>
      <c r="BG33" s="963" t="n">
        <f aca="false">X33/X$33</f>
        <v>1</v>
      </c>
      <c r="BH33" s="963" t="e">
        <f aca="false">Y33/Y$33</f>
        <v>#DIV/0!</v>
      </c>
      <c r="BI33" s="963" t="e">
        <f aca="false">Z33/Z$33</f>
        <v>#DIV/0!</v>
      </c>
      <c r="BJ33" s="963" t="e">
        <f aca="false">AA33/AA$33</f>
        <v>#DIV/0!</v>
      </c>
      <c r="BK33" s="963" t="e">
        <f aca="false">AB33/AB$33</f>
        <v>#DIV/0!</v>
      </c>
      <c r="BL33" s="963" t="e">
        <f aca="false">AC33/AC$33</f>
        <v>#DIV/0!</v>
      </c>
      <c r="BM33" s="963" t="e">
        <f aca="false">AD33/AD$33</f>
        <v>#DIV/0!</v>
      </c>
      <c r="BN33" s="963" t="e">
        <f aca="false">AE33/AE$33</f>
        <v>#DIV/0!</v>
      </c>
      <c r="BO33" s="963" t="e">
        <f aca="false">AF33/AF$33</f>
        <v>#DIV/0!</v>
      </c>
      <c r="BP33" s="963" t="e">
        <f aca="false">AG33/AG$33</f>
        <v>#DIV/0!</v>
      </c>
      <c r="BQ33" s="963" t="e">
        <f aca="false">AH33/AH$33</f>
        <v>#DIV/0!</v>
      </c>
      <c r="BR33" s="963" t="e">
        <f aca="false">AI33/AI$33</f>
        <v>#DIV/0!</v>
      </c>
      <c r="BS33" s="1055"/>
      <c r="BT33" s="1055"/>
      <c r="BU33" s="1055"/>
      <c r="BV33" s="1055"/>
      <c r="BW33" s="1055"/>
      <c r="BX33" s="1055"/>
      <c r="BY33" s="1055"/>
      <c r="BZ33" s="1055"/>
      <c r="CA33" s="1055"/>
      <c r="CB33" s="1055"/>
      <c r="CC33" s="1055"/>
      <c r="CD33" s="1055"/>
      <c r="CE33" s="1055"/>
      <c r="CF33" s="1055"/>
      <c r="CG33" s="1055"/>
      <c r="CH33" s="1055"/>
      <c r="CI33" s="1055"/>
      <c r="CJ33" s="1055"/>
      <c r="CK33" s="1055"/>
      <c r="CL33" s="1055"/>
      <c r="CM33" s="1055"/>
      <c r="CN33" s="1055"/>
      <c r="CO33" s="1055"/>
      <c r="CP33" s="1055"/>
      <c r="CQ33" s="1055"/>
      <c r="CR33" s="1055"/>
      <c r="CS33" s="1055"/>
      <c r="CT33" s="1055"/>
      <c r="CU33" s="1055"/>
      <c r="CV33" s="1055"/>
      <c r="CW33" s="1055"/>
      <c r="CX33" s="1055"/>
      <c r="CY33" s="1055"/>
      <c r="CZ33" s="1055"/>
      <c r="DA33" s="1055"/>
      <c r="DB33" s="1055"/>
      <c r="DC33" s="1055"/>
      <c r="DD33" s="1055"/>
      <c r="DE33" s="1055"/>
      <c r="DF33" s="1055"/>
      <c r="DG33" s="1055"/>
      <c r="DH33" s="1055"/>
      <c r="DI33" s="1055"/>
      <c r="DJ33" s="1055"/>
      <c r="DK33" s="1055"/>
      <c r="DL33" s="1055"/>
      <c r="DM33" s="1055"/>
      <c r="DN33" s="1055"/>
      <c r="DO33" s="1055"/>
      <c r="DP33" s="1055"/>
      <c r="DQ33" s="1055"/>
      <c r="DR33" s="1055"/>
      <c r="DS33" s="1055"/>
      <c r="DT33" s="1055"/>
      <c r="DU33" s="1055"/>
      <c r="DV33" s="1055"/>
      <c r="DW33" s="1055"/>
      <c r="DX33" s="1055"/>
      <c r="DY33" s="1055"/>
      <c r="DZ33" s="1055"/>
      <c r="EA33" s="1055"/>
      <c r="EB33" s="1055"/>
      <c r="EC33" s="1055"/>
      <c r="ED33" s="1055"/>
      <c r="EE33" s="1055"/>
      <c r="EF33" s="1055"/>
      <c r="EG33" s="1055"/>
      <c r="EH33" s="1055"/>
      <c r="EI33" s="1055"/>
      <c r="EJ33" s="1055"/>
      <c r="EK33" s="1055"/>
      <c r="EL33" s="1055"/>
      <c r="EM33" s="1055"/>
      <c r="EN33" s="1055"/>
      <c r="EO33" s="1055"/>
      <c r="EP33" s="1055"/>
      <c r="EQ33" s="1055"/>
      <c r="ER33" s="1055"/>
      <c r="ES33" s="1055"/>
      <c r="ET33" s="1055"/>
      <c r="EU33" s="1055"/>
      <c r="EV33" s="1055"/>
      <c r="EW33" s="1055"/>
      <c r="EX33" s="1055"/>
      <c r="EY33" s="1055"/>
      <c r="EZ33" s="1055"/>
      <c r="FA33" s="1055"/>
      <c r="FB33" s="1055"/>
      <c r="FC33" s="1055"/>
      <c r="FD33" s="1055"/>
      <c r="FE33" s="1055"/>
      <c r="FF33" s="1055"/>
      <c r="FG33" s="1055"/>
      <c r="FH33" s="1055"/>
      <c r="FI33" s="1055"/>
      <c r="FJ33" s="1055"/>
      <c r="FK33" s="1055"/>
      <c r="FL33" s="1055"/>
      <c r="FM33" s="1055"/>
      <c r="FN33" s="1055"/>
      <c r="FO33" s="1055"/>
      <c r="FP33" s="1055"/>
      <c r="FQ33" s="1055"/>
      <c r="FR33" s="1055"/>
      <c r="FS33" s="1055"/>
      <c r="FT33" s="1055"/>
      <c r="FU33" s="1055"/>
      <c r="FV33" s="1055"/>
      <c r="FW33" s="1055"/>
      <c r="FX33" s="1055"/>
      <c r="FY33" s="1055"/>
      <c r="FZ33" s="1055"/>
      <c r="GA33" s="1055"/>
      <c r="GB33" s="1055"/>
      <c r="GC33" s="1055"/>
      <c r="GD33" s="1055"/>
      <c r="GE33" s="1055"/>
      <c r="GF33" s="1055"/>
      <c r="GG33" s="1055"/>
      <c r="GH33" s="1055"/>
      <c r="GI33" s="1055"/>
      <c r="GJ33" s="1055"/>
      <c r="GK33" s="1055"/>
      <c r="GL33" s="1055"/>
      <c r="GM33" s="1055"/>
      <c r="GN33" s="1055"/>
      <c r="GO33" s="1055"/>
      <c r="GP33" s="1055"/>
      <c r="GQ33" s="1055"/>
      <c r="GR33" s="1055"/>
      <c r="GS33" s="1055"/>
      <c r="GT33" s="1055"/>
      <c r="GU33" s="1055"/>
      <c r="GV33" s="1055"/>
      <c r="GW33" s="1055"/>
      <c r="GX33" s="1055"/>
      <c r="GY33" s="1055"/>
      <c r="GZ33" s="1055"/>
      <c r="HA33" s="1055"/>
      <c r="HB33" s="1055"/>
      <c r="HC33" s="1055"/>
      <c r="HD33" s="1055"/>
      <c r="HE33" s="1055"/>
      <c r="HF33" s="1055"/>
      <c r="HG33" s="1055"/>
      <c r="HH33" s="1055"/>
      <c r="HI33" s="1055"/>
      <c r="HJ33" s="1055"/>
      <c r="HK33" s="1055"/>
      <c r="HL33" s="1055"/>
      <c r="HM33" s="1055"/>
      <c r="HN33" s="1055"/>
      <c r="HO33" s="1055"/>
      <c r="HP33" s="1055"/>
      <c r="HQ33" s="1055"/>
      <c r="HR33" s="1055"/>
      <c r="HS33" s="1055"/>
      <c r="HT33" s="1055"/>
      <c r="HU33" s="1055"/>
      <c r="HV33" s="1055"/>
      <c r="HW33" s="1055"/>
      <c r="HX33" s="1055"/>
      <c r="HY33" s="1055"/>
      <c r="HZ33" s="1055"/>
      <c r="IA33" s="1055"/>
      <c r="IB33" s="1055"/>
      <c r="IC33" s="1055"/>
      <c r="ID33" s="1055"/>
      <c r="IE33" s="1055"/>
      <c r="IF33" s="1055"/>
      <c r="IG33" s="1055"/>
      <c r="IH33" s="1055"/>
      <c r="II33" s="1055"/>
      <c r="IJ33" s="1055"/>
      <c r="IK33" s="1055"/>
      <c r="IL33" s="1055"/>
      <c r="IM33" s="1055"/>
      <c r="IN33" s="1055"/>
      <c r="IO33" s="1055"/>
      <c r="IP33" s="1055"/>
      <c r="IQ33" s="1055"/>
      <c r="IR33" s="1055"/>
      <c r="IS33" s="1055"/>
      <c r="IT33" s="1055"/>
      <c r="IU33" s="1055"/>
      <c r="IV33" s="1055"/>
      <c r="IW33" s="1055"/>
    </row>
    <row r="34" customFormat="false" ht="12.75" hidden="false" customHeight="false" outlineLevel="0" collapsed="false">
      <c r="A34" s="1053"/>
      <c r="B34" s="1057" t="s">
        <v>648</v>
      </c>
      <c r="C34" s="100"/>
      <c r="D34" s="130"/>
      <c r="E34" s="130" t="n">
        <f aca="false">CashFlow!E28</f>
        <v>-1128.5524</v>
      </c>
      <c r="F34" s="130" t="n">
        <f aca="false">CashFlow!F28</f>
        <v>-1129.049997</v>
      </c>
      <c r="G34" s="130" t="n">
        <f aca="false">CashFlow!G28</f>
        <v>-1130.1997655895</v>
      </c>
      <c r="H34" s="130" t="n">
        <f aca="false">CashFlow!H28</f>
        <v>-1132.14898157918</v>
      </c>
      <c r="I34" s="130" t="n">
        <f aca="false">CashFlow!I28</f>
        <v>-1134.77213920728</v>
      </c>
      <c r="J34" s="130" t="n">
        <f aca="false">CashFlow!J28</f>
        <v>-1482.98190870659</v>
      </c>
      <c r="K34" s="130" t="n">
        <f aca="false">CashFlow!K28</f>
        <v>-1495.89981899892</v>
      </c>
      <c r="L34" s="130" t="n">
        <f aca="false">CashFlow!L28</f>
        <v>-1509.57379006443</v>
      </c>
      <c r="M34" s="130" t="n">
        <f aca="false">CashFlow!M28</f>
        <v>-1524.0085116777</v>
      </c>
      <c r="N34" s="130" t="n">
        <f aca="false">CashFlow!N28</f>
        <v>-1539.3053282885</v>
      </c>
      <c r="O34" s="130" t="n">
        <f aca="false">CashFlow!O28</f>
        <v>-1510.53261358893</v>
      </c>
      <c r="P34" s="130" t="n">
        <f aca="false">CashFlow!P28</f>
        <v>-1528.03529858551</v>
      </c>
      <c r="Q34" s="130" t="n">
        <f aca="false">CashFlow!Q28</f>
        <v>-1547.14492393436</v>
      </c>
      <c r="R34" s="130" t="n">
        <f aca="false">CashFlow!R28</f>
        <v>-1567.94382324035</v>
      </c>
      <c r="S34" s="130" t="n">
        <f aca="false">CashFlow!S28</f>
        <v>-1590.62782339725</v>
      </c>
      <c r="T34" s="130" t="n">
        <f aca="false">CashFlow!T28</f>
        <v>-1615.19582420471</v>
      </c>
      <c r="U34" s="130" t="n">
        <f aca="false">CashFlow!U28</f>
        <v>-1641.50928056403</v>
      </c>
      <c r="V34" s="130" t="n">
        <f aca="false">CashFlow!V28</f>
        <v>-1591.62284885926</v>
      </c>
      <c r="W34" s="130" t="n">
        <f aca="false">CashFlow!W28</f>
        <v>-1620.41172855041</v>
      </c>
      <c r="X34" s="130" t="n">
        <f aca="false">CashFlow!X28</f>
        <v>-1652.33852365652</v>
      </c>
      <c r="Y34" s="130" t="n">
        <f aca="false">CashFlow!Y28</f>
        <v>0</v>
      </c>
      <c r="Z34" s="130" t="n">
        <f aca="false">CashFlow!Z28</f>
        <v>0</v>
      </c>
      <c r="AA34" s="130" t="n">
        <f aca="false">CashFlow!AA28</f>
        <v>0</v>
      </c>
      <c r="AB34" s="130" t="n">
        <f aca="false">CashFlow!AB28</f>
        <v>0</v>
      </c>
      <c r="AC34" s="130" t="n">
        <f aca="false">CashFlow!AC28</f>
        <v>0</v>
      </c>
      <c r="AD34" s="130" t="n">
        <f aca="false">CashFlow!AD28</f>
        <v>0</v>
      </c>
      <c r="AE34" s="130" t="n">
        <f aca="false">CashFlow!AE28</f>
        <v>0</v>
      </c>
      <c r="AF34" s="130" t="n">
        <f aca="false">CashFlow!AF28</f>
        <v>0</v>
      </c>
      <c r="AG34" s="130" t="n">
        <f aca="false">CashFlow!AG28</f>
        <v>0</v>
      </c>
      <c r="AH34" s="130" t="n">
        <f aca="false">CashFlow!AH28</f>
        <v>0</v>
      </c>
      <c r="AI34" s="130" t="n">
        <f aca="false">CashFlow!AI28</f>
        <v>0</v>
      </c>
      <c r="AJ34" s="1052"/>
      <c r="AK34" s="1052"/>
      <c r="AL34" s="130"/>
      <c r="AM34" s="130"/>
      <c r="AN34" s="570" t="n">
        <f aca="false">E34/E$33</f>
        <v>-0.304687880325701</v>
      </c>
      <c r="AO34" s="570" t="n">
        <f aca="false">F34/F$33</f>
        <v>-0.304822222138439</v>
      </c>
      <c r="AP34" s="570" t="n">
        <f aca="false">G34/G$33</f>
        <v>-0.305132637990109</v>
      </c>
      <c r="AQ34" s="570" t="n">
        <f aca="false">H34/H$33</f>
        <v>-0.305658889574167</v>
      </c>
      <c r="AR34" s="570" t="n">
        <f aca="false">I34/I$33</f>
        <v>-0.306367092700106</v>
      </c>
      <c r="AS34" s="570" t="n">
        <f aca="false">J34/J$33</f>
        <v>-0.400377168419626</v>
      </c>
      <c r="AT34" s="570" t="n">
        <f aca="false">K34/K$33</f>
        <v>-0.403864760759342</v>
      </c>
      <c r="AU34" s="570" t="n">
        <f aca="false">L34/L$33</f>
        <v>-0.40755647525978</v>
      </c>
      <c r="AV34" s="570" t="n">
        <f aca="false">M34/M$33</f>
        <v>-0.411453578071699</v>
      </c>
      <c r="AW34" s="570" t="n">
        <f aca="false">N34/N$33</f>
        <v>-0.415583430286694</v>
      </c>
      <c r="AX34" s="570" t="n">
        <f aca="false">O34/O$33</f>
        <v>-0.407815339542277</v>
      </c>
      <c r="AY34" s="570" t="n">
        <f aca="false">P34/P$33</f>
        <v>-0.412540734651638</v>
      </c>
      <c r="AZ34" s="570" t="n">
        <f aca="false">Q34/Q$33</f>
        <v>-0.417699973373169</v>
      </c>
      <c r="BA34" s="570" t="n">
        <f aca="false">R34/R$33</f>
        <v>-0.423315284228608</v>
      </c>
      <c r="BB34" s="570" t="n">
        <f aca="false">S34/S$33</f>
        <v>-0.429439536788892</v>
      </c>
      <c r="BC34" s="570" t="n">
        <f aca="false">T34/T$33</f>
        <v>-0.43607243402066</v>
      </c>
      <c r="BD34" s="570" t="n">
        <f aca="false">U34/U$33</f>
        <v>-0.443176571358158</v>
      </c>
      <c r="BE34" s="570" t="n">
        <f aca="false">V34/V$33</f>
        <v>-0.429708174912287</v>
      </c>
      <c r="BF34" s="570" t="n">
        <f aca="false">W34/W$33</f>
        <v>-0.437480629899797</v>
      </c>
      <c r="BG34" s="570" t="n">
        <f aca="false">X34/X$33</f>
        <v>-0.446100262915043</v>
      </c>
      <c r="BH34" s="570" t="e">
        <f aca="false">Y34/Y$33</f>
        <v>#DIV/0!</v>
      </c>
      <c r="BI34" s="570" t="e">
        <f aca="false">Z34/Z$33</f>
        <v>#DIV/0!</v>
      </c>
      <c r="BJ34" s="570" t="e">
        <f aca="false">AA34/AA$33</f>
        <v>#DIV/0!</v>
      </c>
      <c r="BK34" s="570" t="e">
        <f aca="false">AB34/AB$33</f>
        <v>#DIV/0!</v>
      </c>
      <c r="BL34" s="570" t="e">
        <f aca="false">AC34/AC$33</f>
        <v>#DIV/0!</v>
      </c>
      <c r="BM34" s="570" t="e">
        <f aca="false">AD34/AD$33</f>
        <v>#DIV/0!</v>
      </c>
      <c r="BN34" s="570" t="e">
        <f aca="false">AE34/AE$33</f>
        <v>#DIV/0!</v>
      </c>
      <c r="BO34" s="570" t="e">
        <f aca="false">AF34/AF$33</f>
        <v>#DIV/0!</v>
      </c>
      <c r="BP34" s="570" t="e">
        <f aca="false">AG34/AG$33</f>
        <v>#DIV/0!</v>
      </c>
      <c r="BQ34" s="570" t="e">
        <f aca="false">AH34/AH$33</f>
        <v>#DIV/0!</v>
      </c>
      <c r="BR34" s="963" t="e">
        <f aca="false">AI34/AI$33</f>
        <v>#DIV/0!</v>
      </c>
      <c r="BS34" s="1053"/>
      <c r="BT34" s="1053"/>
      <c r="BU34" s="1053"/>
      <c r="BV34" s="1053"/>
      <c r="BW34" s="1053"/>
      <c r="BX34" s="1053"/>
      <c r="BY34" s="1053"/>
      <c r="BZ34" s="1053"/>
      <c r="CA34" s="1053"/>
      <c r="CB34" s="1053"/>
      <c r="CC34" s="1053"/>
      <c r="CD34" s="1053"/>
      <c r="CE34" s="1053"/>
      <c r="CF34" s="1053"/>
      <c r="CG34" s="1053"/>
      <c r="CH34" s="1053"/>
      <c r="CI34" s="1053"/>
      <c r="CJ34" s="1053"/>
      <c r="CK34" s="1053"/>
      <c r="CL34" s="1053"/>
      <c r="CM34" s="1053"/>
      <c r="CN34" s="1053"/>
      <c r="CO34" s="1053"/>
      <c r="CP34" s="1053"/>
      <c r="CQ34" s="1053"/>
      <c r="CR34" s="1053"/>
      <c r="CS34" s="1053"/>
      <c r="CT34" s="1053"/>
      <c r="CU34" s="1053"/>
      <c r="CV34" s="1053"/>
      <c r="CW34" s="1053"/>
      <c r="CX34" s="1053"/>
      <c r="CY34" s="1053"/>
      <c r="CZ34" s="1053"/>
      <c r="DA34" s="1053"/>
      <c r="DB34" s="1053"/>
      <c r="DC34" s="1053"/>
      <c r="DD34" s="1053"/>
      <c r="DE34" s="1053"/>
      <c r="DF34" s="1053"/>
      <c r="DG34" s="1053"/>
      <c r="DH34" s="1053"/>
      <c r="DI34" s="1053"/>
      <c r="DJ34" s="1053"/>
      <c r="DK34" s="1053"/>
      <c r="DL34" s="1053"/>
      <c r="DM34" s="1053"/>
      <c r="DN34" s="1053"/>
      <c r="DO34" s="1053"/>
      <c r="DP34" s="1053"/>
      <c r="DQ34" s="1053"/>
      <c r="DR34" s="1053"/>
      <c r="DS34" s="1053"/>
      <c r="DT34" s="1053"/>
      <c r="DU34" s="1053"/>
      <c r="DV34" s="1053"/>
      <c r="DW34" s="1053"/>
      <c r="DX34" s="1053"/>
      <c r="DY34" s="1053"/>
      <c r="DZ34" s="1053"/>
      <c r="EA34" s="1053"/>
      <c r="EB34" s="1053"/>
      <c r="EC34" s="1053"/>
      <c r="ED34" s="1053"/>
      <c r="EE34" s="1053"/>
      <c r="EF34" s="1053"/>
      <c r="EG34" s="1053"/>
      <c r="EH34" s="1053"/>
      <c r="EI34" s="1053"/>
      <c r="EJ34" s="1053"/>
      <c r="EK34" s="1053"/>
      <c r="EL34" s="1053"/>
      <c r="EM34" s="1053"/>
      <c r="EN34" s="1053"/>
      <c r="EO34" s="1053"/>
      <c r="EP34" s="1053"/>
      <c r="EQ34" s="1053"/>
      <c r="ER34" s="1053"/>
      <c r="ES34" s="1053"/>
      <c r="ET34" s="1053"/>
      <c r="EU34" s="1053"/>
      <c r="EV34" s="1053"/>
      <c r="EW34" s="1053"/>
      <c r="EX34" s="1053"/>
      <c r="EY34" s="1053"/>
      <c r="EZ34" s="1053"/>
      <c r="FA34" s="1053"/>
      <c r="FB34" s="1053"/>
      <c r="FC34" s="1053"/>
      <c r="FD34" s="1053"/>
      <c r="FE34" s="1053"/>
      <c r="FF34" s="1053"/>
      <c r="FG34" s="1053"/>
      <c r="FH34" s="1053"/>
      <c r="FI34" s="1053"/>
      <c r="FJ34" s="1053"/>
      <c r="FK34" s="1053"/>
      <c r="FL34" s="1053"/>
      <c r="FM34" s="1053"/>
      <c r="FN34" s="1053"/>
      <c r="FO34" s="1053"/>
      <c r="FP34" s="1053"/>
      <c r="FQ34" s="1053"/>
      <c r="FR34" s="1053"/>
      <c r="FS34" s="1053"/>
      <c r="FT34" s="1053"/>
      <c r="FU34" s="1053"/>
      <c r="FV34" s="1053"/>
      <c r="FW34" s="1053"/>
      <c r="FX34" s="1053"/>
      <c r="FY34" s="1053"/>
      <c r="FZ34" s="1053"/>
      <c r="GA34" s="1053"/>
      <c r="GB34" s="1053"/>
      <c r="GC34" s="1053"/>
      <c r="GD34" s="1053"/>
      <c r="GE34" s="1053"/>
      <c r="GF34" s="1053"/>
      <c r="GG34" s="1053"/>
      <c r="GH34" s="1053"/>
      <c r="GI34" s="1053"/>
      <c r="GJ34" s="1053"/>
      <c r="GK34" s="1053"/>
      <c r="GL34" s="1053"/>
      <c r="GM34" s="1053"/>
      <c r="GN34" s="1053"/>
      <c r="GO34" s="1053"/>
      <c r="GP34" s="1053"/>
      <c r="GQ34" s="1053"/>
      <c r="GR34" s="1053"/>
      <c r="GS34" s="1053"/>
      <c r="GT34" s="1053"/>
      <c r="GU34" s="1053"/>
      <c r="GV34" s="1053"/>
      <c r="GW34" s="1053"/>
      <c r="GX34" s="1053"/>
      <c r="GY34" s="1053"/>
      <c r="GZ34" s="1053"/>
      <c r="HA34" s="1053"/>
      <c r="HB34" s="1053"/>
      <c r="HC34" s="1053"/>
      <c r="HD34" s="1053"/>
      <c r="HE34" s="1053"/>
      <c r="HF34" s="1053"/>
      <c r="HG34" s="1053"/>
      <c r="HH34" s="1053"/>
      <c r="HI34" s="1053"/>
      <c r="HJ34" s="1053"/>
      <c r="HK34" s="1053"/>
      <c r="HL34" s="1053"/>
      <c r="HM34" s="1053"/>
      <c r="HN34" s="1053"/>
      <c r="HO34" s="1053"/>
      <c r="HP34" s="1053"/>
      <c r="HQ34" s="1053"/>
      <c r="HR34" s="1053"/>
      <c r="HS34" s="1053"/>
      <c r="HT34" s="1053"/>
      <c r="HU34" s="1053"/>
      <c r="HV34" s="1053"/>
      <c r="HW34" s="1053"/>
      <c r="HX34" s="1053"/>
      <c r="HY34" s="1053"/>
      <c r="HZ34" s="1053"/>
      <c r="IA34" s="1053"/>
      <c r="IB34" s="1053"/>
      <c r="IC34" s="1053"/>
      <c r="ID34" s="1053"/>
      <c r="IE34" s="1053"/>
      <c r="IF34" s="1053"/>
      <c r="IG34" s="1053"/>
      <c r="IH34" s="1053"/>
      <c r="II34" s="1053"/>
      <c r="IJ34" s="1053"/>
      <c r="IK34" s="1053"/>
      <c r="IL34" s="1053"/>
      <c r="IM34" s="1053"/>
      <c r="IN34" s="1053"/>
      <c r="IO34" s="1053"/>
      <c r="IP34" s="1053"/>
      <c r="IQ34" s="1053"/>
      <c r="IR34" s="1053"/>
      <c r="IS34" s="1053"/>
      <c r="IT34" s="1053"/>
      <c r="IU34" s="1053"/>
      <c r="IV34" s="1053"/>
      <c r="IW34" s="1053"/>
    </row>
    <row r="35" customFormat="false" ht="12.75" hidden="false" customHeight="false" outlineLevel="0" collapsed="false">
      <c r="A35" s="1053"/>
      <c r="B35" s="130" t="s">
        <v>649</v>
      </c>
      <c r="C35" s="100"/>
      <c r="D35" s="130"/>
      <c r="E35" s="130" t="n">
        <f aca="false">CashFlow!E36+CashFlow!E38+CashFlow!E48</f>
        <v>-13.9590142318764</v>
      </c>
      <c r="F35" s="130" t="n">
        <f aca="false">CashFlow!F36+CashFlow!F38+CashFlow!F48</f>
        <v>-14.0102268490861</v>
      </c>
      <c r="G35" s="130" t="n">
        <f aca="false">CashFlow!G36+CashFlow!G38+CashFlow!G48</f>
        <v>-14.0577566030102</v>
      </c>
      <c r="H35" s="130" t="n">
        <f aca="false">CashFlow!H36+CashFlow!H38+CashFlow!H48</f>
        <v>-14.1015964508669</v>
      </c>
      <c r="I35" s="130" t="n">
        <f aca="false">CashFlow!I36+CashFlow!I38+CashFlow!I48</f>
        <v>-14.1427752643272</v>
      </c>
      <c r="J35" s="130" t="n">
        <f aca="false">CashFlow!J36+CashFlow!J38+CashFlow!J48</f>
        <v>-14.1323824334686</v>
      </c>
      <c r="K35" s="130" t="n">
        <f aca="false">CashFlow!K36+CashFlow!K38+CashFlow!K48</f>
        <v>-14.1185587151824</v>
      </c>
      <c r="L35" s="130" t="n">
        <f aca="false">CashFlow!L36+CashFlow!L38+CashFlow!L48</f>
        <v>-14.101247671197</v>
      </c>
      <c r="M35" s="130" t="n">
        <f aca="false">CashFlow!M36+CashFlow!M38+CashFlow!M48</f>
        <v>-14.0803581289888</v>
      </c>
      <c r="N35" s="130" t="n">
        <f aca="false">CashFlow!N36+CashFlow!N38+CashFlow!N48</f>
        <v>-14.2965972190601</v>
      </c>
      <c r="O35" s="130" t="n">
        <f aca="false">CashFlow!O36+CashFlow!O38+CashFlow!O48</f>
        <v>-14.2672486952922</v>
      </c>
      <c r="P35" s="130" t="n">
        <f aca="false">CashFlow!P36+CashFlow!P38+CashFlow!P48</f>
        <v>-14.2319654826715</v>
      </c>
      <c r="Q35" s="130" t="n">
        <f aca="false">CashFlow!Q36+CashFlow!Q38+CashFlow!Q48</f>
        <v>-14.1904278303192</v>
      </c>
      <c r="R35" s="130" t="n">
        <f aca="false">CashFlow!R36+CashFlow!R38+CashFlow!R48</f>
        <v>-14.1422639057507</v>
      </c>
      <c r="S35" s="130" t="n">
        <f aca="false">CashFlow!S36+CashFlow!S38+CashFlow!S48</f>
        <v>-14.0870940977721</v>
      </c>
      <c r="T35" s="130" t="n">
        <f aca="false">CashFlow!T36+CashFlow!T38+CashFlow!T48</f>
        <v>-13.4206142384468</v>
      </c>
      <c r="U35" s="130" t="n">
        <f aca="false">CashFlow!U36+CashFlow!U38+CashFlow!U48</f>
        <v>-3.06060118291604</v>
      </c>
      <c r="V35" s="130" t="n">
        <f aca="false">CashFlow!V36+CashFlow!V38+CashFlow!V48</f>
        <v>-3.1493586172206</v>
      </c>
      <c r="W35" s="130" t="n">
        <f aca="false">CashFlow!W36+CashFlow!W38+CashFlow!W48</f>
        <v>-3.24541405504583</v>
      </c>
      <c r="X35" s="130" t="n">
        <f aca="false">CashFlow!X36+CashFlow!X38+CashFlow!X48</f>
        <v>0</v>
      </c>
      <c r="Y35" s="130" t="n">
        <f aca="false">CashFlow!Y36+CashFlow!Y38+CashFlow!Y48</f>
        <v>0</v>
      </c>
      <c r="Z35" s="130" t="n">
        <f aca="false">CashFlow!Z36+CashFlow!Z38+CashFlow!Z48</f>
        <v>0</v>
      </c>
      <c r="AA35" s="130" t="n">
        <f aca="false">CashFlow!AA36+CashFlow!AA38+CashFlow!AA48</f>
        <v>0</v>
      </c>
      <c r="AB35" s="130" t="n">
        <f aca="false">CashFlow!AB36+CashFlow!AB38+CashFlow!AB48</f>
        <v>0</v>
      </c>
      <c r="AC35" s="130" t="n">
        <f aca="false">CashFlow!AC36+CashFlow!AC38+CashFlow!AC48</f>
        <v>0</v>
      </c>
      <c r="AD35" s="130" t="n">
        <f aca="false">CashFlow!AD36+CashFlow!AD38+CashFlow!AD48</f>
        <v>0</v>
      </c>
      <c r="AE35" s="130" t="n">
        <f aca="false">CashFlow!AE36+CashFlow!AE38+CashFlow!AE48</f>
        <v>0</v>
      </c>
      <c r="AF35" s="130" t="n">
        <f aca="false">CashFlow!AF36+CashFlow!AF38+CashFlow!AF48</f>
        <v>0</v>
      </c>
      <c r="AG35" s="130" t="n">
        <f aca="false">CashFlow!AG36+CashFlow!AG38+CashFlow!AG48</f>
        <v>0</v>
      </c>
      <c r="AH35" s="130" t="n">
        <f aca="false">CashFlow!AH36+CashFlow!AH38+CashFlow!AH48</f>
        <v>0</v>
      </c>
      <c r="AI35" s="130" t="n">
        <f aca="false">CashFlow!AI36+CashFlow!AI38+CashFlow!AI48</f>
        <v>0</v>
      </c>
      <c r="AJ35" s="1052"/>
      <c r="AK35" s="1052"/>
      <c r="AL35" s="130"/>
      <c r="AM35" s="130"/>
      <c r="AN35" s="570" t="n">
        <f aca="false">E35/E$33</f>
        <v>-0.00376867078369308</v>
      </c>
      <c r="AO35" s="570" t="n">
        <f aca="false">F35/F$33</f>
        <v>-0.00378249722523318</v>
      </c>
      <c r="AP35" s="570" t="n">
        <f aca="false">G35/G$33</f>
        <v>-0.0037953293630901</v>
      </c>
      <c r="AQ35" s="570" t="n">
        <f aca="false">H35/H$33</f>
        <v>-0.00380716529584542</v>
      </c>
      <c r="AR35" s="570" t="n">
        <f aca="false">I35/I$33</f>
        <v>-0.00381828279946117</v>
      </c>
      <c r="AS35" s="570" t="n">
        <f aca="false">J35/J$33</f>
        <v>-0.00381547693098318</v>
      </c>
      <c r="AT35" s="570" t="n">
        <f aca="false">K35/K$33</f>
        <v>-0.00381174478755515</v>
      </c>
      <c r="AU35" s="570" t="n">
        <f aca="false">L35/L$33</f>
        <v>-0.00380707113190734</v>
      </c>
      <c r="AV35" s="570" t="n">
        <f aca="false">M35/M$33</f>
        <v>-0.00380143134917647</v>
      </c>
      <c r="AW35" s="570" t="n">
        <f aca="false">N35/N$33</f>
        <v>-0.00385981182845008</v>
      </c>
      <c r="AX35" s="570" t="n">
        <f aca="false">O35/O$33</f>
        <v>-0.0038518882801084</v>
      </c>
      <c r="AY35" s="570" t="n">
        <f aca="false">P35/P$33</f>
        <v>-0.00384236247761619</v>
      </c>
      <c r="AZ35" s="570" t="n">
        <f aca="false">Q35/Q$33</f>
        <v>-0.00383114809426198</v>
      </c>
      <c r="BA35" s="570" t="n">
        <f aca="false">R35/R$33</f>
        <v>-0.0038181447422821</v>
      </c>
      <c r="BB35" s="570" t="n">
        <f aca="false">S35/S$33</f>
        <v>-0.003803249933808</v>
      </c>
      <c r="BC35" s="570" t="n">
        <f aca="false">T35/T$33</f>
        <v>-0.00362331293166473</v>
      </c>
      <c r="BD35" s="570" t="n">
        <f aca="false">U35/U$33</f>
        <v>-0.000826304642075122</v>
      </c>
      <c r="BE35" s="570" t="n">
        <f aca="false">V35/V$33</f>
        <v>-0.0008502674766953</v>
      </c>
      <c r="BF35" s="570" t="n">
        <f aca="false">W35/W$33</f>
        <v>-0.000876200634734507</v>
      </c>
      <c r="BG35" s="570" t="n">
        <f aca="false">X35/X$33</f>
        <v>0</v>
      </c>
      <c r="BH35" s="570" t="e">
        <f aca="false">Y35/Y$33</f>
        <v>#DIV/0!</v>
      </c>
      <c r="BI35" s="570" t="e">
        <f aca="false">Z35/Z$33</f>
        <v>#DIV/0!</v>
      </c>
      <c r="BJ35" s="570" t="e">
        <f aca="false">AA35/AA$33</f>
        <v>#DIV/0!</v>
      </c>
      <c r="BK35" s="570" t="e">
        <f aca="false">AB35/AB$33</f>
        <v>#DIV/0!</v>
      </c>
      <c r="BL35" s="570" t="e">
        <f aca="false">AC35/AC$33</f>
        <v>#DIV/0!</v>
      </c>
      <c r="BM35" s="570" t="e">
        <f aca="false">AD35/AD$33</f>
        <v>#DIV/0!</v>
      </c>
      <c r="BN35" s="570" t="e">
        <f aca="false">AE35/AE$33</f>
        <v>#DIV/0!</v>
      </c>
      <c r="BO35" s="570" t="e">
        <f aca="false">AF35/AF$33</f>
        <v>#DIV/0!</v>
      </c>
      <c r="BP35" s="570" t="e">
        <f aca="false">AG35/AG$33</f>
        <v>#DIV/0!</v>
      </c>
      <c r="BQ35" s="570" t="e">
        <f aca="false">AH35/AH$33</f>
        <v>#DIV/0!</v>
      </c>
      <c r="BR35" s="963" t="e">
        <f aca="false">AI35/AI$33</f>
        <v>#DIV/0!</v>
      </c>
      <c r="BS35" s="1053"/>
      <c r="BT35" s="1053"/>
      <c r="BU35" s="1053"/>
      <c r="BV35" s="1053"/>
      <c r="BW35" s="1053"/>
      <c r="BX35" s="1053"/>
      <c r="BY35" s="1053"/>
      <c r="BZ35" s="1053"/>
      <c r="CA35" s="1053"/>
      <c r="CB35" s="1053"/>
      <c r="CC35" s="1053"/>
      <c r="CD35" s="1053"/>
      <c r="CE35" s="1053"/>
      <c r="CF35" s="1053"/>
      <c r="CG35" s="1053"/>
      <c r="CH35" s="1053"/>
      <c r="CI35" s="1053"/>
      <c r="CJ35" s="1053"/>
      <c r="CK35" s="1053"/>
      <c r="CL35" s="1053"/>
      <c r="CM35" s="1053"/>
      <c r="CN35" s="1053"/>
      <c r="CO35" s="1053"/>
      <c r="CP35" s="1053"/>
      <c r="CQ35" s="1053"/>
      <c r="CR35" s="1053"/>
      <c r="CS35" s="1053"/>
      <c r="CT35" s="1053"/>
      <c r="CU35" s="1053"/>
      <c r="CV35" s="1053"/>
      <c r="CW35" s="1053"/>
      <c r="CX35" s="1053"/>
      <c r="CY35" s="1053"/>
      <c r="CZ35" s="1053"/>
      <c r="DA35" s="1053"/>
      <c r="DB35" s="1053"/>
      <c r="DC35" s="1053"/>
      <c r="DD35" s="1053"/>
      <c r="DE35" s="1053"/>
      <c r="DF35" s="1053"/>
      <c r="DG35" s="1053"/>
      <c r="DH35" s="1053"/>
      <c r="DI35" s="1053"/>
      <c r="DJ35" s="1053"/>
      <c r="DK35" s="1053"/>
      <c r="DL35" s="1053"/>
      <c r="DM35" s="1053"/>
      <c r="DN35" s="1053"/>
      <c r="DO35" s="1053"/>
      <c r="DP35" s="1053"/>
      <c r="DQ35" s="1053"/>
      <c r="DR35" s="1053"/>
      <c r="DS35" s="1053"/>
      <c r="DT35" s="1053"/>
      <c r="DU35" s="1053"/>
      <c r="DV35" s="1053"/>
      <c r="DW35" s="1053"/>
      <c r="DX35" s="1053"/>
      <c r="DY35" s="1053"/>
      <c r="DZ35" s="1053"/>
      <c r="EA35" s="1053"/>
      <c r="EB35" s="1053"/>
      <c r="EC35" s="1053"/>
      <c r="ED35" s="1053"/>
      <c r="EE35" s="1053"/>
      <c r="EF35" s="1053"/>
      <c r="EG35" s="1053"/>
      <c r="EH35" s="1053"/>
      <c r="EI35" s="1053"/>
      <c r="EJ35" s="1053"/>
      <c r="EK35" s="1053"/>
      <c r="EL35" s="1053"/>
      <c r="EM35" s="1053"/>
      <c r="EN35" s="1053"/>
      <c r="EO35" s="1053"/>
      <c r="EP35" s="1053"/>
      <c r="EQ35" s="1053"/>
      <c r="ER35" s="1053"/>
      <c r="ES35" s="1053"/>
      <c r="ET35" s="1053"/>
      <c r="EU35" s="1053"/>
      <c r="EV35" s="1053"/>
      <c r="EW35" s="1053"/>
      <c r="EX35" s="1053"/>
      <c r="EY35" s="1053"/>
      <c r="EZ35" s="1053"/>
      <c r="FA35" s="1053"/>
      <c r="FB35" s="1053"/>
      <c r="FC35" s="1053"/>
      <c r="FD35" s="1053"/>
      <c r="FE35" s="1053"/>
      <c r="FF35" s="1053"/>
      <c r="FG35" s="1053"/>
      <c r="FH35" s="1053"/>
      <c r="FI35" s="1053"/>
      <c r="FJ35" s="1053"/>
      <c r="FK35" s="1053"/>
      <c r="FL35" s="1053"/>
      <c r="FM35" s="1053"/>
      <c r="FN35" s="1053"/>
      <c r="FO35" s="1053"/>
      <c r="FP35" s="1053"/>
      <c r="FQ35" s="1053"/>
      <c r="FR35" s="1053"/>
      <c r="FS35" s="1053"/>
      <c r="FT35" s="1053"/>
      <c r="FU35" s="1053"/>
      <c r="FV35" s="1053"/>
      <c r="FW35" s="1053"/>
      <c r="FX35" s="1053"/>
      <c r="FY35" s="1053"/>
      <c r="FZ35" s="1053"/>
      <c r="GA35" s="1053"/>
      <c r="GB35" s="1053"/>
      <c r="GC35" s="1053"/>
      <c r="GD35" s="1053"/>
      <c r="GE35" s="1053"/>
      <c r="GF35" s="1053"/>
      <c r="GG35" s="1053"/>
      <c r="GH35" s="1053"/>
      <c r="GI35" s="1053"/>
      <c r="GJ35" s="1053"/>
      <c r="GK35" s="1053"/>
      <c r="GL35" s="1053"/>
      <c r="GM35" s="1053"/>
      <c r="GN35" s="1053"/>
      <c r="GO35" s="1053"/>
      <c r="GP35" s="1053"/>
      <c r="GQ35" s="1053"/>
      <c r="GR35" s="1053"/>
      <c r="GS35" s="1053"/>
      <c r="GT35" s="1053"/>
      <c r="GU35" s="1053"/>
      <c r="GV35" s="1053"/>
      <c r="GW35" s="1053"/>
      <c r="GX35" s="1053"/>
      <c r="GY35" s="1053"/>
      <c r="GZ35" s="1053"/>
      <c r="HA35" s="1053"/>
      <c r="HB35" s="1053"/>
      <c r="HC35" s="1053"/>
      <c r="HD35" s="1053"/>
      <c r="HE35" s="1053"/>
      <c r="HF35" s="1053"/>
      <c r="HG35" s="1053"/>
      <c r="HH35" s="1053"/>
      <c r="HI35" s="1053"/>
      <c r="HJ35" s="1053"/>
      <c r="HK35" s="1053"/>
      <c r="HL35" s="1053"/>
      <c r="HM35" s="1053"/>
      <c r="HN35" s="1053"/>
      <c r="HO35" s="1053"/>
      <c r="HP35" s="1053"/>
      <c r="HQ35" s="1053"/>
      <c r="HR35" s="1053"/>
      <c r="HS35" s="1053"/>
      <c r="HT35" s="1053"/>
      <c r="HU35" s="1053"/>
      <c r="HV35" s="1053"/>
      <c r="HW35" s="1053"/>
      <c r="HX35" s="1053"/>
      <c r="HY35" s="1053"/>
      <c r="HZ35" s="1053"/>
      <c r="IA35" s="1053"/>
      <c r="IB35" s="1053"/>
      <c r="IC35" s="1053"/>
      <c r="ID35" s="1053"/>
      <c r="IE35" s="1053"/>
      <c r="IF35" s="1053"/>
      <c r="IG35" s="1053"/>
      <c r="IH35" s="1053"/>
      <c r="II35" s="1053"/>
      <c r="IJ35" s="1053"/>
      <c r="IK35" s="1053"/>
      <c r="IL35" s="1053"/>
      <c r="IM35" s="1053"/>
      <c r="IN35" s="1053"/>
      <c r="IO35" s="1053"/>
      <c r="IP35" s="1053"/>
      <c r="IQ35" s="1053"/>
      <c r="IR35" s="1053"/>
      <c r="IS35" s="1053"/>
      <c r="IT35" s="1053"/>
      <c r="IU35" s="1053"/>
      <c r="IV35" s="1053"/>
      <c r="IW35" s="1053"/>
    </row>
    <row r="36" customFormat="false" ht="12.75" hidden="false" customHeight="false" outlineLevel="0" collapsed="false">
      <c r="A36" s="1053"/>
      <c r="B36" s="130" t="s">
        <v>523</v>
      </c>
      <c r="C36" s="100"/>
      <c r="D36" s="130"/>
      <c r="E36" s="130" t="n">
        <f aca="false">CashFlow!E39</f>
        <v>-50</v>
      </c>
      <c r="F36" s="130" t="n">
        <f aca="false">CashFlow!F39</f>
        <v>-51.5</v>
      </c>
      <c r="G36" s="130" t="n">
        <f aca="false">CashFlow!G39</f>
        <v>-52.9935</v>
      </c>
      <c r="H36" s="130" t="n">
        <f aca="false">CashFlow!H39</f>
        <v>-54.50381475</v>
      </c>
      <c r="I36" s="130" t="n">
        <f aca="false">CashFlow!I39</f>
        <v>-56.029921563</v>
      </c>
      <c r="J36" s="130" t="n">
        <f aca="false">CashFlow!J39</f>
        <v>-57.5539354295136</v>
      </c>
      <c r="K36" s="130" t="n">
        <f aca="false">CashFlow!K39</f>
        <v>-59.0906255054816</v>
      </c>
      <c r="L36" s="130" t="n">
        <f aca="false">CashFlow!L39</f>
        <v>-60.6387998937252</v>
      </c>
      <c r="M36" s="130" t="n">
        <f aca="false">CashFlow!M39</f>
        <v>-62.2032809309833</v>
      </c>
      <c r="N36" s="130" t="n">
        <f aca="false">CashFlow!N39</f>
        <v>-63.7832442666303</v>
      </c>
      <c r="O36" s="130" t="n">
        <f aca="false">CashFlow!O39</f>
        <v>-65.3905820221494</v>
      </c>
      <c r="P36" s="130" t="n">
        <f aca="false">CashFlow!P39</f>
        <v>-67.0253465727031</v>
      </c>
      <c r="Q36" s="130" t="n">
        <f aca="false">CashFlow!Q39</f>
        <v>-68.7210878409925</v>
      </c>
      <c r="R36" s="130" t="n">
        <f aca="false">CashFlow!R39</f>
        <v>-70.487219798506</v>
      </c>
      <c r="S36" s="130" t="n">
        <f aca="false">CashFlow!S39</f>
        <v>-72.326936235247</v>
      </c>
      <c r="T36" s="130" t="n">
        <f aca="false">CashFlow!T39</f>
        <v>-74.2580654327281</v>
      </c>
      <c r="U36" s="130" t="n">
        <f aca="false">CashFlow!U39</f>
        <v>-76.2704590059551</v>
      </c>
      <c r="V36" s="130" t="n">
        <f aca="false">CashFlow!V39</f>
        <v>-78.3602695827182</v>
      </c>
      <c r="W36" s="130" t="n">
        <f aca="false">CashFlow!W39</f>
        <v>-80.5700291849509</v>
      </c>
      <c r="X36" s="130" t="n">
        <f aca="false">CashFlow!X39</f>
        <v>-82.9065600313145</v>
      </c>
      <c r="Y36" s="130" t="n">
        <f aca="false">CashFlow!Y39</f>
        <v>-0</v>
      </c>
      <c r="Z36" s="130" t="n">
        <f aca="false">CashFlow!Z39</f>
        <v>-0</v>
      </c>
      <c r="AA36" s="130" t="n">
        <f aca="false">CashFlow!AA39</f>
        <v>-0</v>
      </c>
      <c r="AB36" s="130" t="n">
        <f aca="false">CashFlow!AB39</f>
        <v>-0</v>
      </c>
      <c r="AC36" s="130" t="n">
        <f aca="false">CashFlow!AC39</f>
        <v>-0</v>
      </c>
      <c r="AD36" s="130" t="n">
        <f aca="false">CashFlow!AD39</f>
        <v>-0</v>
      </c>
      <c r="AE36" s="130" t="n">
        <f aca="false">CashFlow!AE39</f>
        <v>-0</v>
      </c>
      <c r="AF36" s="130" t="n">
        <f aca="false">CashFlow!AF39</f>
        <v>-0</v>
      </c>
      <c r="AG36" s="130" t="n">
        <f aca="false">CashFlow!AG39</f>
        <v>-0</v>
      </c>
      <c r="AH36" s="130" t="n">
        <f aca="false">CashFlow!AH39</f>
        <v>-0</v>
      </c>
      <c r="AI36" s="130" t="n">
        <f aca="false">CashFlow!AI39</f>
        <v>-0</v>
      </c>
      <c r="AJ36" s="1052"/>
      <c r="AK36" s="1052"/>
      <c r="AL36" s="130"/>
      <c r="AM36" s="130"/>
      <c r="AN36" s="570" t="n">
        <f aca="false">E36/E$33</f>
        <v>-0.0134990577453781</v>
      </c>
      <c r="AO36" s="570" t="n">
        <f aca="false">F36/F$33</f>
        <v>-0.0139040294777394</v>
      </c>
      <c r="AP36" s="570" t="n">
        <f aca="false">G36/G$33</f>
        <v>-0.0143072463325939</v>
      </c>
      <c r="AQ36" s="570" t="n">
        <f aca="false">H36/H$33</f>
        <v>-0.0147150028530728</v>
      </c>
      <c r="AR36" s="570" t="n">
        <f aca="false">I36/I$33</f>
        <v>-0.0151270229329588</v>
      </c>
      <c r="AS36" s="570" t="n">
        <f aca="false">J36/J$33</f>
        <v>-0.0155384779567353</v>
      </c>
      <c r="AT36" s="570" t="n">
        <f aca="false">K36/K$33</f>
        <v>-0.0159533553181801</v>
      </c>
      <c r="AU36" s="570" t="n">
        <f aca="false">L36/L$33</f>
        <v>-0.0163713332275165</v>
      </c>
      <c r="AV36" s="570" t="n">
        <f aca="false">M36/M$33</f>
        <v>-0.0167937136247864</v>
      </c>
      <c r="AW36" s="570" t="n">
        <f aca="false">N36/N$33</f>
        <v>-0.017220273950856</v>
      </c>
      <c r="AX36" s="570" t="n">
        <f aca="false">O36/O$33</f>
        <v>-0.0176542248544175</v>
      </c>
      <c r="AY36" s="570" t="n">
        <f aca="false">P36/P$33</f>
        <v>-0.018095580475778</v>
      </c>
      <c r="AZ36" s="570" t="n">
        <f aca="false">Q36/Q$33</f>
        <v>-0.0185533986618152</v>
      </c>
      <c r="BA36" s="570" t="n">
        <f aca="false">R36/R$33</f>
        <v>-0.0190302210074238</v>
      </c>
      <c r="BB36" s="570" t="n">
        <f aca="false">S36/S$33</f>
        <v>-0.0195269097757176</v>
      </c>
      <c r="BC36" s="570" t="n">
        <f aca="false">T36/T$33</f>
        <v>-0.0200482782667292</v>
      </c>
      <c r="BD36" s="570" t="n">
        <f aca="false">U36/U$33</f>
        <v>-0.0205915866077576</v>
      </c>
      <c r="BE36" s="570" t="n">
        <f aca="false">V36/V$33</f>
        <v>-0.0211557960808102</v>
      </c>
      <c r="BF36" s="570" t="n">
        <f aca="false">W36/W$33</f>
        <v>-0.021752389530289</v>
      </c>
      <c r="BG36" s="570" t="n">
        <f aca="false">X36/X$33</f>
        <v>-0.0223832088266674</v>
      </c>
      <c r="BH36" s="570" t="e">
        <f aca="false">Y36/Y$33</f>
        <v>#DIV/0!</v>
      </c>
      <c r="BI36" s="570" t="e">
        <f aca="false">Z36/Z$33</f>
        <v>#DIV/0!</v>
      </c>
      <c r="BJ36" s="570" t="e">
        <f aca="false">AA36/AA$33</f>
        <v>#DIV/0!</v>
      </c>
      <c r="BK36" s="570" t="e">
        <f aca="false">AB36/AB$33</f>
        <v>#DIV/0!</v>
      </c>
      <c r="BL36" s="570" t="e">
        <f aca="false">AC36/AC$33</f>
        <v>#DIV/0!</v>
      </c>
      <c r="BM36" s="570" t="e">
        <f aca="false">AD36/AD$33</f>
        <v>#DIV/0!</v>
      </c>
      <c r="BN36" s="570" t="e">
        <f aca="false">AE36/AE$33</f>
        <v>#DIV/0!</v>
      </c>
      <c r="BO36" s="570" t="e">
        <f aca="false">AF36/AF$33</f>
        <v>#DIV/0!</v>
      </c>
      <c r="BP36" s="570" t="e">
        <f aca="false">AG36/AG$33</f>
        <v>#DIV/0!</v>
      </c>
      <c r="BQ36" s="570" t="e">
        <f aca="false">AH36/AH$33</f>
        <v>#DIV/0!</v>
      </c>
      <c r="BR36" s="963" t="e">
        <f aca="false">AI36/AI$33</f>
        <v>#DIV/0!</v>
      </c>
      <c r="BS36" s="1053"/>
      <c r="BT36" s="1053"/>
      <c r="BU36" s="1053"/>
      <c r="BV36" s="1053"/>
      <c r="BW36" s="1053"/>
      <c r="BX36" s="1053"/>
      <c r="BY36" s="1053"/>
      <c r="BZ36" s="1053"/>
      <c r="CA36" s="1053"/>
      <c r="CB36" s="1053"/>
      <c r="CC36" s="1053"/>
      <c r="CD36" s="1053"/>
      <c r="CE36" s="1053"/>
      <c r="CF36" s="1053"/>
      <c r="CG36" s="1053"/>
      <c r="CH36" s="1053"/>
      <c r="CI36" s="1053"/>
      <c r="CJ36" s="1053"/>
      <c r="CK36" s="1053"/>
      <c r="CL36" s="1053"/>
      <c r="CM36" s="1053"/>
      <c r="CN36" s="1053"/>
      <c r="CO36" s="1053"/>
      <c r="CP36" s="1053"/>
      <c r="CQ36" s="1053"/>
      <c r="CR36" s="1053"/>
      <c r="CS36" s="1053"/>
      <c r="CT36" s="1053"/>
      <c r="CU36" s="1053"/>
      <c r="CV36" s="1053"/>
      <c r="CW36" s="1053"/>
      <c r="CX36" s="1053"/>
      <c r="CY36" s="1053"/>
      <c r="CZ36" s="1053"/>
      <c r="DA36" s="1053"/>
      <c r="DB36" s="1053"/>
      <c r="DC36" s="1053"/>
      <c r="DD36" s="1053"/>
      <c r="DE36" s="1053"/>
      <c r="DF36" s="1053"/>
      <c r="DG36" s="1053"/>
      <c r="DH36" s="1053"/>
      <c r="DI36" s="1053"/>
      <c r="DJ36" s="1053"/>
      <c r="DK36" s="1053"/>
      <c r="DL36" s="1053"/>
      <c r="DM36" s="1053"/>
      <c r="DN36" s="1053"/>
      <c r="DO36" s="1053"/>
      <c r="DP36" s="1053"/>
      <c r="DQ36" s="1053"/>
      <c r="DR36" s="1053"/>
      <c r="DS36" s="1053"/>
      <c r="DT36" s="1053"/>
      <c r="DU36" s="1053"/>
      <c r="DV36" s="1053"/>
      <c r="DW36" s="1053"/>
      <c r="DX36" s="1053"/>
      <c r="DY36" s="1053"/>
      <c r="DZ36" s="1053"/>
      <c r="EA36" s="1053"/>
      <c r="EB36" s="1053"/>
      <c r="EC36" s="1053"/>
      <c r="ED36" s="1053"/>
      <c r="EE36" s="1053"/>
      <c r="EF36" s="1053"/>
      <c r="EG36" s="1053"/>
      <c r="EH36" s="1053"/>
      <c r="EI36" s="1053"/>
      <c r="EJ36" s="1053"/>
      <c r="EK36" s="1053"/>
      <c r="EL36" s="1053"/>
      <c r="EM36" s="1053"/>
      <c r="EN36" s="1053"/>
      <c r="EO36" s="1053"/>
      <c r="EP36" s="1053"/>
      <c r="EQ36" s="1053"/>
      <c r="ER36" s="1053"/>
      <c r="ES36" s="1053"/>
      <c r="ET36" s="1053"/>
      <c r="EU36" s="1053"/>
      <c r="EV36" s="1053"/>
      <c r="EW36" s="1053"/>
      <c r="EX36" s="1053"/>
      <c r="EY36" s="1053"/>
      <c r="EZ36" s="1053"/>
      <c r="FA36" s="1053"/>
      <c r="FB36" s="1053"/>
      <c r="FC36" s="1053"/>
      <c r="FD36" s="1053"/>
      <c r="FE36" s="1053"/>
      <c r="FF36" s="1053"/>
      <c r="FG36" s="1053"/>
      <c r="FH36" s="1053"/>
      <c r="FI36" s="1053"/>
      <c r="FJ36" s="1053"/>
      <c r="FK36" s="1053"/>
      <c r="FL36" s="1053"/>
      <c r="FM36" s="1053"/>
      <c r="FN36" s="1053"/>
      <c r="FO36" s="1053"/>
      <c r="FP36" s="1053"/>
      <c r="FQ36" s="1053"/>
      <c r="FR36" s="1053"/>
      <c r="FS36" s="1053"/>
      <c r="FT36" s="1053"/>
      <c r="FU36" s="1053"/>
      <c r="FV36" s="1053"/>
      <c r="FW36" s="1053"/>
      <c r="FX36" s="1053"/>
      <c r="FY36" s="1053"/>
      <c r="FZ36" s="1053"/>
      <c r="GA36" s="1053"/>
      <c r="GB36" s="1053"/>
      <c r="GC36" s="1053"/>
      <c r="GD36" s="1053"/>
      <c r="GE36" s="1053"/>
      <c r="GF36" s="1053"/>
      <c r="GG36" s="1053"/>
      <c r="GH36" s="1053"/>
      <c r="GI36" s="1053"/>
      <c r="GJ36" s="1053"/>
      <c r="GK36" s="1053"/>
      <c r="GL36" s="1053"/>
      <c r="GM36" s="1053"/>
      <c r="GN36" s="1053"/>
      <c r="GO36" s="1053"/>
      <c r="GP36" s="1053"/>
      <c r="GQ36" s="1053"/>
      <c r="GR36" s="1053"/>
      <c r="GS36" s="1053"/>
      <c r="GT36" s="1053"/>
      <c r="GU36" s="1053"/>
      <c r="GV36" s="1053"/>
      <c r="GW36" s="1053"/>
      <c r="GX36" s="1053"/>
      <c r="GY36" s="1053"/>
      <c r="GZ36" s="1053"/>
      <c r="HA36" s="1053"/>
      <c r="HB36" s="1053"/>
      <c r="HC36" s="1053"/>
      <c r="HD36" s="1053"/>
      <c r="HE36" s="1053"/>
      <c r="HF36" s="1053"/>
      <c r="HG36" s="1053"/>
      <c r="HH36" s="1053"/>
      <c r="HI36" s="1053"/>
      <c r="HJ36" s="1053"/>
      <c r="HK36" s="1053"/>
      <c r="HL36" s="1053"/>
      <c r="HM36" s="1053"/>
      <c r="HN36" s="1053"/>
      <c r="HO36" s="1053"/>
      <c r="HP36" s="1053"/>
      <c r="HQ36" s="1053"/>
      <c r="HR36" s="1053"/>
      <c r="HS36" s="1053"/>
      <c r="HT36" s="1053"/>
      <c r="HU36" s="1053"/>
      <c r="HV36" s="1053"/>
      <c r="HW36" s="1053"/>
      <c r="HX36" s="1053"/>
      <c r="HY36" s="1053"/>
      <c r="HZ36" s="1053"/>
      <c r="IA36" s="1053"/>
      <c r="IB36" s="1053"/>
      <c r="IC36" s="1053"/>
      <c r="ID36" s="1053"/>
      <c r="IE36" s="1053"/>
      <c r="IF36" s="1053"/>
      <c r="IG36" s="1053"/>
      <c r="IH36" s="1053"/>
      <c r="II36" s="1053"/>
      <c r="IJ36" s="1053"/>
      <c r="IK36" s="1053"/>
      <c r="IL36" s="1053"/>
      <c r="IM36" s="1053"/>
      <c r="IN36" s="1053"/>
      <c r="IO36" s="1053"/>
      <c r="IP36" s="1053"/>
      <c r="IQ36" s="1053"/>
      <c r="IR36" s="1053"/>
      <c r="IS36" s="1053"/>
      <c r="IT36" s="1053"/>
      <c r="IU36" s="1053"/>
      <c r="IV36" s="1053"/>
      <c r="IW36" s="1053"/>
    </row>
    <row r="37" customFormat="false" ht="14.25" hidden="false" customHeight="true" outlineLevel="0" collapsed="false">
      <c r="A37" s="1053"/>
      <c r="B37" s="130" t="s">
        <v>173</v>
      </c>
      <c r="C37" s="100"/>
      <c r="D37" s="130"/>
      <c r="E37" s="130" t="n">
        <f aca="false">CashFlow!E29</f>
        <v>-345</v>
      </c>
      <c r="F37" s="130" t="n">
        <f aca="false">CashFlow!F29</f>
        <v>-345</v>
      </c>
      <c r="G37" s="130" t="n">
        <f aca="false">CashFlow!G29</f>
        <v>-345</v>
      </c>
      <c r="H37" s="130" t="n">
        <f aca="false">CashFlow!H29</f>
        <v>-345</v>
      </c>
      <c r="I37" s="130" t="n">
        <f aca="false">CashFlow!I29</f>
        <v>-345</v>
      </c>
      <c r="J37" s="130" t="n">
        <f aca="false">CashFlow!J29</f>
        <v>-0</v>
      </c>
      <c r="K37" s="130" t="n">
        <f aca="false">CashFlow!K29</f>
        <v>-0</v>
      </c>
      <c r="L37" s="130" t="n">
        <f aca="false">CashFlow!L29</f>
        <v>-0</v>
      </c>
      <c r="M37" s="130" t="n">
        <f aca="false">CashFlow!M29</f>
        <v>-0</v>
      </c>
      <c r="N37" s="130" t="n">
        <f aca="false">CashFlow!N29</f>
        <v>-0</v>
      </c>
      <c r="O37" s="130" t="n">
        <f aca="false">CashFlow!O29</f>
        <v>-0</v>
      </c>
      <c r="P37" s="130" t="n">
        <f aca="false">CashFlow!P29</f>
        <v>-0</v>
      </c>
      <c r="Q37" s="130" t="n">
        <f aca="false">CashFlow!Q29</f>
        <v>-0</v>
      </c>
      <c r="R37" s="130" t="n">
        <f aca="false">CashFlow!R29</f>
        <v>-0</v>
      </c>
      <c r="S37" s="130" t="n">
        <f aca="false">CashFlow!S29</f>
        <v>-0</v>
      </c>
      <c r="T37" s="130" t="n">
        <f aca="false">CashFlow!T29</f>
        <v>-0</v>
      </c>
      <c r="U37" s="130" t="n">
        <f aca="false">CashFlow!U29</f>
        <v>-0</v>
      </c>
      <c r="V37" s="130" t="n">
        <f aca="false">CashFlow!V29</f>
        <v>-0</v>
      </c>
      <c r="W37" s="130" t="n">
        <f aca="false">CashFlow!W29</f>
        <v>-0</v>
      </c>
      <c r="X37" s="130" t="n">
        <f aca="false">CashFlow!X29</f>
        <v>-0</v>
      </c>
      <c r="Y37" s="130" t="n">
        <f aca="false">CashFlow!Y29</f>
        <v>-0</v>
      </c>
      <c r="Z37" s="130" t="n">
        <f aca="false">CashFlow!Z29</f>
        <v>-0</v>
      </c>
      <c r="AA37" s="130" t="n">
        <f aca="false">CashFlow!AA29</f>
        <v>-0</v>
      </c>
      <c r="AB37" s="130" t="n">
        <f aca="false">CashFlow!AB29</f>
        <v>-0</v>
      </c>
      <c r="AC37" s="130" t="n">
        <f aca="false">CashFlow!AC29</f>
        <v>-0</v>
      </c>
      <c r="AD37" s="130" t="n">
        <f aca="false">CashFlow!AD29</f>
        <v>-0</v>
      </c>
      <c r="AE37" s="130" t="n">
        <f aca="false">CashFlow!AE29</f>
        <v>-0</v>
      </c>
      <c r="AF37" s="130" t="n">
        <f aca="false">CashFlow!AF29</f>
        <v>-0</v>
      </c>
      <c r="AG37" s="130" t="n">
        <f aca="false">CashFlow!AG29</f>
        <v>-0</v>
      </c>
      <c r="AH37" s="130" t="n">
        <f aca="false">CashFlow!AH29</f>
        <v>-0</v>
      </c>
      <c r="AI37" s="130" t="n">
        <f aca="false">CashFlow!AI29</f>
        <v>-0</v>
      </c>
      <c r="AJ37" s="1052"/>
      <c r="AK37" s="1052"/>
      <c r="AL37" s="130"/>
      <c r="AM37" s="130"/>
      <c r="AN37" s="570" t="n">
        <f aca="false">E37/E$33</f>
        <v>-0.0931434984431088</v>
      </c>
      <c r="AO37" s="570" t="n">
        <f aca="false">F37/F$33</f>
        <v>-0.0931434984431088</v>
      </c>
      <c r="AP37" s="570" t="n">
        <f aca="false">G37/G$33</f>
        <v>-0.0931434984431088</v>
      </c>
      <c r="AQ37" s="570" t="n">
        <f aca="false">H37/H$33</f>
        <v>-0.0931434984431088</v>
      </c>
      <c r="AR37" s="570" t="n">
        <f aca="false">I37/I$33</f>
        <v>-0.0931434984431088</v>
      </c>
      <c r="AS37" s="570" t="n">
        <f aca="false">J37/J$33</f>
        <v>-0</v>
      </c>
      <c r="AT37" s="570" t="n">
        <f aca="false">K37/K$33</f>
        <v>-0</v>
      </c>
      <c r="AU37" s="570" t="n">
        <f aca="false">L37/L$33</f>
        <v>-0</v>
      </c>
      <c r="AV37" s="570" t="n">
        <f aca="false">M37/M$33</f>
        <v>-0</v>
      </c>
      <c r="AW37" s="570" t="n">
        <f aca="false">N37/N$33</f>
        <v>-0</v>
      </c>
      <c r="AX37" s="570" t="n">
        <f aca="false">O37/O$33</f>
        <v>-0</v>
      </c>
      <c r="AY37" s="570" t="n">
        <f aca="false">P37/P$33</f>
        <v>-0</v>
      </c>
      <c r="AZ37" s="570" t="n">
        <f aca="false">Q37/Q$33</f>
        <v>-0</v>
      </c>
      <c r="BA37" s="570" t="n">
        <f aca="false">R37/R$33</f>
        <v>-0</v>
      </c>
      <c r="BB37" s="570" t="n">
        <f aca="false">S37/S$33</f>
        <v>-0</v>
      </c>
      <c r="BC37" s="570" t="n">
        <f aca="false">T37/T$33</f>
        <v>-0</v>
      </c>
      <c r="BD37" s="570" t="n">
        <f aca="false">U37/U$33</f>
        <v>-0</v>
      </c>
      <c r="BE37" s="570" t="n">
        <f aca="false">V37/V$33</f>
        <v>-0</v>
      </c>
      <c r="BF37" s="570" t="n">
        <f aca="false">W37/W$33</f>
        <v>-0</v>
      </c>
      <c r="BG37" s="570" t="n">
        <f aca="false">X37/X$33</f>
        <v>-0</v>
      </c>
      <c r="BH37" s="570" t="e">
        <f aca="false">Y37/Y$33</f>
        <v>#DIV/0!</v>
      </c>
      <c r="BI37" s="570" t="e">
        <f aca="false">Z37/Z$33</f>
        <v>#DIV/0!</v>
      </c>
      <c r="BJ37" s="570" t="e">
        <f aca="false">AA37/AA$33</f>
        <v>#DIV/0!</v>
      </c>
      <c r="BK37" s="570" t="e">
        <f aca="false">AB37/AB$33</f>
        <v>#DIV/0!</v>
      </c>
      <c r="BL37" s="570" t="e">
        <f aca="false">AC37/AC$33</f>
        <v>#DIV/0!</v>
      </c>
      <c r="BM37" s="570" t="e">
        <f aca="false">AD37/AD$33</f>
        <v>#DIV/0!</v>
      </c>
      <c r="BN37" s="570" t="e">
        <f aca="false">AE37/AE$33</f>
        <v>#DIV/0!</v>
      </c>
      <c r="BO37" s="570" t="e">
        <f aca="false">AF37/AF$33</f>
        <v>#DIV/0!</v>
      </c>
      <c r="BP37" s="570" t="e">
        <f aca="false">AG37/AG$33</f>
        <v>#DIV/0!</v>
      </c>
      <c r="BQ37" s="570" t="e">
        <f aca="false">AH37/AH$33</f>
        <v>#DIV/0!</v>
      </c>
      <c r="BR37" s="963" t="e">
        <f aca="false">AI37/AI$33</f>
        <v>#DIV/0!</v>
      </c>
      <c r="BS37" s="1053"/>
      <c r="BT37" s="1053"/>
      <c r="BU37" s="1053"/>
      <c r="BV37" s="1053"/>
      <c r="BW37" s="1053"/>
      <c r="BX37" s="1053"/>
      <c r="BY37" s="1053"/>
      <c r="BZ37" s="1053"/>
      <c r="CA37" s="1053"/>
      <c r="CB37" s="1053"/>
      <c r="CC37" s="1053"/>
      <c r="CD37" s="1053"/>
      <c r="CE37" s="1053"/>
      <c r="CF37" s="1053"/>
      <c r="CG37" s="1053"/>
      <c r="CH37" s="1053"/>
      <c r="CI37" s="1053"/>
      <c r="CJ37" s="1053"/>
      <c r="CK37" s="1053"/>
      <c r="CL37" s="1053"/>
      <c r="CM37" s="1053"/>
      <c r="CN37" s="1053"/>
      <c r="CO37" s="1053"/>
      <c r="CP37" s="1053"/>
      <c r="CQ37" s="1053"/>
      <c r="CR37" s="1053"/>
      <c r="CS37" s="1053"/>
      <c r="CT37" s="1053"/>
      <c r="CU37" s="1053"/>
      <c r="CV37" s="1053"/>
      <c r="CW37" s="1053"/>
      <c r="CX37" s="1053"/>
      <c r="CY37" s="1053"/>
      <c r="CZ37" s="1053"/>
      <c r="DA37" s="1053"/>
      <c r="DB37" s="1053"/>
      <c r="DC37" s="1053"/>
      <c r="DD37" s="1053"/>
      <c r="DE37" s="1053"/>
      <c r="DF37" s="1053"/>
      <c r="DG37" s="1053"/>
      <c r="DH37" s="1053"/>
      <c r="DI37" s="1053"/>
      <c r="DJ37" s="1053"/>
      <c r="DK37" s="1053"/>
      <c r="DL37" s="1053"/>
      <c r="DM37" s="1053"/>
      <c r="DN37" s="1053"/>
      <c r="DO37" s="1053"/>
      <c r="DP37" s="1053"/>
      <c r="DQ37" s="1053"/>
      <c r="DR37" s="1053"/>
      <c r="DS37" s="1053"/>
      <c r="DT37" s="1053"/>
      <c r="DU37" s="1053"/>
      <c r="DV37" s="1053"/>
      <c r="DW37" s="1053"/>
      <c r="DX37" s="1053"/>
      <c r="DY37" s="1053"/>
      <c r="DZ37" s="1053"/>
      <c r="EA37" s="1053"/>
      <c r="EB37" s="1053"/>
      <c r="EC37" s="1053"/>
      <c r="ED37" s="1053"/>
      <c r="EE37" s="1053"/>
      <c r="EF37" s="1053"/>
      <c r="EG37" s="1053"/>
      <c r="EH37" s="1053"/>
      <c r="EI37" s="1053"/>
      <c r="EJ37" s="1053"/>
      <c r="EK37" s="1053"/>
      <c r="EL37" s="1053"/>
      <c r="EM37" s="1053"/>
      <c r="EN37" s="1053"/>
      <c r="EO37" s="1053"/>
      <c r="EP37" s="1053"/>
      <c r="EQ37" s="1053"/>
      <c r="ER37" s="1053"/>
      <c r="ES37" s="1053"/>
      <c r="ET37" s="1053"/>
      <c r="EU37" s="1053"/>
      <c r="EV37" s="1053"/>
      <c r="EW37" s="1053"/>
      <c r="EX37" s="1053"/>
      <c r="EY37" s="1053"/>
      <c r="EZ37" s="1053"/>
      <c r="FA37" s="1053"/>
      <c r="FB37" s="1053"/>
      <c r="FC37" s="1053"/>
      <c r="FD37" s="1053"/>
      <c r="FE37" s="1053"/>
      <c r="FF37" s="1053"/>
      <c r="FG37" s="1053"/>
      <c r="FH37" s="1053"/>
      <c r="FI37" s="1053"/>
      <c r="FJ37" s="1053"/>
      <c r="FK37" s="1053"/>
      <c r="FL37" s="1053"/>
      <c r="FM37" s="1053"/>
      <c r="FN37" s="1053"/>
      <c r="FO37" s="1053"/>
      <c r="FP37" s="1053"/>
      <c r="FQ37" s="1053"/>
      <c r="FR37" s="1053"/>
      <c r="FS37" s="1053"/>
      <c r="FT37" s="1053"/>
      <c r="FU37" s="1053"/>
      <c r="FV37" s="1053"/>
      <c r="FW37" s="1053"/>
      <c r="FX37" s="1053"/>
      <c r="FY37" s="1053"/>
      <c r="FZ37" s="1053"/>
      <c r="GA37" s="1053"/>
      <c r="GB37" s="1053"/>
      <c r="GC37" s="1053"/>
      <c r="GD37" s="1053"/>
      <c r="GE37" s="1053"/>
      <c r="GF37" s="1053"/>
      <c r="GG37" s="1053"/>
      <c r="GH37" s="1053"/>
      <c r="GI37" s="1053"/>
      <c r="GJ37" s="1053"/>
      <c r="GK37" s="1053"/>
      <c r="GL37" s="1053"/>
      <c r="GM37" s="1053"/>
      <c r="GN37" s="1053"/>
      <c r="GO37" s="1053"/>
      <c r="GP37" s="1053"/>
      <c r="GQ37" s="1053"/>
      <c r="GR37" s="1053"/>
      <c r="GS37" s="1053"/>
      <c r="GT37" s="1053"/>
      <c r="GU37" s="1053"/>
      <c r="GV37" s="1053"/>
      <c r="GW37" s="1053"/>
      <c r="GX37" s="1053"/>
      <c r="GY37" s="1053"/>
      <c r="GZ37" s="1053"/>
      <c r="HA37" s="1053"/>
      <c r="HB37" s="1053"/>
      <c r="HC37" s="1053"/>
      <c r="HD37" s="1053"/>
      <c r="HE37" s="1053"/>
      <c r="HF37" s="1053"/>
      <c r="HG37" s="1053"/>
      <c r="HH37" s="1053"/>
      <c r="HI37" s="1053"/>
      <c r="HJ37" s="1053"/>
      <c r="HK37" s="1053"/>
      <c r="HL37" s="1053"/>
      <c r="HM37" s="1053"/>
      <c r="HN37" s="1053"/>
      <c r="HO37" s="1053"/>
      <c r="HP37" s="1053"/>
      <c r="HQ37" s="1053"/>
      <c r="HR37" s="1053"/>
      <c r="HS37" s="1053"/>
      <c r="HT37" s="1053"/>
      <c r="HU37" s="1053"/>
      <c r="HV37" s="1053"/>
      <c r="HW37" s="1053"/>
      <c r="HX37" s="1053"/>
      <c r="HY37" s="1053"/>
      <c r="HZ37" s="1053"/>
      <c r="IA37" s="1053"/>
      <c r="IB37" s="1053"/>
      <c r="IC37" s="1053"/>
      <c r="ID37" s="1053"/>
      <c r="IE37" s="1053"/>
      <c r="IF37" s="1053"/>
      <c r="IG37" s="1053"/>
      <c r="IH37" s="1053"/>
      <c r="II37" s="1053"/>
      <c r="IJ37" s="1053"/>
      <c r="IK37" s="1053"/>
      <c r="IL37" s="1053"/>
      <c r="IM37" s="1053"/>
      <c r="IN37" s="1053"/>
      <c r="IO37" s="1053"/>
      <c r="IP37" s="1053"/>
      <c r="IQ37" s="1053"/>
      <c r="IR37" s="1053"/>
      <c r="IS37" s="1053"/>
      <c r="IT37" s="1053"/>
      <c r="IU37" s="1053"/>
      <c r="IV37" s="1053"/>
      <c r="IW37" s="1053"/>
    </row>
    <row r="38" customFormat="false" ht="14.25" hidden="false" customHeight="true" outlineLevel="0" collapsed="false">
      <c r="A38" s="1053"/>
      <c r="B38" s="650" t="s">
        <v>650</v>
      </c>
      <c r="C38" s="130"/>
      <c r="D38" s="130"/>
      <c r="E38" s="650" t="n">
        <f aca="false">SUM(E34:E37)</f>
        <v>-1537.51141423188</v>
      </c>
      <c r="F38" s="650" t="n">
        <f aca="false">SUM(F34:F37)</f>
        <v>-1539.56022384909</v>
      </c>
      <c r="G38" s="650" t="n">
        <f aca="false">SUM(G34:G37)</f>
        <v>-1542.25102219251</v>
      </c>
      <c r="H38" s="650" t="n">
        <f aca="false">SUM(H34:H37)</f>
        <v>-1545.75439278005</v>
      </c>
      <c r="I38" s="650" t="n">
        <f aca="false">SUM(I34:I37)</f>
        <v>-1549.94483603461</v>
      </c>
      <c r="J38" s="650" t="n">
        <f aca="false">SUM(J34:J37)</f>
        <v>-1554.66822656957</v>
      </c>
      <c r="K38" s="650" t="n">
        <f aca="false">SUM(K34:K37)</f>
        <v>-1569.10900321959</v>
      </c>
      <c r="L38" s="650" t="n">
        <f aca="false">SUM(L34:L37)</f>
        <v>-1584.31383762935</v>
      </c>
      <c r="M38" s="650" t="n">
        <f aca="false">SUM(M34:M37)</f>
        <v>-1600.29215073767</v>
      </c>
      <c r="N38" s="650" t="n">
        <f aca="false">SUM(N34:N37)</f>
        <v>-1617.38516977419</v>
      </c>
      <c r="O38" s="650" t="n">
        <f aca="false">SUM(O34:O37)</f>
        <v>-1590.19044430637</v>
      </c>
      <c r="P38" s="650" t="n">
        <f aca="false">SUM(P34:P37)</f>
        <v>-1609.29261064089</v>
      </c>
      <c r="Q38" s="650" t="n">
        <f aca="false">SUM(Q34:Q37)</f>
        <v>-1630.05643960567</v>
      </c>
      <c r="R38" s="650" t="n">
        <f aca="false">SUM(R34:R37)</f>
        <v>-1652.57330694461</v>
      </c>
      <c r="S38" s="650" t="n">
        <f aca="false">SUM(S34:S37)</f>
        <v>-1677.04185373027</v>
      </c>
      <c r="T38" s="650" t="n">
        <f aca="false">SUM(T34:T37)</f>
        <v>-1702.87450387589</v>
      </c>
      <c r="U38" s="650" t="n">
        <f aca="false">SUM(U34:U37)</f>
        <v>-1720.8403407529</v>
      </c>
      <c r="V38" s="650" t="n">
        <f aca="false">SUM(V34:V37)</f>
        <v>-1673.1324770592</v>
      </c>
      <c r="W38" s="650" t="n">
        <f aca="false">SUM(W34:W37)</f>
        <v>-1704.2271717904</v>
      </c>
      <c r="X38" s="650" t="n">
        <f aca="false">SUM(X34:X37)</f>
        <v>-1735.24508368783</v>
      </c>
      <c r="Y38" s="650" t="n">
        <f aca="false">SUM(Y34:Y37)</f>
        <v>0</v>
      </c>
      <c r="Z38" s="650" t="n">
        <f aca="false">SUM(Z34:Z37)</f>
        <v>0</v>
      </c>
      <c r="AA38" s="650" t="n">
        <f aca="false">SUM(AA34:AA37)</f>
        <v>0</v>
      </c>
      <c r="AB38" s="650" t="n">
        <f aca="false">SUM(AB34:AB37)</f>
        <v>0</v>
      </c>
      <c r="AC38" s="650" t="n">
        <f aca="false">SUM(AC34:AC37)</f>
        <v>0</v>
      </c>
      <c r="AD38" s="650" t="n">
        <f aca="false">SUM(AD34:AD37)</f>
        <v>0</v>
      </c>
      <c r="AE38" s="650" t="n">
        <f aca="false">SUM(AE34:AE37)</f>
        <v>0</v>
      </c>
      <c r="AF38" s="650" t="n">
        <f aca="false">SUM(AF34:AF37)</f>
        <v>0</v>
      </c>
      <c r="AG38" s="650" t="n">
        <f aca="false">SUM(AG34:AG37)</f>
        <v>0</v>
      </c>
      <c r="AH38" s="650" t="n">
        <f aca="false">SUM(AH34:AH37)</f>
        <v>0</v>
      </c>
      <c r="AI38" s="650" t="n">
        <f aca="false">SUM(AI34:AI37)</f>
        <v>0</v>
      </c>
      <c r="AJ38" s="1052"/>
      <c r="AK38" s="1052"/>
      <c r="AL38" s="130"/>
      <c r="AM38" s="130"/>
      <c r="AN38" s="1058" t="n">
        <f aca="false">E38/E$33</f>
        <v>-0.415099107297881</v>
      </c>
      <c r="AO38" s="1058" t="n">
        <f aca="false">F38/F$33</f>
        <v>-0.415652247284521</v>
      </c>
      <c r="AP38" s="1058" t="n">
        <f aca="false">G38/G$33</f>
        <v>-0.416378712128902</v>
      </c>
      <c r="AQ38" s="1058" t="n">
        <f aca="false">H38/H$33</f>
        <v>-0.417324556166194</v>
      </c>
      <c r="AR38" s="1058" t="n">
        <f aca="false">I38/I$33</f>
        <v>-0.418455896875635</v>
      </c>
      <c r="AS38" s="1058" t="n">
        <f aca="false">J38/J$33</f>
        <v>-0.419731123307344</v>
      </c>
      <c r="AT38" s="1058" t="n">
        <f aca="false">K38/K$33</f>
        <v>-0.423629860865077</v>
      </c>
      <c r="AU38" s="1058" t="n">
        <f aca="false">L38/L$33</f>
        <v>-0.427734879619204</v>
      </c>
      <c r="AV38" s="1058" t="n">
        <f aca="false">M38/M$33</f>
        <v>-0.432048723045662</v>
      </c>
      <c r="AW38" s="1058" t="n">
        <f aca="false">N38/N$33</f>
        <v>-0.436663516066</v>
      </c>
      <c r="AX38" s="1058" t="n">
        <f aca="false">O38/O$33</f>
        <v>-0.429321452676803</v>
      </c>
      <c r="AY38" s="1058" t="n">
        <f aca="false">P38/P$33</f>
        <v>-0.434478677605032</v>
      </c>
      <c r="AZ38" s="1058" t="n">
        <f aca="false">Q38/Q$33</f>
        <v>-0.440084520129246</v>
      </c>
      <c r="BA38" s="1058" t="n">
        <f aca="false">R38/R$33</f>
        <v>-0.446163649978314</v>
      </c>
      <c r="BB38" s="1058" t="n">
        <f aca="false">S38/S$33</f>
        <v>-0.452769696498417</v>
      </c>
      <c r="BC38" s="1058" t="n">
        <f aca="false">T38/T$33</f>
        <v>-0.459744025219054</v>
      </c>
      <c r="BD38" s="1058" t="n">
        <f aca="false">U38/U$33</f>
        <v>-0.464594462607991</v>
      </c>
      <c r="BE38" s="1058" t="n">
        <f aca="false">V38/V$33</f>
        <v>-0.451714238469792</v>
      </c>
      <c r="BF38" s="1058" t="n">
        <f aca="false">W38/W$33</f>
        <v>-0.460109220064821</v>
      </c>
      <c r="BG38" s="1058" t="n">
        <f aca="false">X38/X$33</f>
        <v>-0.46848347174171</v>
      </c>
      <c r="BH38" s="1058" t="e">
        <f aca="false">Y38/Y$33</f>
        <v>#DIV/0!</v>
      </c>
      <c r="BI38" s="1058" t="e">
        <f aca="false">Z38/Z$33</f>
        <v>#DIV/0!</v>
      </c>
      <c r="BJ38" s="1058" t="e">
        <f aca="false">AA38/AA$33</f>
        <v>#DIV/0!</v>
      </c>
      <c r="BK38" s="1058" t="e">
        <f aca="false">AB38/AB$33</f>
        <v>#DIV/0!</v>
      </c>
      <c r="BL38" s="1058" t="e">
        <f aca="false">AC38/AC$33</f>
        <v>#DIV/0!</v>
      </c>
      <c r="BM38" s="1058" t="e">
        <f aca="false">AD38/AD$33</f>
        <v>#DIV/0!</v>
      </c>
      <c r="BN38" s="1058" t="e">
        <f aca="false">AE38/AE$33</f>
        <v>#DIV/0!</v>
      </c>
      <c r="BO38" s="1058" t="e">
        <f aca="false">AF38/AF$33</f>
        <v>#DIV/0!</v>
      </c>
      <c r="BP38" s="1058" t="e">
        <f aca="false">AG38/AG$33</f>
        <v>#DIV/0!</v>
      </c>
      <c r="BQ38" s="1058" t="e">
        <f aca="false">AH38/AH$33</f>
        <v>#DIV/0!</v>
      </c>
      <c r="BR38" s="963" t="e">
        <f aca="false">AI38/AI$33</f>
        <v>#DIV/0!</v>
      </c>
      <c r="BS38" s="1053"/>
      <c r="BT38" s="1053"/>
      <c r="BU38" s="1053"/>
      <c r="BV38" s="1053"/>
      <c r="BW38" s="1053"/>
      <c r="BX38" s="1053"/>
      <c r="BY38" s="1053"/>
      <c r="BZ38" s="1053"/>
      <c r="CA38" s="1053"/>
      <c r="CB38" s="1053"/>
      <c r="CC38" s="1053"/>
      <c r="CD38" s="1053"/>
      <c r="CE38" s="1053"/>
      <c r="CF38" s="1053"/>
      <c r="CG38" s="1053"/>
      <c r="CH38" s="1053"/>
      <c r="CI38" s="1053"/>
      <c r="CJ38" s="1053"/>
      <c r="CK38" s="1053"/>
      <c r="CL38" s="1053"/>
      <c r="CM38" s="1053"/>
      <c r="CN38" s="1053"/>
      <c r="CO38" s="1053"/>
      <c r="CP38" s="1053"/>
      <c r="CQ38" s="1053"/>
      <c r="CR38" s="1053"/>
      <c r="CS38" s="1053"/>
      <c r="CT38" s="1053"/>
      <c r="CU38" s="1053"/>
      <c r="CV38" s="1053"/>
      <c r="CW38" s="1053"/>
      <c r="CX38" s="1053"/>
      <c r="CY38" s="1053"/>
      <c r="CZ38" s="1053"/>
      <c r="DA38" s="1053"/>
      <c r="DB38" s="1053"/>
      <c r="DC38" s="1053"/>
      <c r="DD38" s="1053"/>
      <c r="DE38" s="1053"/>
      <c r="DF38" s="1053"/>
      <c r="DG38" s="1053"/>
      <c r="DH38" s="1053"/>
      <c r="DI38" s="1053"/>
      <c r="DJ38" s="1053"/>
      <c r="DK38" s="1053"/>
      <c r="DL38" s="1053"/>
      <c r="DM38" s="1053"/>
      <c r="DN38" s="1053"/>
      <c r="DO38" s="1053"/>
      <c r="DP38" s="1053"/>
      <c r="DQ38" s="1053"/>
      <c r="DR38" s="1053"/>
      <c r="DS38" s="1053"/>
      <c r="DT38" s="1053"/>
      <c r="DU38" s="1053"/>
      <c r="DV38" s="1053"/>
      <c r="DW38" s="1053"/>
      <c r="DX38" s="1053"/>
      <c r="DY38" s="1053"/>
      <c r="DZ38" s="1053"/>
      <c r="EA38" s="1053"/>
      <c r="EB38" s="1053"/>
      <c r="EC38" s="1053"/>
      <c r="ED38" s="1053"/>
      <c r="EE38" s="1053"/>
      <c r="EF38" s="1053"/>
      <c r="EG38" s="1053"/>
      <c r="EH38" s="1053"/>
      <c r="EI38" s="1053"/>
      <c r="EJ38" s="1053"/>
      <c r="EK38" s="1053"/>
      <c r="EL38" s="1053"/>
      <c r="EM38" s="1053"/>
      <c r="EN38" s="1053"/>
      <c r="EO38" s="1053"/>
      <c r="EP38" s="1053"/>
      <c r="EQ38" s="1053"/>
      <c r="ER38" s="1053"/>
      <c r="ES38" s="1053"/>
      <c r="ET38" s="1053"/>
      <c r="EU38" s="1053"/>
      <c r="EV38" s="1053"/>
      <c r="EW38" s="1053"/>
      <c r="EX38" s="1053"/>
      <c r="EY38" s="1053"/>
      <c r="EZ38" s="1053"/>
      <c r="FA38" s="1053"/>
      <c r="FB38" s="1053"/>
      <c r="FC38" s="1053"/>
      <c r="FD38" s="1053"/>
      <c r="FE38" s="1053"/>
      <c r="FF38" s="1053"/>
      <c r="FG38" s="1053"/>
      <c r="FH38" s="1053"/>
      <c r="FI38" s="1053"/>
      <c r="FJ38" s="1053"/>
      <c r="FK38" s="1053"/>
      <c r="FL38" s="1053"/>
      <c r="FM38" s="1053"/>
      <c r="FN38" s="1053"/>
      <c r="FO38" s="1053"/>
      <c r="FP38" s="1053"/>
      <c r="FQ38" s="1053"/>
      <c r="FR38" s="1053"/>
      <c r="FS38" s="1053"/>
      <c r="FT38" s="1053"/>
      <c r="FU38" s="1053"/>
      <c r="FV38" s="1053"/>
      <c r="FW38" s="1053"/>
      <c r="FX38" s="1053"/>
      <c r="FY38" s="1053"/>
      <c r="FZ38" s="1053"/>
      <c r="GA38" s="1053"/>
      <c r="GB38" s="1053"/>
      <c r="GC38" s="1053"/>
      <c r="GD38" s="1053"/>
      <c r="GE38" s="1053"/>
      <c r="GF38" s="1053"/>
      <c r="GG38" s="1053"/>
      <c r="GH38" s="1053"/>
      <c r="GI38" s="1053"/>
      <c r="GJ38" s="1053"/>
      <c r="GK38" s="1053"/>
      <c r="GL38" s="1053"/>
      <c r="GM38" s="1053"/>
      <c r="GN38" s="1053"/>
      <c r="GO38" s="1053"/>
      <c r="GP38" s="1053"/>
      <c r="GQ38" s="1053"/>
      <c r="GR38" s="1053"/>
      <c r="GS38" s="1053"/>
      <c r="GT38" s="1053"/>
      <c r="GU38" s="1053"/>
      <c r="GV38" s="1053"/>
      <c r="GW38" s="1053"/>
      <c r="GX38" s="1053"/>
      <c r="GY38" s="1053"/>
      <c r="GZ38" s="1053"/>
      <c r="HA38" s="1053"/>
      <c r="HB38" s="1053"/>
      <c r="HC38" s="1053"/>
      <c r="HD38" s="1053"/>
      <c r="HE38" s="1053"/>
      <c r="HF38" s="1053"/>
      <c r="HG38" s="1053"/>
      <c r="HH38" s="1053"/>
      <c r="HI38" s="1053"/>
      <c r="HJ38" s="1053"/>
      <c r="HK38" s="1053"/>
      <c r="HL38" s="1053"/>
      <c r="HM38" s="1053"/>
      <c r="HN38" s="1053"/>
      <c r="HO38" s="1053"/>
      <c r="HP38" s="1053"/>
      <c r="HQ38" s="1053"/>
      <c r="HR38" s="1053"/>
      <c r="HS38" s="1053"/>
      <c r="HT38" s="1053"/>
      <c r="HU38" s="1053"/>
      <c r="HV38" s="1053"/>
      <c r="HW38" s="1053"/>
      <c r="HX38" s="1053"/>
      <c r="HY38" s="1053"/>
      <c r="HZ38" s="1053"/>
      <c r="IA38" s="1053"/>
      <c r="IB38" s="1053"/>
      <c r="IC38" s="1053"/>
      <c r="ID38" s="1053"/>
      <c r="IE38" s="1053"/>
      <c r="IF38" s="1053"/>
      <c r="IG38" s="1053"/>
      <c r="IH38" s="1053"/>
      <c r="II38" s="1053"/>
      <c r="IJ38" s="1053"/>
      <c r="IK38" s="1053"/>
      <c r="IL38" s="1053"/>
      <c r="IM38" s="1053"/>
      <c r="IN38" s="1053"/>
      <c r="IO38" s="1053"/>
      <c r="IP38" s="1053"/>
      <c r="IQ38" s="1053"/>
      <c r="IR38" s="1053"/>
      <c r="IS38" s="1053"/>
      <c r="IT38" s="1053"/>
      <c r="IU38" s="1053"/>
      <c r="IV38" s="1053"/>
      <c r="IW38" s="1053"/>
    </row>
    <row r="39" customFormat="false" ht="13.5" hidden="false" customHeight="false" outlineLevel="0" collapsed="false">
      <c r="A39" s="1055"/>
      <c r="B39" s="313" t="s">
        <v>482</v>
      </c>
      <c r="C39" s="130"/>
      <c r="D39" s="313"/>
      <c r="E39" s="313" t="n">
        <f aca="false">E33+E38</f>
        <v>2166.45081358505</v>
      </c>
      <c r="F39" s="313" t="n">
        <f aca="false">F33+F38</f>
        <v>2164.40200396784</v>
      </c>
      <c r="G39" s="313" t="n">
        <f aca="false">G33+G38</f>
        <v>2161.71120562442</v>
      </c>
      <c r="H39" s="313" t="n">
        <f aca="false">H33+H38</f>
        <v>2158.20783503688</v>
      </c>
      <c r="I39" s="313" t="n">
        <f aca="false">I33+I38</f>
        <v>2154.01739178232</v>
      </c>
      <c r="J39" s="313" t="n">
        <f aca="false">J33+J38</f>
        <v>2149.29400124736</v>
      </c>
      <c r="K39" s="313" t="n">
        <f aca="false">K33+K38</f>
        <v>2134.85322459734</v>
      </c>
      <c r="L39" s="313" t="n">
        <f aca="false">L33+L38</f>
        <v>2119.64839018758</v>
      </c>
      <c r="M39" s="313" t="n">
        <f aca="false">M33+M38</f>
        <v>2103.67007707926</v>
      </c>
      <c r="N39" s="313" t="n">
        <f aca="false">N33+N38</f>
        <v>2086.57705804274</v>
      </c>
      <c r="O39" s="313" t="n">
        <f aca="false">O33+O38</f>
        <v>2113.77178351056</v>
      </c>
      <c r="P39" s="313" t="n">
        <f aca="false">P33+P38</f>
        <v>2094.66961717604</v>
      </c>
      <c r="Q39" s="313" t="n">
        <f aca="false">Q33+Q38</f>
        <v>2073.90578821126</v>
      </c>
      <c r="R39" s="313" t="n">
        <f aca="false">R33+R38</f>
        <v>2051.38892087232</v>
      </c>
      <c r="S39" s="313" t="n">
        <f aca="false">S33+S38</f>
        <v>2026.92037408666</v>
      </c>
      <c r="T39" s="313" t="n">
        <f aca="false">T33+T38</f>
        <v>2001.08772394104</v>
      </c>
      <c r="U39" s="313" t="n">
        <f aca="false">U33+U38</f>
        <v>1983.12188706403</v>
      </c>
      <c r="V39" s="313" t="n">
        <f aca="false">V33+V38</f>
        <v>2030.82975075773</v>
      </c>
      <c r="W39" s="313" t="n">
        <f aca="false">W33+W38</f>
        <v>1999.73505602653</v>
      </c>
      <c r="X39" s="313" t="n">
        <f aca="false">X33+X38</f>
        <v>1968.7171441291</v>
      </c>
      <c r="Y39" s="313" t="n">
        <f aca="false">Y33+Y38</f>
        <v>0</v>
      </c>
      <c r="Z39" s="313" t="n">
        <f aca="false">Z33+Z38</f>
        <v>0</v>
      </c>
      <c r="AA39" s="313" t="n">
        <f aca="false">AA33+AA38</f>
        <v>0</v>
      </c>
      <c r="AB39" s="313" t="n">
        <f aca="false">AB33+AB38</f>
        <v>0</v>
      </c>
      <c r="AC39" s="313" t="n">
        <f aca="false">AC33+AC38</f>
        <v>0</v>
      </c>
      <c r="AD39" s="313" t="n">
        <f aca="false">AD33+AD38</f>
        <v>0</v>
      </c>
      <c r="AE39" s="313" t="n">
        <f aca="false">AE33+AE38</f>
        <v>0</v>
      </c>
      <c r="AF39" s="313" t="n">
        <f aca="false">AF33+AF38</f>
        <v>0</v>
      </c>
      <c r="AG39" s="313" t="n">
        <f aca="false">AG33+AG38</f>
        <v>0</v>
      </c>
      <c r="AH39" s="313" t="n">
        <f aca="false">AH33+AH38</f>
        <v>0</v>
      </c>
      <c r="AI39" s="313" t="n">
        <f aca="false">AI33+AI38</f>
        <v>0</v>
      </c>
      <c r="AJ39" s="1045"/>
      <c r="AK39" s="1045"/>
      <c r="AL39" s="313"/>
      <c r="AM39" s="313"/>
      <c r="AN39" s="963" t="n">
        <f aca="false">E39/E$33</f>
        <v>0.584900892702119</v>
      </c>
      <c r="AO39" s="963" t="n">
        <f aca="false">F39/F$33</f>
        <v>0.58434775271548</v>
      </c>
      <c r="AP39" s="963" t="n">
        <f aca="false">G39/G$33</f>
        <v>0.583621287871099</v>
      </c>
      <c r="AQ39" s="963" t="n">
        <f aca="false">H39/H$33</f>
        <v>0.582675443833806</v>
      </c>
      <c r="AR39" s="963" t="n">
        <f aca="false">I39/I$33</f>
        <v>0.581544103124366</v>
      </c>
      <c r="AS39" s="963" t="n">
        <f aca="false">J39/J$33</f>
        <v>0.580268876692656</v>
      </c>
      <c r="AT39" s="963" t="n">
        <f aca="false">K39/K$33</f>
        <v>0.576370139134923</v>
      </c>
      <c r="AU39" s="963" t="n">
        <f aca="false">L39/L$33</f>
        <v>0.572265120380796</v>
      </c>
      <c r="AV39" s="963" t="n">
        <f aca="false">M39/M$33</f>
        <v>0.567951276954338</v>
      </c>
      <c r="AW39" s="963" t="n">
        <f aca="false">N39/N$33</f>
        <v>0.563336483934</v>
      </c>
      <c r="AX39" s="963" t="n">
        <f aca="false">O39/O$33</f>
        <v>0.570678547323197</v>
      </c>
      <c r="AY39" s="963" t="n">
        <f aca="false">P39/P$33</f>
        <v>0.565521322394968</v>
      </c>
      <c r="AZ39" s="963" t="n">
        <f aca="false">Q39/Q$33</f>
        <v>0.559915479870754</v>
      </c>
      <c r="BA39" s="963" t="n">
        <f aca="false">R39/R$33</f>
        <v>0.553836350021686</v>
      </c>
      <c r="BB39" s="963" t="n">
        <f aca="false">S39/S$33</f>
        <v>0.547230303501583</v>
      </c>
      <c r="BC39" s="963" t="n">
        <f aca="false">T39/T$33</f>
        <v>0.540255974780947</v>
      </c>
      <c r="BD39" s="963" t="n">
        <f aca="false">U39/U$33</f>
        <v>0.535405537392009</v>
      </c>
      <c r="BE39" s="963" t="n">
        <f aca="false">V39/V$33</f>
        <v>0.548285761530208</v>
      </c>
      <c r="BF39" s="963" t="n">
        <f aca="false">W39/W$33</f>
        <v>0.539890779935179</v>
      </c>
      <c r="BG39" s="963" t="n">
        <f aca="false">X39/X$33</f>
        <v>0.53151652825829</v>
      </c>
      <c r="BH39" s="963" t="e">
        <f aca="false">Y39/Y$33</f>
        <v>#DIV/0!</v>
      </c>
      <c r="BI39" s="963" t="e">
        <f aca="false">Z39/Z$33</f>
        <v>#DIV/0!</v>
      </c>
      <c r="BJ39" s="963" t="e">
        <f aca="false">AA39/AA$33</f>
        <v>#DIV/0!</v>
      </c>
      <c r="BK39" s="963" t="e">
        <f aca="false">AB39/AB$33</f>
        <v>#DIV/0!</v>
      </c>
      <c r="BL39" s="963" t="e">
        <f aca="false">AC39/AC$33</f>
        <v>#DIV/0!</v>
      </c>
      <c r="BM39" s="963" t="e">
        <f aca="false">AD39/AD$33</f>
        <v>#DIV/0!</v>
      </c>
      <c r="BN39" s="963" t="e">
        <f aca="false">AE39/AE$33</f>
        <v>#DIV/0!</v>
      </c>
      <c r="BO39" s="963" t="e">
        <f aca="false">AF39/AF$33</f>
        <v>#DIV/0!</v>
      </c>
      <c r="BP39" s="963" t="e">
        <f aca="false">AG39/AG$33</f>
        <v>#DIV/0!</v>
      </c>
      <c r="BQ39" s="963" t="e">
        <f aca="false">AH39/AH$33</f>
        <v>#DIV/0!</v>
      </c>
      <c r="BR39" s="963" t="e">
        <f aca="false">AI39/AI$33</f>
        <v>#DIV/0!</v>
      </c>
      <c r="BS39" s="1055"/>
      <c r="BT39" s="1055"/>
      <c r="BU39" s="1055"/>
      <c r="BV39" s="1055"/>
      <c r="BW39" s="1055"/>
      <c r="BX39" s="1055"/>
      <c r="BY39" s="1055"/>
      <c r="BZ39" s="1055"/>
      <c r="CA39" s="1055"/>
      <c r="CB39" s="1055"/>
      <c r="CC39" s="1055"/>
      <c r="CD39" s="1055"/>
      <c r="CE39" s="1055"/>
      <c r="CF39" s="1055"/>
      <c r="CG39" s="1055"/>
      <c r="CH39" s="1055"/>
      <c r="CI39" s="1055"/>
      <c r="CJ39" s="1055"/>
      <c r="CK39" s="1055"/>
      <c r="CL39" s="1055"/>
      <c r="CM39" s="1055"/>
      <c r="CN39" s="1055"/>
      <c r="CO39" s="1055"/>
      <c r="CP39" s="1055"/>
      <c r="CQ39" s="1055"/>
      <c r="CR39" s="1055"/>
      <c r="CS39" s="1055"/>
      <c r="CT39" s="1055"/>
      <c r="CU39" s="1055"/>
      <c r="CV39" s="1055"/>
      <c r="CW39" s="1055"/>
      <c r="CX39" s="1055"/>
      <c r="CY39" s="1055"/>
      <c r="CZ39" s="1055"/>
      <c r="DA39" s="1055"/>
      <c r="DB39" s="1055"/>
      <c r="DC39" s="1055"/>
      <c r="DD39" s="1055"/>
      <c r="DE39" s="1055"/>
      <c r="DF39" s="1055"/>
      <c r="DG39" s="1055"/>
      <c r="DH39" s="1055"/>
      <c r="DI39" s="1055"/>
      <c r="DJ39" s="1055"/>
      <c r="DK39" s="1055"/>
      <c r="DL39" s="1055"/>
      <c r="DM39" s="1055"/>
      <c r="DN39" s="1055"/>
      <c r="DO39" s="1055"/>
      <c r="DP39" s="1055"/>
      <c r="DQ39" s="1055"/>
      <c r="DR39" s="1055"/>
      <c r="DS39" s="1055"/>
      <c r="DT39" s="1055"/>
      <c r="DU39" s="1055"/>
      <c r="DV39" s="1055"/>
      <c r="DW39" s="1055"/>
      <c r="DX39" s="1055"/>
      <c r="DY39" s="1055"/>
      <c r="DZ39" s="1055"/>
      <c r="EA39" s="1055"/>
      <c r="EB39" s="1055"/>
      <c r="EC39" s="1055"/>
      <c r="ED39" s="1055"/>
      <c r="EE39" s="1055"/>
      <c r="EF39" s="1055"/>
      <c r="EG39" s="1055"/>
      <c r="EH39" s="1055"/>
      <c r="EI39" s="1055"/>
      <c r="EJ39" s="1055"/>
      <c r="EK39" s="1055"/>
      <c r="EL39" s="1055"/>
      <c r="EM39" s="1055"/>
      <c r="EN39" s="1055"/>
      <c r="EO39" s="1055"/>
      <c r="EP39" s="1055"/>
      <c r="EQ39" s="1055"/>
      <c r="ER39" s="1055"/>
      <c r="ES39" s="1055"/>
      <c r="ET39" s="1055"/>
      <c r="EU39" s="1055"/>
      <c r="EV39" s="1055"/>
      <c r="EW39" s="1055"/>
      <c r="EX39" s="1055"/>
      <c r="EY39" s="1055"/>
      <c r="EZ39" s="1055"/>
      <c r="FA39" s="1055"/>
      <c r="FB39" s="1055"/>
      <c r="FC39" s="1055"/>
      <c r="FD39" s="1055"/>
      <c r="FE39" s="1055"/>
      <c r="FF39" s="1055"/>
      <c r="FG39" s="1055"/>
      <c r="FH39" s="1055"/>
      <c r="FI39" s="1055"/>
      <c r="FJ39" s="1055"/>
      <c r="FK39" s="1055"/>
      <c r="FL39" s="1055"/>
      <c r="FM39" s="1055"/>
      <c r="FN39" s="1055"/>
      <c r="FO39" s="1055"/>
      <c r="FP39" s="1055"/>
      <c r="FQ39" s="1055"/>
      <c r="FR39" s="1055"/>
      <c r="FS39" s="1055"/>
      <c r="FT39" s="1055"/>
      <c r="FU39" s="1055"/>
      <c r="FV39" s="1055"/>
      <c r="FW39" s="1055"/>
      <c r="FX39" s="1055"/>
      <c r="FY39" s="1055"/>
      <c r="FZ39" s="1055"/>
      <c r="GA39" s="1055"/>
      <c r="GB39" s="1055"/>
      <c r="GC39" s="1055"/>
      <c r="GD39" s="1055"/>
      <c r="GE39" s="1055"/>
      <c r="GF39" s="1055"/>
      <c r="GG39" s="1055"/>
      <c r="GH39" s="1055"/>
      <c r="GI39" s="1055"/>
      <c r="GJ39" s="1055"/>
      <c r="GK39" s="1055"/>
      <c r="GL39" s="1055"/>
      <c r="GM39" s="1055"/>
      <c r="GN39" s="1055"/>
      <c r="GO39" s="1055"/>
      <c r="GP39" s="1055"/>
      <c r="GQ39" s="1055"/>
      <c r="GR39" s="1055"/>
      <c r="GS39" s="1055"/>
      <c r="GT39" s="1055"/>
      <c r="GU39" s="1055"/>
      <c r="GV39" s="1055"/>
      <c r="GW39" s="1055"/>
      <c r="GX39" s="1055"/>
      <c r="GY39" s="1055"/>
      <c r="GZ39" s="1055"/>
      <c r="HA39" s="1055"/>
      <c r="HB39" s="1055"/>
      <c r="HC39" s="1055"/>
      <c r="HD39" s="1055"/>
      <c r="HE39" s="1055"/>
      <c r="HF39" s="1055"/>
      <c r="HG39" s="1055"/>
      <c r="HH39" s="1055"/>
      <c r="HI39" s="1055"/>
      <c r="HJ39" s="1055"/>
      <c r="HK39" s="1055"/>
      <c r="HL39" s="1055"/>
      <c r="HM39" s="1055"/>
      <c r="HN39" s="1055"/>
      <c r="HO39" s="1055"/>
      <c r="HP39" s="1055"/>
      <c r="HQ39" s="1055"/>
      <c r="HR39" s="1055"/>
      <c r="HS39" s="1055"/>
      <c r="HT39" s="1055"/>
      <c r="HU39" s="1055"/>
      <c r="HV39" s="1055"/>
      <c r="HW39" s="1055"/>
      <c r="HX39" s="1055"/>
      <c r="HY39" s="1055"/>
      <c r="HZ39" s="1055"/>
      <c r="IA39" s="1055"/>
      <c r="IB39" s="1055"/>
      <c r="IC39" s="1055"/>
      <c r="ID39" s="1055"/>
      <c r="IE39" s="1055"/>
      <c r="IF39" s="1055"/>
      <c r="IG39" s="1055"/>
      <c r="IH39" s="1055"/>
      <c r="II39" s="1055"/>
      <c r="IJ39" s="1055"/>
      <c r="IK39" s="1055"/>
      <c r="IL39" s="1055"/>
      <c r="IM39" s="1055"/>
      <c r="IN39" s="1055"/>
      <c r="IO39" s="1055"/>
      <c r="IP39" s="1055"/>
      <c r="IQ39" s="1055"/>
      <c r="IR39" s="1055"/>
      <c r="IS39" s="1055"/>
      <c r="IT39" s="1055"/>
      <c r="IU39" s="1055"/>
      <c r="IV39" s="1055"/>
      <c r="IW39" s="1055"/>
    </row>
    <row r="40" customFormat="false" ht="13.7" hidden="false" customHeight="true" outlineLevel="0" collapsed="false">
      <c r="A40" s="1053"/>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052"/>
      <c r="AK40" s="1052"/>
      <c r="AL40" s="130"/>
      <c r="AM40" s="130"/>
      <c r="AN40" s="570"/>
      <c r="AO40" s="570"/>
      <c r="AP40" s="570"/>
      <c r="AQ40" s="570"/>
      <c r="AR40" s="570"/>
      <c r="AS40" s="570"/>
      <c r="AT40" s="570"/>
      <c r="AU40" s="570"/>
      <c r="AV40" s="570"/>
      <c r="AW40" s="570"/>
      <c r="AX40" s="570"/>
      <c r="AY40" s="570"/>
      <c r="AZ40" s="570"/>
      <c r="BA40" s="570"/>
      <c r="BB40" s="570"/>
      <c r="BC40" s="570"/>
      <c r="BD40" s="570"/>
      <c r="BE40" s="570"/>
      <c r="BF40" s="570"/>
      <c r="BG40" s="570"/>
      <c r="BH40" s="570"/>
      <c r="BI40" s="570"/>
      <c r="BJ40" s="570"/>
      <c r="BK40" s="570"/>
      <c r="BL40" s="570"/>
      <c r="BM40" s="570"/>
      <c r="BN40" s="570"/>
      <c r="BO40" s="570"/>
      <c r="BP40" s="570"/>
      <c r="BQ40" s="570"/>
      <c r="BR40" s="963"/>
      <c r="BS40" s="1053"/>
      <c r="BT40" s="1053"/>
      <c r="BU40" s="1053"/>
      <c r="BV40" s="1053"/>
      <c r="BW40" s="1053"/>
      <c r="BX40" s="1053"/>
      <c r="BY40" s="1053"/>
      <c r="BZ40" s="1053"/>
      <c r="CA40" s="1053"/>
      <c r="CB40" s="1053"/>
      <c r="CC40" s="1053"/>
      <c r="CD40" s="1053"/>
      <c r="CE40" s="1053"/>
      <c r="CF40" s="1053"/>
      <c r="CG40" s="1053"/>
      <c r="CH40" s="1053"/>
      <c r="CI40" s="1053"/>
      <c r="CJ40" s="1053"/>
      <c r="CK40" s="1053"/>
      <c r="CL40" s="1053"/>
      <c r="CM40" s="1053"/>
      <c r="CN40" s="1053"/>
      <c r="CO40" s="1053"/>
      <c r="CP40" s="1053"/>
      <c r="CQ40" s="1053"/>
      <c r="CR40" s="1053"/>
      <c r="CS40" s="1053"/>
      <c r="CT40" s="1053"/>
      <c r="CU40" s="1053"/>
      <c r="CV40" s="1053"/>
      <c r="CW40" s="1053"/>
      <c r="CX40" s="1053"/>
      <c r="CY40" s="1053"/>
      <c r="CZ40" s="1053"/>
      <c r="DA40" s="1053"/>
      <c r="DB40" s="1053"/>
      <c r="DC40" s="1053"/>
      <c r="DD40" s="1053"/>
      <c r="DE40" s="1053"/>
      <c r="DF40" s="1053"/>
      <c r="DG40" s="1053"/>
      <c r="DH40" s="1053"/>
      <c r="DI40" s="1053"/>
      <c r="DJ40" s="1053"/>
      <c r="DK40" s="1053"/>
      <c r="DL40" s="1053"/>
      <c r="DM40" s="1053"/>
      <c r="DN40" s="1053"/>
      <c r="DO40" s="1053"/>
      <c r="DP40" s="1053"/>
      <c r="DQ40" s="1053"/>
      <c r="DR40" s="1053"/>
      <c r="DS40" s="1053"/>
      <c r="DT40" s="1053"/>
      <c r="DU40" s="1053"/>
      <c r="DV40" s="1053"/>
      <c r="DW40" s="1053"/>
      <c r="DX40" s="1053"/>
      <c r="DY40" s="1053"/>
      <c r="DZ40" s="1053"/>
      <c r="EA40" s="1053"/>
      <c r="EB40" s="1053"/>
      <c r="EC40" s="1053"/>
      <c r="ED40" s="1053"/>
      <c r="EE40" s="1053"/>
      <c r="EF40" s="1053"/>
      <c r="EG40" s="1053"/>
      <c r="EH40" s="1053"/>
      <c r="EI40" s="1053"/>
      <c r="EJ40" s="1053"/>
      <c r="EK40" s="1053"/>
      <c r="EL40" s="1053"/>
      <c r="EM40" s="1053"/>
      <c r="EN40" s="1053"/>
      <c r="EO40" s="1053"/>
      <c r="EP40" s="1053"/>
      <c r="EQ40" s="1053"/>
      <c r="ER40" s="1053"/>
      <c r="ES40" s="1053"/>
      <c r="ET40" s="1053"/>
      <c r="EU40" s="1053"/>
      <c r="EV40" s="1053"/>
      <c r="EW40" s="1053"/>
      <c r="EX40" s="1053"/>
      <c r="EY40" s="1053"/>
      <c r="EZ40" s="1053"/>
      <c r="FA40" s="1053"/>
      <c r="FB40" s="1053"/>
      <c r="FC40" s="1053"/>
      <c r="FD40" s="1053"/>
      <c r="FE40" s="1053"/>
      <c r="FF40" s="1053"/>
      <c r="FG40" s="1053"/>
      <c r="FH40" s="1053"/>
      <c r="FI40" s="1053"/>
      <c r="FJ40" s="1053"/>
      <c r="FK40" s="1053"/>
      <c r="FL40" s="1053"/>
      <c r="FM40" s="1053"/>
      <c r="FN40" s="1053"/>
      <c r="FO40" s="1053"/>
      <c r="FP40" s="1053"/>
      <c r="FQ40" s="1053"/>
      <c r="FR40" s="1053"/>
      <c r="FS40" s="1053"/>
      <c r="FT40" s="1053"/>
      <c r="FU40" s="1053"/>
      <c r="FV40" s="1053"/>
      <c r="FW40" s="1053"/>
      <c r="FX40" s="1053"/>
      <c r="FY40" s="1053"/>
      <c r="FZ40" s="1053"/>
      <c r="GA40" s="1053"/>
      <c r="GB40" s="1053"/>
      <c r="GC40" s="1053"/>
      <c r="GD40" s="1053"/>
      <c r="GE40" s="1053"/>
      <c r="GF40" s="1053"/>
      <c r="GG40" s="1053"/>
      <c r="GH40" s="1053"/>
      <c r="GI40" s="1053"/>
      <c r="GJ40" s="1053"/>
      <c r="GK40" s="1053"/>
      <c r="GL40" s="1053"/>
      <c r="GM40" s="1053"/>
      <c r="GN40" s="1053"/>
      <c r="GO40" s="1053"/>
      <c r="GP40" s="1053"/>
      <c r="GQ40" s="1053"/>
      <c r="GR40" s="1053"/>
      <c r="GS40" s="1053"/>
      <c r="GT40" s="1053"/>
      <c r="GU40" s="1053"/>
      <c r="GV40" s="1053"/>
      <c r="GW40" s="1053"/>
      <c r="GX40" s="1053"/>
      <c r="GY40" s="1053"/>
      <c r="GZ40" s="1053"/>
      <c r="HA40" s="1053"/>
      <c r="HB40" s="1053"/>
      <c r="HC40" s="1053"/>
      <c r="HD40" s="1053"/>
      <c r="HE40" s="1053"/>
      <c r="HF40" s="1053"/>
      <c r="HG40" s="1053"/>
      <c r="HH40" s="1053"/>
      <c r="HI40" s="1053"/>
      <c r="HJ40" s="1053"/>
      <c r="HK40" s="1053"/>
      <c r="HL40" s="1053"/>
      <c r="HM40" s="1053"/>
      <c r="HN40" s="1053"/>
      <c r="HO40" s="1053"/>
      <c r="HP40" s="1053"/>
      <c r="HQ40" s="1053"/>
      <c r="HR40" s="1053"/>
      <c r="HS40" s="1053"/>
      <c r="HT40" s="1053"/>
      <c r="HU40" s="1053"/>
      <c r="HV40" s="1053"/>
      <c r="HW40" s="1053"/>
      <c r="HX40" s="1053"/>
      <c r="HY40" s="1053"/>
      <c r="HZ40" s="1053"/>
      <c r="IA40" s="1053"/>
      <c r="IB40" s="1053"/>
      <c r="IC40" s="1053"/>
      <c r="ID40" s="1053"/>
      <c r="IE40" s="1053"/>
      <c r="IF40" s="1053"/>
      <c r="IG40" s="1053"/>
      <c r="IH40" s="1053"/>
      <c r="II40" s="1053"/>
      <c r="IJ40" s="1053"/>
      <c r="IK40" s="1053"/>
      <c r="IL40" s="1053"/>
      <c r="IM40" s="1053"/>
      <c r="IN40" s="1053"/>
      <c r="IO40" s="1053"/>
      <c r="IP40" s="1053"/>
      <c r="IQ40" s="1053"/>
      <c r="IR40" s="1053"/>
      <c r="IS40" s="1053"/>
      <c r="IT40" s="1053"/>
      <c r="IU40" s="1053"/>
      <c r="IV40" s="1053"/>
      <c r="IW40" s="1053"/>
    </row>
    <row r="41" customFormat="false" ht="12.75" hidden="false" customHeight="false" outlineLevel="0" collapsed="false">
      <c r="A41" s="1053"/>
      <c r="B41" s="1057" t="s">
        <v>651</v>
      </c>
      <c r="C41" s="674"/>
      <c r="D41" s="130" t="n">
        <f aca="false">SUM(E41:AH41)</f>
        <v>-36935.2779318995</v>
      </c>
      <c r="E41" s="130" t="n">
        <f aca="false">-E21</f>
        <v>-7387.0555863799</v>
      </c>
      <c r="F41" s="130" t="n">
        <f aca="false">-F21</f>
        <v>-11819.2889382078</v>
      </c>
      <c r="G41" s="130" t="n">
        <f aca="false">-G21</f>
        <v>-7091.5733629247</v>
      </c>
      <c r="H41" s="130" t="n">
        <f aca="false">-H21</f>
        <v>-4254.94401775482</v>
      </c>
      <c r="I41" s="130" t="n">
        <f aca="false">-I21</f>
        <v>-4254.94401775482</v>
      </c>
      <c r="J41" s="130" t="n">
        <f aca="false">-J21</f>
        <v>-2127.47200887741</v>
      </c>
      <c r="K41" s="130" t="n">
        <f aca="false">-K21</f>
        <v>-0</v>
      </c>
      <c r="L41" s="130" t="n">
        <f aca="false">-L21</f>
        <v>-0</v>
      </c>
      <c r="M41" s="130" t="n">
        <f aca="false">-M21</f>
        <v>-0</v>
      </c>
      <c r="N41" s="130" t="n">
        <f aca="false">-N21</f>
        <v>-0</v>
      </c>
      <c r="O41" s="130" t="n">
        <f aca="false">-O21</f>
        <v>-0</v>
      </c>
      <c r="P41" s="130" t="n">
        <f aca="false">-P21</f>
        <v>-0</v>
      </c>
      <c r="Q41" s="130" t="n">
        <f aca="false">-Q21</f>
        <v>-0</v>
      </c>
      <c r="R41" s="130" t="n">
        <f aca="false">-R21</f>
        <v>-0</v>
      </c>
      <c r="S41" s="130" t="n">
        <f aca="false">-S21</f>
        <v>-0</v>
      </c>
      <c r="T41" s="130" t="n">
        <f aca="false">-T21</f>
        <v>-0</v>
      </c>
      <c r="U41" s="130" t="n">
        <f aca="false">-U21</f>
        <v>-0</v>
      </c>
      <c r="V41" s="130" t="n">
        <f aca="false">-V21</f>
        <v>-0</v>
      </c>
      <c r="W41" s="130" t="n">
        <f aca="false">-W21</f>
        <v>-0</v>
      </c>
      <c r="X41" s="130" t="n">
        <f aca="false">-X21</f>
        <v>-0</v>
      </c>
      <c r="Y41" s="130" t="n">
        <f aca="false">-Y21</f>
        <v>-0</v>
      </c>
      <c r="Z41" s="130" t="n">
        <f aca="false">-Z21</f>
        <v>-0</v>
      </c>
      <c r="AA41" s="130" t="n">
        <f aca="false">-AA21</f>
        <v>-0</v>
      </c>
      <c r="AB41" s="130" t="n">
        <f aca="false">-AB21</f>
        <v>-0</v>
      </c>
      <c r="AC41" s="130" t="n">
        <f aca="false">-AC21</f>
        <v>-0</v>
      </c>
      <c r="AD41" s="130" t="n">
        <f aca="false">-AD21</f>
        <v>-0</v>
      </c>
      <c r="AE41" s="130" t="n">
        <f aca="false">-AE21</f>
        <v>-0</v>
      </c>
      <c r="AF41" s="130" t="n">
        <f aca="false">-AF21</f>
        <v>-0</v>
      </c>
      <c r="AG41" s="130" t="n">
        <f aca="false">-AG21</f>
        <v>-0</v>
      </c>
      <c r="AH41" s="130" t="n">
        <f aca="false">-AH21</f>
        <v>-0</v>
      </c>
      <c r="AI41" s="130" t="n">
        <f aca="false">-AI21</f>
        <v>-0</v>
      </c>
      <c r="AJ41" s="1052"/>
      <c r="AK41" s="1052"/>
      <c r="AL41" s="130"/>
      <c r="AM41" s="130"/>
      <c r="AN41" s="570" t="n">
        <f aca="false">E41/E$33</f>
        <v>-1.9943657985772</v>
      </c>
      <c r="AO41" s="570" t="n">
        <f aca="false">F41/F$33</f>
        <v>-3.19098527772352</v>
      </c>
      <c r="AP41" s="570" t="n">
        <f aca="false">G41/G$33</f>
        <v>-1.91459116663411</v>
      </c>
      <c r="AQ41" s="570" t="n">
        <f aca="false">H41/H$33</f>
        <v>-1.14875469998047</v>
      </c>
      <c r="AR41" s="570" t="n">
        <f aca="false">I41/I$33</f>
        <v>-1.14875469998047</v>
      </c>
      <c r="AS41" s="570" t="n">
        <f aca="false">J41/J$33</f>
        <v>-0.574377349990234</v>
      </c>
      <c r="AT41" s="570" t="n">
        <f aca="false">K41/K$33</f>
        <v>-0</v>
      </c>
      <c r="AU41" s="570" t="n">
        <f aca="false">L41/L$33</f>
        <v>-0</v>
      </c>
      <c r="AV41" s="570" t="n">
        <f aca="false">M41/M$33</f>
        <v>-0</v>
      </c>
      <c r="AW41" s="570" t="n">
        <f aca="false">N41/N$33</f>
        <v>-0</v>
      </c>
      <c r="AX41" s="570" t="n">
        <f aca="false">O41/O$33</f>
        <v>-0</v>
      </c>
      <c r="AY41" s="570" t="n">
        <f aca="false">P41/P$33</f>
        <v>-0</v>
      </c>
      <c r="AZ41" s="570" t="n">
        <f aca="false">Q41/Q$33</f>
        <v>-0</v>
      </c>
      <c r="BA41" s="570" t="n">
        <f aca="false">R41/R$33</f>
        <v>-0</v>
      </c>
      <c r="BB41" s="570" t="n">
        <f aca="false">S41/S$33</f>
        <v>-0</v>
      </c>
      <c r="BC41" s="570" t="n">
        <f aca="false">T41/T$33</f>
        <v>-0</v>
      </c>
      <c r="BD41" s="570" t="n">
        <f aca="false">U41/U$33</f>
        <v>-0</v>
      </c>
      <c r="BE41" s="570" t="n">
        <f aca="false">V41/V$33</f>
        <v>-0</v>
      </c>
      <c r="BF41" s="570" t="n">
        <f aca="false">W41/W$33</f>
        <v>-0</v>
      </c>
      <c r="BG41" s="570" t="n">
        <f aca="false">X41/X$33</f>
        <v>-0</v>
      </c>
      <c r="BH41" s="570" t="e">
        <f aca="false">Y41/Y$33</f>
        <v>#DIV/0!</v>
      </c>
      <c r="BI41" s="570" t="e">
        <f aca="false">Z41/Z$33</f>
        <v>#DIV/0!</v>
      </c>
      <c r="BJ41" s="570" t="e">
        <f aca="false">AA41/AA$33</f>
        <v>#DIV/0!</v>
      </c>
      <c r="BK41" s="570" t="e">
        <f aca="false">AB41/AB$33</f>
        <v>#DIV/0!</v>
      </c>
      <c r="BL41" s="570" t="e">
        <f aca="false">AC41/AC$33</f>
        <v>#DIV/0!</v>
      </c>
      <c r="BM41" s="570" t="e">
        <f aca="false">AD41/AD$33</f>
        <v>#DIV/0!</v>
      </c>
      <c r="BN41" s="570" t="e">
        <f aca="false">AE41/AE$33</f>
        <v>#DIV/0!</v>
      </c>
      <c r="BO41" s="570" t="e">
        <f aca="false">AF41/AF$33</f>
        <v>#DIV/0!</v>
      </c>
      <c r="BP41" s="570" t="e">
        <f aca="false">AG41/AG$33</f>
        <v>#DIV/0!</v>
      </c>
      <c r="BQ41" s="570" t="e">
        <f aca="false">AH41/AH$33</f>
        <v>#DIV/0!</v>
      </c>
      <c r="BR41" s="963" t="e">
        <f aca="false">AI41/AI$33</f>
        <v>#DIV/0!</v>
      </c>
      <c r="BS41" s="1053"/>
      <c r="BT41" s="1053"/>
      <c r="BU41" s="1053"/>
      <c r="BV41" s="1053"/>
      <c r="BW41" s="1053"/>
      <c r="BX41" s="1053"/>
      <c r="BY41" s="1053"/>
      <c r="BZ41" s="1053"/>
      <c r="CA41" s="1053"/>
      <c r="CB41" s="1053"/>
      <c r="CC41" s="1053"/>
      <c r="CD41" s="1053"/>
      <c r="CE41" s="1053"/>
      <c r="CF41" s="1053"/>
      <c r="CG41" s="1053"/>
      <c r="CH41" s="1053"/>
      <c r="CI41" s="1053"/>
      <c r="CJ41" s="1053"/>
      <c r="CK41" s="1053"/>
      <c r="CL41" s="1053"/>
      <c r="CM41" s="1053"/>
      <c r="CN41" s="1053"/>
      <c r="CO41" s="1053"/>
      <c r="CP41" s="1053"/>
      <c r="CQ41" s="1053"/>
      <c r="CR41" s="1053"/>
      <c r="CS41" s="1053"/>
      <c r="CT41" s="1053"/>
      <c r="CU41" s="1053"/>
      <c r="CV41" s="1053"/>
      <c r="CW41" s="1053"/>
      <c r="CX41" s="1053"/>
      <c r="CY41" s="1053"/>
      <c r="CZ41" s="1053"/>
      <c r="DA41" s="1053"/>
      <c r="DB41" s="1053"/>
      <c r="DC41" s="1053"/>
      <c r="DD41" s="1053"/>
      <c r="DE41" s="1053"/>
      <c r="DF41" s="1053"/>
      <c r="DG41" s="1053"/>
      <c r="DH41" s="1053"/>
      <c r="DI41" s="1053"/>
      <c r="DJ41" s="1053"/>
      <c r="DK41" s="1053"/>
      <c r="DL41" s="1053"/>
      <c r="DM41" s="1053"/>
      <c r="DN41" s="1053"/>
      <c r="DO41" s="1053"/>
      <c r="DP41" s="1053"/>
      <c r="DQ41" s="1053"/>
      <c r="DR41" s="1053"/>
      <c r="DS41" s="1053"/>
      <c r="DT41" s="1053"/>
      <c r="DU41" s="1053"/>
      <c r="DV41" s="1053"/>
      <c r="DW41" s="1053"/>
      <c r="DX41" s="1053"/>
      <c r="DY41" s="1053"/>
      <c r="DZ41" s="1053"/>
      <c r="EA41" s="1053"/>
      <c r="EB41" s="1053"/>
      <c r="EC41" s="1053"/>
      <c r="ED41" s="1053"/>
      <c r="EE41" s="1053"/>
      <c r="EF41" s="1053"/>
      <c r="EG41" s="1053"/>
      <c r="EH41" s="1053"/>
      <c r="EI41" s="1053"/>
      <c r="EJ41" s="1053"/>
      <c r="EK41" s="1053"/>
      <c r="EL41" s="1053"/>
      <c r="EM41" s="1053"/>
      <c r="EN41" s="1053"/>
      <c r="EO41" s="1053"/>
      <c r="EP41" s="1053"/>
      <c r="EQ41" s="1053"/>
      <c r="ER41" s="1053"/>
      <c r="ES41" s="1053"/>
      <c r="ET41" s="1053"/>
      <c r="EU41" s="1053"/>
      <c r="EV41" s="1053"/>
      <c r="EW41" s="1053"/>
      <c r="EX41" s="1053"/>
      <c r="EY41" s="1053"/>
      <c r="EZ41" s="1053"/>
      <c r="FA41" s="1053"/>
      <c r="FB41" s="1053"/>
      <c r="FC41" s="1053"/>
      <c r="FD41" s="1053"/>
      <c r="FE41" s="1053"/>
      <c r="FF41" s="1053"/>
      <c r="FG41" s="1053"/>
      <c r="FH41" s="1053"/>
      <c r="FI41" s="1053"/>
      <c r="FJ41" s="1053"/>
      <c r="FK41" s="1053"/>
      <c r="FL41" s="1053"/>
      <c r="FM41" s="1053"/>
      <c r="FN41" s="1053"/>
      <c r="FO41" s="1053"/>
      <c r="FP41" s="1053"/>
      <c r="FQ41" s="1053"/>
      <c r="FR41" s="1053"/>
      <c r="FS41" s="1053"/>
      <c r="FT41" s="1053"/>
      <c r="FU41" s="1053"/>
      <c r="FV41" s="1053"/>
      <c r="FW41" s="1053"/>
      <c r="FX41" s="1053"/>
      <c r="FY41" s="1053"/>
      <c r="FZ41" s="1053"/>
      <c r="GA41" s="1053"/>
      <c r="GB41" s="1053"/>
      <c r="GC41" s="1053"/>
      <c r="GD41" s="1053"/>
      <c r="GE41" s="1053"/>
      <c r="GF41" s="1053"/>
      <c r="GG41" s="1053"/>
      <c r="GH41" s="1053"/>
      <c r="GI41" s="1053"/>
      <c r="GJ41" s="1053"/>
      <c r="GK41" s="1053"/>
      <c r="GL41" s="1053"/>
      <c r="GM41" s="1053"/>
      <c r="GN41" s="1053"/>
      <c r="GO41" s="1053"/>
      <c r="GP41" s="1053"/>
      <c r="GQ41" s="1053"/>
      <c r="GR41" s="1053"/>
      <c r="GS41" s="1053"/>
      <c r="GT41" s="1053"/>
      <c r="GU41" s="1053"/>
      <c r="GV41" s="1053"/>
      <c r="GW41" s="1053"/>
      <c r="GX41" s="1053"/>
      <c r="GY41" s="1053"/>
      <c r="GZ41" s="1053"/>
      <c r="HA41" s="1053"/>
      <c r="HB41" s="1053"/>
      <c r="HC41" s="1053"/>
      <c r="HD41" s="1053"/>
      <c r="HE41" s="1053"/>
      <c r="HF41" s="1053"/>
      <c r="HG41" s="1053"/>
      <c r="HH41" s="1053"/>
      <c r="HI41" s="1053"/>
      <c r="HJ41" s="1053"/>
      <c r="HK41" s="1053"/>
      <c r="HL41" s="1053"/>
      <c r="HM41" s="1053"/>
      <c r="HN41" s="1053"/>
      <c r="HO41" s="1053"/>
      <c r="HP41" s="1053"/>
      <c r="HQ41" s="1053"/>
      <c r="HR41" s="1053"/>
      <c r="HS41" s="1053"/>
      <c r="HT41" s="1053"/>
      <c r="HU41" s="1053"/>
      <c r="HV41" s="1053"/>
      <c r="HW41" s="1053"/>
      <c r="HX41" s="1053"/>
      <c r="HY41" s="1053"/>
      <c r="HZ41" s="1053"/>
      <c r="IA41" s="1053"/>
      <c r="IB41" s="1053"/>
      <c r="IC41" s="1053"/>
      <c r="ID41" s="1053"/>
      <c r="IE41" s="1053"/>
      <c r="IF41" s="1053"/>
      <c r="IG41" s="1053"/>
      <c r="IH41" s="1053"/>
      <c r="II41" s="1053"/>
      <c r="IJ41" s="1053"/>
      <c r="IK41" s="1053"/>
      <c r="IL41" s="1053"/>
      <c r="IM41" s="1053"/>
      <c r="IN41" s="1053"/>
      <c r="IO41" s="1053"/>
      <c r="IP41" s="1053"/>
      <c r="IQ41" s="1053"/>
      <c r="IR41" s="1053"/>
      <c r="IS41" s="1053"/>
      <c r="IT41" s="1053"/>
      <c r="IU41" s="1053"/>
      <c r="IV41" s="1053"/>
      <c r="IW41" s="1053"/>
    </row>
    <row r="42" customFormat="false" ht="12.75" hidden="false" customHeight="false" outlineLevel="0" collapsed="false">
      <c r="A42" s="1053"/>
      <c r="B42" s="1057" t="s">
        <v>652</v>
      </c>
      <c r="C42" s="674"/>
      <c r="D42" s="130" t="n">
        <f aca="false">SUM(E42:AH42)</f>
        <v>-1943.96199641576</v>
      </c>
      <c r="E42" s="130" t="n">
        <f aca="false">-E28</f>
        <v>-107.489663331225</v>
      </c>
      <c r="F42" s="130" t="n">
        <f aca="false">-F28</f>
        <v>-107.489663331225</v>
      </c>
      <c r="G42" s="130" t="n">
        <f aca="false">-G28</f>
        <v>-107.489663331225</v>
      </c>
      <c r="H42" s="130" t="n">
        <f aca="false">-H28</f>
        <v>-107.489663331225</v>
      </c>
      <c r="I42" s="130" t="n">
        <f aca="false">-I28</f>
        <v>-107.489663331225</v>
      </c>
      <c r="J42" s="130" t="n">
        <f aca="false">-J28</f>
        <v>-107.489663331225</v>
      </c>
      <c r="K42" s="130" t="n">
        <f aca="false">-K28</f>
        <v>-107.489663331225</v>
      </c>
      <c r="L42" s="130" t="n">
        <f aca="false">-L28</f>
        <v>-107.489663331225</v>
      </c>
      <c r="M42" s="130" t="n">
        <f aca="false">-M28</f>
        <v>-107.489663331225</v>
      </c>
      <c r="N42" s="130" t="n">
        <f aca="false">-N28</f>
        <v>-107.489663331225</v>
      </c>
      <c r="O42" s="130" t="n">
        <f aca="false">-O28</f>
        <v>-107.489663331225</v>
      </c>
      <c r="P42" s="130" t="n">
        <f aca="false">-P28</f>
        <v>-107.489663331225</v>
      </c>
      <c r="Q42" s="130" t="n">
        <f aca="false">-Q28</f>
        <v>-107.489663331225</v>
      </c>
      <c r="R42" s="130" t="n">
        <f aca="false">-R28</f>
        <v>-107.489663331225</v>
      </c>
      <c r="S42" s="130" t="n">
        <f aca="false">-S28</f>
        <v>-107.489663331225</v>
      </c>
      <c r="T42" s="130" t="n">
        <f aca="false">-T28</f>
        <v>-107.489663331225</v>
      </c>
      <c r="U42" s="130" t="n">
        <f aca="false">-U28</f>
        <v>-107.489663331225</v>
      </c>
      <c r="V42" s="130" t="n">
        <f aca="false">-V28</f>
        <v>-38.8792399283153</v>
      </c>
      <c r="W42" s="130" t="n">
        <f aca="false">-W28</f>
        <v>-38.8792399283153</v>
      </c>
      <c r="X42" s="130" t="n">
        <f aca="false">-X28</f>
        <v>-38.8792399283153</v>
      </c>
      <c r="Y42" s="130" t="n">
        <f aca="false">-Y28</f>
        <v>-0</v>
      </c>
      <c r="Z42" s="130" t="n">
        <f aca="false">-Z28</f>
        <v>-0</v>
      </c>
      <c r="AA42" s="130" t="n">
        <f aca="false">-AA28</f>
        <v>-0</v>
      </c>
      <c r="AB42" s="130" t="n">
        <f aca="false">-AB28</f>
        <v>-0</v>
      </c>
      <c r="AC42" s="130" t="n">
        <f aca="false">-AC28</f>
        <v>-0</v>
      </c>
      <c r="AD42" s="130" t="n">
        <f aca="false">-AD28</f>
        <v>-0</v>
      </c>
      <c r="AE42" s="130" t="n">
        <f aca="false">-AE28</f>
        <v>-0</v>
      </c>
      <c r="AF42" s="130" t="n">
        <f aca="false">-AF28</f>
        <v>-0</v>
      </c>
      <c r="AG42" s="130" t="n">
        <f aca="false">-AG28</f>
        <v>-0</v>
      </c>
      <c r="AH42" s="130" t="n">
        <f aca="false">-AH28</f>
        <v>-0</v>
      </c>
      <c r="AI42" s="130" t="n">
        <f aca="false">-AI28</f>
        <v>-0</v>
      </c>
      <c r="AJ42" s="1052"/>
      <c r="AK42" s="1052"/>
      <c r="AL42" s="130"/>
      <c r="AM42" s="130"/>
      <c r="AN42" s="570" t="n">
        <f aca="false">E42/E$33</f>
        <v>-0.029020183446789</v>
      </c>
      <c r="AO42" s="570" t="n">
        <f aca="false">F42/F$33</f>
        <v>-0.029020183446789</v>
      </c>
      <c r="AP42" s="570" t="n">
        <f aca="false">G42/G$33</f>
        <v>-0.029020183446789</v>
      </c>
      <c r="AQ42" s="570" t="n">
        <f aca="false">H42/H$33</f>
        <v>-0.029020183446789</v>
      </c>
      <c r="AR42" s="570" t="n">
        <f aca="false">I42/I$33</f>
        <v>-0.029020183446789</v>
      </c>
      <c r="AS42" s="570" t="n">
        <f aca="false">J42/J$33</f>
        <v>-0.029020183446789</v>
      </c>
      <c r="AT42" s="570" t="n">
        <f aca="false">K42/K$33</f>
        <v>-0.029020183446789</v>
      </c>
      <c r="AU42" s="570" t="n">
        <f aca="false">L42/L$33</f>
        <v>-0.029020183446789</v>
      </c>
      <c r="AV42" s="570" t="n">
        <f aca="false">M42/M$33</f>
        <v>-0.029020183446789</v>
      </c>
      <c r="AW42" s="570" t="n">
        <f aca="false">N42/N$33</f>
        <v>-0.029020183446789</v>
      </c>
      <c r="AX42" s="570" t="n">
        <f aca="false">O42/O$33</f>
        <v>-0.029020183446789</v>
      </c>
      <c r="AY42" s="570" t="n">
        <f aca="false">P42/P$33</f>
        <v>-0.029020183446789</v>
      </c>
      <c r="AZ42" s="570" t="n">
        <f aca="false">Q42/Q$33</f>
        <v>-0.029020183446789</v>
      </c>
      <c r="BA42" s="570" t="n">
        <f aca="false">R42/R$33</f>
        <v>-0.029020183446789</v>
      </c>
      <c r="BB42" s="570" t="n">
        <f aca="false">S42/S$33</f>
        <v>-0.029020183446789</v>
      </c>
      <c r="BC42" s="570" t="n">
        <f aca="false">T42/T$33</f>
        <v>-0.029020183446789</v>
      </c>
      <c r="BD42" s="570" t="n">
        <f aca="false">U42/U$33</f>
        <v>-0.029020183446789</v>
      </c>
      <c r="BE42" s="570" t="n">
        <f aca="false">V42/V$33</f>
        <v>-0.0104966620977747</v>
      </c>
      <c r="BF42" s="570" t="n">
        <f aca="false">W42/W$33</f>
        <v>-0.0104966620977747</v>
      </c>
      <c r="BG42" s="570" t="n">
        <f aca="false">X42/X$33</f>
        <v>-0.0104966620977747</v>
      </c>
      <c r="BH42" s="570" t="e">
        <f aca="false">Y42/Y$33</f>
        <v>#DIV/0!</v>
      </c>
      <c r="BI42" s="570" t="e">
        <f aca="false">Z42/Z$33</f>
        <v>#DIV/0!</v>
      </c>
      <c r="BJ42" s="570" t="e">
        <f aca="false">AA42/AA$33</f>
        <v>#DIV/0!</v>
      </c>
      <c r="BK42" s="570" t="e">
        <f aca="false">AB42/AB$33</f>
        <v>#DIV/0!</v>
      </c>
      <c r="BL42" s="570" t="e">
        <f aca="false">AC42/AC$33</f>
        <v>#DIV/0!</v>
      </c>
      <c r="BM42" s="570" t="e">
        <f aca="false">AD42/AD$33</f>
        <v>#DIV/0!</v>
      </c>
      <c r="BN42" s="570" t="e">
        <f aca="false">AE42/AE$33</f>
        <v>#DIV/0!</v>
      </c>
      <c r="BO42" s="570" t="e">
        <f aca="false">AF42/AF$33</f>
        <v>#DIV/0!</v>
      </c>
      <c r="BP42" s="570" t="e">
        <f aca="false">AG42/AG$33</f>
        <v>#DIV/0!</v>
      </c>
      <c r="BQ42" s="570" t="e">
        <f aca="false">AH42/AH$33</f>
        <v>#DIV/0!</v>
      </c>
      <c r="BR42" s="963" t="e">
        <f aca="false">AI42/AI$33</f>
        <v>#DIV/0!</v>
      </c>
      <c r="BS42" s="1053"/>
      <c r="BT42" s="1053"/>
      <c r="BU42" s="1053"/>
      <c r="BV42" s="1053"/>
      <c r="BW42" s="1053"/>
      <c r="BX42" s="1053"/>
      <c r="BY42" s="1053"/>
      <c r="BZ42" s="1053"/>
      <c r="CA42" s="1053"/>
      <c r="CB42" s="1053"/>
      <c r="CC42" s="1053"/>
      <c r="CD42" s="1053"/>
      <c r="CE42" s="1053"/>
      <c r="CF42" s="1053"/>
      <c r="CG42" s="1053"/>
      <c r="CH42" s="1053"/>
      <c r="CI42" s="1053"/>
      <c r="CJ42" s="1053"/>
      <c r="CK42" s="1053"/>
      <c r="CL42" s="1053"/>
      <c r="CM42" s="1053"/>
      <c r="CN42" s="1053"/>
      <c r="CO42" s="1053"/>
      <c r="CP42" s="1053"/>
      <c r="CQ42" s="1053"/>
      <c r="CR42" s="1053"/>
      <c r="CS42" s="1053"/>
      <c r="CT42" s="1053"/>
      <c r="CU42" s="1053"/>
      <c r="CV42" s="1053"/>
      <c r="CW42" s="1053"/>
      <c r="CX42" s="1053"/>
      <c r="CY42" s="1053"/>
      <c r="CZ42" s="1053"/>
      <c r="DA42" s="1053"/>
      <c r="DB42" s="1053"/>
      <c r="DC42" s="1053"/>
      <c r="DD42" s="1053"/>
      <c r="DE42" s="1053"/>
      <c r="DF42" s="1053"/>
      <c r="DG42" s="1053"/>
      <c r="DH42" s="1053"/>
      <c r="DI42" s="1053"/>
      <c r="DJ42" s="1053"/>
      <c r="DK42" s="1053"/>
      <c r="DL42" s="1053"/>
      <c r="DM42" s="1053"/>
      <c r="DN42" s="1053"/>
      <c r="DO42" s="1053"/>
      <c r="DP42" s="1053"/>
      <c r="DQ42" s="1053"/>
      <c r="DR42" s="1053"/>
      <c r="DS42" s="1053"/>
      <c r="DT42" s="1053"/>
      <c r="DU42" s="1053"/>
      <c r="DV42" s="1053"/>
      <c r="DW42" s="1053"/>
      <c r="DX42" s="1053"/>
      <c r="DY42" s="1053"/>
      <c r="DZ42" s="1053"/>
      <c r="EA42" s="1053"/>
      <c r="EB42" s="1053"/>
      <c r="EC42" s="1053"/>
      <c r="ED42" s="1053"/>
      <c r="EE42" s="1053"/>
      <c r="EF42" s="1053"/>
      <c r="EG42" s="1053"/>
      <c r="EH42" s="1053"/>
      <c r="EI42" s="1053"/>
      <c r="EJ42" s="1053"/>
      <c r="EK42" s="1053"/>
      <c r="EL42" s="1053"/>
      <c r="EM42" s="1053"/>
      <c r="EN42" s="1053"/>
      <c r="EO42" s="1053"/>
      <c r="EP42" s="1053"/>
      <c r="EQ42" s="1053"/>
      <c r="ER42" s="1053"/>
      <c r="ES42" s="1053"/>
      <c r="ET42" s="1053"/>
      <c r="EU42" s="1053"/>
      <c r="EV42" s="1053"/>
      <c r="EW42" s="1053"/>
      <c r="EX42" s="1053"/>
      <c r="EY42" s="1053"/>
      <c r="EZ42" s="1053"/>
      <c r="FA42" s="1053"/>
      <c r="FB42" s="1053"/>
      <c r="FC42" s="1053"/>
      <c r="FD42" s="1053"/>
      <c r="FE42" s="1053"/>
      <c r="FF42" s="1053"/>
      <c r="FG42" s="1053"/>
      <c r="FH42" s="1053"/>
      <c r="FI42" s="1053"/>
      <c r="FJ42" s="1053"/>
      <c r="FK42" s="1053"/>
      <c r="FL42" s="1053"/>
      <c r="FM42" s="1053"/>
      <c r="FN42" s="1053"/>
      <c r="FO42" s="1053"/>
      <c r="FP42" s="1053"/>
      <c r="FQ42" s="1053"/>
      <c r="FR42" s="1053"/>
      <c r="FS42" s="1053"/>
      <c r="FT42" s="1053"/>
      <c r="FU42" s="1053"/>
      <c r="FV42" s="1053"/>
      <c r="FW42" s="1053"/>
      <c r="FX42" s="1053"/>
      <c r="FY42" s="1053"/>
      <c r="FZ42" s="1053"/>
      <c r="GA42" s="1053"/>
      <c r="GB42" s="1053"/>
      <c r="GC42" s="1053"/>
      <c r="GD42" s="1053"/>
      <c r="GE42" s="1053"/>
      <c r="GF42" s="1053"/>
      <c r="GG42" s="1053"/>
      <c r="GH42" s="1053"/>
      <c r="GI42" s="1053"/>
      <c r="GJ42" s="1053"/>
      <c r="GK42" s="1053"/>
      <c r="GL42" s="1053"/>
      <c r="GM42" s="1053"/>
      <c r="GN42" s="1053"/>
      <c r="GO42" s="1053"/>
      <c r="GP42" s="1053"/>
      <c r="GQ42" s="1053"/>
      <c r="GR42" s="1053"/>
      <c r="GS42" s="1053"/>
      <c r="GT42" s="1053"/>
      <c r="GU42" s="1053"/>
      <c r="GV42" s="1053"/>
      <c r="GW42" s="1053"/>
      <c r="GX42" s="1053"/>
      <c r="GY42" s="1053"/>
      <c r="GZ42" s="1053"/>
      <c r="HA42" s="1053"/>
      <c r="HB42" s="1053"/>
      <c r="HC42" s="1053"/>
      <c r="HD42" s="1053"/>
      <c r="HE42" s="1053"/>
      <c r="HF42" s="1053"/>
      <c r="HG42" s="1053"/>
      <c r="HH42" s="1053"/>
      <c r="HI42" s="1053"/>
      <c r="HJ42" s="1053"/>
      <c r="HK42" s="1053"/>
      <c r="HL42" s="1053"/>
      <c r="HM42" s="1053"/>
      <c r="HN42" s="1053"/>
      <c r="HO42" s="1053"/>
      <c r="HP42" s="1053"/>
      <c r="HQ42" s="1053"/>
      <c r="HR42" s="1053"/>
      <c r="HS42" s="1053"/>
      <c r="HT42" s="1053"/>
      <c r="HU42" s="1053"/>
      <c r="HV42" s="1053"/>
      <c r="HW42" s="1053"/>
      <c r="HX42" s="1053"/>
      <c r="HY42" s="1053"/>
      <c r="HZ42" s="1053"/>
      <c r="IA42" s="1053"/>
      <c r="IB42" s="1053"/>
      <c r="IC42" s="1053"/>
      <c r="ID42" s="1053"/>
      <c r="IE42" s="1053"/>
      <c r="IF42" s="1053"/>
      <c r="IG42" s="1053"/>
      <c r="IH42" s="1053"/>
      <c r="II42" s="1053"/>
      <c r="IJ42" s="1053"/>
      <c r="IK42" s="1053"/>
      <c r="IL42" s="1053"/>
      <c r="IM42" s="1053"/>
      <c r="IN42" s="1053"/>
      <c r="IO42" s="1053"/>
      <c r="IP42" s="1053"/>
      <c r="IQ42" s="1053"/>
      <c r="IR42" s="1053"/>
      <c r="IS42" s="1053"/>
      <c r="IT42" s="1053"/>
      <c r="IU42" s="1053"/>
      <c r="IV42" s="1053"/>
      <c r="IW42" s="1053"/>
    </row>
    <row r="43" customFormat="false" ht="13.5" hidden="false" customHeight="false" outlineLevel="0" collapsed="false">
      <c r="A43" s="1053"/>
      <c r="B43" s="1059" t="s">
        <v>653</v>
      </c>
      <c r="C43" s="130"/>
      <c r="D43" s="672" t="n">
        <f aca="false">SUM(D41:D42)</f>
        <v>-38879.2399283153</v>
      </c>
      <c r="E43" s="650" t="n">
        <f aca="false">SUM(E41:E42)</f>
        <v>-7494.54524971112</v>
      </c>
      <c r="F43" s="650" t="n">
        <f aca="false">SUM(F41:F42)</f>
        <v>-11926.7786015391</v>
      </c>
      <c r="G43" s="650" t="n">
        <f aca="false">SUM(G41:G42)</f>
        <v>-7199.06302625593</v>
      </c>
      <c r="H43" s="650" t="n">
        <f aca="false">SUM(H41:H42)</f>
        <v>-4362.43368108605</v>
      </c>
      <c r="I43" s="650" t="n">
        <f aca="false">SUM(I41:I42)</f>
        <v>-4362.43368108605</v>
      </c>
      <c r="J43" s="650" t="n">
        <f aca="false">SUM(J41:J42)</f>
        <v>-2234.96167220864</v>
      </c>
      <c r="K43" s="650" t="n">
        <f aca="false">SUM(K41:K42)</f>
        <v>-107.489663331225</v>
      </c>
      <c r="L43" s="650" t="n">
        <f aca="false">SUM(L41:L42)</f>
        <v>-107.489663331225</v>
      </c>
      <c r="M43" s="650" t="n">
        <f aca="false">SUM(M41:M42)</f>
        <v>-107.489663331225</v>
      </c>
      <c r="N43" s="650" t="n">
        <f aca="false">SUM(N41:N42)</f>
        <v>-107.489663331225</v>
      </c>
      <c r="O43" s="650" t="n">
        <f aca="false">SUM(O41:O42)</f>
        <v>-107.489663331225</v>
      </c>
      <c r="P43" s="650" t="n">
        <f aca="false">SUM(P41:P42)</f>
        <v>-107.489663331225</v>
      </c>
      <c r="Q43" s="650" t="n">
        <f aca="false">SUM(Q41:Q42)</f>
        <v>-107.489663331225</v>
      </c>
      <c r="R43" s="650" t="n">
        <f aca="false">SUM(R41:R42)</f>
        <v>-107.489663331225</v>
      </c>
      <c r="S43" s="650" t="n">
        <f aca="false">SUM(S41:S42)</f>
        <v>-107.489663331225</v>
      </c>
      <c r="T43" s="650" t="n">
        <f aca="false">SUM(T41:T42)</f>
        <v>-107.489663331225</v>
      </c>
      <c r="U43" s="650" t="n">
        <f aca="false">SUM(U41:U42)</f>
        <v>-107.489663331225</v>
      </c>
      <c r="V43" s="650" t="n">
        <f aca="false">SUM(V41:V42)</f>
        <v>-38.8792399283153</v>
      </c>
      <c r="W43" s="650" t="n">
        <f aca="false">SUM(W41:W42)</f>
        <v>-38.8792399283153</v>
      </c>
      <c r="X43" s="650" t="n">
        <f aca="false">SUM(X41:X42)</f>
        <v>-38.8792399283153</v>
      </c>
      <c r="Y43" s="650" t="n">
        <f aca="false">SUM(Y41:Y42)</f>
        <v>0</v>
      </c>
      <c r="Z43" s="650" t="n">
        <f aca="false">SUM(Z41:Z42)</f>
        <v>0</v>
      </c>
      <c r="AA43" s="650" t="n">
        <f aca="false">SUM(AA41:AA42)</f>
        <v>0</v>
      </c>
      <c r="AB43" s="650" t="n">
        <f aca="false">SUM(AB41:AB42)</f>
        <v>0</v>
      </c>
      <c r="AC43" s="650" t="n">
        <f aca="false">SUM(AC41:AC42)</f>
        <v>0</v>
      </c>
      <c r="AD43" s="650" t="n">
        <f aca="false">SUM(AD41:AD42)</f>
        <v>0</v>
      </c>
      <c r="AE43" s="650" t="n">
        <f aca="false">SUM(AE41:AE42)</f>
        <v>0</v>
      </c>
      <c r="AF43" s="650" t="n">
        <f aca="false">SUM(AF41:AF42)</f>
        <v>0</v>
      </c>
      <c r="AG43" s="650" t="n">
        <f aca="false">SUM(AG41:AG42)</f>
        <v>0</v>
      </c>
      <c r="AH43" s="650" t="n">
        <f aca="false">SUM(AH41:AH42)</f>
        <v>0</v>
      </c>
      <c r="AI43" s="650" t="n">
        <f aca="false">SUM(AI41:AI42)</f>
        <v>0</v>
      </c>
      <c r="AJ43" s="1052"/>
      <c r="AK43" s="1052"/>
      <c r="AL43" s="130"/>
      <c r="AM43" s="1056"/>
      <c r="AN43" s="1058" t="n">
        <f aca="false">E43/E$33</f>
        <v>-2.02338598202399</v>
      </c>
      <c r="AO43" s="1058" t="n">
        <f aca="false">F43/F$33</f>
        <v>-3.22000546117031</v>
      </c>
      <c r="AP43" s="1058" t="n">
        <f aca="false">G43/G$33</f>
        <v>-1.9436113500809</v>
      </c>
      <c r="AQ43" s="1058" t="n">
        <f aca="false">H43/H$33</f>
        <v>-1.17777488342726</v>
      </c>
      <c r="AR43" s="1058" t="n">
        <f aca="false">I43/I$33</f>
        <v>-1.17777488342726</v>
      </c>
      <c r="AS43" s="1058" t="n">
        <f aca="false">J43/J$33</f>
        <v>-0.603397533437023</v>
      </c>
      <c r="AT43" s="1058" t="n">
        <f aca="false">K43/K$33</f>
        <v>-0.029020183446789</v>
      </c>
      <c r="AU43" s="1058" t="n">
        <f aca="false">L43/L$33</f>
        <v>-0.029020183446789</v>
      </c>
      <c r="AV43" s="1058" t="n">
        <f aca="false">M43/M$33</f>
        <v>-0.029020183446789</v>
      </c>
      <c r="AW43" s="1058" t="n">
        <f aca="false">N43/N$33</f>
        <v>-0.029020183446789</v>
      </c>
      <c r="AX43" s="1058" t="n">
        <f aca="false">O43/O$33</f>
        <v>-0.029020183446789</v>
      </c>
      <c r="AY43" s="1058" t="n">
        <f aca="false">P43/P$33</f>
        <v>-0.029020183446789</v>
      </c>
      <c r="AZ43" s="1058" t="n">
        <f aca="false">Q43/Q$33</f>
        <v>-0.029020183446789</v>
      </c>
      <c r="BA43" s="1058" t="n">
        <f aca="false">R43/R$33</f>
        <v>-0.029020183446789</v>
      </c>
      <c r="BB43" s="1058" t="n">
        <f aca="false">S43/S$33</f>
        <v>-0.029020183446789</v>
      </c>
      <c r="BC43" s="1058" t="n">
        <f aca="false">T43/T$33</f>
        <v>-0.029020183446789</v>
      </c>
      <c r="BD43" s="1058" t="n">
        <f aca="false">U43/U$33</f>
        <v>-0.029020183446789</v>
      </c>
      <c r="BE43" s="1058" t="n">
        <f aca="false">V43/V$33</f>
        <v>-0.0104966620977747</v>
      </c>
      <c r="BF43" s="1058" t="n">
        <f aca="false">W43/W$33</f>
        <v>-0.0104966620977747</v>
      </c>
      <c r="BG43" s="1058" t="n">
        <f aca="false">X43/X$33</f>
        <v>-0.0104966620977747</v>
      </c>
      <c r="BH43" s="1058" t="e">
        <f aca="false">Y43/Y$33</f>
        <v>#DIV/0!</v>
      </c>
      <c r="BI43" s="1058" t="e">
        <f aca="false">Z43/Z$33</f>
        <v>#DIV/0!</v>
      </c>
      <c r="BJ43" s="1058" t="e">
        <f aca="false">AA43/AA$33</f>
        <v>#DIV/0!</v>
      </c>
      <c r="BK43" s="1058" t="e">
        <f aca="false">AB43/AB$33</f>
        <v>#DIV/0!</v>
      </c>
      <c r="BL43" s="1058" t="e">
        <f aca="false">AC43/AC$33</f>
        <v>#DIV/0!</v>
      </c>
      <c r="BM43" s="1058" t="e">
        <f aca="false">AD43/AD$33</f>
        <v>#DIV/0!</v>
      </c>
      <c r="BN43" s="1058" t="e">
        <f aca="false">AE43/AE$33</f>
        <v>#DIV/0!</v>
      </c>
      <c r="BO43" s="1058" t="e">
        <f aca="false">AF43/AF$33</f>
        <v>#DIV/0!</v>
      </c>
      <c r="BP43" s="1058" t="e">
        <f aca="false">AG43/AG$33</f>
        <v>#DIV/0!</v>
      </c>
      <c r="BQ43" s="1058" t="e">
        <f aca="false">AH43/AH$33</f>
        <v>#DIV/0!</v>
      </c>
      <c r="BR43" s="963" t="e">
        <f aca="false">AI43/AI$33</f>
        <v>#DIV/0!</v>
      </c>
      <c r="BS43" s="1053"/>
      <c r="BT43" s="1053"/>
      <c r="BU43" s="1053"/>
      <c r="BV43" s="1053"/>
      <c r="BW43" s="1053"/>
      <c r="BX43" s="1053"/>
      <c r="BY43" s="1053"/>
      <c r="BZ43" s="1053"/>
      <c r="CA43" s="1053"/>
      <c r="CB43" s="1053"/>
      <c r="CC43" s="1053"/>
      <c r="CD43" s="1053"/>
      <c r="CE43" s="1053"/>
      <c r="CF43" s="1053"/>
      <c r="CG43" s="1053"/>
      <c r="CH43" s="1053"/>
      <c r="CI43" s="1053"/>
      <c r="CJ43" s="1053"/>
      <c r="CK43" s="1053"/>
      <c r="CL43" s="1053"/>
      <c r="CM43" s="1053"/>
      <c r="CN43" s="1053"/>
      <c r="CO43" s="1053"/>
      <c r="CP43" s="1053"/>
      <c r="CQ43" s="1053"/>
      <c r="CR43" s="1053"/>
      <c r="CS43" s="1053"/>
      <c r="CT43" s="1053"/>
      <c r="CU43" s="1053"/>
      <c r="CV43" s="1053"/>
      <c r="CW43" s="1053"/>
      <c r="CX43" s="1053"/>
      <c r="CY43" s="1053"/>
      <c r="CZ43" s="1053"/>
      <c r="DA43" s="1053"/>
      <c r="DB43" s="1053"/>
      <c r="DC43" s="1053"/>
      <c r="DD43" s="1053"/>
      <c r="DE43" s="1053"/>
      <c r="DF43" s="1053"/>
      <c r="DG43" s="1053"/>
      <c r="DH43" s="1053"/>
      <c r="DI43" s="1053"/>
      <c r="DJ43" s="1053"/>
      <c r="DK43" s="1053"/>
      <c r="DL43" s="1053"/>
      <c r="DM43" s="1053"/>
      <c r="DN43" s="1053"/>
      <c r="DO43" s="1053"/>
      <c r="DP43" s="1053"/>
      <c r="DQ43" s="1053"/>
      <c r="DR43" s="1053"/>
      <c r="DS43" s="1053"/>
      <c r="DT43" s="1053"/>
      <c r="DU43" s="1053"/>
      <c r="DV43" s="1053"/>
      <c r="DW43" s="1053"/>
      <c r="DX43" s="1053"/>
      <c r="DY43" s="1053"/>
      <c r="DZ43" s="1053"/>
      <c r="EA43" s="1053"/>
      <c r="EB43" s="1053"/>
      <c r="EC43" s="1053"/>
      <c r="ED43" s="1053"/>
      <c r="EE43" s="1053"/>
      <c r="EF43" s="1053"/>
      <c r="EG43" s="1053"/>
      <c r="EH43" s="1053"/>
      <c r="EI43" s="1053"/>
      <c r="EJ43" s="1053"/>
      <c r="EK43" s="1053"/>
      <c r="EL43" s="1053"/>
      <c r="EM43" s="1053"/>
      <c r="EN43" s="1053"/>
      <c r="EO43" s="1053"/>
      <c r="EP43" s="1053"/>
      <c r="EQ43" s="1053"/>
      <c r="ER43" s="1053"/>
      <c r="ES43" s="1053"/>
      <c r="ET43" s="1053"/>
      <c r="EU43" s="1053"/>
      <c r="EV43" s="1053"/>
      <c r="EW43" s="1053"/>
      <c r="EX43" s="1053"/>
      <c r="EY43" s="1053"/>
      <c r="EZ43" s="1053"/>
      <c r="FA43" s="1053"/>
      <c r="FB43" s="1053"/>
      <c r="FC43" s="1053"/>
      <c r="FD43" s="1053"/>
      <c r="FE43" s="1053"/>
      <c r="FF43" s="1053"/>
      <c r="FG43" s="1053"/>
      <c r="FH43" s="1053"/>
      <c r="FI43" s="1053"/>
      <c r="FJ43" s="1053"/>
      <c r="FK43" s="1053"/>
      <c r="FL43" s="1053"/>
      <c r="FM43" s="1053"/>
      <c r="FN43" s="1053"/>
      <c r="FO43" s="1053"/>
      <c r="FP43" s="1053"/>
      <c r="FQ43" s="1053"/>
      <c r="FR43" s="1053"/>
      <c r="FS43" s="1053"/>
      <c r="FT43" s="1053"/>
      <c r="FU43" s="1053"/>
      <c r="FV43" s="1053"/>
      <c r="FW43" s="1053"/>
      <c r="FX43" s="1053"/>
      <c r="FY43" s="1053"/>
      <c r="FZ43" s="1053"/>
      <c r="GA43" s="1053"/>
      <c r="GB43" s="1053"/>
      <c r="GC43" s="1053"/>
      <c r="GD43" s="1053"/>
      <c r="GE43" s="1053"/>
      <c r="GF43" s="1053"/>
      <c r="GG43" s="1053"/>
      <c r="GH43" s="1053"/>
      <c r="GI43" s="1053"/>
      <c r="GJ43" s="1053"/>
      <c r="GK43" s="1053"/>
      <c r="GL43" s="1053"/>
      <c r="GM43" s="1053"/>
      <c r="GN43" s="1053"/>
      <c r="GO43" s="1053"/>
      <c r="GP43" s="1053"/>
      <c r="GQ43" s="1053"/>
      <c r="GR43" s="1053"/>
      <c r="GS43" s="1053"/>
      <c r="GT43" s="1053"/>
      <c r="GU43" s="1053"/>
      <c r="GV43" s="1053"/>
      <c r="GW43" s="1053"/>
      <c r="GX43" s="1053"/>
      <c r="GY43" s="1053"/>
      <c r="GZ43" s="1053"/>
      <c r="HA43" s="1053"/>
      <c r="HB43" s="1053"/>
      <c r="HC43" s="1053"/>
      <c r="HD43" s="1053"/>
      <c r="HE43" s="1053"/>
      <c r="HF43" s="1053"/>
      <c r="HG43" s="1053"/>
      <c r="HH43" s="1053"/>
      <c r="HI43" s="1053"/>
      <c r="HJ43" s="1053"/>
      <c r="HK43" s="1053"/>
      <c r="HL43" s="1053"/>
      <c r="HM43" s="1053"/>
      <c r="HN43" s="1053"/>
      <c r="HO43" s="1053"/>
      <c r="HP43" s="1053"/>
      <c r="HQ43" s="1053"/>
      <c r="HR43" s="1053"/>
      <c r="HS43" s="1053"/>
      <c r="HT43" s="1053"/>
      <c r="HU43" s="1053"/>
      <c r="HV43" s="1053"/>
      <c r="HW43" s="1053"/>
      <c r="HX43" s="1053"/>
      <c r="HY43" s="1053"/>
      <c r="HZ43" s="1053"/>
      <c r="IA43" s="1053"/>
      <c r="IB43" s="1053"/>
      <c r="IC43" s="1053"/>
      <c r="ID43" s="1053"/>
      <c r="IE43" s="1053"/>
      <c r="IF43" s="1053"/>
      <c r="IG43" s="1053"/>
      <c r="IH43" s="1053"/>
      <c r="II43" s="1053"/>
      <c r="IJ43" s="1053"/>
      <c r="IK43" s="1053"/>
      <c r="IL43" s="1053"/>
      <c r="IM43" s="1053"/>
      <c r="IN43" s="1053"/>
      <c r="IO43" s="1053"/>
      <c r="IP43" s="1053"/>
      <c r="IQ43" s="1053"/>
      <c r="IR43" s="1053"/>
      <c r="IS43" s="1053"/>
      <c r="IT43" s="1053"/>
      <c r="IU43" s="1053"/>
      <c r="IV43" s="1053"/>
      <c r="IW43" s="1053"/>
    </row>
    <row r="44" customFormat="false" ht="13.5" hidden="false" customHeight="false" outlineLevel="0" collapsed="false">
      <c r="A44" s="1055"/>
      <c r="B44" s="1056" t="s">
        <v>654</v>
      </c>
      <c r="C44" s="313"/>
      <c r="D44" s="313"/>
      <c r="E44" s="313" t="n">
        <f aca="false">E39+E43</f>
        <v>-5328.09443612607</v>
      </c>
      <c r="F44" s="313" t="n">
        <f aca="false">F39+F43</f>
        <v>-9762.37659757122</v>
      </c>
      <c r="G44" s="313" t="n">
        <f aca="false">G39+G43</f>
        <v>-5037.35182063151</v>
      </c>
      <c r="H44" s="313" t="n">
        <f aca="false">H39+H43</f>
        <v>-2204.22584604916</v>
      </c>
      <c r="I44" s="313" t="n">
        <f aca="false">I39+I43</f>
        <v>-2208.41628930372</v>
      </c>
      <c r="J44" s="313" t="n">
        <f aca="false">J39+J43</f>
        <v>-85.6676709612798</v>
      </c>
      <c r="K44" s="313" t="n">
        <f aca="false">K39+K43</f>
        <v>2027.36356126612</v>
      </c>
      <c r="L44" s="313" t="n">
        <f aca="false">L39+L43</f>
        <v>2012.15872685635</v>
      </c>
      <c r="M44" s="313" t="n">
        <f aca="false">M39+M43</f>
        <v>1996.18041374804</v>
      </c>
      <c r="N44" s="313" t="n">
        <f aca="false">N39+N43</f>
        <v>1979.08739471151</v>
      </c>
      <c r="O44" s="313" t="n">
        <f aca="false">O39+O43</f>
        <v>2006.28212017933</v>
      </c>
      <c r="P44" s="313" t="n">
        <f aca="false">P39+P43</f>
        <v>1987.17995384482</v>
      </c>
      <c r="Q44" s="313" t="n">
        <f aca="false">Q39+Q43</f>
        <v>1966.41612488004</v>
      </c>
      <c r="R44" s="313" t="n">
        <f aca="false">R39+R43</f>
        <v>1943.8992575411</v>
      </c>
      <c r="S44" s="313" t="n">
        <f aca="false">S39+S43</f>
        <v>1919.43071075543</v>
      </c>
      <c r="T44" s="313" t="n">
        <f aca="false">T39+T43</f>
        <v>1893.59806060982</v>
      </c>
      <c r="U44" s="313" t="n">
        <f aca="false">U39+U43</f>
        <v>1875.6322237328</v>
      </c>
      <c r="V44" s="313" t="n">
        <f aca="false">V39+V43</f>
        <v>1991.95051082941</v>
      </c>
      <c r="W44" s="313" t="n">
        <f aca="false">W39+W43</f>
        <v>1960.85581609821</v>
      </c>
      <c r="X44" s="313" t="n">
        <f aca="false">X39+X43</f>
        <v>1929.83790420078</v>
      </c>
      <c r="Y44" s="313" t="n">
        <f aca="false">Y39+Y43</f>
        <v>0</v>
      </c>
      <c r="Z44" s="313" t="n">
        <f aca="false">Z39+Z43</f>
        <v>0</v>
      </c>
      <c r="AA44" s="313" t="n">
        <f aca="false">AA39+AA43</f>
        <v>0</v>
      </c>
      <c r="AB44" s="313" t="n">
        <f aca="false">AB39+AB43</f>
        <v>0</v>
      </c>
      <c r="AC44" s="313" t="n">
        <f aca="false">AC39+AC43</f>
        <v>0</v>
      </c>
      <c r="AD44" s="313" t="n">
        <f aca="false">AD39+AD43</f>
        <v>0</v>
      </c>
      <c r="AE44" s="313" t="n">
        <f aca="false">AE39+AE43</f>
        <v>0</v>
      </c>
      <c r="AF44" s="313" t="n">
        <f aca="false">AF39+AF43</f>
        <v>0</v>
      </c>
      <c r="AG44" s="313" t="n">
        <f aca="false">AG39+AG43</f>
        <v>0</v>
      </c>
      <c r="AH44" s="313" t="n">
        <f aca="false">AH39+AH43</f>
        <v>0</v>
      </c>
      <c r="AI44" s="313" t="n">
        <f aca="false">AI39+AI43</f>
        <v>0</v>
      </c>
      <c r="AJ44" s="1045"/>
      <c r="AK44" s="1045"/>
      <c r="AL44" s="313"/>
      <c r="AM44" s="313"/>
      <c r="AN44" s="963" t="n">
        <f aca="false">E44/E$33</f>
        <v>-1.43848508932187</v>
      </c>
      <c r="AO44" s="963" t="n">
        <f aca="false">F44/F$33</f>
        <v>-2.63565770845483</v>
      </c>
      <c r="AP44" s="963" t="n">
        <f aca="false">G44/G$33</f>
        <v>-1.3599900622098</v>
      </c>
      <c r="AQ44" s="963" t="n">
        <f aca="false">H44/H$33</f>
        <v>-0.595099439593451</v>
      </c>
      <c r="AR44" s="963" t="n">
        <f aca="false">I44/I$33</f>
        <v>-0.596230780302891</v>
      </c>
      <c r="AS44" s="963" t="n">
        <f aca="false">J44/J$33</f>
        <v>-0.0231286567443673</v>
      </c>
      <c r="AT44" s="963" t="n">
        <f aca="false">K44/K$33</f>
        <v>0.547349955688134</v>
      </c>
      <c r="AU44" s="963" t="n">
        <f aca="false">L44/L$33</f>
        <v>0.543244936934007</v>
      </c>
      <c r="AV44" s="963" t="n">
        <f aca="false">M44/M$33</f>
        <v>0.538931093507549</v>
      </c>
      <c r="AW44" s="963" t="n">
        <f aca="false">N44/N$33</f>
        <v>0.534316300487211</v>
      </c>
      <c r="AX44" s="963" t="n">
        <f aca="false">O44/O$33</f>
        <v>0.541658363876408</v>
      </c>
      <c r="AY44" s="963" t="n">
        <f aca="false">P44/P$33</f>
        <v>0.536501138948179</v>
      </c>
      <c r="AZ44" s="963" t="n">
        <f aca="false">Q44/Q$33</f>
        <v>0.530895296423965</v>
      </c>
      <c r="BA44" s="963" t="n">
        <f aca="false">R44/R$33</f>
        <v>0.524816166574897</v>
      </c>
      <c r="BB44" s="963" t="n">
        <f aca="false">S44/S$33</f>
        <v>0.518210120054794</v>
      </c>
      <c r="BC44" s="963" t="n">
        <f aca="false">T44/T$33</f>
        <v>0.511235791334158</v>
      </c>
      <c r="BD44" s="963" t="n">
        <f aca="false">U44/U$33</f>
        <v>0.50638535394522</v>
      </c>
      <c r="BE44" s="963" t="n">
        <f aca="false">V44/V$33</f>
        <v>0.537789099432433</v>
      </c>
      <c r="BF44" s="963" t="n">
        <f aca="false">W44/W$33</f>
        <v>0.529394117837405</v>
      </c>
      <c r="BG44" s="963" t="n">
        <f aca="false">X44/X$33</f>
        <v>0.521019866160515</v>
      </c>
      <c r="BH44" s="963" t="e">
        <f aca="false">Y44/Y$33</f>
        <v>#DIV/0!</v>
      </c>
      <c r="BI44" s="963" t="e">
        <f aca="false">Z44/Z$33</f>
        <v>#DIV/0!</v>
      </c>
      <c r="BJ44" s="963" t="e">
        <f aca="false">AA44/AA$33</f>
        <v>#DIV/0!</v>
      </c>
      <c r="BK44" s="963" t="e">
        <f aca="false">AB44/AB$33</f>
        <v>#DIV/0!</v>
      </c>
      <c r="BL44" s="963" t="e">
        <f aca="false">AC44/AC$33</f>
        <v>#DIV/0!</v>
      </c>
      <c r="BM44" s="963" t="e">
        <f aca="false">AD44/AD$33</f>
        <v>#DIV/0!</v>
      </c>
      <c r="BN44" s="963" t="e">
        <f aca="false">AE44/AE$33</f>
        <v>#DIV/0!</v>
      </c>
      <c r="BO44" s="963" t="e">
        <f aca="false">AF44/AF$33</f>
        <v>#DIV/0!</v>
      </c>
      <c r="BP44" s="963" t="e">
        <f aca="false">AG44/AG$33</f>
        <v>#DIV/0!</v>
      </c>
      <c r="BQ44" s="963" t="e">
        <f aca="false">AH44/AH$33</f>
        <v>#DIV/0!</v>
      </c>
      <c r="BR44" s="963" t="e">
        <f aca="false">AI44/AI$33</f>
        <v>#DIV/0!</v>
      </c>
      <c r="BS44" s="1055"/>
      <c r="BT44" s="1055"/>
      <c r="BU44" s="1055"/>
      <c r="BV44" s="1055"/>
      <c r="BW44" s="1055"/>
      <c r="BX44" s="1055"/>
      <c r="BY44" s="1055"/>
      <c r="BZ44" s="1055"/>
      <c r="CA44" s="1055"/>
      <c r="CB44" s="1055"/>
      <c r="CC44" s="1055"/>
      <c r="CD44" s="1055"/>
      <c r="CE44" s="1055"/>
      <c r="CF44" s="1055"/>
      <c r="CG44" s="1055"/>
      <c r="CH44" s="1055"/>
      <c r="CI44" s="1055"/>
      <c r="CJ44" s="1055"/>
      <c r="CK44" s="1055"/>
      <c r="CL44" s="1055"/>
      <c r="CM44" s="1055"/>
      <c r="CN44" s="1055"/>
      <c r="CO44" s="1055"/>
      <c r="CP44" s="1055"/>
      <c r="CQ44" s="1055"/>
      <c r="CR44" s="1055"/>
      <c r="CS44" s="1055"/>
      <c r="CT44" s="1055"/>
      <c r="CU44" s="1055"/>
      <c r="CV44" s="1055"/>
      <c r="CW44" s="1055"/>
      <c r="CX44" s="1055"/>
      <c r="CY44" s="1055"/>
      <c r="CZ44" s="1055"/>
      <c r="DA44" s="1055"/>
      <c r="DB44" s="1055"/>
      <c r="DC44" s="1055"/>
      <c r="DD44" s="1055"/>
      <c r="DE44" s="1055"/>
      <c r="DF44" s="1055"/>
      <c r="DG44" s="1055"/>
      <c r="DH44" s="1055"/>
      <c r="DI44" s="1055"/>
      <c r="DJ44" s="1055"/>
      <c r="DK44" s="1055"/>
      <c r="DL44" s="1055"/>
      <c r="DM44" s="1055"/>
      <c r="DN44" s="1055"/>
      <c r="DO44" s="1055"/>
      <c r="DP44" s="1055"/>
      <c r="DQ44" s="1055"/>
      <c r="DR44" s="1055"/>
      <c r="DS44" s="1055"/>
      <c r="DT44" s="1055"/>
      <c r="DU44" s="1055"/>
      <c r="DV44" s="1055"/>
      <c r="DW44" s="1055"/>
      <c r="DX44" s="1055"/>
      <c r="DY44" s="1055"/>
      <c r="DZ44" s="1055"/>
      <c r="EA44" s="1055"/>
      <c r="EB44" s="1055"/>
      <c r="EC44" s="1055"/>
      <c r="ED44" s="1055"/>
      <c r="EE44" s="1055"/>
      <c r="EF44" s="1055"/>
      <c r="EG44" s="1055"/>
      <c r="EH44" s="1055"/>
      <c r="EI44" s="1055"/>
      <c r="EJ44" s="1055"/>
      <c r="EK44" s="1055"/>
      <c r="EL44" s="1055"/>
      <c r="EM44" s="1055"/>
      <c r="EN44" s="1055"/>
      <c r="EO44" s="1055"/>
      <c r="EP44" s="1055"/>
      <c r="EQ44" s="1055"/>
      <c r="ER44" s="1055"/>
      <c r="ES44" s="1055"/>
      <c r="ET44" s="1055"/>
      <c r="EU44" s="1055"/>
      <c r="EV44" s="1055"/>
      <c r="EW44" s="1055"/>
      <c r="EX44" s="1055"/>
      <c r="EY44" s="1055"/>
      <c r="EZ44" s="1055"/>
      <c r="FA44" s="1055"/>
      <c r="FB44" s="1055"/>
      <c r="FC44" s="1055"/>
      <c r="FD44" s="1055"/>
      <c r="FE44" s="1055"/>
      <c r="FF44" s="1055"/>
      <c r="FG44" s="1055"/>
      <c r="FH44" s="1055"/>
      <c r="FI44" s="1055"/>
      <c r="FJ44" s="1055"/>
      <c r="FK44" s="1055"/>
      <c r="FL44" s="1055"/>
      <c r="FM44" s="1055"/>
      <c r="FN44" s="1055"/>
      <c r="FO44" s="1055"/>
      <c r="FP44" s="1055"/>
      <c r="FQ44" s="1055"/>
      <c r="FR44" s="1055"/>
      <c r="FS44" s="1055"/>
      <c r="FT44" s="1055"/>
      <c r="FU44" s="1055"/>
      <c r="FV44" s="1055"/>
      <c r="FW44" s="1055"/>
      <c r="FX44" s="1055"/>
      <c r="FY44" s="1055"/>
      <c r="FZ44" s="1055"/>
      <c r="GA44" s="1055"/>
      <c r="GB44" s="1055"/>
      <c r="GC44" s="1055"/>
      <c r="GD44" s="1055"/>
      <c r="GE44" s="1055"/>
      <c r="GF44" s="1055"/>
      <c r="GG44" s="1055"/>
      <c r="GH44" s="1055"/>
      <c r="GI44" s="1055"/>
      <c r="GJ44" s="1055"/>
      <c r="GK44" s="1055"/>
      <c r="GL44" s="1055"/>
      <c r="GM44" s="1055"/>
      <c r="GN44" s="1055"/>
      <c r="GO44" s="1055"/>
      <c r="GP44" s="1055"/>
      <c r="GQ44" s="1055"/>
      <c r="GR44" s="1055"/>
      <c r="GS44" s="1055"/>
      <c r="GT44" s="1055"/>
      <c r="GU44" s="1055"/>
      <c r="GV44" s="1055"/>
      <c r="GW44" s="1055"/>
      <c r="GX44" s="1055"/>
      <c r="GY44" s="1055"/>
      <c r="GZ44" s="1055"/>
      <c r="HA44" s="1055"/>
      <c r="HB44" s="1055"/>
      <c r="HC44" s="1055"/>
      <c r="HD44" s="1055"/>
      <c r="HE44" s="1055"/>
      <c r="HF44" s="1055"/>
      <c r="HG44" s="1055"/>
      <c r="HH44" s="1055"/>
      <c r="HI44" s="1055"/>
      <c r="HJ44" s="1055"/>
      <c r="HK44" s="1055"/>
      <c r="HL44" s="1055"/>
      <c r="HM44" s="1055"/>
      <c r="HN44" s="1055"/>
      <c r="HO44" s="1055"/>
      <c r="HP44" s="1055"/>
      <c r="HQ44" s="1055"/>
      <c r="HR44" s="1055"/>
      <c r="HS44" s="1055"/>
      <c r="HT44" s="1055"/>
      <c r="HU44" s="1055"/>
      <c r="HV44" s="1055"/>
      <c r="HW44" s="1055"/>
      <c r="HX44" s="1055"/>
      <c r="HY44" s="1055"/>
      <c r="HZ44" s="1055"/>
      <c r="IA44" s="1055"/>
      <c r="IB44" s="1055"/>
      <c r="IC44" s="1055"/>
      <c r="ID44" s="1055"/>
      <c r="IE44" s="1055"/>
      <c r="IF44" s="1055"/>
      <c r="IG44" s="1055"/>
      <c r="IH44" s="1055"/>
      <c r="II44" s="1055"/>
      <c r="IJ44" s="1055"/>
      <c r="IK44" s="1055"/>
      <c r="IL44" s="1055"/>
      <c r="IM44" s="1055"/>
      <c r="IN44" s="1055"/>
      <c r="IO44" s="1055"/>
      <c r="IP44" s="1055"/>
      <c r="IQ44" s="1055"/>
      <c r="IR44" s="1055"/>
      <c r="IS44" s="1055"/>
      <c r="IT44" s="1055"/>
      <c r="IU44" s="1055"/>
      <c r="IV44" s="1055"/>
      <c r="IW44" s="1055"/>
    </row>
    <row r="45" customFormat="false" ht="12.75" hidden="false" customHeight="false" outlineLevel="0" collapsed="false">
      <c r="A45" s="1053"/>
      <c r="B45" s="1057"/>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c r="AE45" s="130"/>
      <c r="AF45" s="130"/>
      <c r="AG45" s="130"/>
      <c r="AH45" s="130"/>
      <c r="AI45" s="130"/>
      <c r="AJ45" s="1052"/>
      <c r="AK45" s="1052"/>
      <c r="AL45" s="130"/>
      <c r="AM45" s="130"/>
      <c r="AN45" s="570"/>
      <c r="AO45" s="570"/>
      <c r="AP45" s="570"/>
      <c r="AQ45" s="570"/>
      <c r="AR45" s="570"/>
      <c r="AS45" s="570"/>
      <c r="AT45" s="570"/>
      <c r="AU45" s="570"/>
      <c r="AV45" s="570"/>
      <c r="AW45" s="570"/>
      <c r="AX45" s="570"/>
      <c r="AY45" s="570"/>
      <c r="AZ45" s="570"/>
      <c r="BA45" s="570"/>
      <c r="BB45" s="570"/>
      <c r="BC45" s="570"/>
      <c r="BD45" s="570"/>
      <c r="BE45" s="570"/>
      <c r="BF45" s="570"/>
      <c r="BG45" s="570"/>
      <c r="BH45" s="570"/>
      <c r="BI45" s="570"/>
      <c r="BJ45" s="570"/>
      <c r="BK45" s="570"/>
      <c r="BL45" s="570"/>
      <c r="BM45" s="570"/>
      <c r="BN45" s="570"/>
      <c r="BO45" s="570"/>
      <c r="BP45" s="570"/>
      <c r="BQ45" s="570"/>
      <c r="BR45" s="963"/>
      <c r="BS45" s="1053"/>
      <c r="BT45" s="1053"/>
      <c r="BU45" s="1053"/>
      <c r="BV45" s="1053"/>
      <c r="BW45" s="1053"/>
      <c r="BX45" s="1053"/>
      <c r="BY45" s="1053"/>
      <c r="BZ45" s="1053"/>
      <c r="CA45" s="1053"/>
      <c r="CB45" s="1053"/>
      <c r="CC45" s="1053"/>
      <c r="CD45" s="1053"/>
      <c r="CE45" s="1053"/>
      <c r="CF45" s="1053"/>
      <c r="CG45" s="1053"/>
      <c r="CH45" s="1053"/>
      <c r="CI45" s="1053"/>
      <c r="CJ45" s="1053"/>
      <c r="CK45" s="1053"/>
      <c r="CL45" s="1053"/>
      <c r="CM45" s="1053"/>
      <c r="CN45" s="1053"/>
      <c r="CO45" s="1053"/>
      <c r="CP45" s="1053"/>
      <c r="CQ45" s="1053"/>
      <c r="CR45" s="1053"/>
      <c r="CS45" s="1053"/>
      <c r="CT45" s="1053"/>
      <c r="CU45" s="1053"/>
      <c r="CV45" s="1053"/>
      <c r="CW45" s="1053"/>
      <c r="CX45" s="1053"/>
      <c r="CY45" s="1053"/>
      <c r="CZ45" s="1053"/>
      <c r="DA45" s="1053"/>
      <c r="DB45" s="1053"/>
      <c r="DC45" s="1053"/>
      <c r="DD45" s="1053"/>
      <c r="DE45" s="1053"/>
      <c r="DF45" s="1053"/>
      <c r="DG45" s="1053"/>
      <c r="DH45" s="1053"/>
      <c r="DI45" s="1053"/>
      <c r="DJ45" s="1053"/>
      <c r="DK45" s="1053"/>
      <c r="DL45" s="1053"/>
      <c r="DM45" s="1053"/>
      <c r="DN45" s="1053"/>
      <c r="DO45" s="1053"/>
      <c r="DP45" s="1053"/>
      <c r="DQ45" s="1053"/>
      <c r="DR45" s="1053"/>
      <c r="DS45" s="1053"/>
      <c r="DT45" s="1053"/>
      <c r="DU45" s="1053"/>
      <c r="DV45" s="1053"/>
      <c r="DW45" s="1053"/>
      <c r="DX45" s="1053"/>
      <c r="DY45" s="1053"/>
      <c r="DZ45" s="1053"/>
      <c r="EA45" s="1053"/>
      <c r="EB45" s="1053"/>
      <c r="EC45" s="1053"/>
      <c r="ED45" s="1053"/>
      <c r="EE45" s="1053"/>
      <c r="EF45" s="1053"/>
      <c r="EG45" s="1053"/>
      <c r="EH45" s="1053"/>
      <c r="EI45" s="1053"/>
      <c r="EJ45" s="1053"/>
      <c r="EK45" s="1053"/>
      <c r="EL45" s="1053"/>
      <c r="EM45" s="1053"/>
      <c r="EN45" s="1053"/>
      <c r="EO45" s="1053"/>
      <c r="EP45" s="1053"/>
      <c r="EQ45" s="1053"/>
      <c r="ER45" s="1053"/>
      <c r="ES45" s="1053"/>
      <c r="ET45" s="1053"/>
      <c r="EU45" s="1053"/>
      <c r="EV45" s="1053"/>
      <c r="EW45" s="1053"/>
      <c r="EX45" s="1053"/>
      <c r="EY45" s="1053"/>
      <c r="EZ45" s="1053"/>
      <c r="FA45" s="1053"/>
      <c r="FB45" s="1053"/>
      <c r="FC45" s="1053"/>
      <c r="FD45" s="1053"/>
      <c r="FE45" s="1053"/>
      <c r="FF45" s="1053"/>
      <c r="FG45" s="1053"/>
      <c r="FH45" s="1053"/>
      <c r="FI45" s="1053"/>
      <c r="FJ45" s="1053"/>
      <c r="FK45" s="1053"/>
      <c r="FL45" s="1053"/>
      <c r="FM45" s="1053"/>
      <c r="FN45" s="1053"/>
      <c r="FO45" s="1053"/>
      <c r="FP45" s="1053"/>
      <c r="FQ45" s="1053"/>
      <c r="FR45" s="1053"/>
      <c r="FS45" s="1053"/>
      <c r="FT45" s="1053"/>
      <c r="FU45" s="1053"/>
      <c r="FV45" s="1053"/>
      <c r="FW45" s="1053"/>
      <c r="FX45" s="1053"/>
      <c r="FY45" s="1053"/>
      <c r="FZ45" s="1053"/>
      <c r="GA45" s="1053"/>
      <c r="GB45" s="1053"/>
      <c r="GC45" s="1053"/>
      <c r="GD45" s="1053"/>
      <c r="GE45" s="1053"/>
      <c r="GF45" s="1053"/>
      <c r="GG45" s="1053"/>
      <c r="GH45" s="1053"/>
      <c r="GI45" s="1053"/>
      <c r="GJ45" s="1053"/>
      <c r="GK45" s="1053"/>
      <c r="GL45" s="1053"/>
      <c r="GM45" s="1053"/>
      <c r="GN45" s="1053"/>
      <c r="GO45" s="1053"/>
      <c r="GP45" s="1053"/>
      <c r="GQ45" s="1053"/>
      <c r="GR45" s="1053"/>
      <c r="GS45" s="1053"/>
      <c r="GT45" s="1053"/>
      <c r="GU45" s="1053"/>
      <c r="GV45" s="1053"/>
      <c r="GW45" s="1053"/>
      <c r="GX45" s="1053"/>
      <c r="GY45" s="1053"/>
      <c r="GZ45" s="1053"/>
      <c r="HA45" s="1053"/>
      <c r="HB45" s="1053"/>
      <c r="HC45" s="1053"/>
      <c r="HD45" s="1053"/>
      <c r="HE45" s="1053"/>
      <c r="HF45" s="1053"/>
      <c r="HG45" s="1053"/>
      <c r="HH45" s="1053"/>
      <c r="HI45" s="1053"/>
      <c r="HJ45" s="1053"/>
      <c r="HK45" s="1053"/>
      <c r="HL45" s="1053"/>
      <c r="HM45" s="1053"/>
      <c r="HN45" s="1053"/>
      <c r="HO45" s="1053"/>
      <c r="HP45" s="1053"/>
      <c r="HQ45" s="1053"/>
      <c r="HR45" s="1053"/>
      <c r="HS45" s="1053"/>
      <c r="HT45" s="1053"/>
      <c r="HU45" s="1053"/>
      <c r="HV45" s="1053"/>
      <c r="HW45" s="1053"/>
      <c r="HX45" s="1053"/>
      <c r="HY45" s="1053"/>
      <c r="HZ45" s="1053"/>
      <c r="IA45" s="1053"/>
      <c r="IB45" s="1053"/>
      <c r="IC45" s="1053"/>
      <c r="ID45" s="1053"/>
      <c r="IE45" s="1053"/>
      <c r="IF45" s="1053"/>
      <c r="IG45" s="1053"/>
      <c r="IH45" s="1053"/>
      <c r="II45" s="1053"/>
      <c r="IJ45" s="1053"/>
      <c r="IK45" s="1053"/>
      <c r="IL45" s="1053"/>
      <c r="IM45" s="1053"/>
      <c r="IN45" s="1053"/>
      <c r="IO45" s="1053"/>
      <c r="IP45" s="1053"/>
      <c r="IQ45" s="1053"/>
      <c r="IR45" s="1053"/>
      <c r="IS45" s="1053"/>
      <c r="IT45" s="1053"/>
      <c r="IU45" s="1053"/>
      <c r="IV45" s="1053"/>
      <c r="IW45" s="1053"/>
    </row>
    <row r="46" customFormat="false" ht="12.75" hidden="false" customHeight="false" outlineLevel="0" collapsed="false">
      <c r="A46" s="1053"/>
      <c r="B46" s="1057" t="s">
        <v>655</v>
      </c>
      <c r="C46" s="130"/>
      <c r="D46" s="130"/>
      <c r="E46" s="130" t="n">
        <f aca="false">-SrDebt!E122</f>
        <v>-1262.59931772513</v>
      </c>
      <c r="F46" s="130" t="n">
        <f aca="false">-SrDebt!F122</f>
        <v>-1235.53538544543</v>
      </c>
      <c r="G46" s="130" t="n">
        <f aca="false">-SrDebt!G122</f>
        <v>-1201.82004539327</v>
      </c>
      <c r="H46" s="130" t="n">
        <f aca="false">-SrDebt!H122</f>
        <v>-1157.73527530571</v>
      </c>
      <c r="I46" s="130" t="n">
        <f aca="false">-SrDebt!I122</f>
        <v>-1112.69430231155</v>
      </c>
      <c r="J46" s="130" t="n">
        <f aca="false">-SrDebt!J122</f>
        <v>-1063.16734715207</v>
      </c>
      <c r="K46" s="130" t="n">
        <f aca="false">-SrDebt!K122</f>
        <v>-1011.84240608777</v>
      </c>
      <c r="L46" s="130" t="n">
        <f aca="false">-SrDebt!L122</f>
        <v>-950.254524200638</v>
      </c>
      <c r="M46" s="130" t="n">
        <f aca="false">-SrDebt!M122</f>
        <v>-886.228133075645</v>
      </c>
      <c r="N46" s="130" t="n">
        <f aca="false">-SrDebt!N122</f>
        <v>-816.621945093302</v>
      </c>
      <c r="O46" s="130" t="n">
        <f aca="false">-SrDebt!O122</f>
        <v>-742.291751383858</v>
      </c>
      <c r="P46" s="130" t="n">
        <f aca="false">-SrDebt!P122</f>
        <v>-654.53922230299</v>
      </c>
      <c r="Q46" s="130" t="n">
        <f aca="false">-SrDebt!Q122</f>
        <v>-561.167421976736</v>
      </c>
      <c r="R46" s="130" t="n">
        <f aca="false">-SrDebt!R122</f>
        <v>-459.52185685264</v>
      </c>
      <c r="S46" s="130" t="n">
        <f aca="false">-SrDebt!S122</f>
        <v>-349.957474789461</v>
      </c>
      <c r="T46" s="130" t="n">
        <f aca="false">-SrDebt!T122</f>
        <v>-228.526962230695</v>
      </c>
      <c r="U46" s="130" t="n">
        <f aca="false">-SrDebt!U122</f>
        <v>-97.394575731349</v>
      </c>
      <c r="V46" s="130" t="n">
        <f aca="false">-SrDebt!V122</f>
        <v>-0</v>
      </c>
      <c r="W46" s="130" t="n">
        <f aca="false">-SrDebt!W122</f>
        <v>-0</v>
      </c>
      <c r="X46" s="130" t="n">
        <f aca="false">-SrDebt!X122</f>
        <v>-0</v>
      </c>
      <c r="Y46" s="130" t="n">
        <f aca="false">-SrDebt!Y122</f>
        <v>-0</v>
      </c>
      <c r="Z46" s="130" t="n">
        <f aca="false">-SrDebt!Z122</f>
        <v>-0</v>
      </c>
      <c r="AA46" s="130" t="n">
        <f aca="false">-SrDebt!AA122</f>
        <v>-0</v>
      </c>
      <c r="AB46" s="130" t="n">
        <f aca="false">-SrDebt!AB122</f>
        <v>-0</v>
      </c>
      <c r="AC46" s="130" t="n">
        <f aca="false">-SrDebt!AC122</f>
        <v>-0</v>
      </c>
      <c r="AD46" s="130" t="n">
        <f aca="false">-SrDebt!AD122</f>
        <v>-0</v>
      </c>
      <c r="AE46" s="130" t="n">
        <f aca="false">-SrDebt!AE122</f>
        <v>-0</v>
      </c>
      <c r="AF46" s="130" t="n">
        <f aca="false">-SrDebt!AF122</f>
        <v>-0</v>
      </c>
      <c r="AG46" s="130" t="n">
        <f aca="false">-SrDebt!AG122</f>
        <v>-0</v>
      </c>
      <c r="AH46" s="130" t="n">
        <f aca="false">-SrDebt!AH122</f>
        <v>-0</v>
      </c>
      <c r="AI46" s="130" t="n">
        <f aca="false">-SrDebt!AI122</f>
        <v>-0</v>
      </c>
      <c r="AJ46" s="1052"/>
      <c r="AK46" s="1052"/>
      <c r="AL46" s="130"/>
      <c r="AM46" s="130"/>
      <c r="AN46" s="570" t="n">
        <f aca="false">E46/E$33</f>
        <v>-0.340878021984931</v>
      </c>
      <c r="AO46" s="570" t="n">
        <f aca="false">F46/F$33</f>
        <v>-0.333571270291716</v>
      </c>
      <c r="AP46" s="570" t="n">
        <f aca="false">G46/G$33</f>
        <v>-0.324468763846334</v>
      </c>
      <c r="AQ46" s="570" t="n">
        <f aca="false">H46/H$33</f>
        <v>-0.31256670670426</v>
      </c>
      <c r="AR46" s="570" t="n">
        <f aca="false">I46/I$33</f>
        <v>-0.300406492797136</v>
      </c>
      <c r="AS46" s="570" t="n">
        <f aca="false">J46/J$33</f>
        <v>-0.287035148244126</v>
      </c>
      <c r="AT46" s="570" t="n">
        <f aca="false">K46/K$33</f>
        <v>-0.273178381380024</v>
      </c>
      <c r="AU46" s="570" t="n">
        <f aca="false">L46/L$33</f>
        <v>-0.256550813899824</v>
      </c>
      <c r="AV46" s="570" t="n">
        <f aca="false">M46/M$33</f>
        <v>-0.239264894879335</v>
      </c>
      <c r="AW46" s="570" t="n">
        <f aca="false">N46/N$33</f>
        <v>-0.220472535859149</v>
      </c>
      <c r="AX46" s="570" t="n">
        <f aca="false">O46/O$33</f>
        <v>-0.200404784316971</v>
      </c>
      <c r="AY46" s="570" t="n">
        <f aca="false">P46/P$33</f>
        <v>-0.176713255169659</v>
      </c>
      <c r="AZ46" s="570" t="n">
        <f aca="false">Q46/Q$33</f>
        <v>-0.151504628681778</v>
      </c>
      <c r="BA46" s="570" t="n">
        <f aca="false">R46/R$33</f>
        <v>-0.124062241618343</v>
      </c>
      <c r="BB46" s="570" t="n">
        <f aca="false">S46/S$33</f>
        <v>-0.0944819232121927</v>
      </c>
      <c r="BC46" s="570" t="n">
        <f aca="false">T46/T$33</f>
        <v>-0.0616979731905598</v>
      </c>
      <c r="BD46" s="570" t="n">
        <f aca="false">U46/U$33</f>
        <v>-0.0262947000376816</v>
      </c>
      <c r="BE46" s="570" t="n">
        <f aca="false">V46/V$33</f>
        <v>-0</v>
      </c>
      <c r="BF46" s="570" t="n">
        <f aca="false">W46/W$33</f>
        <v>-0</v>
      </c>
      <c r="BG46" s="570" t="n">
        <f aca="false">X46/X$33</f>
        <v>-0</v>
      </c>
      <c r="BH46" s="570" t="e">
        <f aca="false">Y46/Y$33</f>
        <v>#DIV/0!</v>
      </c>
      <c r="BI46" s="570" t="e">
        <f aca="false">Z46/Z$33</f>
        <v>#DIV/0!</v>
      </c>
      <c r="BJ46" s="570" t="e">
        <f aca="false">AA46/AA$33</f>
        <v>#DIV/0!</v>
      </c>
      <c r="BK46" s="570" t="e">
        <f aca="false">AB46/AB$33</f>
        <v>#DIV/0!</v>
      </c>
      <c r="BL46" s="570" t="e">
        <f aca="false">AC46/AC$33</f>
        <v>#DIV/0!</v>
      </c>
      <c r="BM46" s="570" t="e">
        <f aca="false">AD46/AD$33</f>
        <v>#DIV/0!</v>
      </c>
      <c r="BN46" s="570" t="e">
        <f aca="false">AE46/AE$33</f>
        <v>#DIV/0!</v>
      </c>
      <c r="BO46" s="570" t="e">
        <f aca="false">AF46/AF$33</f>
        <v>#DIV/0!</v>
      </c>
      <c r="BP46" s="570" t="e">
        <f aca="false">AG46/AG$33</f>
        <v>#DIV/0!</v>
      </c>
      <c r="BQ46" s="570" t="e">
        <f aca="false">AH46/AH$33</f>
        <v>#DIV/0!</v>
      </c>
      <c r="BR46" s="963" t="e">
        <f aca="false">AI46/AI$33</f>
        <v>#DIV/0!</v>
      </c>
      <c r="BS46" s="1053"/>
      <c r="BT46" s="1053"/>
      <c r="BU46" s="1053"/>
      <c r="BV46" s="1053"/>
      <c r="BW46" s="1053"/>
      <c r="BX46" s="1053"/>
      <c r="BY46" s="1053"/>
      <c r="BZ46" s="1053"/>
      <c r="CA46" s="1053"/>
      <c r="CB46" s="1053"/>
      <c r="CC46" s="1053"/>
      <c r="CD46" s="1053"/>
      <c r="CE46" s="1053"/>
      <c r="CF46" s="1053"/>
      <c r="CG46" s="1053"/>
      <c r="CH46" s="1053"/>
      <c r="CI46" s="1053"/>
      <c r="CJ46" s="1053"/>
      <c r="CK46" s="1053"/>
      <c r="CL46" s="1053"/>
      <c r="CM46" s="1053"/>
      <c r="CN46" s="1053"/>
      <c r="CO46" s="1053"/>
      <c r="CP46" s="1053"/>
      <c r="CQ46" s="1053"/>
      <c r="CR46" s="1053"/>
      <c r="CS46" s="1053"/>
      <c r="CT46" s="1053"/>
      <c r="CU46" s="1053"/>
      <c r="CV46" s="1053"/>
      <c r="CW46" s="1053"/>
      <c r="CX46" s="1053"/>
      <c r="CY46" s="1053"/>
      <c r="CZ46" s="1053"/>
      <c r="DA46" s="1053"/>
      <c r="DB46" s="1053"/>
      <c r="DC46" s="1053"/>
      <c r="DD46" s="1053"/>
      <c r="DE46" s="1053"/>
      <c r="DF46" s="1053"/>
      <c r="DG46" s="1053"/>
      <c r="DH46" s="1053"/>
      <c r="DI46" s="1053"/>
      <c r="DJ46" s="1053"/>
      <c r="DK46" s="1053"/>
      <c r="DL46" s="1053"/>
      <c r="DM46" s="1053"/>
      <c r="DN46" s="1053"/>
      <c r="DO46" s="1053"/>
      <c r="DP46" s="1053"/>
      <c r="DQ46" s="1053"/>
      <c r="DR46" s="1053"/>
      <c r="DS46" s="1053"/>
      <c r="DT46" s="1053"/>
      <c r="DU46" s="1053"/>
      <c r="DV46" s="1053"/>
      <c r="DW46" s="1053"/>
      <c r="DX46" s="1053"/>
      <c r="DY46" s="1053"/>
      <c r="DZ46" s="1053"/>
      <c r="EA46" s="1053"/>
      <c r="EB46" s="1053"/>
      <c r="EC46" s="1053"/>
      <c r="ED46" s="1053"/>
      <c r="EE46" s="1053"/>
      <c r="EF46" s="1053"/>
      <c r="EG46" s="1053"/>
      <c r="EH46" s="1053"/>
      <c r="EI46" s="1053"/>
      <c r="EJ46" s="1053"/>
      <c r="EK46" s="1053"/>
      <c r="EL46" s="1053"/>
      <c r="EM46" s="1053"/>
      <c r="EN46" s="1053"/>
      <c r="EO46" s="1053"/>
      <c r="EP46" s="1053"/>
      <c r="EQ46" s="1053"/>
      <c r="ER46" s="1053"/>
      <c r="ES46" s="1053"/>
      <c r="ET46" s="1053"/>
      <c r="EU46" s="1053"/>
      <c r="EV46" s="1053"/>
      <c r="EW46" s="1053"/>
      <c r="EX46" s="1053"/>
      <c r="EY46" s="1053"/>
      <c r="EZ46" s="1053"/>
      <c r="FA46" s="1053"/>
      <c r="FB46" s="1053"/>
      <c r="FC46" s="1053"/>
      <c r="FD46" s="1053"/>
      <c r="FE46" s="1053"/>
      <c r="FF46" s="1053"/>
      <c r="FG46" s="1053"/>
      <c r="FH46" s="1053"/>
      <c r="FI46" s="1053"/>
      <c r="FJ46" s="1053"/>
      <c r="FK46" s="1053"/>
      <c r="FL46" s="1053"/>
      <c r="FM46" s="1053"/>
      <c r="FN46" s="1053"/>
      <c r="FO46" s="1053"/>
      <c r="FP46" s="1053"/>
      <c r="FQ46" s="1053"/>
      <c r="FR46" s="1053"/>
      <c r="FS46" s="1053"/>
      <c r="FT46" s="1053"/>
      <c r="FU46" s="1053"/>
      <c r="FV46" s="1053"/>
      <c r="FW46" s="1053"/>
      <c r="FX46" s="1053"/>
      <c r="FY46" s="1053"/>
      <c r="FZ46" s="1053"/>
      <c r="GA46" s="1053"/>
      <c r="GB46" s="1053"/>
      <c r="GC46" s="1053"/>
      <c r="GD46" s="1053"/>
      <c r="GE46" s="1053"/>
      <c r="GF46" s="1053"/>
      <c r="GG46" s="1053"/>
      <c r="GH46" s="1053"/>
      <c r="GI46" s="1053"/>
      <c r="GJ46" s="1053"/>
      <c r="GK46" s="1053"/>
      <c r="GL46" s="1053"/>
      <c r="GM46" s="1053"/>
      <c r="GN46" s="1053"/>
      <c r="GO46" s="1053"/>
      <c r="GP46" s="1053"/>
      <c r="GQ46" s="1053"/>
      <c r="GR46" s="1053"/>
      <c r="GS46" s="1053"/>
      <c r="GT46" s="1053"/>
      <c r="GU46" s="1053"/>
      <c r="GV46" s="1053"/>
      <c r="GW46" s="1053"/>
      <c r="GX46" s="1053"/>
      <c r="GY46" s="1053"/>
      <c r="GZ46" s="1053"/>
      <c r="HA46" s="1053"/>
      <c r="HB46" s="1053"/>
      <c r="HC46" s="1053"/>
      <c r="HD46" s="1053"/>
      <c r="HE46" s="1053"/>
      <c r="HF46" s="1053"/>
      <c r="HG46" s="1053"/>
      <c r="HH46" s="1053"/>
      <c r="HI46" s="1053"/>
      <c r="HJ46" s="1053"/>
      <c r="HK46" s="1053"/>
      <c r="HL46" s="1053"/>
      <c r="HM46" s="1053"/>
      <c r="HN46" s="1053"/>
      <c r="HO46" s="1053"/>
      <c r="HP46" s="1053"/>
      <c r="HQ46" s="1053"/>
      <c r="HR46" s="1053"/>
      <c r="HS46" s="1053"/>
      <c r="HT46" s="1053"/>
      <c r="HU46" s="1053"/>
      <c r="HV46" s="1053"/>
      <c r="HW46" s="1053"/>
      <c r="HX46" s="1053"/>
      <c r="HY46" s="1053"/>
      <c r="HZ46" s="1053"/>
      <c r="IA46" s="1053"/>
      <c r="IB46" s="1053"/>
      <c r="IC46" s="1053"/>
      <c r="ID46" s="1053"/>
      <c r="IE46" s="1053"/>
      <c r="IF46" s="1053"/>
      <c r="IG46" s="1053"/>
      <c r="IH46" s="1053"/>
      <c r="II46" s="1053"/>
      <c r="IJ46" s="1053"/>
      <c r="IK46" s="1053"/>
      <c r="IL46" s="1053"/>
      <c r="IM46" s="1053"/>
      <c r="IN46" s="1053"/>
      <c r="IO46" s="1053"/>
      <c r="IP46" s="1053"/>
      <c r="IQ46" s="1053"/>
      <c r="IR46" s="1053"/>
      <c r="IS46" s="1053"/>
      <c r="IT46" s="1053"/>
      <c r="IU46" s="1053"/>
      <c r="IV46" s="1053"/>
      <c r="IW46" s="1053"/>
    </row>
    <row r="47" customFormat="false" ht="12.75" hidden="false" customHeight="false" outlineLevel="0" collapsed="false">
      <c r="A47" s="1053"/>
      <c r="B47" s="1057" t="s">
        <v>656</v>
      </c>
      <c r="C47" s="130"/>
      <c r="D47" s="130"/>
      <c r="E47" s="130" t="n">
        <f aca="false">-JrDebt!E69</f>
        <v>-0</v>
      </c>
      <c r="F47" s="130" t="n">
        <f aca="false">-JrDebt!F69</f>
        <v>-0</v>
      </c>
      <c r="G47" s="130" t="n">
        <f aca="false">-JrDebt!G69</f>
        <v>-0</v>
      </c>
      <c r="H47" s="130" t="n">
        <f aca="false">-JrDebt!H69</f>
        <v>-0</v>
      </c>
      <c r="I47" s="130" t="n">
        <f aca="false">-JrDebt!I69</f>
        <v>-0</v>
      </c>
      <c r="J47" s="130" t="n">
        <f aca="false">-JrDebt!J69</f>
        <v>-0</v>
      </c>
      <c r="K47" s="130" t="n">
        <f aca="false">-JrDebt!K69</f>
        <v>-0</v>
      </c>
      <c r="L47" s="130" t="n">
        <f aca="false">-JrDebt!L69</f>
        <v>-0</v>
      </c>
      <c r="M47" s="130" t="n">
        <f aca="false">-JrDebt!M69</f>
        <v>-0</v>
      </c>
      <c r="N47" s="130" t="n">
        <f aca="false">-JrDebt!N69</f>
        <v>-0</v>
      </c>
      <c r="O47" s="130" t="n">
        <f aca="false">-JrDebt!O69</f>
        <v>-0</v>
      </c>
      <c r="P47" s="130" t="n">
        <f aca="false">-JrDebt!P69</f>
        <v>-0</v>
      </c>
      <c r="Q47" s="130" t="n">
        <f aca="false">-JrDebt!Q69</f>
        <v>-0</v>
      </c>
      <c r="R47" s="130" t="n">
        <f aca="false">-JrDebt!R69</f>
        <v>-0</v>
      </c>
      <c r="S47" s="130" t="n">
        <f aca="false">-JrDebt!S69</f>
        <v>-0</v>
      </c>
      <c r="T47" s="130" t="n">
        <f aca="false">-JrDebt!T69</f>
        <v>-0</v>
      </c>
      <c r="U47" s="130" t="n">
        <f aca="false">-JrDebt!U69</f>
        <v>-0</v>
      </c>
      <c r="V47" s="130" t="n">
        <f aca="false">-JrDebt!V69</f>
        <v>-0</v>
      </c>
      <c r="W47" s="130" t="n">
        <f aca="false">-JrDebt!W69</f>
        <v>-0</v>
      </c>
      <c r="X47" s="130" t="n">
        <f aca="false">-JrDebt!X69</f>
        <v>-0</v>
      </c>
      <c r="Y47" s="130" t="n">
        <f aca="false">-JrDebt!Y69</f>
        <v>-0</v>
      </c>
      <c r="Z47" s="130" t="n">
        <f aca="false">-JrDebt!Z69</f>
        <v>-0</v>
      </c>
      <c r="AA47" s="130" t="n">
        <f aca="false">-JrDebt!AA69</f>
        <v>-0</v>
      </c>
      <c r="AB47" s="130" t="n">
        <f aca="false">-JrDebt!AB69</f>
        <v>-0</v>
      </c>
      <c r="AC47" s="130" t="n">
        <f aca="false">-JrDebt!AC69</f>
        <v>-0</v>
      </c>
      <c r="AD47" s="130" t="n">
        <f aca="false">-JrDebt!AD69</f>
        <v>-0</v>
      </c>
      <c r="AE47" s="130" t="n">
        <f aca="false">-JrDebt!AE69</f>
        <v>-0</v>
      </c>
      <c r="AF47" s="130" t="n">
        <f aca="false">-JrDebt!AF69</f>
        <v>-0</v>
      </c>
      <c r="AG47" s="130" t="n">
        <f aca="false">-JrDebt!AG69</f>
        <v>-0</v>
      </c>
      <c r="AH47" s="130" t="n">
        <f aca="false">-JrDebt!AH69</f>
        <v>-0</v>
      </c>
      <c r="AI47" s="130" t="n">
        <f aca="false">-JrDebt!AI69</f>
        <v>-0</v>
      </c>
      <c r="AJ47" s="1052"/>
      <c r="AK47" s="1052"/>
      <c r="AL47" s="130"/>
      <c r="AM47" s="130"/>
      <c r="AN47" s="570" t="n">
        <f aca="false">E47/E$33</f>
        <v>-0</v>
      </c>
      <c r="AO47" s="570" t="n">
        <f aca="false">F47/F$33</f>
        <v>-0</v>
      </c>
      <c r="AP47" s="570" t="n">
        <f aca="false">G47/G$33</f>
        <v>-0</v>
      </c>
      <c r="AQ47" s="570" t="n">
        <f aca="false">H47/H$33</f>
        <v>-0</v>
      </c>
      <c r="AR47" s="570" t="n">
        <f aca="false">I47/I$33</f>
        <v>-0</v>
      </c>
      <c r="AS47" s="570" t="n">
        <f aca="false">J47/J$33</f>
        <v>-0</v>
      </c>
      <c r="AT47" s="570" t="n">
        <f aca="false">K47/K$33</f>
        <v>-0</v>
      </c>
      <c r="AU47" s="570" t="n">
        <f aca="false">L47/L$33</f>
        <v>-0</v>
      </c>
      <c r="AV47" s="570" t="n">
        <f aca="false">M47/M$33</f>
        <v>-0</v>
      </c>
      <c r="AW47" s="570" t="n">
        <f aca="false">N47/N$33</f>
        <v>-0</v>
      </c>
      <c r="AX47" s="570" t="n">
        <f aca="false">O47/O$33</f>
        <v>-0</v>
      </c>
      <c r="AY47" s="570" t="n">
        <f aca="false">P47/P$33</f>
        <v>-0</v>
      </c>
      <c r="AZ47" s="570" t="n">
        <f aca="false">Q47/Q$33</f>
        <v>-0</v>
      </c>
      <c r="BA47" s="570" t="n">
        <f aca="false">R47/R$33</f>
        <v>-0</v>
      </c>
      <c r="BB47" s="570" t="n">
        <f aca="false">S47/S$33</f>
        <v>-0</v>
      </c>
      <c r="BC47" s="570" t="n">
        <f aca="false">T47/T$33</f>
        <v>-0</v>
      </c>
      <c r="BD47" s="570" t="n">
        <f aca="false">U47/U$33</f>
        <v>-0</v>
      </c>
      <c r="BE47" s="570" t="n">
        <f aca="false">V47/V$33</f>
        <v>-0</v>
      </c>
      <c r="BF47" s="570" t="n">
        <f aca="false">W47/W$33</f>
        <v>-0</v>
      </c>
      <c r="BG47" s="570" t="n">
        <f aca="false">X47/X$33</f>
        <v>-0</v>
      </c>
      <c r="BH47" s="570" t="e">
        <f aca="false">Y47/Y$33</f>
        <v>#DIV/0!</v>
      </c>
      <c r="BI47" s="570" t="e">
        <f aca="false">Z47/Z$33</f>
        <v>#DIV/0!</v>
      </c>
      <c r="BJ47" s="570" t="e">
        <f aca="false">AA47/AA$33</f>
        <v>#DIV/0!</v>
      </c>
      <c r="BK47" s="570" t="e">
        <f aca="false">AB47/AB$33</f>
        <v>#DIV/0!</v>
      </c>
      <c r="BL47" s="570" t="e">
        <f aca="false">AC47/AC$33</f>
        <v>#DIV/0!</v>
      </c>
      <c r="BM47" s="570" t="e">
        <f aca="false">AD47/AD$33</f>
        <v>#DIV/0!</v>
      </c>
      <c r="BN47" s="570" t="e">
        <f aca="false">AE47/AE$33</f>
        <v>#DIV/0!</v>
      </c>
      <c r="BO47" s="570" t="e">
        <f aca="false">AF47/AF$33</f>
        <v>#DIV/0!</v>
      </c>
      <c r="BP47" s="570" t="e">
        <f aca="false">AG47/AG$33</f>
        <v>#DIV/0!</v>
      </c>
      <c r="BQ47" s="570" t="e">
        <f aca="false">AH47/AH$33</f>
        <v>#DIV/0!</v>
      </c>
      <c r="BR47" s="963" t="e">
        <f aca="false">AI47/AI$33</f>
        <v>#DIV/0!</v>
      </c>
      <c r="BS47" s="1053"/>
      <c r="BT47" s="1053"/>
      <c r="BU47" s="1053"/>
      <c r="BV47" s="1053"/>
      <c r="BW47" s="1053"/>
      <c r="BX47" s="1053"/>
      <c r="BY47" s="1053"/>
      <c r="BZ47" s="1053"/>
      <c r="CA47" s="1053"/>
      <c r="CB47" s="1053"/>
      <c r="CC47" s="1053"/>
      <c r="CD47" s="1053"/>
      <c r="CE47" s="1053"/>
      <c r="CF47" s="1053"/>
      <c r="CG47" s="1053"/>
      <c r="CH47" s="1053"/>
      <c r="CI47" s="1053"/>
      <c r="CJ47" s="1053"/>
      <c r="CK47" s="1053"/>
      <c r="CL47" s="1053"/>
      <c r="CM47" s="1053"/>
      <c r="CN47" s="1053"/>
      <c r="CO47" s="1053"/>
      <c r="CP47" s="1053"/>
      <c r="CQ47" s="1053"/>
      <c r="CR47" s="1053"/>
      <c r="CS47" s="1053"/>
      <c r="CT47" s="1053"/>
      <c r="CU47" s="1053"/>
      <c r="CV47" s="1053"/>
      <c r="CW47" s="1053"/>
      <c r="CX47" s="1053"/>
      <c r="CY47" s="1053"/>
      <c r="CZ47" s="1053"/>
      <c r="DA47" s="1053"/>
      <c r="DB47" s="1053"/>
      <c r="DC47" s="1053"/>
      <c r="DD47" s="1053"/>
      <c r="DE47" s="1053"/>
      <c r="DF47" s="1053"/>
      <c r="DG47" s="1053"/>
      <c r="DH47" s="1053"/>
      <c r="DI47" s="1053"/>
      <c r="DJ47" s="1053"/>
      <c r="DK47" s="1053"/>
      <c r="DL47" s="1053"/>
      <c r="DM47" s="1053"/>
      <c r="DN47" s="1053"/>
      <c r="DO47" s="1053"/>
      <c r="DP47" s="1053"/>
      <c r="DQ47" s="1053"/>
      <c r="DR47" s="1053"/>
      <c r="DS47" s="1053"/>
      <c r="DT47" s="1053"/>
      <c r="DU47" s="1053"/>
      <c r="DV47" s="1053"/>
      <c r="DW47" s="1053"/>
      <c r="DX47" s="1053"/>
      <c r="DY47" s="1053"/>
      <c r="DZ47" s="1053"/>
      <c r="EA47" s="1053"/>
      <c r="EB47" s="1053"/>
      <c r="EC47" s="1053"/>
      <c r="ED47" s="1053"/>
      <c r="EE47" s="1053"/>
      <c r="EF47" s="1053"/>
      <c r="EG47" s="1053"/>
      <c r="EH47" s="1053"/>
      <c r="EI47" s="1053"/>
      <c r="EJ47" s="1053"/>
      <c r="EK47" s="1053"/>
      <c r="EL47" s="1053"/>
      <c r="EM47" s="1053"/>
      <c r="EN47" s="1053"/>
      <c r="EO47" s="1053"/>
      <c r="EP47" s="1053"/>
      <c r="EQ47" s="1053"/>
      <c r="ER47" s="1053"/>
      <c r="ES47" s="1053"/>
      <c r="ET47" s="1053"/>
      <c r="EU47" s="1053"/>
      <c r="EV47" s="1053"/>
      <c r="EW47" s="1053"/>
      <c r="EX47" s="1053"/>
      <c r="EY47" s="1053"/>
      <c r="EZ47" s="1053"/>
      <c r="FA47" s="1053"/>
      <c r="FB47" s="1053"/>
      <c r="FC47" s="1053"/>
      <c r="FD47" s="1053"/>
      <c r="FE47" s="1053"/>
      <c r="FF47" s="1053"/>
      <c r="FG47" s="1053"/>
      <c r="FH47" s="1053"/>
      <c r="FI47" s="1053"/>
      <c r="FJ47" s="1053"/>
      <c r="FK47" s="1053"/>
      <c r="FL47" s="1053"/>
      <c r="FM47" s="1053"/>
      <c r="FN47" s="1053"/>
      <c r="FO47" s="1053"/>
      <c r="FP47" s="1053"/>
      <c r="FQ47" s="1053"/>
      <c r="FR47" s="1053"/>
      <c r="FS47" s="1053"/>
      <c r="FT47" s="1053"/>
      <c r="FU47" s="1053"/>
      <c r="FV47" s="1053"/>
      <c r="FW47" s="1053"/>
      <c r="FX47" s="1053"/>
      <c r="FY47" s="1053"/>
      <c r="FZ47" s="1053"/>
      <c r="GA47" s="1053"/>
      <c r="GB47" s="1053"/>
      <c r="GC47" s="1053"/>
      <c r="GD47" s="1053"/>
      <c r="GE47" s="1053"/>
      <c r="GF47" s="1053"/>
      <c r="GG47" s="1053"/>
      <c r="GH47" s="1053"/>
      <c r="GI47" s="1053"/>
      <c r="GJ47" s="1053"/>
      <c r="GK47" s="1053"/>
      <c r="GL47" s="1053"/>
      <c r="GM47" s="1053"/>
      <c r="GN47" s="1053"/>
      <c r="GO47" s="1053"/>
      <c r="GP47" s="1053"/>
      <c r="GQ47" s="1053"/>
      <c r="GR47" s="1053"/>
      <c r="GS47" s="1053"/>
      <c r="GT47" s="1053"/>
      <c r="GU47" s="1053"/>
      <c r="GV47" s="1053"/>
      <c r="GW47" s="1053"/>
      <c r="GX47" s="1053"/>
      <c r="GY47" s="1053"/>
      <c r="GZ47" s="1053"/>
      <c r="HA47" s="1053"/>
      <c r="HB47" s="1053"/>
      <c r="HC47" s="1053"/>
      <c r="HD47" s="1053"/>
      <c r="HE47" s="1053"/>
      <c r="HF47" s="1053"/>
      <c r="HG47" s="1053"/>
      <c r="HH47" s="1053"/>
      <c r="HI47" s="1053"/>
      <c r="HJ47" s="1053"/>
      <c r="HK47" s="1053"/>
      <c r="HL47" s="1053"/>
      <c r="HM47" s="1053"/>
      <c r="HN47" s="1053"/>
      <c r="HO47" s="1053"/>
      <c r="HP47" s="1053"/>
      <c r="HQ47" s="1053"/>
      <c r="HR47" s="1053"/>
      <c r="HS47" s="1053"/>
      <c r="HT47" s="1053"/>
      <c r="HU47" s="1053"/>
      <c r="HV47" s="1053"/>
      <c r="HW47" s="1053"/>
      <c r="HX47" s="1053"/>
      <c r="HY47" s="1053"/>
      <c r="HZ47" s="1053"/>
      <c r="IA47" s="1053"/>
      <c r="IB47" s="1053"/>
      <c r="IC47" s="1053"/>
      <c r="ID47" s="1053"/>
      <c r="IE47" s="1053"/>
      <c r="IF47" s="1053"/>
      <c r="IG47" s="1053"/>
      <c r="IH47" s="1053"/>
      <c r="II47" s="1053"/>
      <c r="IJ47" s="1053"/>
      <c r="IK47" s="1053"/>
      <c r="IL47" s="1053"/>
      <c r="IM47" s="1053"/>
      <c r="IN47" s="1053"/>
      <c r="IO47" s="1053"/>
      <c r="IP47" s="1053"/>
      <c r="IQ47" s="1053"/>
      <c r="IR47" s="1053"/>
      <c r="IS47" s="1053"/>
      <c r="IT47" s="1053"/>
      <c r="IU47" s="1053"/>
      <c r="IV47" s="1053"/>
      <c r="IW47" s="1053"/>
    </row>
    <row r="48" customFormat="false" ht="12.75" hidden="false" customHeight="false" outlineLevel="0" collapsed="false">
      <c r="A48" s="1053"/>
      <c r="B48" s="1057" t="s">
        <v>657</v>
      </c>
      <c r="C48" s="130"/>
      <c r="D48" s="130"/>
      <c r="E48" s="130" t="n">
        <f aca="false">-Revolver!D9</f>
        <v>-0</v>
      </c>
      <c r="F48" s="130" t="n">
        <f aca="false">-Revolver!E9</f>
        <v>-0</v>
      </c>
      <c r="G48" s="130" t="n">
        <f aca="false">-Revolver!F9</f>
        <v>-0</v>
      </c>
      <c r="H48" s="130" t="n">
        <f aca="false">-Revolver!G9</f>
        <v>-0</v>
      </c>
      <c r="I48" s="130" t="n">
        <f aca="false">-Revolver!H9</f>
        <v>-0</v>
      </c>
      <c r="J48" s="130" t="n">
        <f aca="false">-Revolver!I9</f>
        <v>-0</v>
      </c>
      <c r="K48" s="130" t="n">
        <f aca="false">-Revolver!J9</f>
        <v>-0</v>
      </c>
      <c r="L48" s="130" t="n">
        <f aca="false">-Revolver!K9</f>
        <v>-0</v>
      </c>
      <c r="M48" s="130" t="n">
        <f aca="false">-Revolver!L9</f>
        <v>-0</v>
      </c>
      <c r="N48" s="130" t="n">
        <f aca="false">-Revolver!M9</f>
        <v>-0</v>
      </c>
      <c r="O48" s="130" t="n">
        <f aca="false">-Revolver!N9</f>
        <v>-0</v>
      </c>
      <c r="P48" s="130" t="n">
        <f aca="false">-Revolver!O9</f>
        <v>-0</v>
      </c>
      <c r="Q48" s="130" t="n">
        <f aca="false">-Revolver!P9</f>
        <v>-0</v>
      </c>
      <c r="R48" s="130" t="n">
        <f aca="false">-Revolver!Q9</f>
        <v>-0</v>
      </c>
      <c r="S48" s="130" t="n">
        <f aca="false">-Revolver!R9</f>
        <v>-0</v>
      </c>
      <c r="T48" s="130" t="n">
        <f aca="false">-Revolver!S9</f>
        <v>-0</v>
      </c>
      <c r="U48" s="130" t="n">
        <f aca="false">-Revolver!T9</f>
        <v>-0</v>
      </c>
      <c r="V48" s="130" t="n">
        <f aca="false">-Revolver!U9</f>
        <v>-0</v>
      </c>
      <c r="W48" s="130" t="n">
        <f aca="false">-Revolver!V9</f>
        <v>-0</v>
      </c>
      <c r="X48" s="130" t="n">
        <f aca="false">-Revolver!W9</f>
        <v>-0</v>
      </c>
      <c r="Y48" s="130" t="n">
        <f aca="false">-Revolver!X9</f>
        <v>-0</v>
      </c>
      <c r="Z48" s="130" t="n">
        <f aca="false">-Revolver!Y9</f>
        <v>-0</v>
      </c>
      <c r="AA48" s="130" t="n">
        <f aca="false">-Revolver!Z9</f>
        <v>-0</v>
      </c>
      <c r="AB48" s="130" t="n">
        <f aca="false">-Revolver!AA9</f>
        <v>-0</v>
      </c>
      <c r="AC48" s="130" t="n">
        <f aca="false">-Revolver!AB9</f>
        <v>-0</v>
      </c>
      <c r="AD48" s="130" t="n">
        <f aca="false">-Revolver!AC9</f>
        <v>-0</v>
      </c>
      <c r="AE48" s="130" t="n">
        <f aca="false">-Revolver!AD9</f>
        <v>-0</v>
      </c>
      <c r="AF48" s="130" t="n">
        <f aca="false">-Revolver!AE9</f>
        <v>-0</v>
      </c>
      <c r="AG48" s="130" t="n">
        <f aca="false">-Revolver!AF9</f>
        <v>-0</v>
      </c>
      <c r="AH48" s="130" t="n">
        <f aca="false">-Revolver!AG9</f>
        <v>-0</v>
      </c>
      <c r="AI48" s="130" t="n">
        <f aca="false">-Revolver!AH9</f>
        <v>-0</v>
      </c>
      <c r="AJ48" s="1052"/>
      <c r="AK48" s="1052"/>
      <c r="AL48" s="130"/>
      <c r="AM48" s="130"/>
      <c r="AN48" s="570"/>
      <c r="AO48" s="570"/>
      <c r="AP48" s="570"/>
      <c r="AQ48" s="570"/>
      <c r="AR48" s="570"/>
      <c r="AS48" s="570"/>
      <c r="AT48" s="570"/>
      <c r="AU48" s="570"/>
      <c r="AV48" s="570"/>
      <c r="AW48" s="570"/>
      <c r="AX48" s="570"/>
      <c r="AY48" s="570"/>
      <c r="AZ48" s="570"/>
      <c r="BA48" s="570"/>
      <c r="BB48" s="570"/>
      <c r="BC48" s="570"/>
      <c r="BD48" s="570"/>
      <c r="BE48" s="570"/>
      <c r="BF48" s="570"/>
      <c r="BG48" s="570"/>
      <c r="BH48" s="570"/>
      <c r="BI48" s="570"/>
      <c r="BJ48" s="570"/>
      <c r="BK48" s="570"/>
      <c r="BL48" s="570"/>
      <c r="BM48" s="570"/>
      <c r="BN48" s="570"/>
      <c r="BO48" s="570"/>
      <c r="BP48" s="570"/>
      <c r="BQ48" s="570"/>
      <c r="BR48" s="963"/>
      <c r="BS48" s="1053"/>
      <c r="BT48" s="1053"/>
      <c r="BU48" s="1053"/>
      <c r="BV48" s="1053"/>
      <c r="BW48" s="1053"/>
      <c r="BX48" s="1053"/>
      <c r="BY48" s="1053"/>
      <c r="BZ48" s="1053"/>
      <c r="CA48" s="1053"/>
      <c r="CB48" s="1053"/>
      <c r="CC48" s="1053"/>
      <c r="CD48" s="1053"/>
      <c r="CE48" s="1053"/>
      <c r="CF48" s="1053"/>
      <c r="CG48" s="1053"/>
      <c r="CH48" s="1053"/>
      <c r="CI48" s="1053"/>
      <c r="CJ48" s="1053"/>
      <c r="CK48" s="1053"/>
      <c r="CL48" s="1053"/>
      <c r="CM48" s="1053"/>
      <c r="CN48" s="1053"/>
      <c r="CO48" s="1053"/>
      <c r="CP48" s="1053"/>
      <c r="CQ48" s="1053"/>
      <c r="CR48" s="1053"/>
      <c r="CS48" s="1053"/>
      <c r="CT48" s="1053"/>
      <c r="CU48" s="1053"/>
      <c r="CV48" s="1053"/>
      <c r="CW48" s="1053"/>
      <c r="CX48" s="1053"/>
      <c r="CY48" s="1053"/>
      <c r="CZ48" s="1053"/>
      <c r="DA48" s="1053"/>
      <c r="DB48" s="1053"/>
      <c r="DC48" s="1053"/>
      <c r="DD48" s="1053"/>
      <c r="DE48" s="1053"/>
      <c r="DF48" s="1053"/>
      <c r="DG48" s="1053"/>
      <c r="DH48" s="1053"/>
      <c r="DI48" s="1053"/>
      <c r="DJ48" s="1053"/>
      <c r="DK48" s="1053"/>
      <c r="DL48" s="1053"/>
      <c r="DM48" s="1053"/>
      <c r="DN48" s="1053"/>
      <c r="DO48" s="1053"/>
      <c r="DP48" s="1053"/>
      <c r="DQ48" s="1053"/>
      <c r="DR48" s="1053"/>
      <c r="DS48" s="1053"/>
      <c r="DT48" s="1053"/>
      <c r="DU48" s="1053"/>
      <c r="DV48" s="1053"/>
      <c r="DW48" s="1053"/>
      <c r="DX48" s="1053"/>
      <c r="DY48" s="1053"/>
      <c r="DZ48" s="1053"/>
      <c r="EA48" s="1053"/>
      <c r="EB48" s="1053"/>
      <c r="EC48" s="1053"/>
      <c r="ED48" s="1053"/>
      <c r="EE48" s="1053"/>
      <c r="EF48" s="1053"/>
      <c r="EG48" s="1053"/>
      <c r="EH48" s="1053"/>
      <c r="EI48" s="1053"/>
      <c r="EJ48" s="1053"/>
      <c r="EK48" s="1053"/>
      <c r="EL48" s="1053"/>
      <c r="EM48" s="1053"/>
      <c r="EN48" s="1053"/>
      <c r="EO48" s="1053"/>
      <c r="EP48" s="1053"/>
      <c r="EQ48" s="1053"/>
      <c r="ER48" s="1053"/>
      <c r="ES48" s="1053"/>
      <c r="ET48" s="1053"/>
      <c r="EU48" s="1053"/>
      <c r="EV48" s="1053"/>
      <c r="EW48" s="1053"/>
      <c r="EX48" s="1053"/>
      <c r="EY48" s="1053"/>
      <c r="EZ48" s="1053"/>
      <c r="FA48" s="1053"/>
      <c r="FB48" s="1053"/>
      <c r="FC48" s="1053"/>
      <c r="FD48" s="1053"/>
      <c r="FE48" s="1053"/>
      <c r="FF48" s="1053"/>
      <c r="FG48" s="1053"/>
      <c r="FH48" s="1053"/>
      <c r="FI48" s="1053"/>
      <c r="FJ48" s="1053"/>
      <c r="FK48" s="1053"/>
      <c r="FL48" s="1053"/>
      <c r="FM48" s="1053"/>
      <c r="FN48" s="1053"/>
      <c r="FO48" s="1053"/>
      <c r="FP48" s="1053"/>
      <c r="FQ48" s="1053"/>
      <c r="FR48" s="1053"/>
      <c r="FS48" s="1053"/>
      <c r="FT48" s="1053"/>
      <c r="FU48" s="1053"/>
      <c r="FV48" s="1053"/>
      <c r="FW48" s="1053"/>
      <c r="FX48" s="1053"/>
      <c r="FY48" s="1053"/>
      <c r="FZ48" s="1053"/>
      <c r="GA48" s="1053"/>
      <c r="GB48" s="1053"/>
      <c r="GC48" s="1053"/>
      <c r="GD48" s="1053"/>
      <c r="GE48" s="1053"/>
      <c r="GF48" s="1053"/>
      <c r="GG48" s="1053"/>
      <c r="GH48" s="1053"/>
      <c r="GI48" s="1053"/>
      <c r="GJ48" s="1053"/>
      <c r="GK48" s="1053"/>
      <c r="GL48" s="1053"/>
      <c r="GM48" s="1053"/>
      <c r="GN48" s="1053"/>
      <c r="GO48" s="1053"/>
      <c r="GP48" s="1053"/>
      <c r="GQ48" s="1053"/>
      <c r="GR48" s="1053"/>
      <c r="GS48" s="1053"/>
      <c r="GT48" s="1053"/>
      <c r="GU48" s="1053"/>
      <c r="GV48" s="1053"/>
      <c r="GW48" s="1053"/>
      <c r="GX48" s="1053"/>
      <c r="GY48" s="1053"/>
      <c r="GZ48" s="1053"/>
      <c r="HA48" s="1053"/>
      <c r="HB48" s="1053"/>
      <c r="HC48" s="1053"/>
      <c r="HD48" s="1053"/>
      <c r="HE48" s="1053"/>
      <c r="HF48" s="1053"/>
      <c r="HG48" s="1053"/>
      <c r="HH48" s="1053"/>
      <c r="HI48" s="1053"/>
      <c r="HJ48" s="1053"/>
      <c r="HK48" s="1053"/>
      <c r="HL48" s="1053"/>
      <c r="HM48" s="1053"/>
      <c r="HN48" s="1053"/>
      <c r="HO48" s="1053"/>
      <c r="HP48" s="1053"/>
      <c r="HQ48" s="1053"/>
      <c r="HR48" s="1053"/>
      <c r="HS48" s="1053"/>
      <c r="HT48" s="1053"/>
      <c r="HU48" s="1053"/>
      <c r="HV48" s="1053"/>
      <c r="HW48" s="1053"/>
      <c r="HX48" s="1053"/>
      <c r="HY48" s="1053"/>
      <c r="HZ48" s="1053"/>
      <c r="IA48" s="1053"/>
      <c r="IB48" s="1053"/>
      <c r="IC48" s="1053"/>
      <c r="ID48" s="1053"/>
      <c r="IE48" s="1053"/>
      <c r="IF48" s="1053"/>
      <c r="IG48" s="1053"/>
      <c r="IH48" s="1053"/>
      <c r="II48" s="1053"/>
      <c r="IJ48" s="1053"/>
      <c r="IK48" s="1053"/>
      <c r="IL48" s="1053"/>
      <c r="IM48" s="1053"/>
      <c r="IN48" s="1053"/>
      <c r="IO48" s="1053"/>
      <c r="IP48" s="1053"/>
      <c r="IQ48" s="1053"/>
      <c r="IR48" s="1053"/>
      <c r="IS48" s="1053"/>
      <c r="IT48" s="1053"/>
      <c r="IU48" s="1053"/>
      <c r="IV48" s="1053"/>
      <c r="IW48" s="1053"/>
    </row>
    <row r="49" customFormat="false" ht="13.7" hidden="false" customHeight="true" outlineLevel="0" collapsed="false">
      <c r="A49" s="1053"/>
      <c r="B49" s="650" t="s">
        <v>658</v>
      </c>
      <c r="C49" s="130"/>
      <c r="D49" s="130"/>
      <c r="E49" s="650" t="n">
        <f aca="false">SUM(E46:E48)</f>
        <v>-1262.59931772513</v>
      </c>
      <c r="F49" s="650" t="n">
        <f aca="false">SUM(F46:F48)</f>
        <v>-1235.53538544543</v>
      </c>
      <c r="G49" s="650" t="n">
        <f aca="false">SUM(G46:G48)</f>
        <v>-1201.82004539327</v>
      </c>
      <c r="H49" s="650" t="n">
        <f aca="false">SUM(H46:H48)</f>
        <v>-1157.73527530571</v>
      </c>
      <c r="I49" s="650" t="n">
        <f aca="false">SUM(I46:I48)</f>
        <v>-1112.69430231155</v>
      </c>
      <c r="J49" s="650" t="n">
        <f aca="false">SUM(J46:J48)</f>
        <v>-1063.16734715207</v>
      </c>
      <c r="K49" s="650" t="n">
        <f aca="false">SUM(K46:K48)</f>
        <v>-1011.84240608777</v>
      </c>
      <c r="L49" s="650" t="n">
        <f aca="false">SUM(L46:L48)</f>
        <v>-950.254524200638</v>
      </c>
      <c r="M49" s="650" t="n">
        <f aca="false">SUM(M46:M48)</f>
        <v>-886.228133075645</v>
      </c>
      <c r="N49" s="650" t="n">
        <f aca="false">SUM(N46:N48)</f>
        <v>-816.621945093302</v>
      </c>
      <c r="O49" s="650" t="n">
        <f aca="false">SUM(O46:O48)</f>
        <v>-742.291751383858</v>
      </c>
      <c r="P49" s="650" t="n">
        <f aca="false">SUM(P46:P48)</f>
        <v>-654.53922230299</v>
      </c>
      <c r="Q49" s="650" t="n">
        <f aca="false">SUM(Q46:Q48)</f>
        <v>-561.167421976736</v>
      </c>
      <c r="R49" s="650" t="n">
        <f aca="false">SUM(R46:R48)</f>
        <v>-459.52185685264</v>
      </c>
      <c r="S49" s="650" t="n">
        <f aca="false">SUM(S46:S48)</f>
        <v>-349.957474789461</v>
      </c>
      <c r="T49" s="650" t="n">
        <f aca="false">SUM(T46:T48)</f>
        <v>-228.526962230695</v>
      </c>
      <c r="U49" s="650" t="n">
        <f aca="false">SUM(U46:U48)</f>
        <v>-97.394575731349</v>
      </c>
      <c r="V49" s="650" t="n">
        <f aca="false">SUM(V46:V48)</f>
        <v>0</v>
      </c>
      <c r="W49" s="650" t="n">
        <f aca="false">SUM(W46:W48)</f>
        <v>0</v>
      </c>
      <c r="X49" s="650" t="n">
        <f aca="false">SUM(X46:X48)</f>
        <v>0</v>
      </c>
      <c r="Y49" s="650" t="n">
        <f aca="false">SUM(Y46:Y48)</f>
        <v>0</v>
      </c>
      <c r="Z49" s="650" t="n">
        <f aca="false">SUM(Z46:Z48)</f>
        <v>0</v>
      </c>
      <c r="AA49" s="650" t="n">
        <f aca="false">SUM(AA46:AA48)</f>
        <v>0</v>
      </c>
      <c r="AB49" s="650" t="n">
        <f aca="false">SUM(AB46:AB48)</f>
        <v>0</v>
      </c>
      <c r="AC49" s="650" t="n">
        <f aca="false">SUM(AC46:AC48)</f>
        <v>0</v>
      </c>
      <c r="AD49" s="650" t="n">
        <f aca="false">SUM(AD46:AD48)</f>
        <v>0</v>
      </c>
      <c r="AE49" s="650" t="n">
        <f aca="false">SUM(AE46:AE48)</f>
        <v>0</v>
      </c>
      <c r="AF49" s="650" t="n">
        <f aca="false">SUM(AF46:AF48)</f>
        <v>0</v>
      </c>
      <c r="AG49" s="650" t="n">
        <f aca="false">SUM(AG46:AG48)</f>
        <v>0</v>
      </c>
      <c r="AH49" s="650" t="n">
        <f aca="false">SUM(AH46:AH48)</f>
        <v>0</v>
      </c>
      <c r="AI49" s="650" t="n">
        <f aca="false">SUM(AI46:AI48)</f>
        <v>0</v>
      </c>
      <c r="AJ49" s="1052"/>
      <c r="AK49" s="1052"/>
      <c r="AL49" s="130"/>
      <c r="AM49" s="130"/>
      <c r="AN49" s="1058" t="n">
        <f aca="false">E49/E$33</f>
        <v>-0.340878021984931</v>
      </c>
      <c r="AO49" s="1058" t="n">
        <f aca="false">F49/F$33</f>
        <v>-0.333571270291716</v>
      </c>
      <c r="AP49" s="1058" t="n">
        <f aca="false">G49/G$33</f>
        <v>-0.324468763846334</v>
      </c>
      <c r="AQ49" s="1058" t="n">
        <f aca="false">H49/H$33</f>
        <v>-0.31256670670426</v>
      </c>
      <c r="AR49" s="1058" t="n">
        <f aca="false">I49/I$33</f>
        <v>-0.300406492797136</v>
      </c>
      <c r="AS49" s="1058" t="n">
        <f aca="false">J49/J$33</f>
        <v>-0.287035148244126</v>
      </c>
      <c r="AT49" s="1058" t="n">
        <f aca="false">K49/K$33</f>
        <v>-0.273178381380024</v>
      </c>
      <c r="AU49" s="1058" t="n">
        <f aca="false">L49/L$33</f>
        <v>-0.256550813899824</v>
      </c>
      <c r="AV49" s="1058" t="n">
        <f aca="false">M49/M$33</f>
        <v>-0.239264894879335</v>
      </c>
      <c r="AW49" s="1058" t="n">
        <f aca="false">N49/N$33</f>
        <v>-0.220472535859149</v>
      </c>
      <c r="AX49" s="1058" t="n">
        <f aca="false">O49/O$33</f>
        <v>-0.200404784316971</v>
      </c>
      <c r="AY49" s="1058" t="n">
        <f aca="false">P49/P$33</f>
        <v>-0.176713255169659</v>
      </c>
      <c r="AZ49" s="1058" t="n">
        <f aca="false">Q49/Q$33</f>
        <v>-0.151504628681778</v>
      </c>
      <c r="BA49" s="1058" t="n">
        <f aca="false">R49/R$33</f>
        <v>-0.124062241618343</v>
      </c>
      <c r="BB49" s="1058" t="n">
        <f aca="false">S49/S$33</f>
        <v>-0.0944819232121927</v>
      </c>
      <c r="BC49" s="1058" t="n">
        <f aca="false">T49/T$33</f>
        <v>-0.0616979731905598</v>
      </c>
      <c r="BD49" s="1058" t="n">
        <f aca="false">U49/U$33</f>
        <v>-0.0262947000376816</v>
      </c>
      <c r="BE49" s="1058" t="n">
        <f aca="false">V49/V$33</f>
        <v>0</v>
      </c>
      <c r="BF49" s="1058" t="n">
        <f aca="false">W49/W$33</f>
        <v>0</v>
      </c>
      <c r="BG49" s="1058" t="n">
        <f aca="false">X49/X$33</f>
        <v>0</v>
      </c>
      <c r="BH49" s="1058" t="e">
        <f aca="false">Y49/Y$33</f>
        <v>#DIV/0!</v>
      </c>
      <c r="BI49" s="1058" t="e">
        <f aca="false">Z49/Z$33</f>
        <v>#DIV/0!</v>
      </c>
      <c r="BJ49" s="1058" t="e">
        <f aca="false">AA49/AA$33</f>
        <v>#DIV/0!</v>
      </c>
      <c r="BK49" s="1058" t="e">
        <f aca="false">AB49/AB$33</f>
        <v>#DIV/0!</v>
      </c>
      <c r="BL49" s="1058" t="e">
        <f aca="false">AC49/AC$33</f>
        <v>#DIV/0!</v>
      </c>
      <c r="BM49" s="1058" t="e">
        <f aca="false">AD49/AD$33</f>
        <v>#DIV/0!</v>
      </c>
      <c r="BN49" s="1058" t="e">
        <f aca="false">AE49/AE$33</f>
        <v>#DIV/0!</v>
      </c>
      <c r="BO49" s="1058" t="e">
        <f aca="false">AF49/AF$33</f>
        <v>#DIV/0!</v>
      </c>
      <c r="BP49" s="1058" t="e">
        <f aca="false">AG49/AG$33</f>
        <v>#DIV/0!</v>
      </c>
      <c r="BQ49" s="1058" t="e">
        <f aca="false">AH49/AH$33</f>
        <v>#DIV/0!</v>
      </c>
      <c r="BR49" s="963" t="e">
        <f aca="false">AI49/AI$33</f>
        <v>#DIV/0!</v>
      </c>
      <c r="BS49" s="1053"/>
      <c r="BT49" s="1053"/>
      <c r="BU49" s="1053"/>
      <c r="BV49" s="1053"/>
      <c r="BW49" s="1053"/>
      <c r="BX49" s="1053"/>
      <c r="BY49" s="1053"/>
      <c r="BZ49" s="1053"/>
      <c r="CA49" s="1053"/>
      <c r="CB49" s="1053"/>
      <c r="CC49" s="1053"/>
      <c r="CD49" s="1053"/>
      <c r="CE49" s="1053"/>
      <c r="CF49" s="1053"/>
      <c r="CG49" s="1053"/>
      <c r="CH49" s="1053"/>
      <c r="CI49" s="1053"/>
      <c r="CJ49" s="1053"/>
      <c r="CK49" s="1053"/>
      <c r="CL49" s="1053"/>
      <c r="CM49" s="1053"/>
      <c r="CN49" s="1053"/>
      <c r="CO49" s="1053"/>
      <c r="CP49" s="1053"/>
      <c r="CQ49" s="1053"/>
      <c r="CR49" s="1053"/>
      <c r="CS49" s="1053"/>
      <c r="CT49" s="1053"/>
      <c r="CU49" s="1053"/>
      <c r="CV49" s="1053"/>
      <c r="CW49" s="1053"/>
      <c r="CX49" s="1053"/>
      <c r="CY49" s="1053"/>
      <c r="CZ49" s="1053"/>
      <c r="DA49" s="1053"/>
      <c r="DB49" s="1053"/>
      <c r="DC49" s="1053"/>
      <c r="DD49" s="1053"/>
      <c r="DE49" s="1053"/>
      <c r="DF49" s="1053"/>
      <c r="DG49" s="1053"/>
      <c r="DH49" s="1053"/>
      <c r="DI49" s="1053"/>
      <c r="DJ49" s="1053"/>
      <c r="DK49" s="1053"/>
      <c r="DL49" s="1053"/>
      <c r="DM49" s="1053"/>
      <c r="DN49" s="1053"/>
      <c r="DO49" s="1053"/>
      <c r="DP49" s="1053"/>
      <c r="DQ49" s="1053"/>
      <c r="DR49" s="1053"/>
      <c r="DS49" s="1053"/>
      <c r="DT49" s="1053"/>
      <c r="DU49" s="1053"/>
      <c r="DV49" s="1053"/>
      <c r="DW49" s="1053"/>
      <c r="DX49" s="1053"/>
      <c r="DY49" s="1053"/>
      <c r="DZ49" s="1053"/>
      <c r="EA49" s="1053"/>
      <c r="EB49" s="1053"/>
      <c r="EC49" s="1053"/>
      <c r="ED49" s="1053"/>
      <c r="EE49" s="1053"/>
      <c r="EF49" s="1053"/>
      <c r="EG49" s="1053"/>
      <c r="EH49" s="1053"/>
      <c r="EI49" s="1053"/>
      <c r="EJ49" s="1053"/>
      <c r="EK49" s="1053"/>
      <c r="EL49" s="1053"/>
      <c r="EM49" s="1053"/>
      <c r="EN49" s="1053"/>
      <c r="EO49" s="1053"/>
      <c r="EP49" s="1053"/>
      <c r="EQ49" s="1053"/>
      <c r="ER49" s="1053"/>
      <c r="ES49" s="1053"/>
      <c r="ET49" s="1053"/>
      <c r="EU49" s="1053"/>
      <c r="EV49" s="1053"/>
      <c r="EW49" s="1053"/>
      <c r="EX49" s="1053"/>
      <c r="EY49" s="1053"/>
      <c r="EZ49" s="1053"/>
      <c r="FA49" s="1053"/>
      <c r="FB49" s="1053"/>
      <c r="FC49" s="1053"/>
      <c r="FD49" s="1053"/>
      <c r="FE49" s="1053"/>
      <c r="FF49" s="1053"/>
      <c r="FG49" s="1053"/>
      <c r="FH49" s="1053"/>
      <c r="FI49" s="1053"/>
      <c r="FJ49" s="1053"/>
      <c r="FK49" s="1053"/>
      <c r="FL49" s="1053"/>
      <c r="FM49" s="1053"/>
      <c r="FN49" s="1053"/>
      <c r="FO49" s="1053"/>
      <c r="FP49" s="1053"/>
      <c r="FQ49" s="1053"/>
      <c r="FR49" s="1053"/>
      <c r="FS49" s="1053"/>
      <c r="FT49" s="1053"/>
      <c r="FU49" s="1053"/>
      <c r="FV49" s="1053"/>
      <c r="FW49" s="1053"/>
      <c r="FX49" s="1053"/>
      <c r="FY49" s="1053"/>
      <c r="FZ49" s="1053"/>
      <c r="GA49" s="1053"/>
      <c r="GB49" s="1053"/>
      <c r="GC49" s="1053"/>
      <c r="GD49" s="1053"/>
      <c r="GE49" s="1053"/>
      <c r="GF49" s="1053"/>
      <c r="GG49" s="1053"/>
      <c r="GH49" s="1053"/>
      <c r="GI49" s="1053"/>
      <c r="GJ49" s="1053"/>
      <c r="GK49" s="1053"/>
      <c r="GL49" s="1053"/>
      <c r="GM49" s="1053"/>
      <c r="GN49" s="1053"/>
      <c r="GO49" s="1053"/>
      <c r="GP49" s="1053"/>
      <c r="GQ49" s="1053"/>
      <c r="GR49" s="1053"/>
      <c r="GS49" s="1053"/>
      <c r="GT49" s="1053"/>
      <c r="GU49" s="1053"/>
      <c r="GV49" s="1053"/>
      <c r="GW49" s="1053"/>
      <c r="GX49" s="1053"/>
      <c r="GY49" s="1053"/>
      <c r="GZ49" s="1053"/>
      <c r="HA49" s="1053"/>
      <c r="HB49" s="1053"/>
      <c r="HC49" s="1053"/>
      <c r="HD49" s="1053"/>
      <c r="HE49" s="1053"/>
      <c r="HF49" s="1053"/>
      <c r="HG49" s="1053"/>
      <c r="HH49" s="1053"/>
      <c r="HI49" s="1053"/>
      <c r="HJ49" s="1053"/>
      <c r="HK49" s="1053"/>
      <c r="HL49" s="1053"/>
      <c r="HM49" s="1053"/>
      <c r="HN49" s="1053"/>
      <c r="HO49" s="1053"/>
      <c r="HP49" s="1053"/>
      <c r="HQ49" s="1053"/>
      <c r="HR49" s="1053"/>
      <c r="HS49" s="1053"/>
      <c r="HT49" s="1053"/>
      <c r="HU49" s="1053"/>
      <c r="HV49" s="1053"/>
      <c r="HW49" s="1053"/>
      <c r="HX49" s="1053"/>
      <c r="HY49" s="1053"/>
      <c r="HZ49" s="1053"/>
      <c r="IA49" s="1053"/>
      <c r="IB49" s="1053"/>
      <c r="IC49" s="1053"/>
      <c r="ID49" s="1053"/>
      <c r="IE49" s="1053"/>
      <c r="IF49" s="1053"/>
      <c r="IG49" s="1053"/>
      <c r="IH49" s="1053"/>
      <c r="II49" s="1053"/>
      <c r="IJ49" s="1053"/>
      <c r="IK49" s="1053"/>
      <c r="IL49" s="1053"/>
      <c r="IM49" s="1053"/>
      <c r="IN49" s="1053"/>
      <c r="IO49" s="1053"/>
      <c r="IP49" s="1053"/>
      <c r="IQ49" s="1053"/>
      <c r="IR49" s="1053"/>
      <c r="IS49" s="1053"/>
      <c r="IT49" s="1053"/>
      <c r="IU49" s="1053"/>
      <c r="IV49" s="1053"/>
      <c r="IW49" s="1053"/>
    </row>
    <row r="50" customFormat="false" ht="14.25" hidden="false" customHeight="false" outlineLevel="0" collapsed="false">
      <c r="A50" s="1060"/>
      <c r="B50" s="1061" t="s">
        <v>659</v>
      </c>
      <c r="C50" s="100"/>
      <c r="D50" s="130"/>
      <c r="E50" s="1062" t="n">
        <f aca="false">E44+E49</f>
        <v>-6590.69375385121</v>
      </c>
      <c r="F50" s="1062" t="n">
        <f aca="false">F44+F49</f>
        <v>-10997.9119830166</v>
      </c>
      <c r="G50" s="1062" t="n">
        <f aca="false">G44+G49</f>
        <v>-6239.17186602478</v>
      </c>
      <c r="H50" s="1062" t="n">
        <f aca="false">H44+H49</f>
        <v>-3361.96112135487</v>
      </c>
      <c r="I50" s="1062" t="n">
        <f aca="false">I44+I49</f>
        <v>-3321.11059161527</v>
      </c>
      <c r="J50" s="1062" t="n">
        <f aca="false">J44+J49</f>
        <v>-1148.83501811335</v>
      </c>
      <c r="K50" s="1062" t="n">
        <f aca="false">K44+K49</f>
        <v>1015.52115517834</v>
      </c>
      <c r="L50" s="1062" t="n">
        <f aca="false">L44+L49</f>
        <v>1061.90420265571</v>
      </c>
      <c r="M50" s="1062" t="n">
        <f aca="false">M44+M49</f>
        <v>1109.95228067239</v>
      </c>
      <c r="N50" s="1062" t="n">
        <f aca="false">N44+N49</f>
        <v>1162.46544961821</v>
      </c>
      <c r="O50" s="1062" t="n">
        <f aca="false">O44+O49</f>
        <v>1263.99036879548</v>
      </c>
      <c r="P50" s="1062" t="n">
        <f aca="false">P44+P49</f>
        <v>1332.64073154183</v>
      </c>
      <c r="Q50" s="1062" t="n">
        <f aca="false">Q44+Q49</f>
        <v>1405.2487029033</v>
      </c>
      <c r="R50" s="1062" t="n">
        <f aca="false">R44+R49</f>
        <v>1484.37740068846</v>
      </c>
      <c r="S50" s="1062" t="n">
        <f aca="false">S44+S49</f>
        <v>1569.47323596597</v>
      </c>
      <c r="T50" s="1062" t="n">
        <f aca="false">T44+T49</f>
        <v>1665.07109837912</v>
      </c>
      <c r="U50" s="1062" t="n">
        <f aca="false">U44+U49</f>
        <v>1778.23764800145</v>
      </c>
      <c r="V50" s="1062" t="n">
        <f aca="false">V44+V49</f>
        <v>1991.95051082941</v>
      </c>
      <c r="W50" s="1062" t="n">
        <f aca="false">W44+W49</f>
        <v>1960.85581609821</v>
      </c>
      <c r="X50" s="1062" t="n">
        <f aca="false">X44+X49</f>
        <v>1929.83790420078</v>
      </c>
      <c r="Y50" s="1062" t="n">
        <f aca="false">Y44+Y49</f>
        <v>0</v>
      </c>
      <c r="Z50" s="1062" t="n">
        <f aca="false">Z44+Z49</f>
        <v>0</v>
      </c>
      <c r="AA50" s="1062" t="n">
        <f aca="false">AA44+AA49</f>
        <v>0</v>
      </c>
      <c r="AB50" s="1062" t="n">
        <f aca="false">AB44+AB49</f>
        <v>0</v>
      </c>
      <c r="AC50" s="1062" t="n">
        <f aca="false">AC44+AC49</f>
        <v>0</v>
      </c>
      <c r="AD50" s="1062" t="n">
        <f aca="false">AD44+AD49</f>
        <v>0</v>
      </c>
      <c r="AE50" s="1062" t="n">
        <f aca="false">AE44+AE49</f>
        <v>0</v>
      </c>
      <c r="AF50" s="1062" t="n">
        <f aca="false">AF44+AF49</f>
        <v>0</v>
      </c>
      <c r="AG50" s="1062" t="n">
        <f aca="false">AG44+AG49</f>
        <v>0</v>
      </c>
      <c r="AH50" s="1062" t="n">
        <f aca="false">AH44+AH49</f>
        <v>0</v>
      </c>
      <c r="AI50" s="1062" t="n">
        <f aca="false">AI44+AI49</f>
        <v>0</v>
      </c>
      <c r="AJ50" s="1045"/>
      <c r="AK50" s="1045"/>
      <c r="AL50" s="313"/>
      <c r="AM50" s="130"/>
      <c r="AN50" s="1063" t="n">
        <f aca="false">E50/E$33</f>
        <v>-1.7793631113068</v>
      </c>
      <c r="AO50" s="1063" t="n">
        <f aca="false">F50/F$33</f>
        <v>-2.96922897874655</v>
      </c>
      <c r="AP50" s="1063" t="n">
        <f aca="false">G50/G$33</f>
        <v>-1.68445882605614</v>
      </c>
      <c r="AQ50" s="1063" t="n">
        <f aca="false">H50/H$33</f>
        <v>-0.90766614629771</v>
      </c>
      <c r="AR50" s="1063" t="n">
        <f aca="false">I50/I$33</f>
        <v>-0.896637273100027</v>
      </c>
      <c r="AS50" s="1063" t="n">
        <f aca="false">J50/J$33</f>
        <v>-0.310163804988493</v>
      </c>
      <c r="AT50" s="1063" t="n">
        <f aca="false">K50/K$33</f>
        <v>0.27417157430811</v>
      </c>
      <c r="AU50" s="1063" t="n">
        <f aca="false">L50/L$33</f>
        <v>0.286694123034183</v>
      </c>
      <c r="AV50" s="1063" t="n">
        <f aca="false">M50/M$33</f>
        <v>0.299666198628214</v>
      </c>
      <c r="AW50" s="1063" t="n">
        <f aca="false">N50/N$33</f>
        <v>0.313843764628062</v>
      </c>
      <c r="AX50" s="1063" t="n">
        <f aca="false">O50/O$33</f>
        <v>0.341253579559437</v>
      </c>
      <c r="AY50" s="1063" t="n">
        <f aca="false">P50/P$33</f>
        <v>0.359787883778521</v>
      </c>
      <c r="AZ50" s="1063" t="n">
        <f aca="false">Q50/Q$33</f>
        <v>0.379390667742186</v>
      </c>
      <c r="BA50" s="1063" t="n">
        <f aca="false">R50/R$33</f>
        <v>0.400753924956554</v>
      </c>
      <c r="BB50" s="1063" t="n">
        <f aca="false">S50/S$33</f>
        <v>0.423728196842601</v>
      </c>
      <c r="BC50" s="1063" t="n">
        <f aca="false">T50/T$33</f>
        <v>0.449537818143598</v>
      </c>
      <c r="BD50" s="1063" t="n">
        <f aca="false">U50/U$33</f>
        <v>0.480090653907538</v>
      </c>
      <c r="BE50" s="1063" t="n">
        <f aca="false">V50/V$33</f>
        <v>0.537789099432433</v>
      </c>
      <c r="BF50" s="1063" t="n">
        <f aca="false">W50/W$33</f>
        <v>0.529394117837405</v>
      </c>
      <c r="BG50" s="1063" t="n">
        <f aca="false">X50/X$33</f>
        <v>0.521019866160515</v>
      </c>
      <c r="BH50" s="1063" t="e">
        <f aca="false">Y50/Y$33</f>
        <v>#DIV/0!</v>
      </c>
      <c r="BI50" s="1063" t="e">
        <f aca="false">Z50/Z$33</f>
        <v>#DIV/0!</v>
      </c>
      <c r="BJ50" s="1063" t="e">
        <f aca="false">AA50/AA$33</f>
        <v>#DIV/0!</v>
      </c>
      <c r="BK50" s="1063" t="e">
        <f aca="false">AB50/AB$33</f>
        <v>#DIV/0!</v>
      </c>
      <c r="BL50" s="1063" t="e">
        <f aca="false">AC50/AC$33</f>
        <v>#DIV/0!</v>
      </c>
      <c r="BM50" s="1063" t="e">
        <f aca="false">AD50/AD$33</f>
        <v>#DIV/0!</v>
      </c>
      <c r="BN50" s="1063" t="e">
        <f aca="false">AE50/AE$33</f>
        <v>#DIV/0!</v>
      </c>
      <c r="BO50" s="1063" t="e">
        <f aca="false">AF50/AF$33</f>
        <v>#DIV/0!</v>
      </c>
      <c r="BP50" s="1063" t="e">
        <f aca="false">AG50/AG$33</f>
        <v>#DIV/0!</v>
      </c>
      <c r="BQ50" s="1063" t="e">
        <f aca="false">AH50/AH$33</f>
        <v>#DIV/0!</v>
      </c>
      <c r="BR50" s="963" t="e">
        <f aca="false">AI50/AI$33</f>
        <v>#DIV/0!</v>
      </c>
      <c r="BS50" s="1060"/>
      <c r="BT50" s="1060"/>
      <c r="BU50" s="1060"/>
      <c r="BV50" s="1060"/>
      <c r="BW50" s="1060"/>
      <c r="BX50" s="1060"/>
      <c r="BY50" s="1060"/>
      <c r="BZ50" s="1060"/>
      <c r="CA50" s="1060"/>
      <c r="CB50" s="1060"/>
      <c r="CC50" s="1060"/>
      <c r="CD50" s="1060"/>
      <c r="CE50" s="1060"/>
      <c r="CF50" s="1060"/>
      <c r="CG50" s="1060"/>
      <c r="CH50" s="1060"/>
      <c r="CI50" s="1060"/>
      <c r="CJ50" s="1060"/>
      <c r="CK50" s="1060"/>
      <c r="CL50" s="1060"/>
      <c r="CM50" s="1060"/>
      <c r="CN50" s="1060"/>
      <c r="CO50" s="1060"/>
      <c r="CP50" s="1060"/>
      <c r="CQ50" s="1060"/>
      <c r="CR50" s="1060"/>
      <c r="CS50" s="1060"/>
      <c r="CT50" s="1060"/>
      <c r="CU50" s="1060"/>
      <c r="CV50" s="1060"/>
      <c r="CW50" s="1060"/>
      <c r="CX50" s="1060"/>
      <c r="CY50" s="1060"/>
      <c r="CZ50" s="1060"/>
      <c r="DA50" s="1060"/>
      <c r="DB50" s="1060"/>
      <c r="DC50" s="1060"/>
      <c r="DD50" s="1060"/>
      <c r="DE50" s="1060"/>
      <c r="DF50" s="1060"/>
      <c r="DG50" s="1060"/>
      <c r="DH50" s="1060"/>
      <c r="DI50" s="1060"/>
      <c r="DJ50" s="1060"/>
      <c r="DK50" s="1060"/>
      <c r="DL50" s="1060"/>
      <c r="DM50" s="1060"/>
      <c r="DN50" s="1060"/>
      <c r="DO50" s="1060"/>
      <c r="DP50" s="1060"/>
      <c r="DQ50" s="1060"/>
      <c r="DR50" s="1060"/>
      <c r="DS50" s="1060"/>
      <c r="DT50" s="1060"/>
      <c r="DU50" s="1060"/>
      <c r="DV50" s="1060"/>
      <c r="DW50" s="1060"/>
      <c r="DX50" s="1060"/>
      <c r="DY50" s="1060"/>
      <c r="DZ50" s="1060"/>
      <c r="EA50" s="1060"/>
      <c r="EB50" s="1060"/>
      <c r="EC50" s="1060"/>
      <c r="ED50" s="1060"/>
      <c r="EE50" s="1060"/>
      <c r="EF50" s="1060"/>
      <c r="EG50" s="1060"/>
      <c r="EH50" s="1060"/>
      <c r="EI50" s="1060"/>
      <c r="EJ50" s="1060"/>
      <c r="EK50" s="1060"/>
      <c r="EL50" s="1060"/>
      <c r="EM50" s="1060"/>
      <c r="EN50" s="1060"/>
      <c r="EO50" s="1060"/>
      <c r="EP50" s="1060"/>
      <c r="EQ50" s="1060"/>
      <c r="ER50" s="1060"/>
      <c r="ES50" s="1060"/>
      <c r="ET50" s="1060"/>
      <c r="EU50" s="1060"/>
      <c r="EV50" s="1060"/>
      <c r="EW50" s="1060"/>
      <c r="EX50" s="1060"/>
      <c r="EY50" s="1060"/>
      <c r="EZ50" s="1060"/>
      <c r="FA50" s="1060"/>
      <c r="FB50" s="1060"/>
      <c r="FC50" s="1060"/>
      <c r="FD50" s="1060"/>
      <c r="FE50" s="1060"/>
      <c r="FF50" s="1060"/>
      <c r="FG50" s="1060"/>
      <c r="FH50" s="1060"/>
      <c r="FI50" s="1060"/>
      <c r="FJ50" s="1060"/>
      <c r="FK50" s="1060"/>
      <c r="FL50" s="1060"/>
      <c r="FM50" s="1060"/>
      <c r="FN50" s="1060"/>
      <c r="FO50" s="1060"/>
      <c r="FP50" s="1060"/>
      <c r="FQ50" s="1060"/>
      <c r="FR50" s="1060"/>
      <c r="FS50" s="1060"/>
      <c r="FT50" s="1060"/>
      <c r="FU50" s="1060"/>
      <c r="FV50" s="1060"/>
      <c r="FW50" s="1060"/>
      <c r="FX50" s="1060"/>
      <c r="FY50" s="1060"/>
      <c r="FZ50" s="1060"/>
      <c r="GA50" s="1060"/>
      <c r="GB50" s="1060"/>
      <c r="GC50" s="1060"/>
      <c r="GD50" s="1060"/>
      <c r="GE50" s="1060"/>
      <c r="GF50" s="1060"/>
      <c r="GG50" s="1060"/>
      <c r="GH50" s="1060"/>
      <c r="GI50" s="1060"/>
      <c r="GJ50" s="1060"/>
      <c r="GK50" s="1060"/>
      <c r="GL50" s="1060"/>
      <c r="GM50" s="1060"/>
      <c r="GN50" s="1060"/>
      <c r="GO50" s="1060"/>
      <c r="GP50" s="1060"/>
      <c r="GQ50" s="1060"/>
      <c r="GR50" s="1060"/>
      <c r="GS50" s="1060"/>
      <c r="GT50" s="1060"/>
      <c r="GU50" s="1060"/>
      <c r="GV50" s="1060"/>
      <c r="GW50" s="1060"/>
      <c r="GX50" s="1060"/>
      <c r="GY50" s="1060"/>
      <c r="GZ50" s="1060"/>
      <c r="HA50" s="1060"/>
      <c r="HB50" s="1060"/>
      <c r="HC50" s="1060"/>
      <c r="HD50" s="1060"/>
      <c r="HE50" s="1060"/>
      <c r="HF50" s="1060"/>
      <c r="HG50" s="1060"/>
      <c r="HH50" s="1060"/>
      <c r="HI50" s="1060"/>
      <c r="HJ50" s="1060"/>
      <c r="HK50" s="1060"/>
      <c r="HL50" s="1060"/>
      <c r="HM50" s="1060"/>
      <c r="HN50" s="1060"/>
      <c r="HO50" s="1060"/>
      <c r="HP50" s="1060"/>
      <c r="HQ50" s="1060"/>
      <c r="HR50" s="1060"/>
      <c r="HS50" s="1060"/>
      <c r="HT50" s="1060"/>
      <c r="HU50" s="1060"/>
      <c r="HV50" s="1060"/>
      <c r="HW50" s="1060"/>
      <c r="HX50" s="1060"/>
      <c r="HY50" s="1060"/>
      <c r="HZ50" s="1060"/>
      <c r="IA50" s="1060"/>
      <c r="IB50" s="1060"/>
      <c r="IC50" s="1060"/>
      <c r="ID50" s="1060"/>
      <c r="IE50" s="1060"/>
      <c r="IF50" s="1060"/>
      <c r="IG50" s="1060"/>
      <c r="IH50" s="1060"/>
      <c r="II50" s="1060"/>
      <c r="IJ50" s="1060"/>
      <c r="IK50" s="1060"/>
      <c r="IL50" s="1060"/>
      <c r="IM50" s="1060"/>
      <c r="IN50" s="1060"/>
      <c r="IO50" s="1060"/>
      <c r="IP50" s="1060"/>
      <c r="IQ50" s="1060"/>
      <c r="IR50" s="1060"/>
      <c r="IS50" s="1060"/>
      <c r="IT50" s="1060"/>
      <c r="IU50" s="1060"/>
      <c r="IV50" s="1060"/>
      <c r="IW50" s="1060"/>
    </row>
    <row r="51" customFormat="false" ht="12.75" hidden="false" customHeight="false" outlineLevel="0" collapsed="false">
      <c r="A51" s="1060"/>
      <c r="B51" s="1056"/>
      <c r="C51" s="100"/>
      <c r="D51" s="130"/>
      <c r="E51" s="313"/>
      <c r="F51" s="313"/>
      <c r="G51" s="313"/>
      <c r="H51" s="313"/>
      <c r="I51" s="313"/>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045"/>
      <c r="AK51" s="1045"/>
      <c r="AL51" s="313"/>
      <c r="AM51" s="130"/>
      <c r="AN51" s="313"/>
      <c r="AO51" s="313"/>
      <c r="AP51" s="313"/>
      <c r="AQ51" s="313"/>
      <c r="AR51" s="313"/>
      <c r="AS51" s="313"/>
      <c r="AT51" s="313"/>
      <c r="AU51" s="313"/>
      <c r="AV51" s="313"/>
      <c r="AW51" s="313"/>
      <c r="AX51" s="313"/>
      <c r="AY51" s="313"/>
      <c r="AZ51" s="313"/>
      <c r="BA51" s="313"/>
      <c r="BB51" s="313"/>
      <c r="BC51" s="313"/>
      <c r="BD51" s="313"/>
      <c r="BE51" s="313"/>
      <c r="BF51" s="313"/>
      <c r="BG51" s="313"/>
      <c r="BH51" s="313"/>
      <c r="BI51" s="313"/>
      <c r="BJ51" s="313"/>
      <c r="BK51" s="313"/>
      <c r="BL51" s="313"/>
      <c r="BM51" s="313"/>
      <c r="BN51" s="313"/>
      <c r="BO51" s="313"/>
      <c r="BP51" s="313"/>
      <c r="BQ51" s="313"/>
      <c r="BR51" s="313"/>
      <c r="BS51" s="1060"/>
      <c r="BT51" s="1060"/>
      <c r="BU51" s="1060"/>
      <c r="BV51" s="1060"/>
      <c r="BW51" s="1060"/>
      <c r="BX51" s="1060"/>
      <c r="BY51" s="1060"/>
      <c r="BZ51" s="1060"/>
      <c r="CA51" s="1060"/>
      <c r="CB51" s="1060"/>
      <c r="CC51" s="1060"/>
      <c r="CD51" s="1060"/>
      <c r="CE51" s="1060"/>
      <c r="CF51" s="1060"/>
      <c r="CG51" s="1060"/>
      <c r="CH51" s="1060"/>
      <c r="CI51" s="1060"/>
      <c r="CJ51" s="1060"/>
      <c r="CK51" s="1060"/>
      <c r="CL51" s="1060"/>
      <c r="CM51" s="1060"/>
      <c r="CN51" s="1060"/>
      <c r="CO51" s="1060"/>
      <c r="CP51" s="1060"/>
      <c r="CQ51" s="1060"/>
      <c r="CR51" s="1060"/>
      <c r="CS51" s="1060"/>
      <c r="CT51" s="1060"/>
      <c r="CU51" s="1060"/>
      <c r="CV51" s="1060"/>
      <c r="CW51" s="1060"/>
      <c r="CX51" s="1060"/>
      <c r="CY51" s="1060"/>
      <c r="CZ51" s="1060"/>
      <c r="DA51" s="1060"/>
      <c r="DB51" s="1060"/>
      <c r="DC51" s="1060"/>
      <c r="DD51" s="1060"/>
      <c r="DE51" s="1060"/>
      <c r="DF51" s="1060"/>
      <c r="DG51" s="1060"/>
      <c r="DH51" s="1060"/>
      <c r="DI51" s="1060"/>
      <c r="DJ51" s="1060"/>
      <c r="DK51" s="1060"/>
      <c r="DL51" s="1060"/>
      <c r="DM51" s="1060"/>
      <c r="DN51" s="1060"/>
      <c r="DO51" s="1060"/>
      <c r="DP51" s="1060"/>
      <c r="DQ51" s="1060"/>
      <c r="DR51" s="1060"/>
      <c r="DS51" s="1060"/>
      <c r="DT51" s="1060"/>
      <c r="DU51" s="1060"/>
      <c r="DV51" s="1060"/>
      <c r="DW51" s="1060"/>
      <c r="DX51" s="1060"/>
      <c r="DY51" s="1060"/>
      <c r="DZ51" s="1060"/>
      <c r="EA51" s="1060"/>
      <c r="EB51" s="1060"/>
      <c r="EC51" s="1060"/>
      <c r="ED51" s="1060"/>
      <c r="EE51" s="1060"/>
      <c r="EF51" s="1060"/>
      <c r="EG51" s="1060"/>
      <c r="EH51" s="1060"/>
      <c r="EI51" s="1060"/>
      <c r="EJ51" s="1060"/>
      <c r="EK51" s="1060"/>
      <c r="EL51" s="1060"/>
      <c r="EM51" s="1060"/>
      <c r="EN51" s="1060"/>
      <c r="EO51" s="1060"/>
      <c r="EP51" s="1060"/>
      <c r="EQ51" s="1060"/>
      <c r="ER51" s="1060"/>
      <c r="ES51" s="1060"/>
      <c r="ET51" s="1060"/>
      <c r="EU51" s="1060"/>
      <c r="EV51" s="1060"/>
      <c r="EW51" s="1060"/>
      <c r="EX51" s="1060"/>
      <c r="EY51" s="1060"/>
      <c r="EZ51" s="1060"/>
      <c r="FA51" s="1060"/>
      <c r="FB51" s="1060"/>
      <c r="FC51" s="1060"/>
      <c r="FD51" s="1060"/>
      <c r="FE51" s="1060"/>
      <c r="FF51" s="1060"/>
      <c r="FG51" s="1060"/>
      <c r="FH51" s="1060"/>
      <c r="FI51" s="1060"/>
      <c r="FJ51" s="1060"/>
      <c r="FK51" s="1060"/>
      <c r="FL51" s="1060"/>
      <c r="FM51" s="1060"/>
      <c r="FN51" s="1060"/>
      <c r="FO51" s="1060"/>
      <c r="FP51" s="1060"/>
      <c r="FQ51" s="1060"/>
      <c r="FR51" s="1060"/>
      <c r="FS51" s="1060"/>
      <c r="FT51" s="1060"/>
      <c r="FU51" s="1060"/>
      <c r="FV51" s="1060"/>
      <c r="FW51" s="1060"/>
      <c r="FX51" s="1060"/>
      <c r="FY51" s="1060"/>
      <c r="FZ51" s="1060"/>
      <c r="GA51" s="1060"/>
      <c r="GB51" s="1060"/>
      <c r="GC51" s="1060"/>
      <c r="GD51" s="1060"/>
      <c r="GE51" s="1060"/>
      <c r="GF51" s="1060"/>
      <c r="GG51" s="1060"/>
      <c r="GH51" s="1060"/>
      <c r="GI51" s="1060"/>
      <c r="GJ51" s="1060"/>
      <c r="GK51" s="1060"/>
      <c r="GL51" s="1060"/>
      <c r="GM51" s="1060"/>
      <c r="GN51" s="1060"/>
      <c r="GO51" s="1060"/>
      <c r="GP51" s="1060"/>
      <c r="GQ51" s="1060"/>
      <c r="GR51" s="1060"/>
      <c r="GS51" s="1060"/>
      <c r="GT51" s="1060"/>
      <c r="GU51" s="1060"/>
      <c r="GV51" s="1060"/>
      <c r="GW51" s="1060"/>
      <c r="GX51" s="1060"/>
      <c r="GY51" s="1060"/>
      <c r="GZ51" s="1060"/>
      <c r="HA51" s="1060"/>
      <c r="HB51" s="1060"/>
      <c r="HC51" s="1060"/>
      <c r="HD51" s="1060"/>
      <c r="HE51" s="1060"/>
      <c r="HF51" s="1060"/>
      <c r="HG51" s="1060"/>
      <c r="HH51" s="1060"/>
      <c r="HI51" s="1060"/>
      <c r="HJ51" s="1060"/>
      <c r="HK51" s="1060"/>
      <c r="HL51" s="1060"/>
      <c r="HM51" s="1060"/>
      <c r="HN51" s="1060"/>
      <c r="HO51" s="1060"/>
      <c r="HP51" s="1060"/>
      <c r="HQ51" s="1060"/>
      <c r="HR51" s="1060"/>
      <c r="HS51" s="1060"/>
      <c r="HT51" s="1060"/>
      <c r="HU51" s="1060"/>
      <c r="HV51" s="1060"/>
      <c r="HW51" s="1060"/>
      <c r="HX51" s="1060"/>
      <c r="HY51" s="1060"/>
      <c r="HZ51" s="1060"/>
      <c r="IA51" s="1060"/>
      <c r="IB51" s="1060"/>
      <c r="IC51" s="1060"/>
      <c r="ID51" s="1060"/>
      <c r="IE51" s="1060"/>
      <c r="IF51" s="1060"/>
      <c r="IG51" s="1060"/>
      <c r="IH51" s="1060"/>
      <c r="II51" s="1060"/>
      <c r="IJ51" s="1060"/>
      <c r="IK51" s="1060"/>
      <c r="IL51" s="1060"/>
      <c r="IM51" s="1060"/>
      <c r="IN51" s="1060"/>
      <c r="IO51" s="1060"/>
      <c r="IP51" s="1060"/>
      <c r="IQ51" s="1060"/>
      <c r="IR51" s="1060"/>
      <c r="IS51" s="1060"/>
      <c r="IT51" s="1060"/>
      <c r="IU51" s="1060"/>
      <c r="IV51" s="1060"/>
      <c r="IW51" s="1060"/>
    </row>
    <row r="52" customFormat="false" ht="12.75" hidden="false" customHeight="false" outlineLevel="0" collapsed="false">
      <c r="A52" s="102"/>
      <c r="B52" s="1045" t="s">
        <v>660</v>
      </c>
      <c r="C52" s="102"/>
      <c r="D52" s="1052"/>
      <c r="E52" s="102"/>
      <c r="F52" s="102"/>
      <c r="G52" s="102"/>
      <c r="H52" s="102"/>
      <c r="I52" s="102"/>
      <c r="J52" s="102"/>
      <c r="K52" s="102"/>
      <c r="L52" s="102"/>
      <c r="M52" s="102"/>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45" t="s">
        <v>661</v>
      </c>
      <c r="AN52" s="102"/>
      <c r="AO52" s="102"/>
      <c r="AP52" s="102"/>
      <c r="AQ52" s="102"/>
      <c r="AR52" s="102"/>
      <c r="AS52" s="102"/>
      <c r="AT52" s="102"/>
      <c r="AU52" s="102"/>
      <c r="AV52" s="102"/>
      <c r="AW52" s="102"/>
      <c r="AX52" s="102"/>
      <c r="AY52" s="102"/>
      <c r="AZ52" s="102"/>
      <c r="BA52" s="102"/>
      <c r="BB52" s="102"/>
      <c r="BC52" s="102"/>
      <c r="BD52" s="102"/>
      <c r="BE52" s="102"/>
      <c r="BF52" s="102"/>
      <c r="BG52" s="102"/>
      <c r="BH52" s="102"/>
      <c r="BI52" s="102"/>
      <c r="BJ52" s="102"/>
      <c r="BK52" s="102"/>
      <c r="BL52" s="102"/>
      <c r="BM52" s="102"/>
      <c r="BN52" s="102"/>
      <c r="BO52" s="102"/>
      <c r="BP52" s="102"/>
      <c r="BQ52" s="102"/>
      <c r="BR52" s="102"/>
      <c r="BS52" s="102"/>
      <c r="BT52" s="102"/>
      <c r="BU52" s="102"/>
      <c r="BV52" s="102"/>
      <c r="BW52" s="102"/>
      <c r="BX52" s="102"/>
      <c r="BY52" s="102"/>
      <c r="BZ52" s="102"/>
      <c r="CA52" s="102"/>
      <c r="CB52" s="102"/>
      <c r="CC52" s="102"/>
      <c r="CD52" s="102"/>
      <c r="CE52" s="102"/>
      <c r="CF52" s="102"/>
      <c r="CG52" s="102"/>
      <c r="CH52" s="102"/>
      <c r="CI52" s="102"/>
      <c r="CJ52" s="102"/>
      <c r="CK52" s="102"/>
      <c r="CL52" s="102"/>
      <c r="CM52" s="102"/>
      <c r="CN52" s="102"/>
      <c r="CO52" s="102"/>
      <c r="CP52" s="102"/>
      <c r="CQ52" s="102"/>
      <c r="CR52" s="102"/>
      <c r="CS52" s="102"/>
      <c r="CT52" s="102"/>
      <c r="CU52" s="102"/>
      <c r="CV52" s="102"/>
      <c r="CW52" s="102"/>
      <c r="CX52" s="102"/>
      <c r="CY52" s="102"/>
      <c r="CZ52" s="102"/>
      <c r="DA52" s="102"/>
      <c r="DB52" s="102"/>
      <c r="DC52" s="102"/>
      <c r="DD52" s="102"/>
      <c r="DE52" s="102"/>
      <c r="DF52" s="102"/>
      <c r="DG52" s="102"/>
      <c r="DH52" s="102"/>
      <c r="DI52" s="102"/>
      <c r="DJ52" s="102"/>
      <c r="DK52" s="102"/>
      <c r="DL52" s="102"/>
      <c r="DM52" s="102"/>
      <c r="DN52" s="102"/>
      <c r="DO52" s="102"/>
      <c r="DP52" s="102"/>
      <c r="DQ52" s="102"/>
      <c r="DR52" s="102"/>
      <c r="DS52" s="102"/>
      <c r="DT52" s="102"/>
      <c r="DU52" s="102"/>
      <c r="DV52" s="102"/>
      <c r="DW52" s="102"/>
      <c r="DX52" s="102"/>
      <c r="DY52" s="102"/>
      <c r="DZ52" s="102"/>
      <c r="EA52" s="102"/>
      <c r="EB52" s="102"/>
      <c r="EC52" s="102"/>
      <c r="ED52" s="102"/>
      <c r="EE52" s="102"/>
      <c r="EF52" s="102"/>
      <c r="EG52" s="102"/>
      <c r="EH52" s="102"/>
      <c r="EI52" s="102"/>
      <c r="EJ52" s="102"/>
      <c r="EK52" s="102"/>
      <c r="EL52" s="102"/>
      <c r="EM52" s="102"/>
      <c r="EN52" s="102"/>
      <c r="EO52" s="102"/>
      <c r="EP52" s="102"/>
      <c r="EQ52" s="102"/>
      <c r="ER52" s="102"/>
      <c r="ES52" s="102"/>
      <c r="ET52" s="102"/>
      <c r="EU52" s="102"/>
      <c r="EV52" s="102"/>
      <c r="EW52" s="102"/>
      <c r="EX52" s="102"/>
      <c r="EY52" s="102"/>
      <c r="EZ52" s="102"/>
      <c r="FA52" s="102"/>
      <c r="FB52" s="102"/>
      <c r="FC52" s="102"/>
      <c r="FD52" s="102"/>
      <c r="FE52" s="102"/>
      <c r="FF52" s="102"/>
      <c r="FG52" s="102"/>
      <c r="FH52" s="102"/>
      <c r="FI52" s="102"/>
      <c r="FJ52" s="102"/>
      <c r="FK52" s="102"/>
      <c r="FL52" s="102"/>
      <c r="FM52" s="102"/>
      <c r="FN52" s="102"/>
      <c r="FO52" s="102"/>
      <c r="FP52" s="102"/>
      <c r="FQ52" s="102"/>
      <c r="FR52" s="102"/>
      <c r="FS52" s="102"/>
      <c r="FT52" s="102"/>
      <c r="FU52" s="102"/>
      <c r="FV52" s="102"/>
      <c r="FW52" s="102"/>
      <c r="FX52" s="102"/>
      <c r="FY52" s="102"/>
      <c r="FZ52" s="102"/>
      <c r="GA52" s="102"/>
      <c r="GB52" s="102"/>
      <c r="GC52" s="102"/>
      <c r="GD52" s="102"/>
      <c r="GE52" s="102"/>
      <c r="GF52" s="102"/>
      <c r="GG52" s="102"/>
      <c r="GH52" s="102"/>
      <c r="GI52" s="102"/>
      <c r="GJ52" s="102"/>
      <c r="GK52" s="102"/>
      <c r="GL52" s="102"/>
      <c r="GM52" s="102"/>
      <c r="GN52" s="102"/>
      <c r="GO52" s="102"/>
      <c r="GP52" s="102"/>
      <c r="GQ52" s="102"/>
      <c r="GR52" s="102"/>
      <c r="GS52" s="102"/>
      <c r="GT52" s="102"/>
      <c r="GU52" s="102"/>
      <c r="GV52" s="102"/>
      <c r="GW52" s="102"/>
      <c r="GX52" s="102"/>
      <c r="GY52" s="102"/>
      <c r="GZ52" s="102"/>
      <c r="HA52" s="102"/>
      <c r="HB52" s="102"/>
      <c r="HC52" s="102"/>
      <c r="HD52" s="102"/>
      <c r="HE52" s="102"/>
      <c r="HF52" s="102"/>
      <c r="HG52" s="102"/>
      <c r="HH52" s="102"/>
      <c r="HI52" s="102"/>
      <c r="HJ52" s="102"/>
      <c r="HK52" s="102"/>
      <c r="HL52" s="102"/>
      <c r="HM52" s="102"/>
      <c r="HN52" s="102"/>
      <c r="HO52" s="102"/>
      <c r="HP52" s="102"/>
      <c r="HQ52" s="102"/>
      <c r="HR52" s="102"/>
      <c r="HS52" s="102"/>
      <c r="HT52" s="102"/>
      <c r="HU52" s="102"/>
      <c r="HV52" s="102"/>
      <c r="HW52" s="102"/>
      <c r="HX52" s="102"/>
      <c r="HY52" s="102"/>
      <c r="HZ52" s="102"/>
      <c r="IA52" s="102"/>
      <c r="IB52" s="102"/>
      <c r="IC52" s="102"/>
      <c r="ID52" s="102"/>
      <c r="IE52" s="102"/>
      <c r="IF52" s="102"/>
      <c r="IG52" s="102"/>
      <c r="IH52" s="102"/>
      <c r="II52" s="102"/>
      <c r="IJ52" s="102"/>
      <c r="IK52" s="102"/>
      <c r="IL52" s="102"/>
      <c r="IM52" s="102"/>
      <c r="IN52" s="102"/>
      <c r="IO52" s="102"/>
      <c r="IP52" s="102"/>
      <c r="IQ52" s="102"/>
      <c r="IR52" s="102"/>
      <c r="IS52" s="102"/>
      <c r="IT52" s="102"/>
      <c r="IU52" s="102"/>
      <c r="IV52" s="102"/>
      <c r="IW52" s="102"/>
    </row>
    <row r="53" customFormat="false" ht="12.75" hidden="false" customHeight="false" outlineLevel="0" collapsed="false">
      <c r="A53" s="100"/>
      <c r="B53" s="100"/>
      <c r="C53" s="100"/>
      <c r="D53" s="13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2"/>
      <c r="AK53" s="102"/>
      <c r="AL53" s="100"/>
      <c r="AM53" s="13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c r="BM53" s="100"/>
      <c r="BN53" s="100"/>
      <c r="BO53" s="100"/>
      <c r="BP53" s="100"/>
      <c r="BQ53" s="100"/>
      <c r="BR53" s="100"/>
      <c r="BS53" s="100"/>
      <c r="BT53" s="100"/>
      <c r="BU53" s="100"/>
      <c r="BV53" s="100"/>
      <c r="BW53" s="100"/>
      <c r="BX53" s="100"/>
      <c r="BY53" s="100"/>
      <c r="BZ53" s="100"/>
      <c r="CA53" s="100"/>
      <c r="CB53" s="100"/>
      <c r="CC53" s="100"/>
      <c r="CD53" s="100"/>
      <c r="CE53" s="100"/>
      <c r="CF53" s="100"/>
      <c r="CG53" s="100"/>
      <c r="CH53" s="100"/>
      <c r="CI53" s="100"/>
      <c r="CJ53" s="100"/>
      <c r="CK53" s="100"/>
      <c r="CL53" s="100"/>
      <c r="CM53" s="100"/>
      <c r="CN53" s="100"/>
      <c r="CO53" s="100"/>
      <c r="CP53" s="100"/>
      <c r="CQ53" s="100"/>
      <c r="CR53" s="100"/>
      <c r="CS53" s="100"/>
      <c r="CT53" s="100"/>
      <c r="CU53" s="100"/>
      <c r="CV53" s="100"/>
      <c r="CW53" s="100"/>
      <c r="CX53" s="100"/>
      <c r="CY53" s="100"/>
      <c r="CZ53" s="100"/>
      <c r="DA53" s="100"/>
      <c r="DB53" s="100"/>
      <c r="DC53" s="100"/>
      <c r="DD53" s="100"/>
      <c r="DE53" s="100"/>
      <c r="DF53" s="100"/>
      <c r="DG53" s="100"/>
      <c r="DH53" s="100"/>
      <c r="DI53" s="100"/>
      <c r="DJ53" s="100"/>
      <c r="DK53" s="100"/>
      <c r="DL53" s="100"/>
      <c r="DM53" s="100"/>
      <c r="DN53" s="100"/>
      <c r="DO53" s="100"/>
      <c r="DP53" s="100"/>
      <c r="DQ53" s="100"/>
      <c r="DR53" s="100"/>
      <c r="DS53" s="100"/>
      <c r="DT53" s="100"/>
      <c r="DU53" s="100"/>
      <c r="DV53" s="100"/>
      <c r="DW53" s="100"/>
      <c r="DX53" s="100"/>
      <c r="DY53" s="100"/>
      <c r="DZ53" s="100"/>
      <c r="EA53" s="100"/>
      <c r="EB53" s="100"/>
      <c r="EC53" s="100"/>
      <c r="ED53" s="100"/>
      <c r="EE53" s="100"/>
      <c r="EF53" s="100"/>
      <c r="EG53" s="100"/>
      <c r="EH53" s="100"/>
      <c r="EI53" s="100"/>
      <c r="EJ53" s="100"/>
      <c r="EK53" s="100"/>
      <c r="EL53" s="100"/>
      <c r="EM53" s="100"/>
      <c r="EN53" s="100"/>
      <c r="EO53" s="100"/>
      <c r="EP53" s="100"/>
      <c r="EQ53" s="100"/>
      <c r="ER53" s="100"/>
      <c r="ES53" s="100"/>
      <c r="ET53" s="100"/>
      <c r="EU53" s="100"/>
      <c r="EV53" s="100"/>
      <c r="EW53" s="100"/>
      <c r="EX53" s="100"/>
      <c r="EY53" s="100"/>
      <c r="EZ53" s="100"/>
      <c r="FA53" s="100"/>
      <c r="FB53" s="100"/>
      <c r="FC53" s="100"/>
      <c r="FD53" s="100"/>
      <c r="FE53" s="100"/>
      <c r="FF53" s="100"/>
      <c r="FG53" s="100"/>
      <c r="FH53" s="100"/>
      <c r="FI53" s="100"/>
      <c r="FJ53" s="100"/>
      <c r="FK53" s="100"/>
      <c r="FL53" s="100"/>
      <c r="FM53" s="100"/>
      <c r="FN53" s="100"/>
      <c r="FO53" s="100"/>
      <c r="FP53" s="100"/>
      <c r="FQ53" s="100"/>
      <c r="FR53" s="100"/>
      <c r="FS53" s="100"/>
      <c r="FT53" s="100"/>
      <c r="FU53" s="100"/>
      <c r="FV53" s="100"/>
      <c r="FW53" s="100"/>
      <c r="FX53" s="100"/>
      <c r="FY53" s="100"/>
      <c r="FZ53" s="100"/>
      <c r="GA53" s="100"/>
      <c r="GB53" s="100"/>
      <c r="GC53" s="100"/>
      <c r="GD53" s="100"/>
      <c r="GE53" s="100"/>
      <c r="GF53" s="100"/>
      <c r="GG53" s="100"/>
      <c r="GH53" s="100"/>
      <c r="GI53" s="100"/>
      <c r="GJ53" s="100"/>
      <c r="GK53" s="100"/>
      <c r="GL53" s="100"/>
      <c r="GM53" s="100"/>
      <c r="GN53" s="100"/>
      <c r="GO53" s="100"/>
      <c r="GP53" s="100"/>
      <c r="GQ53" s="100"/>
      <c r="GR53" s="100"/>
      <c r="GS53" s="100"/>
      <c r="GT53" s="100"/>
      <c r="GU53" s="100"/>
      <c r="GV53" s="100"/>
      <c r="GW53" s="100"/>
      <c r="GX53" s="100"/>
      <c r="GY53" s="100"/>
      <c r="GZ53" s="100"/>
      <c r="HA53" s="100"/>
      <c r="HB53" s="100"/>
      <c r="HC53" s="100"/>
      <c r="HD53" s="100"/>
      <c r="HE53" s="100"/>
      <c r="HF53" s="100"/>
      <c r="HG53" s="100"/>
      <c r="HH53" s="100"/>
      <c r="HI53" s="100"/>
      <c r="HJ53" s="100"/>
      <c r="HK53" s="100"/>
      <c r="HL53" s="100"/>
      <c r="HM53" s="100"/>
      <c r="HN53" s="100"/>
      <c r="HO53" s="100"/>
      <c r="HP53" s="100"/>
      <c r="HQ53" s="100"/>
      <c r="HR53" s="100"/>
      <c r="HS53" s="100"/>
      <c r="HT53" s="100"/>
      <c r="HU53" s="100"/>
      <c r="HV53" s="100"/>
      <c r="HW53" s="100"/>
      <c r="HX53" s="100"/>
      <c r="HY53" s="100"/>
      <c r="HZ53" s="100"/>
      <c r="IA53" s="100"/>
      <c r="IB53" s="100"/>
      <c r="IC53" s="100"/>
      <c r="ID53" s="100"/>
      <c r="IE53" s="100"/>
      <c r="IF53" s="100"/>
      <c r="IG53" s="100"/>
      <c r="IH53" s="100"/>
      <c r="II53" s="100"/>
      <c r="IJ53" s="100"/>
      <c r="IK53" s="100"/>
      <c r="IL53" s="100"/>
      <c r="IM53" s="100"/>
      <c r="IN53" s="100"/>
      <c r="IO53" s="100"/>
      <c r="IP53" s="100"/>
      <c r="IQ53" s="100"/>
      <c r="IR53" s="100"/>
      <c r="IS53" s="100"/>
      <c r="IT53" s="100"/>
      <c r="IU53" s="100"/>
      <c r="IV53" s="100"/>
      <c r="IW53" s="100"/>
    </row>
    <row r="54" customFormat="false" ht="12.75" hidden="false" customHeight="false" outlineLevel="0" collapsed="false">
      <c r="A54" s="100"/>
      <c r="B54" s="313" t="s">
        <v>662</v>
      </c>
      <c r="C54" s="100"/>
      <c r="D54" s="437" t="s">
        <v>663</v>
      </c>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c r="AH54" s="100"/>
      <c r="AI54" s="100"/>
      <c r="AJ54" s="102"/>
      <c r="AK54" s="102"/>
      <c r="AL54" s="100"/>
      <c r="AM54" s="962"/>
      <c r="AN54" s="451"/>
      <c r="AO54" s="451"/>
      <c r="AP54" s="451"/>
      <c r="AQ54" s="451"/>
      <c r="AR54" s="451"/>
      <c r="AS54" s="451"/>
      <c r="AT54" s="451"/>
      <c r="AU54" s="451"/>
      <c r="AV54" s="451"/>
      <c r="AW54" s="451"/>
      <c r="AX54" s="451"/>
      <c r="AY54" s="451"/>
      <c r="AZ54" s="451"/>
      <c r="BA54" s="451"/>
      <c r="BB54" s="451"/>
      <c r="BC54" s="451"/>
      <c r="BD54" s="451"/>
      <c r="BE54" s="451"/>
      <c r="BF54" s="451"/>
      <c r="BG54" s="451"/>
      <c r="BH54" s="451"/>
      <c r="BI54" s="451"/>
      <c r="BJ54" s="451"/>
      <c r="BK54" s="451"/>
      <c r="BL54" s="451"/>
      <c r="BM54" s="451"/>
      <c r="BN54" s="451"/>
      <c r="BO54" s="451"/>
      <c r="BP54" s="451"/>
      <c r="BQ54" s="451"/>
      <c r="BR54" s="451"/>
      <c r="BS54" s="100"/>
      <c r="BT54" s="100"/>
      <c r="BU54" s="100"/>
      <c r="BV54" s="100"/>
      <c r="BW54" s="100"/>
      <c r="BX54" s="100"/>
      <c r="BY54" s="100"/>
      <c r="BZ54" s="100"/>
      <c r="CA54" s="100"/>
      <c r="CB54" s="100"/>
      <c r="CC54" s="100"/>
      <c r="CD54" s="100"/>
      <c r="CE54" s="100"/>
      <c r="CF54" s="100"/>
      <c r="CG54" s="100"/>
      <c r="CH54" s="100"/>
      <c r="CI54" s="100"/>
      <c r="CJ54" s="100"/>
      <c r="CK54" s="100"/>
      <c r="CL54" s="100"/>
      <c r="CM54" s="100"/>
      <c r="CN54" s="100"/>
      <c r="CO54" s="100"/>
      <c r="CP54" s="100"/>
      <c r="CQ54" s="100"/>
      <c r="CR54" s="100"/>
      <c r="CS54" s="100"/>
      <c r="CT54" s="100"/>
      <c r="CU54" s="100"/>
      <c r="CV54" s="100"/>
      <c r="CW54" s="100"/>
      <c r="CX54" s="100"/>
      <c r="CY54" s="100"/>
      <c r="CZ54" s="100"/>
      <c r="DA54" s="100"/>
      <c r="DB54" s="100"/>
      <c r="DC54" s="100"/>
      <c r="DD54" s="100"/>
      <c r="DE54" s="100"/>
      <c r="DF54" s="100"/>
      <c r="DG54" s="100"/>
      <c r="DH54" s="100"/>
      <c r="DI54" s="100"/>
      <c r="DJ54" s="100"/>
      <c r="DK54" s="100"/>
      <c r="DL54" s="100"/>
      <c r="DM54" s="100"/>
      <c r="DN54" s="100"/>
      <c r="DO54" s="100"/>
      <c r="DP54" s="100"/>
      <c r="DQ54" s="100"/>
      <c r="DR54" s="100"/>
      <c r="DS54" s="100"/>
      <c r="DT54" s="100"/>
      <c r="DU54" s="100"/>
      <c r="DV54" s="100"/>
      <c r="DW54" s="100"/>
      <c r="DX54" s="100"/>
      <c r="DY54" s="100"/>
      <c r="DZ54" s="100"/>
      <c r="EA54" s="100"/>
      <c r="EB54" s="100"/>
      <c r="EC54" s="100"/>
      <c r="ED54" s="100"/>
      <c r="EE54" s="100"/>
      <c r="EF54" s="100"/>
      <c r="EG54" s="100"/>
      <c r="EH54" s="100"/>
      <c r="EI54" s="100"/>
      <c r="EJ54" s="100"/>
      <c r="EK54" s="100"/>
      <c r="EL54" s="100"/>
      <c r="EM54" s="100"/>
      <c r="EN54" s="100"/>
      <c r="EO54" s="100"/>
      <c r="EP54" s="100"/>
      <c r="EQ54" s="100"/>
      <c r="ER54" s="100"/>
      <c r="ES54" s="100"/>
      <c r="ET54" s="100"/>
      <c r="EU54" s="100"/>
      <c r="EV54" s="100"/>
      <c r="EW54" s="100"/>
      <c r="EX54" s="100"/>
      <c r="EY54" s="100"/>
      <c r="EZ54" s="100"/>
      <c r="FA54" s="100"/>
      <c r="FB54" s="100"/>
      <c r="FC54" s="100"/>
      <c r="FD54" s="100"/>
      <c r="FE54" s="100"/>
      <c r="FF54" s="100"/>
      <c r="FG54" s="100"/>
      <c r="FH54" s="100"/>
      <c r="FI54" s="100"/>
      <c r="FJ54" s="100"/>
      <c r="FK54" s="100"/>
      <c r="FL54" s="100"/>
      <c r="FM54" s="100"/>
      <c r="FN54" s="100"/>
      <c r="FO54" s="100"/>
      <c r="FP54" s="100"/>
      <c r="FQ54" s="100"/>
      <c r="FR54" s="100"/>
      <c r="FS54" s="100"/>
      <c r="FT54" s="100"/>
      <c r="FU54" s="100"/>
      <c r="FV54" s="100"/>
      <c r="FW54" s="100"/>
      <c r="FX54" s="100"/>
      <c r="FY54" s="100"/>
      <c r="FZ54" s="100"/>
      <c r="GA54" s="100"/>
      <c r="GB54" s="100"/>
      <c r="GC54" s="100"/>
      <c r="GD54" s="100"/>
      <c r="GE54" s="100"/>
      <c r="GF54" s="100"/>
      <c r="GG54" s="100"/>
      <c r="GH54" s="100"/>
      <c r="GI54" s="100"/>
      <c r="GJ54" s="100"/>
      <c r="GK54" s="100"/>
      <c r="GL54" s="100"/>
      <c r="GM54" s="100"/>
      <c r="GN54" s="100"/>
      <c r="GO54" s="100"/>
      <c r="GP54" s="100"/>
      <c r="GQ54" s="100"/>
      <c r="GR54" s="100"/>
      <c r="GS54" s="100"/>
      <c r="GT54" s="100"/>
      <c r="GU54" s="100"/>
      <c r="GV54" s="100"/>
      <c r="GW54" s="100"/>
      <c r="GX54" s="100"/>
      <c r="GY54" s="100"/>
      <c r="GZ54" s="100"/>
      <c r="HA54" s="100"/>
      <c r="HB54" s="100"/>
      <c r="HC54" s="100"/>
      <c r="HD54" s="100"/>
      <c r="HE54" s="100"/>
      <c r="HF54" s="100"/>
      <c r="HG54" s="100"/>
      <c r="HH54" s="100"/>
      <c r="HI54" s="100"/>
      <c r="HJ54" s="100"/>
      <c r="HK54" s="100"/>
      <c r="HL54" s="100"/>
      <c r="HM54" s="100"/>
      <c r="HN54" s="100"/>
      <c r="HO54" s="100"/>
      <c r="HP54" s="100"/>
      <c r="HQ54" s="100"/>
      <c r="HR54" s="100"/>
      <c r="HS54" s="100"/>
      <c r="HT54" s="100"/>
      <c r="HU54" s="100"/>
      <c r="HV54" s="100"/>
      <c r="HW54" s="100"/>
      <c r="HX54" s="100"/>
      <c r="HY54" s="100"/>
      <c r="HZ54" s="100"/>
      <c r="IA54" s="100"/>
      <c r="IB54" s="100"/>
      <c r="IC54" s="100"/>
      <c r="ID54" s="100"/>
      <c r="IE54" s="100"/>
      <c r="IF54" s="100"/>
      <c r="IG54" s="100"/>
      <c r="IH54" s="100"/>
      <c r="II54" s="100"/>
      <c r="IJ54" s="100"/>
      <c r="IK54" s="100"/>
      <c r="IL54" s="100"/>
      <c r="IM54" s="100"/>
      <c r="IN54" s="100"/>
      <c r="IO54" s="100"/>
      <c r="IP54" s="100"/>
      <c r="IQ54" s="100"/>
      <c r="IR54" s="100"/>
      <c r="IS54" s="100"/>
      <c r="IT54" s="100"/>
      <c r="IU54" s="100"/>
      <c r="IV54" s="100"/>
      <c r="IW54" s="100"/>
    </row>
    <row r="55" customFormat="false" ht="12.75" hidden="false" customHeight="false" outlineLevel="0" collapsed="false">
      <c r="A55" s="100"/>
      <c r="B55" s="100" t="s">
        <v>664</v>
      </c>
      <c r="C55" s="100"/>
      <c r="D55" s="130" t="n">
        <f aca="false">Srcs_Uses!E12-Srcs_Uses!E24</f>
        <v>38879.2399283153</v>
      </c>
      <c r="E55" s="100" t="n">
        <f aca="false">D55+E43</f>
        <v>31384.6946786041</v>
      </c>
      <c r="F55" s="100" t="n">
        <f aca="false">E55+F43</f>
        <v>19457.9160770651</v>
      </c>
      <c r="G55" s="100" t="n">
        <f aca="false">F55+G43</f>
        <v>12258.8530508091</v>
      </c>
      <c r="H55" s="100" t="n">
        <f aca="false">G55+H43</f>
        <v>7896.4193697231</v>
      </c>
      <c r="I55" s="100" t="n">
        <f aca="false">H55+I43</f>
        <v>3533.98568863705</v>
      </c>
      <c r="J55" s="100" t="n">
        <f aca="false">I55+J43</f>
        <v>1299.02401642842</v>
      </c>
      <c r="K55" s="100" t="n">
        <f aca="false">J55+K43</f>
        <v>1191.53435309719</v>
      </c>
      <c r="L55" s="100" t="n">
        <f aca="false">K55+L43</f>
        <v>1084.04468976597</v>
      </c>
      <c r="M55" s="100" t="n">
        <f aca="false">L55+M43</f>
        <v>976.555026434745</v>
      </c>
      <c r="N55" s="100" t="n">
        <f aca="false">M55+N43</f>
        <v>869.065363103521</v>
      </c>
      <c r="O55" s="100" t="n">
        <f aca="false">N55+O43</f>
        <v>761.575699772296</v>
      </c>
      <c r="P55" s="100" t="n">
        <f aca="false">O55+P43</f>
        <v>654.086036441071</v>
      </c>
      <c r="Q55" s="100" t="n">
        <f aca="false">P55+Q43</f>
        <v>546.596373109847</v>
      </c>
      <c r="R55" s="100" t="n">
        <f aca="false">Q55+R43</f>
        <v>439.106709778622</v>
      </c>
      <c r="S55" s="100" t="n">
        <f aca="false">R55+S43</f>
        <v>331.617046447398</v>
      </c>
      <c r="T55" s="100" t="n">
        <f aca="false">S55+T43</f>
        <v>224.127383116173</v>
      </c>
      <c r="U55" s="100" t="n">
        <f aca="false">T55+U43</f>
        <v>116.637719784949</v>
      </c>
      <c r="V55" s="100" t="n">
        <f aca="false">U55+V43</f>
        <v>77.7584798566333</v>
      </c>
      <c r="W55" s="100" t="n">
        <f aca="false">V55+W43</f>
        <v>38.879239928318</v>
      </c>
      <c r="X55" s="100" t="n">
        <f aca="false">W55+X43</f>
        <v>2.77111666946439E-012</v>
      </c>
      <c r="Y55" s="100" t="n">
        <f aca="false">X55+Y43</f>
        <v>2.77111666946439E-012</v>
      </c>
      <c r="Z55" s="100" t="n">
        <f aca="false">Y55+Z43</f>
        <v>2.77111666946439E-012</v>
      </c>
      <c r="AA55" s="100" t="n">
        <f aca="false">Z55+AA43</f>
        <v>2.77111666946439E-012</v>
      </c>
      <c r="AB55" s="100" t="n">
        <f aca="false">AA55+AB43</f>
        <v>2.77111666946439E-012</v>
      </c>
      <c r="AC55" s="100" t="n">
        <f aca="false">AB55+AC43</f>
        <v>2.77111666946439E-012</v>
      </c>
      <c r="AD55" s="100" t="n">
        <f aca="false">AC55+AD43</f>
        <v>2.77111666946439E-012</v>
      </c>
      <c r="AE55" s="100" t="n">
        <f aca="false">AD55+AE43</f>
        <v>2.77111666946439E-012</v>
      </c>
      <c r="AF55" s="100" t="n">
        <f aca="false">AE55+AF43</f>
        <v>2.77111666946439E-012</v>
      </c>
      <c r="AG55" s="100" t="n">
        <f aca="false">AF55+AG43</f>
        <v>2.77111666946439E-012</v>
      </c>
      <c r="AH55" s="100" t="n">
        <f aca="false">AG55+AH43</f>
        <v>2.77111666946439E-012</v>
      </c>
      <c r="AI55" s="100" t="n">
        <f aca="false">AH55+AI43</f>
        <v>2.77111666946439E-012</v>
      </c>
      <c r="AJ55" s="102"/>
      <c r="AK55" s="102"/>
      <c r="AL55" s="100"/>
      <c r="AM55" s="570" t="n">
        <f aca="false">D55/D$57</f>
        <v>0.994945842453534</v>
      </c>
      <c r="AN55" s="451" t="n">
        <f aca="false">E55/E$57</f>
        <v>0.993746476392478</v>
      </c>
      <c r="AO55" s="451" t="n">
        <f aca="false">F55/F$57</f>
        <v>0.98995187895155</v>
      </c>
      <c r="AP55" s="451" t="n">
        <f aca="false">G55/G$57</f>
        <v>0.984144636941936</v>
      </c>
      <c r="AQ55" s="451" t="n">
        <f aca="false">H55/H$57</f>
        <v>0.975598966214219</v>
      </c>
      <c r="AR55" s="451" t="n">
        <f aca="false">I55/I$57</f>
        <v>0.947072019972791</v>
      </c>
      <c r="AS55" s="451" t="n">
        <f aca="false">J55/J$57</f>
        <v>0.868027510529801</v>
      </c>
      <c r="AT55" s="451" t="n">
        <f aca="false">K55/K$57</f>
        <v>0.857814891647838</v>
      </c>
      <c r="AU55" s="451" t="n">
        <f aca="false">L55/L$57</f>
        <v>0.845889104315148</v>
      </c>
      <c r="AV55" s="451" t="n">
        <f aca="false">M55/M$57</f>
        <v>0.831779605254322</v>
      </c>
      <c r="AW55" s="451" t="n">
        <f aca="false">N55/N$57</f>
        <v>0.814826163653666</v>
      </c>
      <c r="AX55" s="451" t="n">
        <f aca="false">O55/O$57</f>
        <v>0.794072563774799</v>
      </c>
      <c r="AY55" s="451" t="n">
        <f aca="false">P55/P$57</f>
        <v>0.768079804566327</v>
      </c>
      <c r="AZ55" s="451" t="n">
        <f aca="false">Q55/Q$57</f>
        <v>0.734577391938391</v>
      </c>
      <c r="BA55" s="451" t="n">
        <f aca="false">R55/R$57</f>
        <v>0.689761359774735</v>
      </c>
      <c r="BB55" s="451" t="n">
        <f aca="false">S55/S$57</f>
        <v>0.626736652455149</v>
      </c>
      <c r="BC55" s="451" t="n">
        <f aca="false">T55/T$57</f>
        <v>0.531576913860972</v>
      </c>
      <c r="BD55" s="451" t="n">
        <f aca="false">U55/U$57</f>
        <v>0.371294857124436</v>
      </c>
      <c r="BE55" s="451" t="n">
        <f aca="false">V55/V$57</f>
        <v>0.282492586230707</v>
      </c>
      <c r="BF55" s="451" t="n">
        <f aca="false">W55/W$57</f>
        <v>0.164478233960428</v>
      </c>
      <c r="BG55" s="451" t="n">
        <f aca="false">X55/X$57</f>
        <v>1</v>
      </c>
      <c r="BH55" s="451" t="n">
        <f aca="false">Y55/Y$57</f>
        <v>1</v>
      </c>
      <c r="BI55" s="451" t="n">
        <f aca="false">Z55/Z$57</f>
        <v>1</v>
      </c>
      <c r="BJ55" s="451" t="n">
        <f aca="false">AA55/AA$57</f>
        <v>1</v>
      </c>
      <c r="BK55" s="451" t="n">
        <f aca="false">AB55/AB$57</f>
        <v>1</v>
      </c>
      <c r="BL55" s="451" t="n">
        <f aca="false">AC55/AC$57</f>
        <v>1</v>
      </c>
      <c r="BM55" s="451" t="n">
        <f aca="false">AD55/AD$57</f>
        <v>1</v>
      </c>
      <c r="BN55" s="451" t="n">
        <f aca="false">AE55/AE$57</f>
        <v>1</v>
      </c>
      <c r="BO55" s="451" t="n">
        <f aca="false">AF55/AF$57</f>
        <v>1</v>
      </c>
      <c r="BP55" s="451" t="n">
        <f aca="false">AG55/AG$57</f>
        <v>1</v>
      </c>
      <c r="BQ55" s="451" t="n">
        <f aca="false">AH55/AH$57</f>
        <v>1</v>
      </c>
      <c r="BR55" s="451" t="n">
        <f aca="false">AI55/AI$57</f>
        <v>1</v>
      </c>
      <c r="BS55" s="100"/>
      <c r="BT55" s="100"/>
      <c r="BU55" s="100"/>
      <c r="BV55" s="100"/>
      <c r="BW55" s="100"/>
      <c r="BX55" s="100"/>
      <c r="BY55" s="100"/>
      <c r="BZ55" s="100"/>
      <c r="CA55" s="100"/>
      <c r="CB55" s="100"/>
      <c r="CC55" s="100"/>
      <c r="CD55" s="100"/>
      <c r="CE55" s="100"/>
      <c r="CF55" s="100"/>
      <c r="CG55" s="100"/>
      <c r="CH55" s="100"/>
      <c r="CI55" s="100"/>
      <c r="CJ55" s="100"/>
      <c r="CK55" s="100"/>
      <c r="CL55" s="100"/>
      <c r="CM55" s="100"/>
      <c r="CN55" s="100"/>
      <c r="CO55" s="100"/>
      <c r="CP55" s="100"/>
      <c r="CQ55" s="100"/>
      <c r="CR55" s="100"/>
      <c r="CS55" s="100"/>
      <c r="CT55" s="100"/>
      <c r="CU55" s="100"/>
      <c r="CV55" s="100"/>
      <c r="CW55" s="100"/>
      <c r="CX55" s="100"/>
      <c r="CY55" s="100"/>
      <c r="CZ55" s="100"/>
      <c r="DA55" s="100"/>
      <c r="DB55" s="100"/>
      <c r="DC55" s="100"/>
      <c r="DD55" s="100"/>
      <c r="DE55" s="100"/>
      <c r="DF55" s="100"/>
      <c r="DG55" s="100"/>
      <c r="DH55" s="100"/>
      <c r="DI55" s="100"/>
      <c r="DJ55" s="100"/>
      <c r="DK55" s="100"/>
      <c r="DL55" s="100"/>
      <c r="DM55" s="100"/>
      <c r="DN55" s="100"/>
      <c r="DO55" s="100"/>
      <c r="DP55" s="100"/>
      <c r="DQ55" s="100"/>
      <c r="DR55" s="100"/>
      <c r="DS55" s="100"/>
      <c r="DT55" s="100"/>
      <c r="DU55" s="100"/>
      <c r="DV55" s="100"/>
      <c r="DW55" s="100"/>
      <c r="DX55" s="100"/>
      <c r="DY55" s="100"/>
      <c r="DZ55" s="100"/>
      <c r="EA55" s="100"/>
      <c r="EB55" s="100"/>
      <c r="EC55" s="100"/>
      <c r="ED55" s="100"/>
      <c r="EE55" s="100"/>
      <c r="EF55" s="100"/>
      <c r="EG55" s="100"/>
      <c r="EH55" s="100"/>
      <c r="EI55" s="100"/>
      <c r="EJ55" s="100"/>
      <c r="EK55" s="100"/>
      <c r="EL55" s="100"/>
      <c r="EM55" s="100"/>
      <c r="EN55" s="100"/>
      <c r="EO55" s="100"/>
      <c r="EP55" s="100"/>
      <c r="EQ55" s="100"/>
      <c r="ER55" s="100"/>
      <c r="ES55" s="100"/>
      <c r="ET55" s="100"/>
      <c r="EU55" s="100"/>
      <c r="EV55" s="100"/>
      <c r="EW55" s="100"/>
      <c r="EX55" s="100"/>
      <c r="EY55" s="100"/>
      <c r="EZ55" s="100"/>
      <c r="FA55" s="100"/>
      <c r="FB55" s="100"/>
      <c r="FC55" s="100"/>
      <c r="FD55" s="100"/>
      <c r="FE55" s="100"/>
      <c r="FF55" s="100"/>
      <c r="FG55" s="100"/>
      <c r="FH55" s="100"/>
      <c r="FI55" s="100"/>
      <c r="FJ55" s="100"/>
      <c r="FK55" s="100"/>
      <c r="FL55" s="100"/>
      <c r="FM55" s="100"/>
      <c r="FN55" s="100"/>
      <c r="FO55" s="100"/>
      <c r="FP55" s="100"/>
      <c r="FQ55" s="100"/>
      <c r="FR55" s="100"/>
      <c r="FS55" s="100"/>
      <c r="FT55" s="100"/>
      <c r="FU55" s="100"/>
      <c r="FV55" s="100"/>
      <c r="FW55" s="100"/>
      <c r="FX55" s="100"/>
      <c r="FY55" s="100"/>
      <c r="FZ55" s="100"/>
      <c r="GA55" s="100"/>
      <c r="GB55" s="100"/>
      <c r="GC55" s="100"/>
      <c r="GD55" s="100"/>
      <c r="GE55" s="100"/>
      <c r="GF55" s="100"/>
      <c r="GG55" s="100"/>
      <c r="GH55" s="100"/>
      <c r="GI55" s="100"/>
      <c r="GJ55" s="100"/>
      <c r="GK55" s="100"/>
      <c r="GL55" s="100"/>
      <c r="GM55" s="100"/>
      <c r="GN55" s="100"/>
      <c r="GO55" s="100"/>
      <c r="GP55" s="100"/>
      <c r="GQ55" s="100"/>
      <c r="GR55" s="100"/>
      <c r="GS55" s="100"/>
      <c r="GT55" s="100"/>
      <c r="GU55" s="100"/>
      <c r="GV55" s="100"/>
      <c r="GW55" s="100"/>
      <c r="GX55" s="100"/>
      <c r="GY55" s="100"/>
      <c r="GZ55" s="100"/>
      <c r="HA55" s="100"/>
      <c r="HB55" s="100"/>
      <c r="HC55" s="100"/>
      <c r="HD55" s="100"/>
      <c r="HE55" s="100"/>
      <c r="HF55" s="100"/>
      <c r="HG55" s="100"/>
      <c r="HH55" s="100"/>
      <c r="HI55" s="100"/>
      <c r="HJ55" s="100"/>
      <c r="HK55" s="100"/>
      <c r="HL55" s="100"/>
      <c r="HM55" s="100"/>
      <c r="HN55" s="100"/>
      <c r="HO55" s="100"/>
      <c r="HP55" s="100"/>
      <c r="HQ55" s="100"/>
      <c r="HR55" s="100"/>
      <c r="HS55" s="100"/>
      <c r="HT55" s="100"/>
      <c r="HU55" s="100"/>
      <c r="HV55" s="100"/>
      <c r="HW55" s="100"/>
      <c r="HX55" s="100"/>
      <c r="HY55" s="100"/>
      <c r="HZ55" s="100"/>
      <c r="IA55" s="100"/>
      <c r="IB55" s="100"/>
      <c r="IC55" s="100"/>
      <c r="ID55" s="100"/>
      <c r="IE55" s="100"/>
      <c r="IF55" s="100"/>
      <c r="IG55" s="100"/>
      <c r="IH55" s="100"/>
      <c r="II55" s="100"/>
      <c r="IJ55" s="100"/>
      <c r="IK55" s="100"/>
      <c r="IL55" s="100"/>
      <c r="IM55" s="100"/>
      <c r="IN55" s="100"/>
      <c r="IO55" s="100"/>
      <c r="IP55" s="100"/>
      <c r="IQ55" s="100"/>
      <c r="IR55" s="100"/>
      <c r="IS55" s="100"/>
      <c r="IT55" s="100"/>
      <c r="IU55" s="100"/>
      <c r="IV55" s="100"/>
      <c r="IW55" s="100"/>
    </row>
    <row r="56" customFormat="false" ht="12.75" hidden="false" customHeight="false" outlineLevel="0" collapsed="false">
      <c r="A56" s="100"/>
      <c r="B56" s="100" t="s">
        <v>665</v>
      </c>
      <c r="C56" s="100"/>
      <c r="D56" s="130" t="n">
        <f aca="false">Srcs_Uses!E24</f>
        <v>197.5</v>
      </c>
      <c r="E56" s="100" t="n">
        <f aca="false">CashFlow!E59</f>
        <v>197.5</v>
      </c>
      <c r="F56" s="100" t="n">
        <f aca="false">CashFlow!F59</f>
        <v>197.5</v>
      </c>
      <c r="G56" s="100" t="n">
        <f aca="false">CashFlow!G59</f>
        <v>197.5</v>
      </c>
      <c r="H56" s="100" t="n">
        <f aca="false">CashFlow!H59</f>
        <v>197.5</v>
      </c>
      <c r="I56" s="100" t="n">
        <f aca="false">CashFlow!I59</f>
        <v>197.5</v>
      </c>
      <c r="J56" s="100" t="n">
        <f aca="false">CashFlow!J59</f>
        <v>197.5</v>
      </c>
      <c r="K56" s="100" t="n">
        <f aca="false">CashFlow!K59</f>
        <v>197.5</v>
      </c>
      <c r="L56" s="100" t="n">
        <f aca="false">CashFlow!L59</f>
        <v>197.5</v>
      </c>
      <c r="M56" s="100" t="n">
        <f aca="false">CashFlow!M59</f>
        <v>197.5</v>
      </c>
      <c r="N56" s="100" t="n">
        <f aca="false">CashFlow!N59</f>
        <v>197.5</v>
      </c>
      <c r="O56" s="100" t="n">
        <f aca="false">CashFlow!O59</f>
        <v>197.5</v>
      </c>
      <c r="P56" s="100" t="n">
        <f aca="false">CashFlow!P59</f>
        <v>197.5</v>
      </c>
      <c r="Q56" s="100" t="n">
        <f aca="false">CashFlow!Q59</f>
        <v>197.5</v>
      </c>
      <c r="R56" s="100" t="n">
        <f aca="false">CashFlow!R59</f>
        <v>197.5</v>
      </c>
      <c r="S56" s="100" t="n">
        <f aca="false">CashFlow!S59</f>
        <v>197.5</v>
      </c>
      <c r="T56" s="100" t="n">
        <f aca="false">CashFlow!T59</f>
        <v>197.5</v>
      </c>
      <c r="U56" s="100" t="n">
        <f aca="false">CashFlow!U59</f>
        <v>197.5</v>
      </c>
      <c r="V56" s="100" t="n">
        <f aca="false">CashFlow!V59</f>
        <v>197.5</v>
      </c>
      <c r="W56" s="100" t="n">
        <f aca="false">CashFlow!W59</f>
        <v>197.5</v>
      </c>
      <c r="X56" s="100" t="n">
        <f aca="false">CashFlow!X59</f>
        <v>0</v>
      </c>
      <c r="Y56" s="100" t="n">
        <f aca="false">CashFlow!Y59</f>
        <v>0</v>
      </c>
      <c r="Z56" s="100" t="n">
        <f aca="false">CashFlow!Z59</f>
        <v>0</v>
      </c>
      <c r="AA56" s="100" t="n">
        <f aca="false">CashFlow!AA59</f>
        <v>0</v>
      </c>
      <c r="AB56" s="100" t="n">
        <f aca="false">CashFlow!AB59</f>
        <v>0</v>
      </c>
      <c r="AC56" s="100" t="n">
        <f aca="false">CashFlow!AC59</f>
        <v>0</v>
      </c>
      <c r="AD56" s="100" t="n">
        <f aca="false">CashFlow!AD59</f>
        <v>0</v>
      </c>
      <c r="AE56" s="100" t="n">
        <f aca="false">CashFlow!AE59</f>
        <v>0</v>
      </c>
      <c r="AF56" s="100" t="n">
        <f aca="false">CashFlow!AF59</f>
        <v>0</v>
      </c>
      <c r="AG56" s="100" t="n">
        <f aca="false">CashFlow!AG59</f>
        <v>0</v>
      </c>
      <c r="AH56" s="100" t="n">
        <f aca="false">CashFlow!AH59</f>
        <v>0</v>
      </c>
      <c r="AI56" s="100" t="n">
        <f aca="false">CashFlow!AI59</f>
        <v>0</v>
      </c>
      <c r="AJ56" s="102"/>
      <c r="AK56" s="102"/>
      <c r="AL56" s="100"/>
      <c r="AM56" s="570" t="n">
        <f aca="false">D56/D$57</f>
        <v>0.00505415754646641</v>
      </c>
      <c r="AN56" s="451" t="n">
        <f aca="false">E56/E$57</f>
        <v>0.00625352360752179</v>
      </c>
      <c r="AO56" s="451" t="n">
        <f aca="false">F56/F$57</f>
        <v>0.01004812104845</v>
      </c>
      <c r="AP56" s="451" t="n">
        <f aca="false">G56/G$57</f>
        <v>0.0158553630580638</v>
      </c>
      <c r="AQ56" s="451" t="n">
        <f aca="false">H56/H$57</f>
        <v>0.0244010337857809</v>
      </c>
      <c r="AR56" s="451" t="n">
        <f aca="false">I56/I$57</f>
        <v>0.0529279800272095</v>
      </c>
      <c r="AS56" s="451" t="n">
        <f aca="false">J56/J$57</f>
        <v>0.131972489470199</v>
      </c>
      <c r="AT56" s="451" t="n">
        <f aca="false">K56/K$57</f>
        <v>0.142185108352162</v>
      </c>
      <c r="AU56" s="451" t="n">
        <f aca="false">L56/L$57</f>
        <v>0.154110895684852</v>
      </c>
      <c r="AV56" s="451" t="n">
        <f aca="false">M56/M$57</f>
        <v>0.168220394745678</v>
      </c>
      <c r="AW56" s="451" t="n">
        <f aca="false">N56/N$57</f>
        <v>0.185173836346334</v>
      </c>
      <c r="AX56" s="451" t="n">
        <f aca="false">O56/O$57</f>
        <v>0.205927436225202</v>
      </c>
      <c r="AY56" s="451" t="n">
        <f aca="false">P56/P$57</f>
        <v>0.231920195433673</v>
      </c>
      <c r="AZ56" s="451" t="n">
        <f aca="false">Q56/Q$57</f>
        <v>0.26542260806161</v>
      </c>
      <c r="BA56" s="451" t="n">
        <f aca="false">R56/R$57</f>
        <v>0.310238640225266</v>
      </c>
      <c r="BB56" s="451" t="n">
        <f aca="false">S56/S$57</f>
        <v>0.373263347544851</v>
      </c>
      <c r="BC56" s="451" t="n">
        <f aca="false">T56/T$57</f>
        <v>0.468423086139028</v>
      </c>
      <c r="BD56" s="451" t="n">
        <f aca="false">U56/U$57</f>
        <v>0.628705142875564</v>
      </c>
      <c r="BE56" s="451" t="n">
        <f aca="false">V56/V$57</f>
        <v>0.717507413769293</v>
      </c>
      <c r="BF56" s="451" t="n">
        <f aca="false">W56/W$57</f>
        <v>0.835521766039572</v>
      </c>
      <c r="BG56" s="451" t="n">
        <f aca="false">X56/X$57</f>
        <v>0</v>
      </c>
      <c r="BH56" s="451" t="n">
        <f aca="false">Y56/Y$57</f>
        <v>0</v>
      </c>
      <c r="BI56" s="451" t="n">
        <f aca="false">Z56/Z$57</f>
        <v>0</v>
      </c>
      <c r="BJ56" s="451" t="n">
        <f aca="false">AA56/AA$57</f>
        <v>0</v>
      </c>
      <c r="BK56" s="451" t="n">
        <f aca="false">AB56/AB$57</f>
        <v>0</v>
      </c>
      <c r="BL56" s="451" t="n">
        <f aca="false">AC56/AC$57</f>
        <v>0</v>
      </c>
      <c r="BM56" s="451" t="n">
        <f aca="false">AD56/AD$57</f>
        <v>0</v>
      </c>
      <c r="BN56" s="451" t="n">
        <f aca="false">AE56/AE$57</f>
        <v>0</v>
      </c>
      <c r="BO56" s="451" t="n">
        <f aca="false">AF56/AF$57</f>
        <v>0</v>
      </c>
      <c r="BP56" s="451" t="n">
        <f aca="false">AG56/AG$57</f>
        <v>0</v>
      </c>
      <c r="BQ56" s="451" t="n">
        <f aca="false">AH56/AH$57</f>
        <v>0</v>
      </c>
      <c r="BR56" s="451" t="n">
        <f aca="false">AI56/AI$57</f>
        <v>0</v>
      </c>
      <c r="BS56" s="100"/>
      <c r="BT56" s="100"/>
      <c r="BU56" s="100"/>
      <c r="BV56" s="100"/>
      <c r="BW56" s="100"/>
      <c r="BX56" s="100"/>
      <c r="BY56" s="100"/>
      <c r="BZ56" s="100"/>
      <c r="CA56" s="100"/>
      <c r="CB56" s="100"/>
      <c r="CC56" s="100"/>
      <c r="CD56" s="100"/>
      <c r="CE56" s="100"/>
      <c r="CF56" s="100"/>
      <c r="CG56" s="100"/>
      <c r="CH56" s="100"/>
      <c r="CI56" s="100"/>
      <c r="CJ56" s="100"/>
      <c r="CK56" s="100"/>
      <c r="CL56" s="100"/>
      <c r="CM56" s="100"/>
      <c r="CN56" s="100"/>
      <c r="CO56" s="100"/>
      <c r="CP56" s="100"/>
      <c r="CQ56" s="100"/>
      <c r="CR56" s="100"/>
      <c r="CS56" s="100"/>
      <c r="CT56" s="100"/>
      <c r="CU56" s="100"/>
      <c r="CV56" s="100"/>
      <c r="CW56" s="100"/>
      <c r="CX56" s="100"/>
      <c r="CY56" s="100"/>
      <c r="CZ56" s="100"/>
      <c r="DA56" s="100"/>
      <c r="DB56" s="100"/>
      <c r="DC56" s="100"/>
      <c r="DD56" s="100"/>
      <c r="DE56" s="100"/>
      <c r="DF56" s="100"/>
      <c r="DG56" s="100"/>
      <c r="DH56" s="100"/>
      <c r="DI56" s="100"/>
      <c r="DJ56" s="100"/>
      <c r="DK56" s="100"/>
      <c r="DL56" s="100"/>
      <c r="DM56" s="100"/>
      <c r="DN56" s="100"/>
      <c r="DO56" s="100"/>
      <c r="DP56" s="100"/>
      <c r="DQ56" s="100"/>
      <c r="DR56" s="100"/>
      <c r="DS56" s="100"/>
      <c r="DT56" s="100"/>
      <c r="DU56" s="100"/>
      <c r="DV56" s="100"/>
      <c r="DW56" s="100"/>
      <c r="DX56" s="100"/>
      <c r="DY56" s="100"/>
      <c r="DZ56" s="100"/>
      <c r="EA56" s="100"/>
      <c r="EB56" s="100"/>
      <c r="EC56" s="100"/>
      <c r="ED56" s="100"/>
      <c r="EE56" s="100"/>
      <c r="EF56" s="100"/>
      <c r="EG56" s="100"/>
      <c r="EH56" s="100"/>
      <c r="EI56" s="100"/>
      <c r="EJ56" s="100"/>
      <c r="EK56" s="100"/>
      <c r="EL56" s="100"/>
      <c r="EM56" s="100"/>
      <c r="EN56" s="100"/>
      <c r="EO56" s="100"/>
      <c r="EP56" s="100"/>
      <c r="EQ56" s="100"/>
      <c r="ER56" s="100"/>
      <c r="ES56" s="100"/>
      <c r="ET56" s="100"/>
      <c r="EU56" s="100"/>
      <c r="EV56" s="100"/>
      <c r="EW56" s="100"/>
      <c r="EX56" s="100"/>
      <c r="EY56" s="100"/>
      <c r="EZ56" s="100"/>
      <c r="FA56" s="100"/>
      <c r="FB56" s="100"/>
      <c r="FC56" s="100"/>
      <c r="FD56" s="100"/>
      <c r="FE56" s="100"/>
      <c r="FF56" s="100"/>
      <c r="FG56" s="100"/>
      <c r="FH56" s="100"/>
      <c r="FI56" s="100"/>
      <c r="FJ56" s="100"/>
      <c r="FK56" s="100"/>
      <c r="FL56" s="100"/>
      <c r="FM56" s="100"/>
      <c r="FN56" s="100"/>
      <c r="FO56" s="100"/>
      <c r="FP56" s="100"/>
      <c r="FQ56" s="100"/>
      <c r="FR56" s="100"/>
      <c r="FS56" s="100"/>
      <c r="FT56" s="100"/>
      <c r="FU56" s="100"/>
      <c r="FV56" s="100"/>
      <c r="FW56" s="100"/>
      <c r="FX56" s="100"/>
      <c r="FY56" s="100"/>
      <c r="FZ56" s="100"/>
      <c r="GA56" s="100"/>
      <c r="GB56" s="100"/>
      <c r="GC56" s="100"/>
      <c r="GD56" s="100"/>
      <c r="GE56" s="100"/>
      <c r="GF56" s="100"/>
      <c r="GG56" s="100"/>
      <c r="GH56" s="100"/>
      <c r="GI56" s="100"/>
      <c r="GJ56" s="100"/>
      <c r="GK56" s="100"/>
      <c r="GL56" s="100"/>
      <c r="GM56" s="100"/>
      <c r="GN56" s="100"/>
      <c r="GO56" s="100"/>
      <c r="GP56" s="100"/>
      <c r="GQ56" s="100"/>
      <c r="GR56" s="100"/>
      <c r="GS56" s="100"/>
      <c r="GT56" s="100"/>
      <c r="GU56" s="100"/>
      <c r="GV56" s="100"/>
      <c r="GW56" s="100"/>
      <c r="GX56" s="100"/>
      <c r="GY56" s="100"/>
      <c r="GZ56" s="100"/>
      <c r="HA56" s="100"/>
      <c r="HB56" s="100"/>
      <c r="HC56" s="100"/>
      <c r="HD56" s="100"/>
      <c r="HE56" s="100"/>
      <c r="HF56" s="100"/>
      <c r="HG56" s="100"/>
      <c r="HH56" s="100"/>
      <c r="HI56" s="100"/>
      <c r="HJ56" s="100"/>
      <c r="HK56" s="100"/>
      <c r="HL56" s="100"/>
      <c r="HM56" s="100"/>
      <c r="HN56" s="100"/>
      <c r="HO56" s="100"/>
      <c r="HP56" s="100"/>
      <c r="HQ56" s="100"/>
      <c r="HR56" s="100"/>
      <c r="HS56" s="100"/>
      <c r="HT56" s="100"/>
      <c r="HU56" s="100"/>
      <c r="HV56" s="100"/>
      <c r="HW56" s="100"/>
      <c r="HX56" s="100"/>
      <c r="HY56" s="100"/>
      <c r="HZ56" s="100"/>
      <c r="IA56" s="100"/>
      <c r="IB56" s="100"/>
      <c r="IC56" s="100"/>
      <c r="ID56" s="100"/>
      <c r="IE56" s="100"/>
      <c r="IF56" s="100"/>
      <c r="IG56" s="100"/>
      <c r="IH56" s="100"/>
      <c r="II56" s="100"/>
      <c r="IJ56" s="100"/>
      <c r="IK56" s="100"/>
      <c r="IL56" s="100"/>
      <c r="IM56" s="100"/>
      <c r="IN56" s="100"/>
      <c r="IO56" s="100"/>
      <c r="IP56" s="100"/>
      <c r="IQ56" s="100"/>
      <c r="IR56" s="100"/>
      <c r="IS56" s="100"/>
      <c r="IT56" s="100"/>
      <c r="IU56" s="100"/>
      <c r="IV56" s="100"/>
      <c r="IW56" s="100"/>
    </row>
    <row r="57" customFormat="false" ht="13.5" hidden="false" customHeight="false" outlineLevel="0" collapsed="false">
      <c r="A57" s="1064"/>
      <c r="B57" s="1064" t="s">
        <v>666</v>
      </c>
      <c r="C57" s="100"/>
      <c r="D57" s="1065" t="n">
        <f aca="false">SUM(D55:D56)</f>
        <v>39076.7399283153</v>
      </c>
      <c r="E57" s="1065" t="n">
        <f aca="false">SUM(E55:E56)</f>
        <v>31582.1946786041</v>
      </c>
      <c r="F57" s="1065" t="n">
        <f aca="false">SUM(F55:F56)</f>
        <v>19655.4160770651</v>
      </c>
      <c r="G57" s="1065" t="n">
        <f aca="false">SUM(G55:G56)</f>
        <v>12456.3530508091</v>
      </c>
      <c r="H57" s="1065" t="n">
        <f aca="false">SUM(H55:H56)</f>
        <v>8093.9193697231</v>
      </c>
      <c r="I57" s="1065" t="n">
        <f aca="false">SUM(I55:I56)</f>
        <v>3731.48568863705</v>
      </c>
      <c r="J57" s="1065" t="n">
        <f aca="false">SUM(J55:J56)</f>
        <v>1496.52401642842</v>
      </c>
      <c r="K57" s="1065" t="n">
        <f aca="false">SUM(K55:K56)</f>
        <v>1389.03435309719</v>
      </c>
      <c r="L57" s="1065" t="n">
        <f aca="false">SUM(L55:L56)</f>
        <v>1281.54468976597</v>
      </c>
      <c r="M57" s="1065" t="n">
        <f aca="false">SUM(M55:M56)</f>
        <v>1174.05502643475</v>
      </c>
      <c r="N57" s="1065" t="n">
        <f aca="false">SUM(N55:N56)</f>
        <v>1066.56536310352</v>
      </c>
      <c r="O57" s="1065" t="n">
        <f aca="false">SUM(O55:O56)</f>
        <v>959.075699772296</v>
      </c>
      <c r="P57" s="1065" t="n">
        <f aca="false">SUM(P55:P56)</f>
        <v>851.586036441071</v>
      </c>
      <c r="Q57" s="1065" t="n">
        <f aca="false">SUM(Q55:Q56)</f>
        <v>744.096373109847</v>
      </c>
      <c r="R57" s="1065" t="n">
        <f aca="false">SUM(R55:R56)</f>
        <v>636.606709778622</v>
      </c>
      <c r="S57" s="1065" t="n">
        <f aca="false">SUM(S55:S56)</f>
        <v>529.117046447398</v>
      </c>
      <c r="T57" s="1065" t="n">
        <f aca="false">SUM(T55:T56)</f>
        <v>421.627383116173</v>
      </c>
      <c r="U57" s="1065" t="n">
        <f aca="false">SUM(U55:U56)</f>
        <v>314.137719784949</v>
      </c>
      <c r="V57" s="1065" t="n">
        <f aca="false">SUM(V55:V56)</f>
        <v>275.258479856633</v>
      </c>
      <c r="W57" s="1065" t="n">
        <f aca="false">SUM(W55:W56)</f>
        <v>236.379239928318</v>
      </c>
      <c r="X57" s="1065" t="n">
        <f aca="false">SUM(X55:X56)</f>
        <v>2.77111666946439E-012</v>
      </c>
      <c r="Y57" s="1065" t="n">
        <f aca="false">SUM(Y55:Y56)</f>
        <v>2.77111666946439E-012</v>
      </c>
      <c r="Z57" s="1065" t="n">
        <f aca="false">SUM(Z55:Z56)</f>
        <v>2.77111666946439E-012</v>
      </c>
      <c r="AA57" s="1065" t="n">
        <f aca="false">SUM(AA55:AA56)</f>
        <v>2.77111666946439E-012</v>
      </c>
      <c r="AB57" s="1065" t="n">
        <f aca="false">SUM(AB55:AB56)</f>
        <v>2.77111666946439E-012</v>
      </c>
      <c r="AC57" s="1065" t="n">
        <f aca="false">SUM(AC55:AC56)</f>
        <v>2.77111666946439E-012</v>
      </c>
      <c r="AD57" s="1065" t="n">
        <f aca="false">SUM(AD55:AD56)</f>
        <v>2.77111666946439E-012</v>
      </c>
      <c r="AE57" s="1065" t="n">
        <f aca="false">SUM(AE55:AE56)</f>
        <v>2.77111666946439E-012</v>
      </c>
      <c r="AF57" s="1065" t="n">
        <f aca="false">SUM(AF55:AF56)</f>
        <v>2.77111666946439E-012</v>
      </c>
      <c r="AG57" s="1065" t="n">
        <f aca="false">SUM(AG55:AG56)</f>
        <v>2.77111666946439E-012</v>
      </c>
      <c r="AH57" s="1065" t="n">
        <f aca="false">SUM(AH55:AH56)</f>
        <v>2.77111666946439E-012</v>
      </c>
      <c r="AI57" s="1065" t="n">
        <f aca="false">SUM(AI55:AI56)</f>
        <v>2.77111666946439E-012</v>
      </c>
      <c r="AJ57" s="1066"/>
      <c r="AK57" s="1066"/>
      <c r="AL57" s="1064"/>
      <c r="AM57" s="1067" t="n">
        <f aca="false">D57/D$57</f>
        <v>1</v>
      </c>
      <c r="AN57" s="1067" t="n">
        <f aca="false">E57/E$57</f>
        <v>1</v>
      </c>
      <c r="AO57" s="1067" t="n">
        <f aca="false">F57/F$57</f>
        <v>1</v>
      </c>
      <c r="AP57" s="1067" t="n">
        <f aca="false">G57/G$57</f>
        <v>1</v>
      </c>
      <c r="AQ57" s="1067" t="n">
        <f aca="false">H57/H$57</f>
        <v>1</v>
      </c>
      <c r="AR57" s="1067" t="n">
        <f aca="false">I57/I$57</f>
        <v>1</v>
      </c>
      <c r="AS57" s="1067" t="n">
        <f aca="false">J57/J$57</f>
        <v>1</v>
      </c>
      <c r="AT57" s="1067" t="n">
        <f aca="false">K57/K$57</f>
        <v>1</v>
      </c>
      <c r="AU57" s="1067" t="n">
        <f aca="false">L57/L$57</f>
        <v>1</v>
      </c>
      <c r="AV57" s="1067" t="n">
        <f aca="false">M57/M$57</f>
        <v>1</v>
      </c>
      <c r="AW57" s="1067" t="n">
        <f aca="false">N57/N$57</f>
        <v>1</v>
      </c>
      <c r="AX57" s="1067" t="n">
        <f aca="false">O57/O$57</f>
        <v>1</v>
      </c>
      <c r="AY57" s="1067" t="n">
        <f aca="false">P57/P$57</f>
        <v>1</v>
      </c>
      <c r="AZ57" s="1067" t="n">
        <f aca="false">Q57/Q$57</f>
        <v>1</v>
      </c>
      <c r="BA57" s="1067" t="n">
        <f aca="false">R57/R$57</f>
        <v>1</v>
      </c>
      <c r="BB57" s="1067" t="n">
        <f aca="false">S57/S$57</f>
        <v>1</v>
      </c>
      <c r="BC57" s="1067" t="n">
        <f aca="false">T57/T$57</f>
        <v>1</v>
      </c>
      <c r="BD57" s="1067" t="n">
        <f aca="false">U57/U$57</f>
        <v>1</v>
      </c>
      <c r="BE57" s="1067" t="n">
        <f aca="false">V57/V$57</f>
        <v>1</v>
      </c>
      <c r="BF57" s="1067" t="n">
        <f aca="false">W57/W$57</f>
        <v>1</v>
      </c>
      <c r="BG57" s="1067" t="n">
        <f aca="false">X57/X$57</f>
        <v>1</v>
      </c>
      <c r="BH57" s="1067" t="n">
        <f aca="false">Y57/Y$57</f>
        <v>1</v>
      </c>
      <c r="BI57" s="1067" t="n">
        <f aca="false">Z57/Z$57</f>
        <v>1</v>
      </c>
      <c r="BJ57" s="1067" t="n">
        <f aca="false">AA57/AA$57</f>
        <v>1</v>
      </c>
      <c r="BK57" s="1067" t="n">
        <f aca="false">AB57/AB$57</f>
        <v>1</v>
      </c>
      <c r="BL57" s="1067" t="n">
        <f aca="false">AC57/AC$57</f>
        <v>1</v>
      </c>
      <c r="BM57" s="1067" t="n">
        <f aca="false">AD57/AD$57</f>
        <v>1</v>
      </c>
      <c r="BN57" s="1067" t="n">
        <f aca="false">AE57/AE$57</f>
        <v>1</v>
      </c>
      <c r="BO57" s="1067" t="n">
        <f aca="false">AF57/AF$57</f>
        <v>1</v>
      </c>
      <c r="BP57" s="1067" t="n">
        <f aca="false">AG57/AG$57</f>
        <v>1</v>
      </c>
      <c r="BQ57" s="1067" t="n">
        <f aca="false">AH57/AH$57</f>
        <v>1</v>
      </c>
      <c r="BR57" s="451" t="n">
        <f aca="false">AI57/AI$57</f>
        <v>1</v>
      </c>
      <c r="BS57" s="1064"/>
      <c r="BT57" s="1064"/>
      <c r="BU57" s="1064"/>
      <c r="BV57" s="1064"/>
      <c r="BW57" s="1064"/>
      <c r="BX57" s="1064"/>
      <c r="BY57" s="1064"/>
      <c r="BZ57" s="1064"/>
      <c r="CA57" s="1064"/>
      <c r="CB57" s="1064"/>
      <c r="CC57" s="1064"/>
      <c r="CD57" s="1064"/>
      <c r="CE57" s="1064"/>
      <c r="CF57" s="1064"/>
      <c r="CG57" s="1064"/>
      <c r="CH57" s="1064"/>
      <c r="CI57" s="1064"/>
      <c r="CJ57" s="1064"/>
      <c r="CK57" s="1064"/>
      <c r="CL57" s="1064"/>
      <c r="CM57" s="1064"/>
      <c r="CN57" s="1064"/>
      <c r="CO57" s="1064"/>
      <c r="CP57" s="1064"/>
      <c r="CQ57" s="1064"/>
      <c r="CR57" s="1064"/>
      <c r="CS57" s="1064"/>
      <c r="CT57" s="1064"/>
      <c r="CU57" s="1064"/>
      <c r="CV57" s="1064"/>
      <c r="CW57" s="1064"/>
      <c r="CX57" s="1064"/>
      <c r="CY57" s="1064"/>
      <c r="CZ57" s="1064"/>
      <c r="DA57" s="1064"/>
      <c r="DB57" s="1064"/>
      <c r="DC57" s="1064"/>
      <c r="DD57" s="1064"/>
      <c r="DE57" s="1064"/>
      <c r="DF57" s="1064"/>
      <c r="DG57" s="1064"/>
      <c r="DH57" s="1064"/>
      <c r="DI57" s="1064"/>
      <c r="DJ57" s="1064"/>
      <c r="DK57" s="1064"/>
      <c r="DL57" s="1064"/>
      <c r="DM57" s="1064"/>
      <c r="DN57" s="1064"/>
      <c r="DO57" s="1064"/>
      <c r="DP57" s="1064"/>
      <c r="DQ57" s="1064"/>
      <c r="DR57" s="1064"/>
      <c r="DS57" s="1064"/>
      <c r="DT57" s="1064"/>
      <c r="DU57" s="1064"/>
      <c r="DV57" s="1064"/>
      <c r="DW57" s="1064"/>
      <c r="DX57" s="1064"/>
      <c r="DY57" s="1064"/>
      <c r="DZ57" s="1064"/>
      <c r="EA57" s="1064"/>
      <c r="EB57" s="1064"/>
      <c r="EC57" s="1064"/>
      <c r="ED57" s="1064"/>
      <c r="EE57" s="1064"/>
      <c r="EF57" s="1064"/>
      <c r="EG57" s="1064"/>
      <c r="EH57" s="1064"/>
      <c r="EI57" s="1064"/>
      <c r="EJ57" s="1064"/>
      <c r="EK57" s="1064"/>
      <c r="EL57" s="1064"/>
      <c r="EM57" s="1064"/>
      <c r="EN57" s="1064"/>
      <c r="EO57" s="1064"/>
      <c r="EP57" s="1064"/>
      <c r="EQ57" s="1064"/>
      <c r="ER57" s="1064"/>
      <c r="ES57" s="1064"/>
      <c r="ET57" s="1064"/>
      <c r="EU57" s="1064"/>
      <c r="EV57" s="1064"/>
      <c r="EW57" s="1064"/>
      <c r="EX57" s="1064"/>
      <c r="EY57" s="1064"/>
      <c r="EZ57" s="1064"/>
      <c r="FA57" s="1064"/>
      <c r="FB57" s="1064"/>
      <c r="FC57" s="1064"/>
      <c r="FD57" s="1064"/>
      <c r="FE57" s="1064"/>
      <c r="FF57" s="1064"/>
      <c r="FG57" s="1064"/>
      <c r="FH57" s="1064"/>
      <c r="FI57" s="1064"/>
      <c r="FJ57" s="1064"/>
      <c r="FK57" s="1064"/>
      <c r="FL57" s="1064"/>
      <c r="FM57" s="1064"/>
      <c r="FN57" s="1064"/>
      <c r="FO57" s="1064"/>
      <c r="FP57" s="1064"/>
      <c r="FQ57" s="1064"/>
      <c r="FR57" s="1064"/>
      <c r="FS57" s="1064"/>
      <c r="FT57" s="1064"/>
      <c r="FU57" s="1064"/>
      <c r="FV57" s="1064"/>
      <c r="FW57" s="1064"/>
      <c r="FX57" s="1064"/>
      <c r="FY57" s="1064"/>
      <c r="FZ57" s="1064"/>
      <c r="GA57" s="1064"/>
      <c r="GB57" s="1064"/>
      <c r="GC57" s="1064"/>
      <c r="GD57" s="1064"/>
      <c r="GE57" s="1064"/>
      <c r="GF57" s="1064"/>
      <c r="GG57" s="1064"/>
      <c r="GH57" s="1064"/>
      <c r="GI57" s="1064"/>
      <c r="GJ57" s="1064"/>
      <c r="GK57" s="1064"/>
      <c r="GL57" s="1064"/>
      <c r="GM57" s="1064"/>
      <c r="GN57" s="1064"/>
      <c r="GO57" s="1064"/>
      <c r="GP57" s="1064"/>
      <c r="GQ57" s="1064"/>
      <c r="GR57" s="1064"/>
      <c r="GS57" s="1064"/>
      <c r="GT57" s="1064"/>
      <c r="GU57" s="1064"/>
      <c r="GV57" s="1064"/>
      <c r="GW57" s="1064"/>
      <c r="GX57" s="1064"/>
      <c r="GY57" s="1064"/>
      <c r="GZ57" s="1064"/>
      <c r="HA57" s="1064"/>
      <c r="HB57" s="1064"/>
      <c r="HC57" s="1064"/>
      <c r="HD57" s="1064"/>
      <c r="HE57" s="1064"/>
      <c r="HF57" s="1064"/>
      <c r="HG57" s="1064"/>
      <c r="HH57" s="1064"/>
      <c r="HI57" s="1064"/>
      <c r="HJ57" s="1064"/>
      <c r="HK57" s="1064"/>
      <c r="HL57" s="1064"/>
      <c r="HM57" s="1064"/>
      <c r="HN57" s="1064"/>
      <c r="HO57" s="1064"/>
      <c r="HP57" s="1064"/>
      <c r="HQ57" s="1064"/>
      <c r="HR57" s="1064"/>
      <c r="HS57" s="1064"/>
      <c r="HT57" s="1064"/>
      <c r="HU57" s="1064"/>
      <c r="HV57" s="1064"/>
      <c r="HW57" s="1064"/>
      <c r="HX57" s="1064"/>
      <c r="HY57" s="1064"/>
      <c r="HZ57" s="1064"/>
      <c r="IA57" s="1064"/>
      <c r="IB57" s="1064"/>
      <c r="IC57" s="1064"/>
      <c r="ID57" s="1064"/>
      <c r="IE57" s="1064"/>
      <c r="IF57" s="1064"/>
      <c r="IG57" s="1064"/>
      <c r="IH57" s="1064"/>
      <c r="II57" s="1064"/>
      <c r="IJ57" s="1064"/>
      <c r="IK57" s="1064"/>
      <c r="IL57" s="1064"/>
      <c r="IM57" s="1064"/>
      <c r="IN57" s="1064"/>
      <c r="IO57" s="1064"/>
      <c r="IP57" s="1064"/>
      <c r="IQ57" s="1064"/>
      <c r="IR57" s="1064"/>
      <c r="IS57" s="1064"/>
      <c r="IT57" s="1064"/>
      <c r="IU57" s="1064"/>
      <c r="IV57" s="1064"/>
      <c r="IW57" s="1064"/>
    </row>
    <row r="58" customFormat="false" ht="12.75" hidden="false" customHeight="false" outlineLevel="0" collapsed="false">
      <c r="A58" s="100"/>
      <c r="B58" s="100"/>
      <c r="C58" s="100"/>
      <c r="D58" s="130"/>
      <c r="E58" s="100"/>
      <c r="F58" s="100"/>
      <c r="G58" s="100"/>
      <c r="H58" s="100"/>
      <c r="I58" s="100"/>
      <c r="J58" s="100"/>
      <c r="K58" s="100"/>
      <c r="L58" s="100"/>
      <c r="M58" s="100"/>
      <c r="N58" s="100"/>
      <c r="O58" s="100"/>
      <c r="P58" s="100"/>
      <c r="Q58" s="100"/>
      <c r="R58" s="100"/>
      <c r="S58" s="100"/>
      <c r="T58" s="100"/>
      <c r="U58" s="100"/>
      <c r="V58" s="100"/>
      <c r="W58" s="100"/>
      <c r="X58" s="100"/>
      <c r="Y58" s="100"/>
      <c r="Z58" s="100"/>
      <c r="AA58" s="100"/>
      <c r="AB58" s="100"/>
      <c r="AC58" s="100"/>
      <c r="AD58" s="100"/>
      <c r="AE58" s="100"/>
      <c r="AF58" s="100"/>
      <c r="AG58" s="100"/>
      <c r="AH58" s="100"/>
      <c r="AI58" s="100"/>
      <c r="AJ58" s="102"/>
      <c r="AK58" s="102"/>
      <c r="AL58" s="100"/>
      <c r="AM58" s="570"/>
      <c r="AN58" s="451"/>
      <c r="AO58" s="451"/>
      <c r="AP58" s="451"/>
      <c r="AQ58" s="451"/>
      <c r="AR58" s="451"/>
      <c r="AS58" s="451"/>
      <c r="AT58" s="451"/>
      <c r="AU58" s="451"/>
      <c r="AV58" s="451"/>
      <c r="AW58" s="451"/>
      <c r="AX58" s="451"/>
      <c r="AY58" s="451"/>
      <c r="AZ58" s="451"/>
      <c r="BA58" s="451"/>
      <c r="BB58" s="451"/>
      <c r="BC58" s="451"/>
      <c r="BD58" s="451"/>
      <c r="BE58" s="451"/>
      <c r="BF58" s="451"/>
      <c r="BG58" s="451"/>
      <c r="BH58" s="451"/>
      <c r="BI58" s="451"/>
      <c r="BJ58" s="451"/>
      <c r="BK58" s="451"/>
      <c r="BL58" s="451"/>
      <c r="BM58" s="451"/>
      <c r="BN58" s="451"/>
      <c r="BO58" s="451"/>
      <c r="BP58" s="451"/>
      <c r="BQ58" s="451"/>
      <c r="BR58" s="451"/>
      <c r="BS58" s="100"/>
      <c r="BT58" s="100"/>
      <c r="BU58" s="100"/>
      <c r="BV58" s="100"/>
      <c r="BW58" s="100"/>
      <c r="BX58" s="100"/>
      <c r="BY58" s="100"/>
      <c r="BZ58" s="100"/>
      <c r="CA58" s="100"/>
      <c r="CB58" s="100"/>
      <c r="CC58" s="100"/>
      <c r="CD58" s="100"/>
      <c r="CE58" s="100"/>
      <c r="CF58" s="100"/>
      <c r="CG58" s="100"/>
      <c r="CH58" s="100"/>
      <c r="CI58" s="100"/>
      <c r="CJ58" s="100"/>
      <c r="CK58" s="100"/>
      <c r="CL58" s="100"/>
      <c r="CM58" s="100"/>
      <c r="CN58" s="100"/>
      <c r="CO58" s="100"/>
      <c r="CP58" s="100"/>
      <c r="CQ58" s="100"/>
      <c r="CR58" s="100"/>
      <c r="CS58" s="100"/>
      <c r="CT58" s="100"/>
      <c r="CU58" s="100"/>
      <c r="CV58" s="100"/>
      <c r="CW58" s="100"/>
      <c r="CX58" s="100"/>
      <c r="CY58" s="100"/>
      <c r="CZ58" s="100"/>
      <c r="DA58" s="100"/>
      <c r="DB58" s="100"/>
      <c r="DC58" s="100"/>
      <c r="DD58" s="100"/>
      <c r="DE58" s="100"/>
      <c r="DF58" s="100"/>
      <c r="DG58" s="100"/>
      <c r="DH58" s="100"/>
      <c r="DI58" s="100"/>
      <c r="DJ58" s="100"/>
      <c r="DK58" s="100"/>
      <c r="DL58" s="100"/>
      <c r="DM58" s="100"/>
      <c r="DN58" s="100"/>
      <c r="DO58" s="100"/>
      <c r="DP58" s="100"/>
      <c r="DQ58" s="100"/>
      <c r="DR58" s="100"/>
      <c r="DS58" s="100"/>
      <c r="DT58" s="100"/>
      <c r="DU58" s="100"/>
      <c r="DV58" s="100"/>
      <c r="DW58" s="100"/>
      <c r="DX58" s="100"/>
      <c r="DY58" s="100"/>
      <c r="DZ58" s="100"/>
      <c r="EA58" s="100"/>
      <c r="EB58" s="100"/>
      <c r="EC58" s="100"/>
      <c r="ED58" s="100"/>
      <c r="EE58" s="100"/>
      <c r="EF58" s="100"/>
      <c r="EG58" s="100"/>
      <c r="EH58" s="100"/>
      <c r="EI58" s="100"/>
      <c r="EJ58" s="100"/>
      <c r="EK58" s="100"/>
      <c r="EL58" s="100"/>
      <c r="EM58" s="100"/>
      <c r="EN58" s="100"/>
      <c r="EO58" s="100"/>
      <c r="EP58" s="100"/>
      <c r="EQ58" s="100"/>
      <c r="ER58" s="100"/>
      <c r="ES58" s="100"/>
      <c r="ET58" s="100"/>
      <c r="EU58" s="100"/>
      <c r="EV58" s="100"/>
      <c r="EW58" s="100"/>
      <c r="EX58" s="100"/>
      <c r="EY58" s="100"/>
      <c r="EZ58" s="100"/>
      <c r="FA58" s="100"/>
      <c r="FB58" s="100"/>
      <c r="FC58" s="100"/>
      <c r="FD58" s="100"/>
      <c r="FE58" s="100"/>
      <c r="FF58" s="100"/>
      <c r="FG58" s="100"/>
      <c r="FH58" s="100"/>
      <c r="FI58" s="100"/>
      <c r="FJ58" s="100"/>
      <c r="FK58" s="100"/>
      <c r="FL58" s="100"/>
      <c r="FM58" s="100"/>
      <c r="FN58" s="100"/>
      <c r="FO58" s="100"/>
      <c r="FP58" s="100"/>
      <c r="FQ58" s="100"/>
      <c r="FR58" s="100"/>
      <c r="FS58" s="100"/>
      <c r="FT58" s="100"/>
      <c r="FU58" s="100"/>
      <c r="FV58" s="100"/>
      <c r="FW58" s="100"/>
      <c r="FX58" s="100"/>
      <c r="FY58" s="100"/>
      <c r="FZ58" s="100"/>
      <c r="GA58" s="100"/>
      <c r="GB58" s="100"/>
      <c r="GC58" s="100"/>
      <c r="GD58" s="100"/>
      <c r="GE58" s="100"/>
      <c r="GF58" s="100"/>
      <c r="GG58" s="100"/>
      <c r="GH58" s="100"/>
      <c r="GI58" s="100"/>
      <c r="GJ58" s="100"/>
      <c r="GK58" s="100"/>
      <c r="GL58" s="100"/>
      <c r="GM58" s="100"/>
      <c r="GN58" s="100"/>
      <c r="GO58" s="100"/>
      <c r="GP58" s="100"/>
      <c r="GQ58" s="100"/>
      <c r="GR58" s="100"/>
      <c r="GS58" s="100"/>
      <c r="GT58" s="100"/>
      <c r="GU58" s="100"/>
      <c r="GV58" s="100"/>
      <c r="GW58" s="100"/>
      <c r="GX58" s="100"/>
      <c r="GY58" s="100"/>
      <c r="GZ58" s="100"/>
      <c r="HA58" s="100"/>
      <c r="HB58" s="100"/>
      <c r="HC58" s="100"/>
      <c r="HD58" s="100"/>
      <c r="HE58" s="100"/>
      <c r="HF58" s="100"/>
      <c r="HG58" s="100"/>
      <c r="HH58" s="100"/>
      <c r="HI58" s="100"/>
      <c r="HJ58" s="100"/>
      <c r="HK58" s="100"/>
      <c r="HL58" s="100"/>
      <c r="HM58" s="100"/>
      <c r="HN58" s="100"/>
      <c r="HO58" s="100"/>
      <c r="HP58" s="100"/>
      <c r="HQ58" s="100"/>
      <c r="HR58" s="100"/>
      <c r="HS58" s="100"/>
      <c r="HT58" s="100"/>
      <c r="HU58" s="100"/>
      <c r="HV58" s="100"/>
      <c r="HW58" s="100"/>
      <c r="HX58" s="100"/>
      <c r="HY58" s="100"/>
      <c r="HZ58" s="100"/>
      <c r="IA58" s="100"/>
      <c r="IB58" s="100"/>
      <c r="IC58" s="100"/>
      <c r="ID58" s="100"/>
      <c r="IE58" s="100"/>
      <c r="IF58" s="100"/>
      <c r="IG58" s="100"/>
      <c r="IH58" s="100"/>
      <c r="II58" s="100"/>
      <c r="IJ58" s="100"/>
      <c r="IK58" s="100"/>
      <c r="IL58" s="100"/>
      <c r="IM58" s="100"/>
      <c r="IN58" s="100"/>
      <c r="IO58" s="100"/>
      <c r="IP58" s="100"/>
      <c r="IQ58" s="100"/>
      <c r="IR58" s="100"/>
      <c r="IS58" s="100"/>
      <c r="IT58" s="100"/>
      <c r="IU58" s="100"/>
      <c r="IV58" s="100"/>
      <c r="IW58" s="100"/>
    </row>
    <row r="59" customFormat="false" ht="12.75" hidden="false" customHeight="false" outlineLevel="0" collapsed="false">
      <c r="A59" s="100"/>
      <c r="B59" s="313" t="s">
        <v>667</v>
      </c>
      <c r="C59" s="100"/>
      <c r="D59" s="130"/>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0"/>
      <c r="AC59" s="100"/>
      <c r="AD59" s="100"/>
      <c r="AE59" s="100"/>
      <c r="AF59" s="100"/>
      <c r="AG59" s="100"/>
      <c r="AH59" s="100"/>
      <c r="AI59" s="100"/>
      <c r="AJ59" s="102"/>
      <c r="AK59" s="102"/>
      <c r="AL59" s="100"/>
      <c r="AM59" s="570"/>
      <c r="AN59" s="451"/>
      <c r="AO59" s="451"/>
      <c r="AP59" s="451"/>
      <c r="AQ59" s="451"/>
      <c r="AR59" s="451"/>
      <c r="AS59" s="451"/>
      <c r="AT59" s="451"/>
      <c r="AU59" s="451"/>
      <c r="AV59" s="451"/>
      <c r="AW59" s="451"/>
      <c r="AX59" s="451"/>
      <c r="AY59" s="451"/>
      <c r="AZ59" s="451"/>
      <c r="BA59" s="451"/>
      <c r="BB59" s="451"/>
      <c r="BC59" s="451"/>
      <c r="BD59" s="451"/>
      <c r="BE59" s="451"/>
      <c r="BF59" s="451"/>
      <c r="BG59" s="451"/>
      <c r="BH59" s="451"/>
      <c r="BI59" s="451"/>
      <c r="BJ59" s="451"/>
      <c r="BK59" s="451"/>
      <c r="BL59" s="451"/>
      <c r="BM59" s="451"/>
      <c r="BN59" s="451"/>
      <c r="BO59" s="451"/>
      <c r="BP59" s="451"/>
      <c r="BQ59" s="451"/>
      <c r="BR59" s="451"/>
      <c r="BS59" s="100"/>
      <c r="BT59" s="100"/>
      <c r="BU59" s="100"/>
      <c r="BV59" s="100"/>
      <c r="BW59" s="100"/>
      <c r="BX59" s="100"/>
      <c r="BY59" s="100"/>
      <c r="BZ59" s="100"/>
      <c r="CA59" s="100"/>
      <c r="CB59" s="100"/>
      <c r="CC59" s="100"/>
      <c r="CD59" s="100"/>
      <c r="CE59" s="100"/>
      <c r="CF59" s="100"/>
      <c r="CG59" s="100"/>
      <c r="CH59" s="100"/>
      <c r="CI59" s="100"/>
      <c r="CJ59" s="100"/>
      <c r="CK59" s="100"/>
      <c r="CL59" s="100"/>
      <c r="CM59" s="100"/>
      <c r="CN59" s="100"/>
      <c r="CO59" s="100"/>
      <c r="CP59" s="100"/>
      <c r="CQ59" s="100"/>
      <c r="CR59" s="100"/>
      <c r="CS59" s="100"/>
      <c r="CT59" s="100"/>
      <c r="CU59" s="100"/>
      <c r="CV59" s="100"/>
      <c r="CW59" s="100"/>
      <c r="CX59" s="100"/>
      <c r="CY59" s="100"/>
      <c r="CZ59" s="100"/>
      <c r="DA59" s="100"/>
      <c r="DB59" s="100"/>
      <c r="DC59" s="100"/>
      <c r="DD59" s="100"/>
      <c r="DE59" s="100"/>
      <c r="DF59" s="100"/>
      <c r="DG59" s="100"/>
      <c r="DH59" s="100"/>
      <c r="DI59" s="100"/>
      <c r="DJ59" s="100"/>
      <c r="DK59" s="100"/>
      <c r="DL59" s="100"/>
      <c r="DM59" s="100"/>
      <c r="DN59" s="100"/>
      <c r="DO59" s="100"/>
      <c r="DP59" s="100"/>
      <c r="DQ59" s="100"/>
      <c r="DR59" s="100"/>
      <c r="DS59" s="100"/>
      <c r="DT59" s="100"/>
      <c r="DU59" s="100"/>
      <c r="DV59" s="100"/>
      <c r="DW59" s="100"/>
      <c r="DX59" s="100"/>
      <c r="DY59" s="100"/>
      <c r="DZ59" s="100"/>
      <c r="EA59" s="100"/>
      <c r="EB59" s="100"/>
      <c r="EC59" s="100"/>
      <c r="ED59" s="100"/>
      <c r="EE59" s="100"/>
      <c r="EF59" s="100"/>
      <c r="EG59" s="100"/>
      <c r="EH59" s="100"/>
      <c r="EI59" s="100"/>
      <c r="EJ59" s="100"/>
      <c r="EK59" s="100"/>
      <c r="EL59" s="100"/>
      <c r="EM59" s="100"/>
      <c r="EN59" s="100"/>
      <c r="EO59" s="100"/>
      <c r="EP59" s="100"/>
      <c r="EQ59" s="100"/>
      <c r="ER59" s="100"/>
      <c r="ES59" s="100"/>
      <c r="ET59" s="100"/>
      <c r="EU59" s="100"/>
      <c r="EV59" s="100"/>
      <c r="EW59" s="100"/>
      <c r="EX59" s="100"/>
      <c r="EY59" s="100"/>
      <c r="EZ59" s="100"/>
      <c r="FA59" s="100"/>
      <c r="FB59" s="100"/>
      <c r="FC59" s="100"/>
      <c r="FD59" s="100"/>
      <c r="FE59" s="100"/>
      <c r="FF59" s="100"/>
      <c r="FG59" s="100"/>
      <c r="FH59" s="100"/>
      <c r="FI59" s="100"/>
      <c r="FJ59" s="100"/>
      <c r="FK59" s="100"/>
      <c r="FL59" s="100"/>
      <c r="FM59" s="100"/>
      <c r="FN59" s="100"/>
      <c r="FO59" s="100"/>
      <c r="FP59" s="100"/>
      <c r="FQ59" s="100"/>
      <c r="FR59" s="100"/>
      <c r="FS59" s="100"/>
      <c r="FT59" s="100"/>
      <c r="FU59" s="100"/>
      <c r="FV59" s="100"/>
      <c r="FW59" s="100"/>
      <c r="FX59" s="100"/>
      <c r="FY59" s="100"/>
      <c r="FZ59" s="100"/>
      <c r="GA59" s="100"/>
      <c r="GB59" s="100"/>
      <c r="GC59" s="100"/>
      <c r="GD59" s="100"/>
      <c r="GE59" s="100"/>
      <c r="GF59" s="100"/>
      <c r="GG59" s="100"/>
      <c r="GH59" s="100"/>
      <c r="GI59" s="100"/>
      <c r="GJ59" s="100"/>
      <c r="GK59" s="100"/>
      <c r="GL59" s="100"/>
      <c r="GM59" s="100"/>
      <c r="GN59" s="100"/>
      <c r="GO59" s="100"/>
      <c r="GP59" s="100"/>
      <c r="GQ59" s="100"/>
      <c r="GR59" s="100"/>
      <c r="GS59" s="100"/>
      <c r="GT59" s="100"/>
      <c r="GU59" s="100"/>
      <c r="GV59" s="100"/>
      <c r="GW59" s="100"/>
      <c r="GX59" s="100"/>
      <c r="GY59" s="100"/>
      <c r="GZ59" s="100"/>
      <c r="HA59" s="100"/>
      <c r="HB59" s="100"/>
      <c r="HC59" s="100"/>
      <c r="HD59" s="100"/>
      <c r="HE59" s="100"/>
      <c r="HF59" s="100"/>
      <c r="HG59" s="100"/>
      <c r="HH59" s="100"/>
      <c r="HI59" s="100"/>
      <c r="HJ59" s="100"/>
      <c r="HK59" s="100"/>
      <c r="HL59" s="100"/>
      <c r="HM59" s="100"/>
      <c r="HN59" s="100"/>
      <c r="HO59" s="100"/>
      <c r="HP59" s="100"/>
      <c r="HQ59" s="100"/>
      <c r="HR59" s="100"/>
      <c r="HS59" s="100"/>
      <c r="HT59" s="100"/>
      <c r="HU59" s="100"/>
      <c r="HV59" s="100"/>
      <c r="HW59" s="100"/>
      <c r="HX59" s="100"/>
      <c r="HY59" s="100"/>
      <c r="HZ59" s="100"/>
      <c r="IA59" s="100"/>
      <c r="IB59" s="100"/>
      <c r="IC59" s="100"/>
      <c r="ID59" s="100"/>
      <c r="IE59" s="100"/>
      <c r="IF59" s="100"/>
      <c r="IG59" s="100"/>
      <c r="IH59" s="100"/>
      <c r="II59" s="100"/>
      <c r="IJ59" s="100"/>
      <c r="IK59" s="100"/>
      <c r="IL59" s="100"/>
      <c r="IM59" s="100"/>
      <c r="IN59" s="100"/>
      <c r="IO59" s="100"/>
      <c r="IP59" s="100"/>
      <c r="IQ59" s="100"/>
      <c r="IR59" s="100"/>
      <c r="IS59" s="100"/>
      <c r="IT59" s="100"/>
      <c r="IU59" s="100"/>
      <c r="IV59" s="100"/>
      <c r="IW59" s="100"/>
    </row>
    <row r="60" customFormat="false" ht="12.75" hidden="false" customHeight="false" outlineLevel="0" collapsed="false">
      <c r="A60" s="100"/>
      <c r="B60" s="130" t="s">
        <v>668</v>
      </c>
      <c r="C60" s="100"/>
      <c r="D60" s="130"/>
      <c r="E60" s="100" t="n">
        <f aca="false">-(CashFlow!E35+CashFlow!E47)</f>
        <v>1593.14987701209</v>
      </c>
      <c r="F60" s="100" t="n">
        <f aca="false">-(CashFlow!F35+CashFlow!F47)</f>
        <v>1592.79445058352</v>
      </c>
      <c r="G60" s="100" t="n">
        <f aca="false">-(CashFlow!G35+CashFlow!G47)</f>
        <v>1591.97318730531</v>
      </c>
      <c r="H60" s="100" t="n">
        <f aca="false">-(CashFlow!H35+CashFlow!H47)</f>
        <v>1590.58089016982</v>
      </c>
      <c r="I60" s="100" t="n">
        <f aca="false">-(CashFlow!I35+CashFlow!I47)</f>
        <v>1588.70720614975</v>
      </c>
      <c r="J60" s="100" t="n">
        <f aca="false">-(CashFlow!J35+CashFlow!J47)</f>
        <v>1586.41451365024</v>
      </c>
      <c r="K60" s="100" t="n">
        <f aca="false">-(CashFlow!K35+CashFlow!K47)</f>
        <v>1577.18743487</v>
      </c>
      <c r="L60" s="100" t="n">
        <f aca="false">-(CashFlow!L35+CashFlow!L47)</f>
        <v>1567.42031268036</v>
      </c>
      <c r="M60" s="100" t="n">
        <f aca="false">-(CashFlow!M35+CashFlow!M47)</f>
        <v>1557.10979724231</v>
      </c>
      <c r="N60" s="100" t="n">
        <f aca="false">-(CashFlow!N35+CashFlow!N47)</f>
        <v>1546.18349966316</v>
      </c>
      <c r="O60" s="100" t="n">
        <f aca="false">-(CashFlow!O35+CashFlow!O47)</f>
        <v>1566.73543873429</v>
      </c>
      <c r="P60" s="100" t="n">
        <f aca="false">-(CashFlow!P35+CashFlow!P47)</f>
        <v>1554.23352087958</v>
      </c>
      <c r="Q60" s="100" t="n">
        <f aca="false">-(CashFlow!Q35+CashFlow!Q47)</f>
        <v>1540.58378848755</v>
      </c>
      <c r="R60" s="100" t="n">
        <f aca="false">-(CashFlow!R35+CashFlow!R47)</f>
        <v>1525.72743184041</v>
      </c>
      <c r="S60" s="100" t="n">
        <f aca="false">-(CashFlow!S35+CashFlow!S47)</f>
        <v>1509.52457458548</v>
      </c>
      <c r="T60" s="100" t="n">
        <f aca="false">-(CashFlow!T35+CashFlow!T47)</f>
        <v>1491.97600258015</v>
      </c>
      <c r="U60" s="100" t="n">
        <f aca="false">-(CashFlow!U35+CashFlow!U47)</f>
        <v>1392.52731337028</v>
      </c>
      <c r="V60" s="100" t="n">
        <f aca="false">-(CashFlow!V35+CashFlow!V47)</f>
        <v>-0</v>
      </c>
      <c r="W60" s="100" t="n">
        <f aca="false">-(CashFlow!W35+CashFlow!W47)</f>
        <v>-0</v>
      </c>
      <c r="X60" s="100" t="n">
        <f aca="false">-(CashFlow!X35+CashFlow!X47)</f>
        <v>-0</v>
      </c>
      <c r="Y60" s="100" t="n">
        <f aca="false">-(CashFlow!Y35+CashFlow!Y47)</f>
        <v>-0</v>
      </c>
      <c r="Z60" s="100" t="n">
        <f aca="false">-(CashFlow!Z35+CashFlow!Z47)</f>
        <v>-0</v>
      </c>
      <c r="AA60" s="100" t="n">
        <f aca="false">-(CashFlow!AA35+CashFlow!AA47)</f>
        <v>-0</v>
      </c>
      <c r="AB60" s="100" t="n">
        <f aca="false">-(CashFlow!AB35+CashFlow!AB47)</f>
        <v>-0</v>
      </c>
      <c r="AC60" s="100" t="n">
        <f aca="false">-(CashFlow!AC35+CashFlow!AC47)</f>
        <v>-0</v>
      </c>
      <c r="AD60" s="100" t="n">
        <f aca="false">-(CashFlow!AD35+CashFlow!AD47)</f>
        <v>-0</v>
      </c>
      <c r="AE60" s="100" t="n">
        <f aca="false">-(CashFlow!AE35+CashFlow!AE47)</f>
        <v>-0</v>
      </c>
      <c r="AF60" s="100" t="n">
        <f aca="false">-(CashFlow!AF35+CashFlow!AF47)</f>
        <v>-0</v>
      </c>
      <c r="AG60" s="100" t="n">
        <f aca="false">-(CashFlow!AG35+CashFlow!AG47)</f>
        <v>-0</v>
      </c>
      <c r="AH60" s="100" t="n">
        <f aca="false">-(CashFlow!AH35+CashFlow!AH47)</f>
        <v>-0</v>
      </c>
      <c r="AI60" s="100" t="n">
        <f aca="false">-(CashFlow!AI35+CashFlow!AI47)</f>
        <v>-0</v>
      </c>
      <c r="AJ60" s="102"/>
      <c r="AK60" s="102"/>
      <c r="AL60" s="100"/>
      <c r="AM60" s="570" t="n">
        <f aca="false">D60/D$57</f>
        <v>0</v>
      </c>
      <c r="AN60" s="570" t="n">
        <f aca="false">E60/E$57</f>
        <v>0.0504445588162813</v>
      </c>
      <c r="AO60" s="570" t="n">
        <f aca="false">F60/F$57</f>
        <v>0.081035906049431</v>
      </c>
      <c r="AP60" s="570" t="n">
        <f aca="false">G60/G$57</f>
        <v>0.127804115764196</v>
      </c>
      <c r="AQ60" s="570" t="n">
        <f aca="false">H60/H$57</f>
        <v>0.196515534380007</v>
      </c>
      <c r="AR60" s="570" t="n">
        <f aca="false">I60/I$57</f>
        <v>0.425757282411027</v>
      </c>
      <c r="AS60" s="570" t="n">
        <f aca="false">J60/J$57</f>
        <v>1.06006619087634</v>
      </c>
      <c r="AT60" s="570" t="n">
        <f aca="false">K60/K$57</f>
        <v>1.13545603199322</v>
      </c>
      <c r="AU60" s="570" t="n">
        <f aca="false">L60/L$57</f>
        <v>1.22307113064203</v>
      </c>
      <c r="AV60" s="570" t="n">
        <f aca="false">M60/M$57</f>
        <v>1.32626645445298</v>
      </c>
      <c r="AW60" s="570" t="n">
        <f aca="false">N60/N$57</f>
        <v>1.44968471052167</v>
      </c>
      <c r="AX60" s="570" t="n">
        <f aca="false">O60/O$57</f>
        <v>1.63358892223655</v>
      </c>
      <c r="AY60" s="570" t="n">
        <f aca="false">P60/P$57</f>
        <v>1.82510451600991</v>
      </c>
      <c r="AZ60" s="570" t="n">
        <f aca="false">Q60/Q$57</f>
        <v>2.07040894722937</v>
      </c>
      <c r="BA60" s="570" t="n">
        <f aca="false">R60/R$57</f>
        <v>2.39665622181548</v>
      </c>
      <c r="BB60" s="570" t="n">
        <f aca="false">S60/S$57</f>
        <v>2.85291238435946</v>
      </c>
      <c r="BC60" s="570" t="n">
        <f aca="false">T60/T$57</f>
        <v>3.53861267632388</v>
      </c>
      <c r="BD60" s="570" t="n">
        <f aca="false">U60/U$57</f>
        <v>4.43285611904096</v>
      </c>
      <c r="BE60" s="570" t="n">
        <f aca="false">V60/V$57</f>
        <v>-0</v>
      </c>
      <c r="BF60" s="570" t="n">
        <f aca="false">W60/W$57</f>
        <v>-0</v>
      </c>
      <c r="BG60" s="570" t="n">
        <f aca="false">X60/X$57</f>
        <v>-0</v>
      </c>
      <c r="BH60" s="570" t="n">
        <f aca="false">Y60/Y$57</f>
        <v>-0</v>
      </c>
      <c r="BI60" s="570" t="n">
        <f aca="false">Z60/Z$57</f>
        <v>-0</v>
      </c>
      <c r="BJ60" s="570" t="n">
        <f aca="false">AA60/AA$57</f>
        <v>-0</v>
      </c>
      <c r="BK60" s="570" t="n">
        <f aca="false">AB60/AB$57</f>
        <v>-0</v>
      </c>
      <c r="BL60" s="570" t="n">
        <f aca="false">AC60/AC$57</f>
        <v>-0</v>
      </c>
      <c r="BM60" s="570" t="n">
        <f aca="false">AD60/AD$57</f>
        <v>-0</v>
      </c>
      <c r="BN60" s="570" t="n">
        <f aca="false">AE60/AE$57</f>
        <v>-0</v>
      </c>
      <c r="BO60" s="570" t="n">
        <f aca="false">AF60/AF$57</f>
        <v>-0</v>
      </c>
      <c r="BP60" s="570" t="n">
        <f aca="false">AG60/AG$57</f>
        <v>-0</v>
      </c>
      <c r="BQ60" s="570" t="n">
        <f aca="false">AH60/AH$57</f>
        <v>-0</v>
      </c>
      <c r="BR60" s="451"/>
      <c r="BS60" s="100"/>
      <c r="BT60" s="100"/>
      <c r="BU60" s="100"/>
      <c r="BV60" s="100"/>
      <c r="BW60" s="100"/>
      <c r="BX60" s="100"/>
      <c r="BY60" s="100"/>
      <c r="BZ60" s="100"/>
      <c r="CA60" s="100"/>
      <c r="CB60" s="100"/>
      <c r="CC60" s="100"/>
      <c r="CD60" s="100"/>
      <c r="CE60" s="100"/>
      <c r="CF60" s="100"/>
      <c r="CG60" s="100"/>
      <c r="CH60" s="100"/>
      <c r="CI60" s="100"/>
      <c r="CJ60" s="100"/>
      <c r="CK60" s="100"/>
      <c r="CL60" s="100"/>
      <c r="CM60" s="100"/>
      <c r="CN60" s="100"/>
      <c r="CO60" s="100"/>
      <c r="CP60" s="100"/>
      <c r="CQ60" s="100"/>
      <c r="CR60" s="100"/>
      <c r="CS60" s="100"/>
      <c r="CT60" s="100"/>
      <c r="CU60" s="100"/>
      <c r="CV60" s="100"/>
      <c r="CW60" s="100"/>
      <c r="CX60" s="100"/>
      <c r="CY60" s="100"/>
      <c r="CZ60" s="100"/>
      <c r="DA60" s="100"/>
      <c r="DB60" s="100"/>
      <c r="DC60" s="100"/>
      <c r="DD60" s="100"/>
      <c r="DE60" s="100"/>
      <c r="DF60" s="100"/>
      <c r="DG60" s="100"/>
      <c r="DH60" s="100"/>
      <c r="DI60" s="100"/>
      <c r="DJ60" s="100"/>
      <c r="DK60" s="100"/>
      <c r="DL60" s="100"/>
      <c r="DM60" s="100"/>
      <c r="DN60" s="100"/>
      <c r="DO60" s="100"/>
      <c r="DP60" s="100"/>
      <c r="DQ60" s="100"/>
      <c r="DR60" s="100"/>
      <c r="DS60" s="100"/>
      <c r="DT60" s="100"/>
      <c r="DU60" s="100"/>
      <c r="DV60" s="100"/>
      <c r="DW60" s="100"/>
      <c r="DX60" s="100"/>
      <c r="DY60" s="100"/>
      <c r="DZ60" s="100"/>
      <c r="EA60" s="100"/>
      <c r="EB60" s="100"/>
      <c r="EC60" s="100"/>
      <c r="ED60" s="100"/>
      <c r="EE60" s="100"/>
      <c r="EF60" s="100"/>
      <c r="EG60" s="100"/>
      <c r="EH60" s="100"/>
      <c r="EI60" s="100"/>
      <c r="EJ60" s="100"/>
      <c r="EK60" s="100"/>
      <c r="EL60" s="100"/>
      <c r="EM60" s="100"/>
      <c r="EN60" s="100"/>
      <c r="EO60" s="100"/>
      <c r="EP60" s="100"/>
      <c r="EQ60" s="100"/>
      <c r="ER60" s="100"/>
      <c r="ES60" s="100"/>
      <c r="ET60" s="100"/>
      <c r="EU60" s="100"/>
      <c r="EV60" s="100"/>
      <c r="EW60" s="100"/>
      <c r="EX60" s="100"/>
      <c r="EY60" s="100"/>
      <c r="EZ60" s="100"/>
      <c r="FA60" s="100"/>
      <c r="FB60" s="100"/>
      <c r="FC60" s="100"/>
      <c r="FD60" s="100"/>
      <c r="FE60" s="100"/>
      <c r="FF60" s="100"/>
      <c r="FG60" s="100"/>
      <c r="FH60" s="100"/>
      <c r="FI60" s="100"/>
      <c r="FJ60" s="100"/>
      <c r="FK60" s="100"/>
      <c r="FL60" s="100"/>
      <c r="FM60" s="100"/>
      <c r="FN60" s="100"/>
      <c r="FO60" s="100"/>
      <c r="FP60" s="100"/>
      <c r="FQ60" s="100"/>
      <c r="FR60" s="100"/>
      <c r="FS60" s="100"/>
      <c r="FT60" s="100"/>
      <c r="FU60" s="100"/>
      <c r="FV60" s="100"/>
      <c r="FW60" s="100"/>
      <c r="FX60" s="100"/>
      <c r="FY60" s="100"/>
      <c r="FZ60" s="100"/>
      <c r="GA60" s="100"/>
      <c r="GB60" s="100"/>
      <c r="GC60" s="100"/>
      <c r="GD60" s="100"/>
      <c r="GE60" s="100"/>
      <c r="GF60" s="100"/>
      <c r="GG60" s="100"/>
      <c r="GH60" s="100"/>
      <c r="GI60" s="100"/>
      <c r="GJ60" s="100"/>
      <c r="GK60" s="100"/>
      <c r="GL60" s="100"/>
      <c r="GM60" s="100"/>
      <c r="GN60" s="100"/>
      <c r="GO60" s="100"/>
      <c r="GP60" s="100"/>
      <c r="GQ60" s="100"/>
      <c r="GR60" s="100"/>
      <c r="GS60" s="100"/>
      <c r="GT60" s="100"/>
      <c r="GU60" s="100"/>
      <c r="GV60" s="100"/>
      <c r="GW60" s="100"/>
      <c r="GX60" s="100"/>
      <c r="GY60" s="100"/>
      <c r="GZ60" s="100"/>
      <c r="HA60" s="100"/>
      <c r="HB60" s="100"/>
      <c r="HC60" s="100"/>
      <c r="HD60" s="100"/>
      <c r="HE60" s="100"/>
      <c r="HF60" s="100"/>
      <c r="HG60" s="100"/>
      <c r="HH60" s="100"/>
      <c r="HI60" s="100"/>
      <c r="HJ60" s="100"/>
      <c r="HK60" s="100"/>
      <c r="HL60" s="100"/>
      <c r="HM60" s="100"/>
      <c r="HN60" s="100"/>
      <c r="HO60" s="100"/>
      <c r="HP60" s="100"/>
      <c r="HQ60" s="100"/>
      <c r="HR60" s="100"/>
      <c r="HS60" s="100"/>
      <c r="HT60" s="100"/>
      <c r="HU60" s="100"/>
      <c r="HV60" s="100"/>
      <c r="HW60" s="100"/>
      <c r="HX60" s="100"/>
      <c r="HY60" s="100"/>
      <c r="HZ60" s="100"/>
      <c r="IA60" s="100"/>
      <c r="IB60" s="100"/>
      <c r="IC60" s="100"/>
      <c r="ID60" s="100"/>
      <c r="IE60" s="100"/>
      <c r="IF60" s="100"/>
      <c r="IG60" s="100"/>
      <c r="IH60" s="100"/>
      <c r="II60" s="100"/>
      <c r="IJ60" s="100"/>
      <c r="IK60" s="100"/>
      <c r="IL60" s="100"/>
      <c r="IM60" s="100"/>
      <c r="IN60" s="100"/>
      <c r="IO60" s="100"/>
      <c r="IP60" s="100"/>
      <c r="IQ60" s="100"/>
      <c r="IR60" s="100"/>
      <c r="IS60" s="100"/>
      <c r="IT60" s="100"/>
      <c r="IU60" s="100"/>
      <c r="IV60" s="100"/>
      <c r="IW60" s="100"/>
    </row>
    <row r="61" customFormat="false" ht="12.75" hidden="false" customHeight="false" outlineLevel="0" collapsed="false">
      <c r="A61" s="100"/>
      <c r="B61" s="100" t="s">
        <v>669</v>
      </c>
      <c r="C61" s="100"/>
      <c r="D61" s="130" t="n">
        <f aca="false">Srcs_Uses!E8</f>
        <v>12580.9312927461</v>
      </c>
      <c r="E61" s="100" t="n">
        <f aca="false">SrDebt!E124+CashFlow!E35</f>
        <v>10657.230856447</v>
      </c>
      <c r="F61" s="100" t="n">
        <f aca="false">SrDebt!F124+CashFlow!F35</f>
        <v>10300.3272177375</v>
      </c>
      <c r="G61" s="100" t="n">
        <f aca="false">SrDebt!G124+CashFlow!G35</f>
        <v>9910.99533910367</v>
      </c>
      <c r="H61" s="100" t="n">
        <f aca="false">SrDebt!H124+CashFlow!H35</f>
        <v>9479.54202137505</v>
      </c>
      <c r="I61" s="100" t="n">
        <f aca="false">SrDebt!I124+CashFlow!I35</f>
        <v>9005.40280155692</v>
      </c>
      <c r="J61" s="100" t="n">
        <f aca="false">SrDebt!J124+CashFlow!J35</f>
        <v>8484.44832755826</v>
      </c>
      <c r="K61" s="100" t="n">
        <f aca="false">SrDebt!K124+CashFlow!K35</f>
        <v>7928.33037755627</v>
      </c>
      <c r="L61" s="100" t="n">
        <f aca="false">SrDebt!L124+CashFlow!L35</f>
        <v>7320.9317112662</v>
      </c>
      <c r="M61" s="100" t="n">
        <f aca="false">SrDebt!M124+CashFlow!M35</f>
        <v>6660.36056253758</v>
      </c>
      <c r="N61" s="100" t="n">
        <f aca="false">SrDebt!N124+CashFlow!N35</f>
        <v>5941.72530554687</v>
      </c>
      <c r="O61" s="100" t="n">
        <f aca="false">SrDebt!O124+CashFlow!O35</f>
        <v>5096.72967912532</v>
      </c>
      <c r="P61" s="100" t="n">
        <f aca="false">SrDebt!P124+CashFlow!P35</f>
        <v>4209.53729840343</v>
      </c>
      <c r="Q61" s="100" t="n">
        <f aca="false">SrDebt!Q124+CashFlow!Q35</f>
        <v>3243.77066428464</v>
      </c>
      <c r="R61" s="100" t="n">
        <f aca="false">SrDebt!R124+CashFlow!R35</f>
        <v>2192.42144594401</v>
      </c>
      <c r="S61" s="100" t="n">
        <f aca="false">SrDebt!S124+CashFlow!S35</f>
        <v>1049.05720340291</v>
      </c>
      <c r="T61" s="100" t="n">
        <f aca="false">SrDebt!T124+CashFlow!T35</f>
        <v>-196.843264941217</v>
      </c>
      <c r="U61" s="100" t="n">
        <f aca="false">SrDebt!U124+CashFlow!U35</f>
        <v>-1392.52731337028</v>
      </c>
      <c r="V61" s="100" t="n">
        <f aca="false">SrDebt!V124+CashFlow!V35</f>
        <v>0</v>
      </c>
      <c r="W61" s="100" t="n">
        <f aca="false">SrDebt!W124+CashFlow!W35</f>
        <v>0</v>
      </c>
      <c r="X61" s="100" t="n">
        <f aca="false">SrDebt!X124+CashFlow!X35</f>
        <v>0</v>
      </c>
      <c r="Y61" s="100" t="n">
        <f aca="false">SrDebt!Y124+CashFlow!Y35</f>
        <v>0</v>
      </c>
      <c r="Z61" s="100" t="n">
        <f aca="false">SrDebt!Z124+CashFlow!Z35</f>
        <v>0</v>
      </c>
      <c r="AA61" s="100" t="n">
        <f aca="false">SrDebt!AA124+CashFlow!AA35</f>
        <v>0</v>
      </c>
      <c r="AB61" s="100" t="n">
        <f aca="false">SrDebt!AB124+CashFlow!AB35</f>
        <v>0</v>
      </c>
      <c r="AC61" s="100" t="n">
        <f aca="false">SrDebt!AC124+CashFlow!AC35</f>
        <v>0</v>
      </c>
      <c r="AD61" s="100" t="n">
        <f aca="false">SrDebt!AD124+CashFlow!AD35</f>
        <v>0</v>
      </c>
      <c r="AE61" s="100" t="n">
        <f aca="false">SrDebt!AE124+CashFlow!AE35</f>
        <v>0</v>
      </c>
      <c r="AF61" s="100" t="n">
        <f aca="false">SrDebt!AF124+CashFlow!AF35</f>
        <v>0</v>
      </c>
      <c r="AG61" s="100" t="n">
        <f aca="false">SrDebt!AG124+CashFlow!AG35</f>
        <v>0</v>
      </c>
      <c r="AH61" s="100" t="n">
        <f aca="false">SrDebt!AH124+CashFlow!AH35</f>
        <v>0</v>
      </c>
      <c r="AI61" s="100" t="n">
        <f aca="false">SrDebt!AI124+CashFlow!AI35</f>
        <v>0</v>
      </c>
      <c r="AJ61" s="102"/>
      <c r="AK61" s="102"/>
      <c r="AL61" s="100"/>
      <c r="AM61" s="570" t="n">
        <f aca="false">D61/D$57</f>
        <v>0.321954475112952</v>
      </c>
      <c r="AN61" s="451" t="n">
        <f aca="false">E61/E$57</f>
        <v>0.337444277223297</v>
      </c>
      <c r="AO61" s="451" t="n">
        <f aca="false">F61/F$57</f>
        <v>0.524045239101116</v>
      </c>
      <c r="AP61" s="451" t="n">
        <f aca="false">G61/G$57</f>
        <v>0.795657870219074</v>
      </c>
      <c r="AQ61" s="451" t="n">
        <f aca="false">H61/H$57</f>
        <v>1.17119303866989</v>
      </c>
      <c r="AR61" s="451" t="n">
        <f aca="false">I61/I$57</f>
        <v>2.41335584616598</v>
      </c>
      <c r="AS61" s="451" t="n">
        <f aca="false">J61/J$57</f>
        <v>5.6694367978184</v>
      </c>
      <c r="AT61" s="451" t="n">
        <f aca="false">K61/K$57</f>
        <v>5.70780006979532</v>
      </c>
      <c r="AU61" s="451" t="n">
        <f aca="false">L61/L$57</f>
        <v>5.71258401656139</v>
      </c>
      <c r="AV61" s="451" t="n">
        <f aca="false">M61/M$57</f>
        <v>5.67295434419552</v>
      </c>
      <c r="AW61" s="451" t="n">
        <f aca="false">N61/N$57</f>
        <v>5.57089655364156</v>
      </c>
      <c r="AX61" s="451" t="n">
        <f aca="false">O61/O$57</f>
        <v>5.31421000483631</v>
      </c>
      <c r="AY61" s="451" t="n">
        <f aca="false">P61/P$57</f>
        <v>4.94317323003067</v>
      </c>
      <c r="AZ61" s="451" t="n">
        <f aca="false">Q61/Q$57</f>
        <v>4.35934212490212</v>
      </c>
      <c r="BA61" s="451" t="n">
        <f aca="false">R61/R$57</f>
        <v>3.44391821868546</v>
      </c>
      <c r="BB61" s="451" t="n">
        <f aca="false">S61/S$57</f>
        <v>1.98265622029474</v>
      </c>
      <c r="BC61" s="451" t="n">
        <f aca="false">T61/T$57</f>
        <v>-0.466865466579479</v>
      </c>
      <c r="BD61" s="451" t="n">
        <f aca="false">U61/U$57</f>
        <v>-4.43285611904096</v>
      </c>
      <c r="BE61" s="451" t="n">
        <f aca="false">V61/V$57</f>
        <v>0</v>
      </c>
      <c r="BF61" s="451" t="n">
        <f aca="false">W61/W$57</f>
        <v>0</v>
      </c>
      <c r="BG61" s="451" t="n">
        <f aca="false">X61/X$57</f>
        <v>0</v>
      </c>
      <c r="BH61" s="451" t="n">
        <f aca="false">Y61/Y$57</f>
        <v>0</v>
      </c>
      <c r="BI61" s="451" t="n">
        <f aca="false">Z61/Z$57</f>
        <v>0</v>
      </c>
      <c r="BJ61" s="451" t="n">
        <f aca="false">AA61/AA$57</f>
        <v>0</v>
      </c>
      <c r="BK61" s="451" t="n">
        <f aca="false">AB61/AB$57</f>
        <v>0</v>
      </c>
      <c r="BL61" s="451" t="n">
        <f aca="false">AC61/AC$57</f>
        <v>0</v>
      </c>
      <c r="BM61" s="451" t="n">
        <f aca="false">AD61/AD$57</f>
        <v>0</v>
      </c>
      <c r="BN61" s="451" t="n">
        <f aca="false">AE61/AE$57</f>
        <v>0</v>
      </c>
      <c r="BO61" s="451" t="n">
        <f aca="false">AF61/AF$57</f>
        <v>0</v>
      </c>
      <c r="BP61" s="451" t="n">
        <f aca="false">AG61/AG$57</f>
        <v>0</v>
      </c>
      <c r="BQ61" s="451" t="n">
        <f aca="false">AH61/AH$57</f>
        <v>0</v>
      </c>
      <c r="BR61" s="451" t="n">
        <f aca="false">AI61/AI$57</f>
        <v>0</v>
      </c>
      <c r="BS61" s="100"/>
      <c r="BT61" s="100"/>
      <c r="BU61" s="100"/>
      <c r="BV61" s="100"/>
      <c r="BW61" s="100"/>
      <c r="BX61" s="100"/>
      <c r="BY61" s="100"/>
      <c r="BZ61" s="100"/>
      <c r="CA61" s="100"/>
      <c r="CB61" s="100"/>
      <c r="CC61" s="100"/>
      <c r="CD61" s="100"/>
      <c r="CE61" s="100"/>
      <c r="CF61" s="100"/>
      <c r="CG61" s="100"/>
      <c r="CH61" s="100"/>
      <c r="CI61" s="100"/>
      <c r="CJ61" s="100"/>
      <c r="CK61" s="100"/>
      <c r="CL61" s="100"/>
      <c r="CM61" s="100"/>
      <c r="CN61" s="100"/>
      <c r="CO61" s="100"/>
      <c r="CP61" s="100"/>
      <c r="CQ61" s="100"/>
      <c r="CR61" s="100"/>
      <c r="CS61" s="100"/>
      <c r="CT61" s="100"/>
      <c r="CU61" s="100"/>
      <c r="CV61" s="100"/>
      <c r="CW61" s="100"/>
      <c r="CX61" s="100"/>
      <c r="CY61" s="100"/>
      <c r="CZ61" s="100"/>
      <c r="DA61" s="100"/>
      <c r="DB61" s="100"/>
      <c r="DC61" s="100"/>
      <c r="DD61" s="100"/>
      <c r="DE61" s="100"/>
      <c r="DF61" s="100"/>
      <c r="DG61" s="100"/>
      <c r="DH61" s="100"/>
      <c r="DI61" s="100"/>
      <c r="DJ61" s="100"/>
      <c r="DK61" s="100"/>
      <c r="DL61" s="100"/>
      <c r="DM61" s="100"/>
      <c r="DN61" s="100"/>
      <c r="DO61" s="100"/>
      <c r="DP61" s="100"/>
      <c r="DQ61" s="100"/>
      <c r="DR61" s="100"/>
      <c r="DS61" s="100"/>
      <c r="DT61" s="100"/>
      <c r="DU61" s="100"/>
      <c r="DV61" s="100"/>
      <c r="DW61" s="100"/>
      <c r="DX61" s="100"/>
      <c r="DY61" s="100"/>
      <c r="DZ61" s="100"/>
      <c r="EA61" s="100"/>
      <c r="EB61" s="100"/>
      <c r="EC61" s="100"/>
      <c r="ED61" s="100"/>
      <c r="EE61" s="100"/>
      <c r="EF61" s="100"/>
      <c r="EG61" s="100"/>
      <c r="EH61" s="100"/>
      <c r="EI61" s="100"/>
      <c r="EJ61" s="100"/>
      <c r="EK61" s="100"/>
      <c r="EL61" s="100"/>
      <c r="EM61" s="100"/>
      <c r="EN61" s="100"/>
      <c r="EO61" s="100"/>
      <c r="EP61" s="100"/>
      <c r="EQ61" s="100"/>
      <c r="ER61" s="100"/>
      <c r="ES61" s="100"/>
      <c r="ET61" s="100"/>
      <c r="EU61" s="100"/>
      <c r="EV61" s="100"/>
      <c r="EW61" s="100"/>
      <c r="EX61" s="100"/>
      <c r="EY61" s="100"/>
      <c r="EZ61" s="100"/>
      <c r="FA61" s="100"/>
      <c r="FB61" s="100"/>
      <c r="FC61" s="100"/>
      <c r="FD61" s="100"/>
      <c r="FE61" s="100"/>
      <c r="FF61" s="100"/>
      <c r="FG61" s="100"/>
      <c r="FH61" s="100"/>
      <c r="FI61" s="100"/>
      <c r="FJ61" s="100"/>
      <c r="FK61" s="100"/>
      <c r="FL61" s="100"/>
      <c r="FM61" s="100"/>
      <c r="FN61" s="100"/>
      <c r="FO61" s="100"/>
      <c r="FP61" s="100"/>
      <c r="FQ61" s="100"/>
      <c r="FR61" s="100"/>
      <c r="FS61" s="100"/>
      <c r="FT61" s="100"/>
      <c r="FU61" s="100"/>
      <c r="FV61" s="100"/>
      <c r="FW61" s="100"/>
      <c r="FX61" s="100"/>
      <c r="FY61" s="100"/>
      <c r="FZ61" s="100"/>
      <c r="GA61" s="100"/>
      <c r="GB61" s="100"/>
      <c r="GC61" s="100"/>
      <c r="GD61" s="100"/>
      <c r="GE61" s="100"/>
      <c r="GF61" s="100"/>
      <c r="GG61" s="100"/>
      <c r="GH61" s="100"/>
      <c r="GI61" s="100"/>
      <c r="GJ61" s="100"/>
      <c r="GK61" s="100"/>
      <c r="GL61" s="100"/>
      <c r="GM61" s="100"/>
      <c r="GN61" s="100"/>
      <c r="GO61" s="100"/>
      <c r="GP61" s="100"/>
      <c r="GQ61" s="100"/>
      <c r="GR61" s="100"/>
      <c r="GS61" s="100"/>
      <c r="GT61" s="100"/>
      <c r="GU61" s="100"/>
      <c r="GV61" s="100"/>
      <c r="GW61" s="100"/>
      <c r="GX61" s="100"/>
      <c r="GY61" s="100"/>
      <c r="GZ61" s="100"/>
      <c r="HA61" s="100"/>
      <c r="HB61" s="100"/>
      <c r="HC61" s="100"/>
      <c r="HD61" s="100"/>
      <c r="HE61" s="100"/>
      <c r="HF61" s="100"/>
      <c r="HG61" s="100"/>
      <c r="HH61" s="100"/>
      <c r="HI61" s="100"/>
      <c r="HJ61" s="100"/>
      <c r="HK61" s="100"/>
      <c r="HL61" s="100"/>
      <c r="HM61" s="100"/>
      <c r="HN61" s="100"/>
      <c r="HO61" s="100"/>
      <c r="HP61" s="100"/>
      <c r="HQ61" s="100"/>
      <c r="HR61" s="100"/>
      <c r="HS61" s="100"/>
      <c r="HT61" s="100"/>
      <c r="HU61" s="100"/>
      <c r="HV61" s="100"/>
      <c r="HW61" s="100"/>
      <c r="HX61" s="100"/>
      <c r="HY61" s="100"/>
      <c r="HZ61" s="100"/>
      <c r="IA61" s="100"/>
      <c r="IB61" s="100"/>
      <c r="IC61" s="100"/>
      <c r="ID61" s="100"/>
      <c r="IE61" s="100"/>
      <c r="IF61" s="100"/>
      <c r="IG61" s="100"/>
      <c r="IH61" s="100"/>
      <c r="II61" s="100"/>
      <c r="IJ61" s="100"/>
      <c r="IK61" s="100"/>
      <c r="IL61" s="100"/>
      <c r="IM61" s="100"/>
      <c r="IN61" s="100"/>
      <c r="IO61" s="100"/>
      <c r="IP61" s="100"/>
      <c r="IQ61" s="100"/>
      <c r="IR61" s="100"/>
      <c r="IS61" s="100"/>
      <c r="IT61" s="100"/>
      <c r="IU61" s="100"/>
      <c r="IV61" s="100"/>
      <c r="IW61" s="100"/>
    </row>
    <row r="62" customFormat="false" ht="12.75" hidden="false" customHeight="false" outlineLevel="0" collapsed="false">
      <c r="A62" s="100"/>
      <c r="B62" s="100" t="s">
        <v>670</v>
      </c>
      <c r="C62" s="100"/>
      <c r="D62" s="130" t="n">
        <f aca="false">Srcs_Uses!E9</f>
        <v>0</v>
      </c>
      <c r="E62" s="100" t="n">
        <f aca="false">JrDebt!E71+CashFlow!E47</f>
        <v>0</v>
      </c>
      <c r="F62" s="100" t="n">
        <f aca="false">JrDebt!F71+CashFlow!F47</f>
        <v>0</v>
      </c>
      <c r="G62" s="100" t="n">
        <f aca="false">JrDebt!G71+CashFlow!G47</f>
        <v>0</v>
      </c>
      <c r="H62" s="100" t="n">
        <f aca="false">JrDebt!H71+CashFlow!H47</f>
        <v>0</v>
      </c>
      <c r="I62" s="100" t="n">
        <f aca="false">JrDebt!I71+CashFlow!I47</f>
        <v>0</v>
      </c>
      <c r="J62" s="100" t="n">
        <f aca="false">JrDebt!J71+CashFlow!J47</f>
        <v>0</v>
      </c>
      <c r="K62" s="100" t="n">
        <f aca="false">JrDebt!K71+CashFlow!K47</f>
        <v>0</v>
      </c>
      <c r="L62" s="100" t="n">
        <f aca="false">JrDebt!L71+CashFlow!L47</f>
        <v>0</v>
      </c>
      <c r="M62" s="100" t="n">
        <f aca="false">JrDebt!M71+CashFlow!M47</f>
        <v>0</v>
      </c>
      <c r="N62" s="100" t="n">
        <f aca="false">JrDebt!N71+CashFlow!N47</f>
        <v>0</v>
      </c>
      <c r="O62" s="100" t="n">
        <f aca="false">JrDebt!O71+CashFlow!O47</f>
        <v>0</v>
      </c>
      <c r="P62" s="100" t="n">
        <f aca="false">JrDebt!P71+CashFlow!P47</f>
        <v>0</v>
      </c>
      <c r="Q62" s="100" t="n">
        <f aca="false">JrDebt!Q71+CashFlow!Q47</f>
        <v>0</v>
      </c>
      <c r="R62" s="100" t="n">
        <f aca="false">JrDebt!R71+CashFlow!R47</f>
        <v>0</v>
      </c>
      <c r="S62" s="100" t="n">
        <f aca="false">JrDebt!S71+CashFlow!S47</f>
        <v>0</v>
      </c>
      <c r="T62" s="100" t="n">
        <f aca="false">JrDebt!T71+CashFlow!T47</f>
        <v>0</v>
      </c>
      <c r="U62" s="100" t="n">
        <f aca="false">JrDebt!U71+CashFlow!U47</f>
        <v>0</v>
      </c>
      <c r="V62" s="100" t="n">
        <f aca="false">JrDebt!V71+CashFlow!V47</f>
        <v>0</v>
      </c>
      <c r="W62" s="100" t="n">
        <f aca="false">JrDebt!W71+CashFlow!W47</f>
        <v>0</v>
      </c>
      <c r="X62" s="100" t="n">
        <f aca="false">JrDebt!X71+CashFlow!X47</f>
        <v>0</v>
      </c>
      <c r="Y62" s="100" t="n">
        <f aca="false">JrDebt!Y71+CashFlow!Y47</f>
        <v>0</v>
      </c>
      <c r="Z62" s="100" t="n">
        <f aca="false">JrDebt!Z71+CashFlow!Z47</f>
        <v>0</v>
      </c>
      <c r="AA62" s="100" t="n">
        <f aca="false">JrDebt!AA71+CashFlow!AA47</f>
        <v>0</v>
      </c>
      <c r="AB62" s="100" t="n">
        <f aca="false">JrDebt!AB71+CashFlow!AB47</f>
        <v>0</v>
      </c>
      <c r="AC62" s="100" t="n">
        <f aca="false">JrDebt!AC71+CashFlow!AC47</f>
        <v>0</v>
      </c>
      <c r="AD62" s="100" t="n">
        <f aca="false">JrDebt!AD71+CashFlow!AD47</f>
        <v>0</v>
      </c>
      <c r="AE62" s="100" t="n">
        <f aca="false">JrDebt!AE71+CashFlow!AE47</f>
        <v>0</v>
      </c>
      <c r="AF62" s="100" t="n">
        <f aca="false">JrDebt!AF71+CashFlow!AF47</f>
        <v>0</v>
      </c>
      <c r="AG62" s="100" t="n">
        <f aca="false">JrDebt!AG71+CashFlow!AG47</f>
        <v>0</v>
      </c>
      <c r="AH62" s="100" t="n">
        <f aca="false">JrDebt!AH71+CashFlow!AH47</f>
        <v>0</v>
      </c>
      <c r="AI62" s="100" t="n">
        <f aca="false">JrDebt!AI71+CashFlow!AI47</f>
        <v>0</v>
      </c>
      <c r="AJ62" s="102"/>
      <c r="AK62" s="102"/>
      <c r="AL62" s="100"/>
      <c r="AM62" s="570" t="n">
        <f aca="false">D62/D$57</f>
        <v>0</v>
      </c>
      <c r="AN62" s="451" t="n">
        <f aca="false">E62/E$57</f>
        <v>0</v>
      </c>
      <c r="AO62" s="451" t="n">
        <f aca="false">F62/F$57</f>
        <v>0</v>
      </c>
      <c r="AP62" s="451" t="n">
        <f aca="false">G62/G$57</f>
        <v>0</v>
      </c>
      <c r="AQ62" s="451" t="n">
        <f aca="false">H62/H$57</f>
        <v>0</v>
      </c>
      <c r="AR62" s="451" t="n">
        <f aca="false">I62/I$57</f>
        <v>0</v>
      </c>
      <c r="AS62" s="451" t="n">
        <f aca="false">J62/J$57</f>
        <v>0</v>
      </c>
      <c r="AT62" s="451" t="n">
        <f aca="false">K62/K$57</f>
        <v>0</v>
      </c>
      <c r="AU62" s="451" t="n">
        <f aca="false">L62/L$57</f>
        <v>0</v>
      </c>
      <c r="AV62" s="451" t="n">
        <f aca="false">M62/M$57</f>
        <v>0</v>
      </c>
      <c r="AW62" s="451" t="n">
        <f aca="false">N62/N$57</f>
        <v>0</v>
      </c>
      <c r="AX62" s="451" t="n">
        <f aca="false">O62/O$57</f>
        <v>0</v>
      </c>
      <c r="AY62" s="451" t="n">
        <f aca="false">P62/P$57</f>
        <v>0</v>
      </c>
      <c r="AZ62" s="451" t="n">
        <f aca="false">Q62/Q$57</f>
        <v>0</v>
      </c>
      <c r="BA62" s="451" t="n">
        <f aca="false">R62/R$57</f>
        <v>0</v>
      </c>
      <c r="BB62" s="451" t="n">
        <f aca="false">S62/S$57</f>
        <v>0</v>
      </c>
      <c r="BC62" s="451" t="n">
        <f aca="false">T62/T$57</f>
        <v>0</v>
      </c>
      <c r="BD62" s="451" t="n">
        <f aca="false">U62/U$57</f>
        <v>0</v>
      </c>
      <c r="BE62" s="451" t="n">
        <f aca="false">V62/V$57</f>
        <v>0</v>
      </c>
      <c r="BF62" s="451" t="n">
        <f aca="false">W62/W$57</f>
        <v>0</v>
      </c>
      <c r="BG62" s="451" t="n">
        <f aca="false">X62/X$57</f>
        <v>0</v>
      </c>
      <c r="BH62" s="451" t="n">
        <f aca="false">Y62/Y$57</f>
        <v>0</v>
      </c>
      <c r="BI62" s="451" t="n">
        <f aca="false">Z62/Z$57</f>
        <v>0</v>
      </c>
      <c r="BJ62" s="451" t="n">
        <f aca="false">AA62/AA$57</f>
        <v>0</v>
      </c>
      <c r="BK62" s="451" t="n">
        <f aca="false">AB62/AB$57</f>
        <v>0</v>
      </c>
      <c r="BL62" s="451" t="n">
        <f aca="false">AC62/AC$57</f>
        <v>0</v>
      </c>
      <c r="BM62" s="451" t="n">
        <f aca="false">AD62/AD$57</f>
        <v>0</v>
      </c>
      <c r="BN62" s="451" t="n">
        <f aca="false">AE62/AE$57</f>
        <v>0</v>
      </c>
      <c r="BO62" s="451" t="n">
        <f aca="false">AF62/AF$57</f>
        <v>0</v>
      </c>
      <c r="BP62" s="451" t="n">
        <f aca="false">AG62/AG$57</f>
        <v>0</v>
      </c>
      <c r="BQ62" s="451" t="n">
        <f aca="false">AH62/AH$57</f>
        <v>0</v>
      </c>
      <c r="BR62" s="451" t="n">
        <f aca="false">AI62/AI$57</f>
        <v>0</v>
      </c>
      <c r="BS62" s="100"/>
      <c r="BT62" s="100"/>
      <c r="BU62" s="100"/>
      <c r="BV62" s="100"/>
      <c r="BW62" s="100"/>
      <c r="BX62" s="100"/>
      <c r="BY62" s="100"/>
      <c r="BZ62" s="100"/>
      <c r="CA62" s="100"/>
      <c r="CB62" s="100"/>
      <c r="CC62" s="100"/>
      <c r="CD62" s="100"/>
      <c r="CE62" s="100"/>
      <c r="CF62" s="100"/>
      <c r="CG62" s="100"/>
      <c r="CH62" s="100"/>
      <c r="CI62" s="100"/>
      <c r="CJ62" s="100"/>
      <c r="CK62" s="100"/>
      <c r="CL62" s="100"/>
      <c r="CM62" s="100"/>
      <c r="CN62" s="100"/>
      <c r="CO62" s="100"/>
      <c r="CP62" s="100"/>
      <c r="CQ62" s="100"/>
      <c r="CR62" s="100"/>
      <c r="CS62" s="100"/>
      <c r="CT62" s="100"/>
      <c r="CU62" s="100"/>
      <c r="CV62" s="100"/>
      <c r="CW62" s="100"/>
      <c r="CX62" s="100"/>
      <c r="CY62" s="100"/>
      <c r="CZ62" s="100"/>
      <c r="DA62" s="100"/>
      <c r="DB62" s="100"/>
      <c r="DC62" s="100"/>
      <c r="DD62" s="100"/>
      <c r="DE62" s="100"/>
      <c r="DF62" s="100"/>
      <c r="DG62" s="100"/>
      <c r="DH62" s="100"/>
      <c r="DI62" s="100"/>
      <c r="DJ62" s="100"/>
      <c r="DK62" s="100"/>
      <c r="DL62" s="100"/>
      <c r="DM62" s="100"/>
      <c r="DN62" s="100"/>
      <c r="DO62" s="100"/>
      <c r="DP62" s="100"/>
      <c r="DQ62" s="100"/>
      <c r="DR62" s="100"/>
      <c r="DS62" s="100"/>
      <c r="DT62" s="100"/>
      <c r="DU62" s="100"/>
      <c r="DV62" s="100"/>
      <c r="DW62" s="100"/>
      <c r="DX62" s="100"/>
      <c r="DY62" s="100"/>
      <c r="DZ62" s="100"/>
      <c r="EA62" s="100"/>
      <c r="EB62" s="100"/>
      <c r="EC62" s="100"/>
      <c r="ED62" s="100"/>
      <c r="EE62" s="100"/>
      <c r="EF62" s="100"/>
      <c r="EG62" s="100"/>
      <c r="EH62" s="100"/>
      <c r="EI62" s="100"/>
      <c r="EJ62" s="100"/>
      <c r="EK62" s="100"/>
      <c r="EL62" s="100"/>
      <c r="EM62" s="100"/>
      <c r="EN62" s="100"/>
      <c r="EO62" s="100"/>
      <c r="EP62" s="100"/>
      <c r="EQ62" s="100"/>
      <c r="ER62" s="100"/>
      <c r="ES62" s="100"/>
      <c r="ET62" s="100"/>
      <c r="EU62" s="100"/>
      <c r="EV62" s="100"/>
      <c r="EW62" s="100"/>
      <c r="EX62" s="100"/>
      <c r="EY62" s="100"/>
      <c r="EZ62" s="100"/>
      <c r="FA62" s="100"/>
      <c r="FB62" s="100"/>
      <c r="FC62" s="100"/>
      <c r="FD62" s="100"/>
      <c r="FE62" s="100"/>
      <c r="FF62" s="100"/>
      <c r="FG62" s="100"/>
      <c r="FH62" s="100"/>
      <c r="FI62" s="100"/>
      <c r="FJ62" s="100"/>
      <c r="FK62" s="100"/>
      <c r="FL62" s="100"/>
      <c r="FM62" s="100"/>
      <c r="FN62" s="100"/>
      <c r="FO62" s="100"/>
      <c r="FP62" s="100"/>
      <c r="FQ62" s="100"/>
      <c r="FR62" s="100"/>
      <c r="FS62" s="100"/>
      <c r="FT62" s="100"/>
      <c r="FU62" s="100"/>
      <c r="FV62" s="100"/>
      <c r="FW62" s="100"/>
      <c r="FX62" s="100"/>
      <c r="FY62" s="100"/>
      <c r="FZ62" s="100"/>
      <c r="GA62" s="100"/>
      <c r="GB62" s="100"/>
      <c r="GC62" s="100"/>
      <c r="GD62" s="100"/>
      <c r="GE62" s="100"/>
      <c r="GF62" s="100"/>
      <c r="GG62" s="100"/>
      <c r="GH62" s="100"/>
      <c r="GI62" s="100"/>
      <c r="GJ62" s="100"/>
      <c r="GK62" s="100"/>
      <c r="GL62" s="100"/>
      <c r="GM62" s="100"/>
      <c r="GN62" s="100"/>
      <c r="GO62" s="100"/>
      <c r="GP62" s="100"/>
      <c r="GQ62" s="100"/>
      <c r="GR62" s="100"/>
      <c r="GS62" s="100"/>
      <c r="GT62" s="100"/>
      <c r="GU62" s="100"/>
      <c r="GV62" s="100"/>
      <c r="GW62" s="100"/>
      <c r="GX62" s="100"/>
      <c r="GY62" s="100"/>
      <c r="GZ62" s="100"/>
      <c r="HA62" s="100"/>
      <c r="HB62" s="100"/>
      <c r="HC62" s="100"/>
      <c r="HD62" s="100"/>
      <c r="HE62" s="100"/>
      <c r="HF62" s="100"/>
      <c r="HG62" s="100"/>
      <c r="HH62" s="100"/>
      <c r="HI62" s="100"/>
      <c r="HJ62" s="100"/>
      <c r="HK62" s="100"/>
      <c r="HL62" s="100"/>
      <c r="HM62" s="100"/>
      <c r="HN62" s="100"/>
      <c r="HO62" s="100"/>
      <c r="HP62" s="100"/>
      <c r="HQ62" s="100"/>
      <c r="HR62" s="100"/>
      <c r="HS62" s="100"/>
      <c r="HT62" s="100"/>
      <c r="HU62" s="100"/>
      <c r="HV62" s="100"/>
      <c r="HW62" s="100"/>
      <c r="HX62" s="100"/>
      <c r="HY62" s="100"/>
      <c r="HZ62" s="100"/>
      <c r="IA62" s="100"/>
      <c r="IB62" s="100"/>
      <c r="IC62" s="100"/>
      <c r="ID62" s="100"/>
      <c r="IE62" s="100"/>
      <c r="IF62" s="100"/>
      <c r="IG62" s="100"/>
      <c r="IH62" s="100"/>
      <c r="II62" s="100"/>
      <c r="IJ62" s="100"/>
      <c r="IK62" s="100"/>
      <c r="IL62" s="100"/>
      <c r="IM62" s="100"/>
      <c r="IN62" s="100"/>
      <c r="IO62" s="100"/>
      <c r="IP62" s="100"/>
      <c r="IQ62" s="100"/>
      <c r="IR62" s="100"/>
      <c r="IS62" s="100"/>
      <c r="IT62" s="100"/>
      <c r="IU62" s="100"/>
      <c r="IV62" s="100"/>
      <c r="IW62" s="100"/>
    </row>
    <row r="63" customFormat="false" ht="12.75" hidden="false" customHeight="false" outlineLevel="0" collapsed="false">
      <c r="A63" s="100"/>
      <c r="B63" s="100" t="s">
        <v>671</v>
      </c>
      <c r="C63" s="100"/>
      <c r="D63" s="130"/>
      <c r="E63" s="130" t="n">
        <f aca="false">Revolver!D11</f>
        <v>0</v>
      </c>
      <c r="F63" s="130" t="n">
        <f aca="false">Revolver!E11</f>
        <v>0</v>
      </c>
      <c r="G63" s="130" t="n">
        <f aca="false">Revolver!F11</f>
        <v>0</v>
      </c>
      <c r="H63" s="130" t="n">
        <f aca="false">Revolver!G11</f>
        <v>0</v>
      </c>
      <c r="I63" s="130" t="n">
        <f aca="false">Revolver!H11</f>
        <v>0</v>
      </c>
      <c r="J63" s="130" t="n">
        <f aca="false">Revolver!I11</f>
        <v>0</v>
      </c>
      <c r="K63" s="130" t="n">
        <f aca="false">Revolver!J11</f>
        <v>0</v>
      </c>
      <c r="L63" s="130" t="n">
        <f aca="false">Revolver!K11</f>
        <v>0</v>
      </c>
      <c r="M63" s="130" t="n">
        <f aca="false">Revolver!L11</f>
        <v>0</v>
      </c>
      <c r="N63" s="130" t="n">
        <f aca="false">Revolver!M11</f>
        <v>0</v>
      </c>
      <c r="O63" s="130" t="n">
        <f aca="false">Revolver!N11</f>
        <v>0</v>
      </c>
      <c r="P63" s="130" t="n">
        <f aca="false">Revolver!O11</f>
        <v>0</v>
      </c>
      <c r="Q63" s="130" t="n">
        <f aca="false">Revolver!P11</f>
        <v>0</v>
      </c>
      <c r="R63" s="130" t="n">
        <f aca="false">Revolver!Q11</f>
        <v>0</v>
      </c>
      <c r="S63" s="130" t="n">
        <f aca="false">Revolver!R11</f>
        <v>0</v>
      </c>
      <c r="T63" s="130" t="n">
        <f aca="false">Revolver!S11</f>
        <v>0</v>
      </c>
      <c r="U63" s="130" t="n">
        <f aca="false">Revolver!T11</f>
        <v>0</v>
      </c>
      <c r="V63" s="130" t="n">
        <f aca="false">Revolver!U11</f>
        <v>0</v>
      </c>
      <c r="W63" s="130" t="n">
        <f aca="false">Revolver!V11</f>
        <v>0</v>
      </c>
      <c r="X63" s="130" t="n">
        <f aca="false">Revolver!W11</f>
        <v>0</v>
      </c>
      <c r="Y63" s="130" t="n">
        <f aca="false">Revolver!X11</f>
        <v>0</v>
      </c>
      <c r="Z63" s="130" t="n">
        <f aca="false">Revolver!Y11</f>
        <v>0</v>
      </c>
      <c r="AA63" s="130" t="n">
        <f aca="false">Revolver!Z11</f>
        <v>0</v>
      </c>
      <c r="AB63" s="130" t="n">
        <f aca="false">Revolver!AA11</f>
        <v>0</v>
      </c>
      <c r="AC63" s="130" t="n">
        <f aca="false">Revolver!AB11</f>
        <v>0</v>
      </c>
      <c r="AD63" s="130" t="n">
        <f aca="false">Revolver!AC11</f>
        <v>0</v>
      </c>
      <c r="AE63" s="130" t="n">
        <f aca="false">Revolver!AD11</f>
        <v>0</v>
      </c>
      <c r="AF63" s="130" t="n">
        <f aca="false">Revolver!AE11</f>
        <v>0</v>
      </c>
      <c r="AG63" s="130" t="n">
        <f aca="false">Revolver!AF11</f>
        <v>0</v>
      </c>
      <c r="AH63" s="130" t="n">
        <f aca="false">Revolver!AG11</f>
        <v>0</v>
      </c>
      <c r="AI63" s="130" t="n">
        <f aca="false">Revolver!AH11</f>
        <v>0</v>
      </c>
      <c r="AJ63" s="102"/>
      <c r="AK63" s="102"/>
      <c r="AL63" s="100"/>
      <c r="AM63" s="570" t="n">
        <f aca="false">D63/D$57</f>
        <v>0</v>
      </c>
      <c r="AN63" s="451" t="n">
        <f aca="false">E63/E$57</f>
        <v>0</v>
      </c>
      <c r="AO63" s="451" t="n">
        <f aca="false">F63/F$57</f>
        <v>0</v>
      </c>
      <c r="AP63" s="451" t="n">
        <f aca="false">G63/G$57</f>
        <v>0</v>
      </c>
      <c r="AQ63" s="451" t="n">
        <f aca="false">H63/H$57</f>
        <v>0</v>
      </c>
      <c r="AR63" s="451" t="n">
        <f aca="false">I63/I$57</f>
        <v>0</v>
      </c>
      <c r="AS63" s="451" t="n">
        <f aca="false">J63/J$57</f>
        <v>0</v>
      </c>
      <c r="AT63" s="451" t="n">
        <f aca="false">K63/K$57</f>
        <v>0</v>
      </c>
      <c r="AU63" s="451" t="n">
        <f aca="false">L63/L$57</f>
        <v>0</v>
      </c>
      <c r="AV63" s="451" t="n">
        <f aca="false">M63/M$57</f>
        <v>0</v>
      </c>
      <c r="AW63" s="451" t="n">
        <f aca="false">N63/N$57</f>
        <v>0</v>
      </c>
      <c r="AX63" s="451" t="n">
        <f aca="false">O63/O$57</f>
        <v>0</v>
      </c>
      <c r="AY63" s="451" t="n">
        <f aca="false">P63/P$57</f>
        <v>0</v>
      </c>
      <c r="AZ63" s="451" t="n">
        <f aca="false">Q63/Q$57</f>
        <v>0</v>
      </c>
      <c r="BA63" s="451" t="n">
        <f aca="false">R63/R$57</f>
        <v>0</v>
      </c>
      <c r="BB63" s="451" t="n">
        <f aca="false">S63/S$57</f>
        <v>0</v>
      </c>
      <c r="BC63" s="451" t="n">
        <f aca="false">T63/T$57</f>
        <v>0</v>
      </c>
      <c r="BD63" s="451" t="n">
        <f aca="false">U63/U$57</f>
        <v>0</v>
      </c>
      <c r="BE63" s="451" t="n">
        <f aca="false">V63/V$57</f>
        <v>0</v>
      </c>
      <c r="BF63" s="451" t="n">
        <f aca="false">W63/W$57</f>
        <v>0</v>
      </c>
      <c r="BG63" s="451" t="n">
        <f aca="false">X63/X$57</f>
        <v>0</v>
      </c>
      <c r="BH63" s="451" t="n">
        <f aca="false">Y63/Y$57</f>
        <v>0</v>
      </c>
      <c r="BI63" s="451" t="n">
        <f aca="false">Z63/Z$57</f>
        <v>0</v>
      </c>
      <c r="BJ63" s="451" t="n">
        <f aca="false">AA63/AA$57</f>
        <v>0</v>
      </c>
      <c r="BK63" s="451" t="n">
        <f aca="false">AB63/AB$57</f>
        <v>0</v>
      </c>
      <c r="BL63" s="451" t="n">
        <f aca="false">AC63/AC$57</f>
        <v>0</v>
      </c>
      <c r="BM63" s="451" t="n">
        <f aca="false">AD63/AD$57</f>
        <v>0</v>
      </c>
      <c r="BN63" s="451" t="n">
        <f aca="false">AE63/AE$57</f>
        <v>0</v>
      </c>
      <c r="BO63" s="451" t="n">
        <f aca="false">AF63/AF$57</f>
        <v>0</v>
      </c>
      <c r="BP63" s="451" t="n">
        <f aca="false">AG63/AG$57</f>
        <v>0</v>
      </c>
      <c r="BQ63" s="451" t="n">
        <f aca="false">AH63/AH$57</f>
        <v>0</v>
      </c>
      <c r="BR63" s="451" t="n">
        <f aca="false">AI63/AI$57</f>
        <v>0</v>
      </c>
      <c r="BS63" s="100"/>
      <c r="BT63" s="100"/>
      <c r="BU63" s="100"/>
      <c r="BV63" s="100"/>
      <c r="BW63" s="100"/>
      <c r="BX63" s="100"/>
      <c r="BY63" s="100"/>
      <c r="BZ63" s="100"/>
      <c r="CA63" s="100"/>
      <c r="CB63" s="100"/>
      <c r="CC63" s="100"/>
      <c r="CD63" s="100"/>
      <c r="CE63" s="100"/>
      <c r="CF63" s="100"/>
      <c r="CG63" s="100"/>
      <c r="CH63" s="100"/>
      <c r="CI63" s="100"/>
      <c r="CJ63" s="100"/>
      <c r="CK63" s="100"/>
      <c r="CL63" s="100"/>
      <c r="CM63" s="100"/>
      <c r="CN63" s="100"/>
      <c r="CO63" s="100"/>
      <c r="CP63" s="100"/>
      <c r="CQ63" s="100"/>
      <c r="CR63" s="100"/>
      <c r="CS63" s="100"/>
      <c r="CT63" s="100"/>
      <c r="CU63" s="100"/>
      <c r="CV63" s="100"/>
      <c r="CW63" s="100"/>
      <c r="CX63" s="100"/>
      <c r="CY63" s="100"/>
      <c r="CZ63" s="100"/>
      <c r="DA63" s="100"/>
      <c r="DB63" s="100"/>
      <c r="DC63" s="100"/>
      <c r="DD63" s="100"/>
      <c r="DE63" s="100"/>
      <c r="DF63" s="100"/>
      <c r="DG63" s="100"/>
      <c r="DH63" s="100"/>
      <c r="DI63" s="100"/>
      <c r="DJ63" s="100"/>
      <c r="DK63" s="100"/>
      <c r="DL63" s="100"/>
      <c r="DM63" s="100"/>
      <c r="DN63" s="100"/>
      <c r="DO63" s="100"/>
      <c r="DP63" s="100"/>
      <c r="DQ63" s="100"/>
      <c r="DR63" s="100"/>
      <c r="DS63" s="100"/>
      <c r="DT63" s="100"/>
      <c r="DU63" s="100"/>
      <c r="DV63" s="100"/>
      <c r="DW63" s="100"/>
      <c r="DX63" s="100"/>
      <c r="DY63" s="100"/>
      <c r="DZ63" s="100"/>
      <c r="EA63" s="100"/>
      <c r="EB63" s="100"/>
      <c r="EC63" s="100"/>
      <c r="ED63" s="100"/>
      <c r="EE63" s="100"/>
      <c r="EF63" s="100"/>
      <c r="EG63" s="100"/>
      <c r="EH63" s="100"/>
      <c r="EI63" s="100"/>
      <c r="EJ63" s="100"/>
      <c r="EK63" s="100"/>
      <c r="EL63" s="100"/>
      <c r="EM63" s="100"/>
      <c r="EN63" s="100"/>
      <c r="EO63" s="100"/>
      <c r="EP63" s="100"/>
      <c r="EQ63" s="100"/>
      <c r="ER63" s="100"/>
      <c r="ES63" s="100"/>
      <c r="ET63" s="100"/>
      <c r="EU63" s="100"/>
      <c r="EV63" s="100"/>
      <c r="EW63" s="100"/>
      <c r="EX63" s="100"/>
      <c r="EY63" s="100"/>
      <c r="EZ63" s="100"/>
      <c r="FA63" s="100"/>
      <c r="FB63" s="100"/>
      <c r="FC63" s="100"/>
      <c r="FD63" s="100"/>
      <c r="FE63" s="100"/>
      <c r="FF63" s="100"/>
      <c r="FG63" s="100"/>
      <c r="FH63" s="100"/>
      <c r="FI63" s="100"/>
      <c r="FJ63" s="100"/>
      <c r="FK63" s="100"/>
      <c r="FL63" s="100"/>
      <c r="FM63" s="100"/>
      <c r="FN63" s="100"/>
      <c r="FO63" s="100"/>
      <c r="FP63" s="100"/>
      <c r="FQ63" s="100"/>
      <c r="FR63" s="100"/>
      <c r="FS63" s="100"/>
      <c r="FT63" s="100"/>
      <c r="FU63" s="100"/>
      <c r="FV63" s="100"/>
      <c r="FW63" s="100"/>
      <c r="FX63" s="100"/>
      <c r="FY63" s="100"/>
      <c r="FZ63" s="100"/>
      <c r="GA63" s="100"/>
      <c r="GB63" s="100"/>
      <c r="GC63" s="100"/>
      <c r="GD63" s="100"/>
      <c r="GE63" s="100"/>
      <c r="GF63" s="100"/>
      <c r="GG63" s="100"/>
      <c r="GH63" s="100"/>
      <c r="GI63" s="100"/>
      <c r="GJ63" s="100"/>
      <c r="GK63" s="100"/>
      <c r="GL63" s="100"/>
      <c r="GM63" s="100"/>
      <c r="GN63" s="100"/>
      <c r="GO63" s="100"/>
      <c r="GP63" s="100"/>
      <c r="GQ63" s="100"/>
      <c r="GR63" s="100"/>
      <c r="GS63" s="100"/>
      <c r="GT63" s="100"/>
      <c r="GU63" s="100"/>
      <c r="GV63" s="100"/>
      <c r="GW63" s="100"/>
      <c r="GX63" s="100"/>
      <c r="GY63" s="100"/>
      <c r="GZ63" s="100"/>
      <c r="HA63" s="100"/>
      <c r="HB63" s="100"/>
      <c r="HC63" s="100"/>
      <c r="HD63" s="100"/>
      <c r="HE63" s="100"/>
      <c r="HF63" s="100"/>
      <c r="HG63" s="100"/>
      <c r="HH63" s="100"/>
      <c r="HI63" s="100"/>
      <c r="HJ63" s="100"/>
      <c r="HK63" s="100"/>
      <c r="HL63" s="100"/>
      <c r="HM63" s="100"/>
      <c r="HN63" s="100"/>
      <c r="HO63" s="100"/>
      <c r="HP63" s="100"/>
      <c r="HQ63" s="100"/>
      <c r="HR63" s="100"/>
      <c r="HS63" s="100"/>
      <c r="HT63" s="100"/>
      <c r="HU63" s="100"/>
      <c r="HV63" s="100"/>
      <c r="HW63" s="100"/>
      <c r="HX63" s="100"/>
      <c r="HY63" s="100"/>
      <c r="HZ63" s="100"/>
      <c r="IA63" s="100"/>
      <c r="IB63" s="100"/>
      <c r="IC63" s="100"/>
      <c r="ID63" s="100"/>
      <c r="IE63" s="100"/>
      <c r="IF63" s="100"/>
      <c r="IG63" s="100"/>
      <c r="IH63" s="100"/>
      <c r="II63" s="100"/>
      <c r="IJ63" s="100"/>
      <c r="IK63" s="100"/>
      <c r="IL63" s="100"/>
      <c r="IM63" s="100"/>
      <c r="IN63" s="100"/>
      <c r="IO63" s="100"/>
      <c r="IP63" s="100"/>
      <c r="IQ63" s="100"/>
      <c r="IR63" s="100"/>
      <c r="IS63" s="100"/>
      <c r="IT63" s="100"/>
      <c r="IU63" s="100"/>
      <c r="IV63" s="100"/>
      <c r="IW63" s="100"/>
    </row>
    <row r="64" customFormat="false" ht="13.5" hidden="false" customHeight="false" outlineLevel="0" collapsed="false">
      <c r="A64" s="313"/>
      <c r="B64" s="313" t="s">
        <v>672</v>
      </c>
      <c r="C64" s="100"/>
      <c r="D64" s="724" t="n">
        <f aca="false">SUM(D60:D62)</f>
        <v>12580.9312927461</v>
      </c>
      <c r="E64" s="724" t="n">
        <f aca="false">SUM(E60:E63)</f>
        <v>12250.3807334591</v>
      </c>
      <c r="F64" s="724" t="n">
        <f aca="false">SUM(F60:F63)</f>
        <v>11893.121668321</v>
      </c>
      <c r="G64" s="724" t="n">
        <f aca="false">SUM(G60:G63)</f>
        <v>11502.968526409</v>
      </c>
      <c r="H64" s="724" t="n">
        <f aca="false">SUM(H60:H63)</f>
        <v>11070.1229115449</v>
      </c>
      <c r="I64" s="724" t="n">
        <f aca="false">SUM(I60:I63)</f>
        <v>10594.1100077067</v>
      </c>
      <c r="J64" s="724" t="n">
        <f aca="false">SUM(J60:J63)</f>
        <v>10070.8628412085</v>
      </c>
      <c r="K64" s="724" t="n">
        <f aca="false">SUM(K60:K63)</f>
        <v>9505.51781242627</v>
      </c>
      <c r="L64" s="724" t="n">
        <f aca="false">SUM(L60:L63)</f>
        <v>8888.35202394655</v>
      </c>
      <c r="M64" s="724" t="n">
        <f aca="false">SUM(M60:M63)</f>
        <v>8217.47035977989</v>
      </c>
      <c r="N64" s="724" t="n">
        <f aca="false">SUM(N60:N63)</f>
        <v>7487.90880521003</v>
      </c>
      <c r="O64" s="724" t="n">
        <f aca="false">SUM(O60:O63)</f>
        <v>6663.4651178596</v>
      </c>
      <c r="P64" s="724" t="n">
        <f aca="false">SUM(P60:P63)</f>
        <v>5763.77081928301</v>
      </c>
      <c r="Q64" s="724" t="n">
        <f aca="false">SUM(Q60:Q63)</f>
        <v>4784.35445277219</v>
      </c>
      <c r="R64" s="724" t="n">
        <f aca="false">SUM(R60:R63)</f>
        <v>3718.14887778442</v>
      </c>
      <c r="S64" s="724" t="n">
        <f aca="false">SUM(S60:S63)</f>
        <v>2558.5817779884</v>
      </c>
      <c r="T64" s="724" t="n">
        <f aca="false">SUM(T60:T63)</f>
        <v>1295.13273763894</v>
      </c>
      <c r="U64" s="724" t="n">
        <f aca="false">SUM(U60:U63)</f>
        <v>0</v>
      </c>
      <c r="V64" s="724" t="n">
        <f aca="false">SUM(V60:V63)</f>
        <v>0</v>
      </c>
      <c r="W64" s="724" t="n">
        <f aca="false">SUM(W60:W63)</f>
        <v>0</v>
      </c>
      <c r="X64" s="724" t="n">
        <f aca="false">SUM(X60:X63)</f>
        <v>0</v>
      </c>
      <c r="Y64" s="724" t="n">
        <f aca="false">SUM(Y60:Y63)</f>
        <v>0</v>
      </c>
      <c r="Z64" s="724" t="n">
        <f aca="false">SUM(Z60:Z63)</f>
        <v>0</v>
      </c>
      <c r="AA64" s="724" t="n">
        <f aca="false">SUM(AA60:AA63)</f>
        <v>0</v>
      </c>
      <c r="AB64" s="724" t="n">
        <f aca="false">SUM(AB60:AB63)</f>
        <v>0</v>
      </c>
      <c r="AC64" s="724" t="n">
        <f aca="false">SUM(AC60:AC63)</f>
        <v>0</v>
      </c>
      <c r="AD64" s="724" t="n">
        <f aca="false">SUM(AD60:AD63)</f>
        <v>0</v>
      </c>
      <c r="AE64" s="724" t="n">
        <f aca="false">SUM(AE60:AE63)</f>
        <v>0</v>
      </c>
      <c r="AF64" s="724" t="n">
        <f aca="false">SUM(AF60:AF63)</f>
        <v>0</v>
      </c>
      <c r="AG64" s="724" t="n">
        <f aca="false">SUM(AG60:AG63)</f>
        <v>0</v>
      </c>
      <c r="AH64" s="724" t="n">
        <f aca="false">SUM(AH60:AH63)</f>
        <v>0</v>
      </c>
      <c r="AI64" s="724" t="n">
        <f aca="false">SUM(AI60:AI63)</f>
        <v>0</v>
      </c>
      <c r="AJ64" s="1045"/>
      <c r="AK64" s="1045"/>
      <c r="AL64" s="313"/>
      <c r="AM64" s="1068" t="n">
        <f aca="false">D64/D$57</f>
        <v>0.321954475112952</v>
      </c>
      <c r="AN64" s="1068" t="n">
        <f aca="false">E64/E$57</f>
        <v>0.387888836039578</v>
      </c>
      <c r="AO64" s="1068" t="n">
        <f aca="false">F64/F$57</f>
        <v>0.605081145150547</v>
      </c>
      <c r="AP64" s="1068" t="n">
        <f aca="false">G64/G$57</f>
        <v>0.92346198598327</v>
      </c>
      <c r="AQ64" s="1068" t="n">
        <f aca="false">H64/H$57</f>
        <v>1.36770857304989</v>
      </c>
      <c r="AR64" s="1068" t="n">
        <f aca="false">I64/I$57</f>
        <v>2.839113128577</v>
      </c>
      <c r="AS64" s="1068" t="n">
        <f aca="false">J64/J$57</f>
        <v>6.72950298869474</v>
      </c>
      <c r="AT64" s="1068" t="n">
        <f aca="false">K64/K$57</f>
        <v>6.84325610178854</v>
      </c>
      <c r="AU64" s="1068" t="n">
        <f aca="false">L64/L$57</f>
        <v>6.93565514720342</v>
      </c>
      <c r="AV64" s="1068" t="n">
        <f aca="false">M64/M$57</f>
        <v>6.9992207986485</v>
      </c>
      <c r="AW64" s="1068" t="n">
        <f aca="false">N64/N$57</f>
        <v>7.02058126416323</v>
      </c>
      <c r="AX64" s="1068" t="n">
        <f aca="false">O64/O$57</f>
        <v>6.94779892707285</v>
      </c>
      <c r="AY64" s="1068" t="n">
        <f aca="false">P64/P$57</f>
        <v>6.76827774604058</v>
      </c>
      <c r="AZ64" s="1068" t="n">
        <f aca="false">Q64/Q$57</f>
        <v>6.42975107213149</v>
      </c>
      <c r="BA64" s="1068" t="n">
        <f aca="false">R64/R$57</f>
        <v>5.84057444050094</v>
      </c>
      <c r="BB64" s="1068" t="n">
        <f aca="false">S64/S$57</f>
        <v>4.83556860465421</v>
      </c>
      <c r="BC64" s="1068" t="n">
        <f aca="false">T64/T$57</f>
        <v>3.0717472097444</v>
      </c>
      <c r="BD64" s="1068" t="n">
        <f aca="false">U64/U$57</f>
        <v>0</v>
      </c>
      <c r="BE64" s="1068" t="n">
        <f aca="false">V64/V$57</f>
        <v>0</v>
      </c>
      <c r="BF64" s="1068" t="n">
        <f aca="false">W64/W$57</f>
        <v>0</v>
      </c>
      <c r="BG64" s="1068" t="n">
        <f aca="false">X64/X$57</f>
        <v>0</v>
      </c>
      <c r="BH64" s="1068" t="n">
        <f aca="false">Y64/Y$57</f>
        <v>0</v>
      </c>
      <c r="BI64" s="1068" t="n">
        <f aca="false">Z64/Z$57</f>
        <v>0</v>
      </c>
      <c r="BJ64" s="1068" t="n">
        <f aca="false">AA64/AA$57</f>
        <v>0</v>
      </c>
      <c r="BK64" s="1068" t="n">
        <f aca="false">AB64/AB$57</f>
        <v>0</v>
      </c>
      <c r="BL64" s="1068" t="n">
        <f aca="false">AC64/AC$57</f>
        <v>0</v>
      </c>
      <c r="BM64" s="1068" t="n">
        <f aca="false">AD64/AD$57</f>
        <v>0</v>
      </c>
      <c r="BN64" s="1068" t="n">
        <f aca="false">AE64/AE$57</f>
        <v>0</v>
      </c>
      <c r="BO64" s="1068" t="n">
        <f aca="false">AF64/AF$57</f>
        <v>0</v>
      </c>
      <c r="BP64" s="1068" t="n">
        <f aca="false">AG64/AG$57</f>
        <v>0</v>
      </c>
      <c r="BQ64" s="1068" t="n">
        <f aca="false">AH64/AH$57</f>
        <v>0</v>
      </c>
      <c r="BR64" s="451" t="n">
        <f aca="false">AI64/AI$57</f>
        <v>0</v>
      </c>
      <c r="BS64" s="313"/>
      <c r="BT64" s="313"/>
      <c r="BU64" s="313"/>
      <c r="BV64" s="313"/>
      <c r="BW64" s="313"/>
      <c r="BX64" s="313"/>
      <c r="BY64" s="313"/>
      <c r="BZ64" s="313"/>
      <c r="CA64" s="313"/>
      <c r="CB64" s="313"/>
      <c r="CC64" s="313"/>
      <c r="CD64" s="313"/>
      <c r="CE64" s="313"/>
      <c r="CF64" s="313"/>
      <c r="CG64" s="313"/>
      <c r="CH64" s="313"/>
      <c r="CI64" s="313"/>
      <c r="CJ64" s="313"/>
      <c r="CK64" s="313"/>
      <c r="CL64" s="313"/>
      <c r="CM64" s="313"/>
      <c r="CN64" s="313"/>
      <c r="CO64" s="313"/>
      <c r="CP64" s="313"/>
      <c r="CQ64" s="313"/>
      <c r="CR64" s="313"/>
      <c r="CS64" s="313"/>
      <c r="CT64" s="313"/>
      <c r="CU64" s="313"/>
      <c r="CV64" s="313"/>
      <c r="CW64" s="313"/>
      <c r="CX64" s="313"/>
      <c r="CY64" s="313"/>
      <c r="CZ64" s="313"/>
      <c r="DA64" s="313"/>
      <c r="DB64" s="313"/>
      <c r="DC64" s="313"/>
      <c r="DD64" s="313"/>
      <c r="DE64" s="313"/>
      <c r="DF64" s="313"/>
      <c r="DG64" s="313"/>
      <c r="DH64" s="313"/>
      <c r="DI64" s="313"/>
      <c r="DJ64" s="313"/>
      <c r="DK64" s="313"/>
      <c r="DL64" s="313"/>
      <c r="DM64" s="313"/>
      <c r="DN64" s="313"/>
      <c r="DO64" s="313"/>
      <c r="DP64" s="313"/>
      <c r="DQ64" s="313"/>
      <c r="DR64" s="313"/>
      <c r="DS64" s="313"/>
      <c r="DT64" s="313"/>
      <c r="DU64" s="313"/>
      <c r="DV64" s="313"/>
      <c r="DW64" s="313"/>
      <c r="DX64" s="313"/>
      <c r="DY64" s="313"/>
      <c r="DZ64" s="313"/>
      <c r="EA64" s="313"/>
      <c r="EB64" s="313"/>
      <c r="EC64" s="313"/>
      <c r="ED64" s="313"/>
      <c r="EE64" s="313"/>
      <c r="EF64" s="313"/>
      <c r="EG64" s="313"/>
      <c r="EH64" s="313"/>
      <c r="EI64" s="313"/>
      <c r="EJ64" s="313"/>
      <c r="EK64" s="313"/>
      <c r="EL64" s="313"/>
      <c r="EM64" s="313"/>
      <c r="EN64" s="313"/>
      <c r="EO64" s="313"/>
      <c r="EP64" s="313"/>
      <c r="EQ64" s="313"/>
      <c r="ER64" s="313"/>
      <c r="ES64" s="313"/>
      <c r="ET64" s="313"/>
      <c r="EU64" s="313"/>
      <c r="EV64" s="313"/>
      <c r="EW64" s="313"/>
      <c r="EX64" s="313"/>
      <c r="EY64" s="313"/>
      <c r="EZ64" s="313"/>
      <c r="FA64" s="313"/>
      <c r="FB64" s="313"/>
      <c r="FC64" s="313"/>
      <c r="FD64" s="313"/>
      <c r="FE64" s="313"/>
      <c r="FF64" s="313"/>
      <c r="FG64" s="313"/>
      <c r="FH64" s="313"/>
      <c r="FI64" s="313"/>
      <c r="FJ64" s="313"/>
      <c r="FK64" s="313"/>
      <c r="FL64" s="313"/>
      <c r="FM64" s="313"/>
      <c r="FN64" s="313"/>
      <c r="FO64" s="313"/>
      <c r="FP64" s="313"/>
      <c r="FQ64" s="313"/>
      <c r="FR64" s="313"/>
      <c r="FS64" s="313"/>
      <c r="FT64" s="313"/>
      <c r="FU64" s="313"/>
      <c r="FV64" s="313"/>
      <c r="FW64" s="313"/>
      <c r="FX64" s="313"/>
      <c r="FY64" s="313"/>
      <c r="FZ64" s="313"/>
      <c r="GA64" s="313"/>
      <c r="GB64" s="313"/>
      <c r="GC64" s="313"/>
      <c r="GD64" s="313"/>
      <c r="GE64" s="313"/>
      <c r="GF64" s="313"/>
      <c r="GG64" s="313"/>
      <c r="GH64" s="313"/>
      <c r="GI64" s="313"/>
      <c r="GJ64" s="313"/>
      <c r="GK64" s="313"/>
      <c r="GL64" s="313"/>
      <c r="GM64" s="313"/>
      <c r="GN64" s="313"/>
      <c r="GO64" s="313"/>
      <c r="GP64" s="313"/>
      <c r="GQ64" s="313"/>
      <c r="GR64" s="313"/>
      <c r="GS64" s="313"/>
      <c r="GT64" s="313"/>
      <c r="GU64" s="313"/>
      <c r="GV64" s="313"/>
      <c r="GW64" s="313"/>
      <c r="GX64" s="313"/>
      <c r="GY64" s="313"/>
      <c r="GZ64" s="313"/>
      <c r="HA64" s="313"/>
      <c r="HB64" s="313"/>
      <c r="HC64" s="313"/>
      <c r="HD64" s="313"/>
      <c r="HE64" s="313"/>
      <c r="HF64" s="313"/>
      <c r="HG64" s="313"/>
      <c r="HH64" s="313"/>
      <c r="HI64" s="313"/>
      <c r="HJ64" s="313"/>
      <c r="HK64" s="313"/>
      <c r="HL64" s="313"/>
      <c r="HM64" s="313"/>
      <c r="HN64" s="313"/>
      <c r="HO64" s="313"/>
      <c r="HP64" s="313"/>
      <c r="HQ64" s="313"/>
      <c r="HR64" s="313"/>
      <c r="HS64" s="313"/>
      <c r="HT64" s="313"/>
      <c r="HU64" s="313"/>
      <c r="HV64" s="313"/>
      <c r="HW64" s="313"/>
      <c r="HX64" s="313"/>
      <c r="HY64" s="313"/>
      <c r="HZ64" s="313"/>
      <c r="IA64" s="313"/>
      <c r="IB64" s="313"/>
      <c r="IC64" s="313"/>
      <c r="ID64" s="313"/>
      <c r="IE64" s="313"/>
      <c r="IF64" s="313"/>
      <c r="IG64" s="313"/>
      <c r="IH64" s="313"/>
      <c r="II64" s="313"/>
      <c r="IJ64" s="313"/>
      <c r="IK64" s="313"/>
      <c r="IL64" s="313"/>
      <c r="IM64" s="313"/>
      <c r="IN64" s="313"/>
      <c r="IO64" s="313"/>
      <c r="IP64" s="313"/>
      <c r="IQ64" s="313"/>
      <c r="IR64" s="313"/>
      <c r="IS64" s="313"/>
      <c r="IT64" s="313"/>
      <c r="IU64" s="313"/>
      <c r="IV64" s="313"/>
      <c r="IW64" s="313"/>
    </row>
    <row r="65" customFormat="false" ht="13.5" hidden="false" customHeight="false" outlineLevel="0" collapsed="false">
      <c r="A65" s="100"/>
      <c r="B65" s="100"/>
      <c r="C65" s="100"/>
      <c r="D65" s="130"/>
      <c r="E65" s="100"/>
      <c r="F65" s="100"/>
      <c r="G65" s="100"/>
      <c r="H65" s="100"/>
      <c r="I65" s="100"/>
      <c r="J65" s="100"/>
      <c r="K65" s="100"/>
      <c r="L65" s="100"/>
      <c r="M65" s="100"/>
      <c r="N65" s="100"/>
      <c r="O65" s="100"/>
      <c r="P65" s="100"/>
      <c r="Q65" s="100"/>
      <c r="R65" s="100"/>
      <c r="S65" s="100"/>
      <c r="T65" s="100"/>
      <c r="U65" s="100"/>
      <c r="V65" s="100"/>
      <c r="W65" s="100"/>
      <c r="X65" s="100"/>
      <c r="Y65" s="100"/>
      <c r="Z65" s="100"/>
      <c r="AA65" s="100"/>
      <c r="AB65" s="100"/>
      <c r="AC65" s="100"/>
      <c r="AD65" s="100"/>
      <c r="AE65" s="100"/>
      <c r="AF65" s="100"/>
      <c r="AG65" s="100"/>
      <c r="AH65" s="100"/>
      <c r="AI65" s="100"/>
      <c r="AJ65" s="102"/>
      <c r="AK65" s="102"/>
      <c r="AL65" s="100"/>
      <c r="AM65" s="570"/>
      <c r="AN65" s="451"/>
      <c r="AO65" s="451"/>
      <c r="AP65" s="451"/>
      <c r="AQ65" s="451"/>
      <c r="AR65" s="451"/>
      <c r="AS65" s="451"/>
      <c r="AT65" s="451"/>
      <c r="AU65" s="451"/>
      <c r="AV65" s="451"/>
      <c r="AW65" s="451"/>
      <c r="AX65" s="451"/>
      <c r="AY65" s="451"/>
      <c r="AZ65" s="451"/>
      <c r="BA65" s="451"/>
      <c r="BB65" s="451"/>
      <c r="BC65" s="451"/>
      <c r="BD65" s="451"/>
      <c r="BE65" s="451"/>
      <c r="BF65" s="451"/>
      <c r="BG65" s="451"/>
      <c r="BH65" s="451"/>
      <c r="BI65" s="451"/>
      <c r="BJ65" s="451"/>
      <c r="BK65" s="451"/>
      <c r="BL65" s="451"/>
      <c r="BM65" s="451"/>
      <c r="BN65" s="451"/>
      <c r="BO65" s="451"/>
      <c r="BP65" s="451"/>
      <c r="BQ65" s="451"/>
      <c r="BR65" s="451"/>
      <c r="BS65" s="100"/>
      <c r="BT65" s="100"/>
      <c r="BU65" s="100"/>
      <c r="BV65" s="100"/>
      <c r="BW65" s="100"/>
      <c r="BX65" s="100"/>
      <c r="BY65" s="100"/>
      <c r="BZ65" s="100"/>
      <c r="CA65" s="100"/>
      <c r="CB65" s="100"/>
      <c r="CC65" s="100"/>
      <c r="CD65" s="100"/>
      <c r="CE65" s="100"/>
      <c r="CF65" s="100"/>
      <c r="CG65" s="100"/>
      <c r="CH65" s="100"/>
      <c r="CI65" s="100"/>
      <c r="CJ65" s="100"/>
      <c r="CK65" s="100"/>
      <c r="CL65" s="100"/>
      <c r="CM65" s="100"/>
      <c r="CN65" s="100"/>
      <c r="CO65" s="100"/>
      <c r="CP65" s="100"/>
      <c r="CQ65" s="100"/>
      <c r="CR65" s="100"/>
      <c r="CS65" s="100"/>
      <c r="CT65" s="100"/>
      <c r="CU65" s="100"/>
      <c r="CV65" s="100"/>
      <c r="CW65" s="100"/>
      <c r="CX65" s="100"/>
      <c r="CY65" s="100"/>
      <c r="CZ65" s="100"/>
      <c r="DA65" s="100"/>
      <c r="DB65" s="100"/>
      <c r="DC65" s="100"/>
      <c r="DD65" s="100"/>
      <c r="DE65" s="100"/>
      <c r="DF65" s="100"/>
      <c r="DG65" s="100"/>
      <c r="DH65" s="100"/>
      <c r="DI65" s="100"/>
      <c r="DJ65" s="100"/>
      <c r="DK65" s="100"/>
      <c r="DL65" s="100"/>
      <c r="DM65" s="100"/>
      <c r="DN65" s="100"/>
      <c r="DO65" s="100"/>
      <c r="DP65" s="100"/>
      <c r="DQ65" s="100"/>
      <c r="DR65" s="100"/>
      <c r="DS65" s="100"/>
      <c r="DT65" s="100"/>
      <c r="DU65" s="100"/>
      <c r="DV65" s="100"/>
      <c r="DW65" s="100"/>
      <c r="DX65" s="100"/>
      <c r="DY65" s="100"/>
      <c r="DZ65" s="100"/>
      <c r="EA65" s="100"/>
      <c r="EB65" s="100"/>
      <c r="EC65" s="100"/>
      <c r="ED65" s="100"/>
      <c r="EE65" s="100"/>
      <c r="EF65" s="100"/>
      <c r="EG65" s="100"/>
      <c r="EH65" s="100"/>
      <c r="EI65" s="100"/>
      <c r="EJ65" s="100"/>
      <c r="EK65" s="100"/>
      <c r="EL65" s="100"/>
      <c r="EM65" s="100"/>
      <c r="EN65" s="100"/>
      <c r="EO65" s="100"/>
      <c r="EP65" s="100"/>
      <c r="EQ65" s="100"/>
      <c r="ER65" s="100"/>
      <c r="ES65" s="100"/>
      <c r="ET65" s="100"/>
      <c r="EU65" s="100"/>
      <c r="EV65" s="100"/>
      <c r="EW65" s="100"/>
      <c r="EX65" s="100"/>
      <c r="EY65" s="100"/>
      <c r="EZ65" s="100"/>
      <c r="FA65" s="100"/>
      <c r="FB65" s="100"/>
      <c r="FC65" s="100"/>
      <c r="FD65" s="100"/>
      <c r="FE65" s="100"/>
      <c r="FF65" s="100"/>
      <c r="FG65" s="100"/>
      <c r="FH65" s="100"/>
      <c r="FI65" s="100"/>
      <c r="FJ65" s="100"/>
      <c r="FK65" s="100"/>
      <c r="FL65" s="100"/>
      <c r="FM65" s="100"/>
      <c r="FN65" s="100"/>
      <c r="FO65" s="100"/>
      <c r="FP65" s="100"/>
      <c r="FQ65" s="100"/>
      <c r="FR65" s="100"/>
      <c r="FS65" s="100"/>
      <c r="FT65" s="100"/>
      <c r="FU65" s="100"/>
      <c r="FV65" s="100"/>
      <c r="FW65" s="100"/>
      <c r="FX65" s="100"/>
      <c r="FY65" s="100"/>
      <c r="FZ65" s="100"/>
      <c r="GA65" s="100"/>
      <c r="GB65" s="100"/>
      <c r="GC65" s="100"/>
      <c r="GD65" s="100"/>
      <c r="GE65" s="100"/>
      <c r="GF65" s="100"/>
      <c r="GG65" s="100"/>
      <c r="GH65" s="100"/>
      <c r="GI65" s="100"/>
      <c r="GJ65" s="100"/>
      <c r="GK65" s="100"/>
      <c r="GL65" s="100"/>
      <c r="GM65" s="100"/>
      <c r="GN65" s="100"/>
      <c r="GO65" s="100"/>
      <c r="GP65" s="100"/>
      <c r="GQ65" s="100"/>
      <c r="GR65" s="100"/>
      <c r="GS65" s="100"/>
      <c r="GT65" s="100"/>
      <c r="GU65" s="100"/>
      <c r="GV65" s="100"/>
      <c r="GW65" s="100"/>
      <c r="GX65" s="100"/>
      <c r="GY65" s="100"/>
      <c r="GZ65" s="100"/>
      <c r="HA65" s="100"/>
      <c r="HB65" s="100"/>
      <c r="HC65" s="100"/>
      <c r="HD65" s="100"/>
      <c r="HE65" s="100"/>
      <c r="HF65" s="100"/>
      <c r="HG65" s="100"/>
      <c r="HH65" s="100"/>
      <c r="HI65" s="100"/>
      <c r="HJ65" s="100"/>
      <c r="HK65" s="100"/>
      <c r="HL65" s="100"/>
      <c r="HM65" s="100"/>
      <c r="HN65" s="100"/>
      <c r="HO65" s="100"/>
      <c r="HP65" s="100"/>
      <c r="HQ65" s="100"/>
      <c r="HR65" s="100"/>
      <c r="HS65" s="100"/>
      <c r="HT65" s="100"/>
      <c r="HU65" s="100"/>
      <c r="HV65" s="100"/>
      <c r="HW65" s="100"/>
      <c r="HX65" s="100"/>
      <c r="HY65" s="100"/>
      <c r="HZ65" s="100"/>
      <c r="IA65" s="100"/>
      <c r="IB65" s="100"/>
      <c r="IC65" s="100"/>
      <c r="ID65" s="100"/>
      <c r="IE65" s="100"/>
      <c r="IF65" s="100"/>
      <c r="IG65" s="100"/>
      <c r="IH65" s="100"/>
      <c r="II65" s="100"/>
      <c r="IJ65" s="100"/>
      <c r="IK65" s="100"/>
      <c r="IL65" s="100"/>
      <c r="IM65" s="100"/>
      <c r="IN65" s="100"/>
      <c r="IO65" s="100"/>
      <c r="IP65" s="100"/>
      <c r="IQ65" s="100"/>
      <c r="IR65" s="100"/>
      <c r="IS65" s="100"/>
      <c r="IT65" s="100"/>
      <c r="IU65" s="100"/>
      <c r="IV65" s="100"/>
      <c r="IW65" s="100"/>
    </row>
    <row r="66" customFormat="false" ht="12.75" hidden="false" customHeight="false" outlineLevel="0" collapsed="false">
      <c r="A66" s="100"/>
      <c r="B66" s="100" t="s">
        <v>329</v>
      </c>
      <c r="C66" s="100"/>
      <c r="D66" s="130"/>
      <c r="E66" s="100" t="n">
        <f aca="false">D71</f>
        <v>26495.8086355692</v>
      </c>
      <c r="F66" s="100" t="n">
        <f aca="false">E71</f>
        <v>19331.813945145</v>
      </c>
      <c r="G66" s="100" t="n">
        <f aca="false">F71</f>
        <v>7762.29440874407</v>
      </c>
      <c r="H66" s="100" t="n">
        <f aca="false">G71</f>
        <v>953.384524400172</v>
      </c>
      <c r="I66" s="100" t="n">
        <f aca="false">H71</f>
        <v>-2976.20354182176</v>
      </c>
      <c r="J66" s="100" t="n">
        <f aca="false">I71</f>
        <v>-6862.62431906961</v>
      </c>
      <c r="K66" s="100" t="n">
        <f aca="false">J71</f>
        <v>-8574.33882478008</v>
      </c>
      <c r="L66" s="100" t="n">
        <f aca="false">K71</f>
        <v>-8116.48345932907</v>
      </c>
      <c r="M66" s="100" t="n">
        <f aca="false">L71</f>
        <v>-7606.80733418058</v>
      </c>
      <c r="N66" s="100" t="n">
        <f aca="false">M71</f>
        <v>-7043.41533334514</v>
      </c>
      <c r="O66" s="100" t="n">
        <f aca="false">N71</f>
        <v>-6421.3434421065</v>
      </c>
      <c r="P66" s="100" t="n">
        <f aca="false">O71</f>
        <v>-5704.3894180873</v>
      </c>
      <c r="Q66" s="100" t="n">
        <f aca="false">P71</f>
        <v>-4912.18478284193</v>
      </c>
      <c r="R66" s="100" t="n">
        <f aca="false">Q71</f>
        <v>-4040.25807966234</v>
      </c>
      <c r="S66" s="100" t="n">
        <f aca="false">R71</f>
        <v>-3081.54216800579</v>
      </c>
      <c r="T66" s="100" t="n">
        <f aca="false">S71</f>
        <v>-2029.464731541</v>
      </c>
      <c r="U66" s="100" t="n">
        <f aca="false">T71</f>
        <v>-873.50535452276</v>
      </c>
      <c r="V66" s="100" t="n">
        <f aca="false">U71</f>
        <v>314.137719784949</v>
      </c>
      <c r="W66" s="100" t="n">
        <f aca="false">V71</f>
        <v>275.258479856634</v>
      </c>
      <c r="X66" s="100" t="n">
        <f aca="false">W71</f>
        <v>236.379239928318</v>
      </c>
      <c r="Y66" s="100" t="n">
        <f aca="false">X71</f>
        <v>0</v>
      </c>
      <c r="Z66" s="100" t="n">
        <f aca="false">Y71</f>
        <v>0</v>
      </c>
      <c r="AA66" s="100" t="n">
        <f aca="false">Z71</f>
        <v>0</v>
      </c>
      <c r="AB66" s="100" t="n">
        <f aca="false">AA71</f>
        <v>0</v>
      </c>
      <c r="AC66" s="100" t="n">
        <f aca="false">AB71</f>
        <v>0</v>
      </c>
      <c r="AD66" s="100" t="n">
        <f aca="false">AC71</f>
        <v>0</v>
      </c>
      <c r="AE66" s="100" t="n">
        <f aca="false">AD71</f>
        <v>0</v>
      </c>
      <c r="AF66" s="100" t="n">
        <f aca="false">AE71</f>
        <v>0</v>
      </c>
      <c r="AG66" s="100" t="n">
        <f aca="false">AF71</f>
        <v>0</v>
      </c>
      <c r="AH66" s="100" t="n">
        <f aca="false">AG71</f>
        <v>0</v>
      </c>
      <c r="AI66" s="100" t="n">
        <f aca="false">AH71</f>
        <v>0</v>
      </c>
      <c r="AJ66" s="102"/>
      <c r="AK66" s="102"/>
      <c r="AL66" s="100"/>
      <c r="AM66" s="570" t="n">
        <f aca="false">D66/D$57</f>
        <v>0</v>
      </c>
      <c r="AN66" s="451" t="n">
        <f aca="false">E66/E$57</f>
        <v>0.83894766988816</v>
      </c>
      <c r="AO66" s="451" t="n">
        <f aca="false">F66/F$57</f>
        <v>0.983536235984461</v>
      </c>
      <c r="AP66" s="451" t="n">
        <f aca="false">G66/G$57</f>
        <v>0.623159473489702</v>
      </c>
      <c r="AQ66" s="451" t="n">
        <f aca="false">H66/H$57</f>
        <v>0.117790217674579</v>
      </c>
      <c r="AR66" s="451" t="n">
        <f aca="false">I66/I$57</f>
        <v>-0.797592109460518</v>
      </c>
      <c r="AS66" s="451" t="n">
        <f aca="false">J66/J$57</f>
        <v>-4.58570944651315</v>
      </c>
      <c r="AT66" s="451" t="n">
        <f aca="false">K66/K$57</f>
        <v>-6.17287744227598</v>
      </c>
      <c r="AU66" s="451" t="n">
        <f aca="false">L66/L$57</f>
        <v>-6.33335967457465</v>
      </c>
      <c r="AV66" s="451" t="n">
        <f aca="false">M66/M$57</f>
        <v>-6.47908927853253</v>
      </c>
      <c r="AW66" s="451" t="n">
        <f aca="false">N66/N$57</f>
        <v>-6.60382905446134</v>
      </c>
      <c r="AX66" s="451" t="n">
        <f aca="false">O66/O$57</f>
        <v>-6.69534578306078</v>
      </c>
      <c r="AY66" s="451" t="n">
        <f aca="false">P66/P$57</f>
        <v>-6.69854738568396</v>
      </c>
      <c r="AZ66" s="451" t="n">
        <f aca="false">Q66/Q$57</f>
        <v>-6.60154377894915</v>
      </c>
      <c r="BA66" s="451" t="n">
        <f aca="false">R66/R$57</f>
        <v>-6.34655277363842</v>
      </c>
      <c r="BB66" s="451" t="n">
        <f aca="false">S66/S$57</f>
        <v>-5.82393288724283</v>
      </c>
      <c r="BC66" s="451" t="n">
        <f aca="false">T66/T$57</f>
        <v>-4.81340826713289</v>
      </c>
      <c r="BD66" s="451" t="n">
        <f aca="false">U66/U$57</f>
        <v>-2.7806446011028</v>
      </c>
      <c r="BE66" s="451" t="n">
        <f aca="false">V66/V$57</f>
        <v>1.14124629311535</v>
      </c>
      <c r="BF66" s="451" t="n">
        <f aca="false">W66/W$57</f>
        <v>1.16447823396042</v>
      </c>
      <c r="BG66" s="451" t="n">
        <f aca="false">X66/X$57</f>
        <v>85301078273982</v>
      </c>
      <c r="BH66" s="451" t="n">
        <f aca="false">Y66/Y$57</f>
        <v>0</v>
      </c>
      <c r="BI66" s="451" t="n">
        <f aca="false">Z66/Z$57</f>
        <v>0</v>
      </c>
      <c r="BJ66" s="451" t="n">
        <f aca="false">AA66/AA$57</f>
        <v>0</v>
      </c>
      <c r="BK66" s="451" t="n">
        <f aca="false">AB66/AB$57</f>
        <v>0</v>
      </c>
      <c r="BL66" s="451" t="n">
        <f aca="false">AC66/AC$57</f>
        <v>0</v>
      </c>
      <c r="BM66" s="451" t="n">
        <f aca="false">AD66/AD$57</f>
        <v>0</v>
      </c>
      <c r="BN66" s="451" t="n">
        <f aca="false">AE66/AE$57</f>
        <v>0</v>
      </c>
      <c r="BO66" s="451" t="n">
        <f aca="false">AF66/AF$57</f>
        <v>0</v>
      </c>
      <c r="BP66" s="451" t="n">
        <f aca="false">AG66/AG$57</f>
        <v>0</v>
      </c>
      <c r="BQ66" s="451" t="n">
        <f aca="false">AH66/AH$57</f>
        <v>0</v>
      </c>
      <c r="BR66" s="451" t="n">
        <f aca="false">AI66/AI$57</f>
        <v>0</v>
      </c>
      <c r="BS66" s="100"/>
      <c r="BT66" s="100"/>
      <c r="BU66" s="100"/>
      <c r="BV66" s="100"/>
      <c r="BW66" s="100"/>
      <c r="BX66" s="100"/>
      <c r="BY66" s="100"/>
      <c r="BZ66" s="100"/>
      <c r="CA66" s="100"/>
      <c r="CB66" s="100"/>
      <c r="CC66" s="100"/>
      <c r="CD66" s="100"/>
      <c r="CE66" s="100"/>
      <c r="CF66" s="100"/>
      <c r="CG66" s="100"/>
      <c r="CH66" s="100"/>
      <c r="CI66" s="100"/>
      <c r="CJ66" s="100"/>
      <c r="CK66" s="100"/>
      <c r="CL66" s="100"/>
      <c r="CM66" s="100"/>
      <c r="CN66" s="100"/>
      <c r="CO66" s="100"/>
      <c r="CP66" s="100"/>
      <c r="CQ66" s="100"/>
      <c r="CR66" s="100"/>
      <c r="CS66" s="100"/>
      <c r="CT66" s="100"/>
      <c r="CU66" s="100"/>
      <c r="CV66" s="100"/>
      <c r="CW66" s="100"/>
      <c r="CX66" s="100"/>
      <c r="CY66" s="100"/>
      <c r="CZ66" s="100"/>
      <c r="DA66" s="100"/>
      <c r="DB66" s="100"/>
      <c r="DC66" s="100"/>
      <c r="DD66" s="100"/>
      <c r="DE66" s="100"/>
      <c r="DF66" s="100"/>
      <c r="DG66" s="100"/>
      <c r="DH66" s="100"/>
      <c r="DI66" s="100"/>
      <c r="DJ66" s="100"/>
      <c r="DK66" s="100"/>
      <c r="DL66" s="100"/>
      <c r="DM66" s="100"/>
      <c r="DN66" s="100"/>
      <c r="DO66" s="100"/>
      <c r="DP66" s="100"/>
      <c r="DQ66" s="100"/>
      <c r="DR66" s="100"/>
      <c r="DS66" s="100"/>
      <c r="DT66" s="100"/>
      <c r="DU66" s="100"/>
      <c r="DV66" s="100"/>
      <c r="DW66" s="100"/>
      <c r="DX66" s="100"/>
      <c r="DY66" s="100"/>
      <c r="DZ66" s="100"/>
      <c r="EA66" s="100"/>
      <c r="EB66" s="100"/>
      <c r="EC66" s="100"/>
      <c r="ED66" s="100"/>
      <c r="EE66" s="100"/>
      <c r="EF66" s="100"/>
      <c r="EG66" s="100"/>
      <c r="EH66" s="100"/>
      <c r="EI66" s="100"/>
      <c r="EJ66" s="100"/>
      <c r="EK66" s="100"/>
      <c r="EL66" s="100"/>
      <c r="EM66" s="100"/>
      <c r="EN66" s="100"/>
      <c r="EO66" s="100"/>
      <c r="EP66" s="100"/>
      <c r="EQ66" s="100"/>
      <c r="ER66" s="100"/>
      <c r="ES66" s="100"/>
      <c r="ET66" s="100"/>
      <c r="EU66" s="100"/>
      <c r="EV66" s="100"/>
      <c r="EW66" s="100"/>
      <c r="EX66" s="100"/>
      <c r="EY66" s="100"/>
      <c r="EZ66" s="100"/>
      <c r="FA66" s="100"/>
      <c r="FB66" s="100"/>
      <c r="FC66" s="100"/>
      <c r="FD66" s="100"/>
      <c r="FE66" s="100"/>
      <c r="FF66" s="100"/>
      <c r="FG66" s="100"/>
      <c r="FH66" s="100"/>
      <c r="FI66" s="100"/>
      <c r="FJ66" s="100"/>
      <c r="FK66" s="100"/>
      <c r="FL66" s="100"/>
      <c r="FM66" s="100"/>
      <c r="FN66" s="100"/>
      <c r="FO66" s="100"/>
      <c r="FP66" s="100"/>
      <c r="FQ66" s="100"/>
      <c r="FR66" s="100"/>
      <c r="FS66" s="100"/>
      <c r="FT66" s="100"/>
      <c r="FU66" s="100"/>
      <c r="FV66" s="100"/>
      <c r="FW66" s="100"/>
      <c r="FX66" s="100"/>
      <c r="FY66" s="100"/>
      <c r="FZ66" s="100"/>
      <c r="GA66" s="100"/>
      <c r="GB66" s="100"/>
      <c r="GC66" s="100"/>
      <c r="GD66" s="100"/>
      <c r="GE66" s="100"/>
      <c r="GF66" s="100"/>
      <c r="GG66" s="100"/>
      <c r="GH66" s="100"/>
      <c r="GI66" s="100"/>
      <c r="GJ66" s="100"/>
      <c r="GK66" s="100"/>
      <c r="GL66" s="100"/>
      <c r="GM66" s="100"/>
      <c r="GN66" s="100"/>
      <c r="GO66" s="100"/>
      <c r="GP66" s="100"/>
      <c r="GQ66" s="100"/>
      <c r="GR66" s="100"/>
      <c r="GS66" s="100"/>
      <c r="GT66" s="100"/>
      <c r="GU66" s="100"/>
      <c r="GV66" s="100"/>
      <c r="GW66" s="100"/>
      <c r="GX66" s="100"/>
      <c r="GY66" s="100"/>
      <c r="GZ66" s="100"/>
      <c r="HA66" s="100"/>
      <c r="HB66" s="100"/>
      <c r="HC66" s="100"/>
      <c r="HD66" s="100"/>
      <c r="HE66" s="100"/>
      <c r="HF66" s="100"/>
      <c r="HG66" s="100"/>
      <c r="HH66" s="100"/>
      <c r="HI66" s="100"/>
      <c r="HJ66" s="100"/>
      <c r="HK66" s="100"/>
      <c r="HL66" s="100"/>
      <c r="HM66" s="100"/>
      <c r="HN66" s="100"/>
      <c r="HO66" s="100"/>
      <c r="HP66" s="100"/>
      <c r="HQ66" s="100"/>
      <c r="HR66" s="100"/>
      <c r="HS66" s="100"/>
      <c r="HT66" s="100"/>
      <c r="HU66" s="100"/>
      <c r="HV66" s="100"/>
      <c r="HW66" s="100"/>
      <c r="HX66" s="100"/>
      <c r="HY66" s="100"/>
      <c r="HZ66" s="100"/>
      <c r="IA66" s="100"/>
      <c r="IB66" s="100"/>
      <c r="IC66" s="100"/>
      <c r="ID66" s="100"/>
      <c r="IE66" s="100"/>
      <c r="IF66" s="100"/>
      <c r="IG66" s="100"/>
      <c r="IH66" s="100"/>
      <c r="II66" s="100"/>
      <c r="IJ66" s="100"/>
      <c r="IK66" s="100"/>
      <c r="IL66" s="100"/>
      <c r="IM66" s="100"/>
      <c r="IN66" s="100"/>
      <c r="IO66" s="100"/>
      <c r="IP66" s="100"/>
      <c r="IQ66" s="100"/>
      <c r="IR66" s="100"/>
      <c r="IS66" s="100"/>
      <c r="IT66" s="100"/>
      <c r="IU66" s="100"/>
      <c r="IV66" s="100"/>
      <c r="IW66" s="100"/>
    </row>
    <row r="67" customFormat="false" ht="12.75" hidden="false" customHeight="false" outlineLevel="0" collapsed="false">
      <c r="A67" s="100"/>
      <c r="B67" s="100" t="s">
        <v>673</v>
      </c>
      <c r="C67" s="100"/>
      <c r="D67" s="130" t="n">
        <f aca="false">Srcs_Uses!J6</f>
        <v>26495.8086355692</v>
      </c>
      <c r="E67" s="100"/>
      <c r="F67" s="100"/>
      <c r="G67" s="100"/>
      <c r="H67" s="100"/>
      <c r="I67" s="100"/>
      <c r="J67" s="100"/>
      <c r="K67" s="100"/>
      <c r="L67" s="100"/>
      <c r="M67" s="100"/>
      <c r="N67" s="100"/>
      <c r="O67" s="100"/>
      <c r="P67" s="100"/>
      <c r="Q67" s="100"/>
      <c r="R67" s="100"/>
      <c r="S67" s="100"/>
      <c r="T67" s="100"/>
      <c r="U67" s="100"/>
      <c r="V67" s="100"/>
      <c r="W67" s="100"/>
      <c r="X67" s="100"/>
      <c r="Y67" s="100"/>
      <c r="Z67" s="100"/>
      <c r="AA67" s="100"/>
      <c r="AB67" s="100"/>
      <c r="AC67" s="100"/>
      <c r="AD67" s="100"/>
      <c r="AE67" s="100"/>
      <c r="AF67" s="100"/>
      <c r="AG67" s="100"/>
      <c r="AH67" s="100"/>
      <c r="AI67" s="100"/>
      <c r="AJ67" s="102"/>
      <c r="AK67" s="102"/>
      <c r="AL67" s="100"/>
      <c r="AM67" s="570" t="n">
        <f aca="false">D67/D$57</f>
        <v>0.678045524887048</v>
      </c>
      <c r="AN67" s="451"/>
      <c r="AO67" s="451"/>
      <c r="AP67" s="451"/>
      <c r="AQ67" s="451"/>
      <c r="AR67" s="451"/>
      <c r="AS67" s="451"/>
      <c r="AT67" s="451"/>
      <c r="AU67" s="451"/>
      <c r="AV67" s="451"/>
      <c r="AW67" s="451"/>
      <c r="AX67" s="451"/>
      <c r="AY67" s="451"/>
      <c r="AZ67" s="451"/>
      <c r="BA67" s="451"/>
      <c r="BB67" s="451"/>
      <c r="BC67" s="451"/>
      <c r="BD67" s="451"/>
      <c r="BE67" s="451"/>
      <c r="BF67" s="451"/>
      <c r="BG67" s="451"/>
      <c r="BH67" s="451"/>
      <c r="BI67" s="451"/>
      <c r="BJ67" s="451"/>
      <c r="BK67" s="451"/>
      <c r="BL67" s="451"/>
      <c r="BM67" s="451"/>
      <c r="BN67" s="451"/>
      <c r="BO67" s="451"/>
      <c r="BP67" s="451"/>
      <c r="BQ67" s="451"/>
      <c r="BR67" s="451"/>
      <c r="BS67" s="100"/>
      <c r="BT67" s="100"/>
      <c r="BU67" s="100"/>
      <c r="BV67" s="100"/>
      <c r="BW67" s="100"/>
      <c r="BX67" s="100"/>
      <c r="BY67" s="100"/>
      <c r="BZ67" s="100"/>
      <c r="CA67" s="100"/>
      <c r="CB67" s="100"/>
      <c r="CC67" s="100"/>
      <c r="CD67" s="100"/>
      <c r="CE67" s="100"/>
      <c r="CF67" s="100"/>
      <c r="CG67" s="100"/>
      <c r="CH67" s="100"/>
      <c r="CI67" s="100"/>
      <c r="CJ67" s="100"/>
      <c r="CK67" s="100"/>
      <c r="CL67" s="100"/>
      <c r="CM67" s="100"/>
      <c r="CN67" s="100"/>
      <c r="CO67" s="100"/>
      <c r="CP67" s="100"/>
      <c r="CQ67" s="100"/>
      <c r="CR67" s="100"/>
      <c r="CS67" s="100"/>
      <c r="CT67" s="100"/>
      <c r="CU67" s="100"/>
      <c r="CV67" s="100"/>
      <c r="CW67" s="100"/>
      <c r="CX67" s="100"/>
      <c r="CY67" s="100"/>
      <c r="CZ67" s="100"/>
      <c r="DA67" s="100"/>
      <c r="DB67" s="100"/>
      <c r="DC67" s="100"/>
      <c r="DD67" s="100"/>
      <c r="DE67" s="100"/>
      <c r="DF67" s="100"/>
      <c r="DG67" s="100"/>
      <c r="DH67" s="100"/>
      <c r="DI67" s="100"/>
      <c r="DJ67" s="100"/>
      <c r="DK67" s="100"/>
      <c r="DL67" s="100"/>
      <c r="DM67" s="100"/>
      <c r="DN67" s="100"/>
      <c r="DO67" s="100"/>
      <c r="DP67" s="100"/>
      <c r="DQ67" s="100"/>
      <c r="DR67" s="100"/>
      <c r="DS67" s="100"/>
      <c r="DT67" s="100"/>
      <c r="DU67" s="100"/>
      <c r="DV67" s="100"/>
      <c r="DW67" s="100"/>
      <c r="DX67" s="100"/>
      <c r="DY67" s="100"/>
      <c r="DZ67" s="100"/>
      <c r="EA67" s="100"/>
      <c r="EB67" s="100"/>
      <c r="EC67" s="100"/>
      <c r="ED67" s="100"/>
      <c r="EE67" s="100"/>
      <c r="EF67" s="100"/>
      <c r="EG67" s="100"/>
      <c r="EH67" s="100"/>
      <c r="EI67" s="100"/>
      <c r="EJ67" s="100"/>
      <c r="EK67" s="100"/>
      <c r="EL67" s="100"/>
      <c r="EM67" s="100"/>
      <c r="EN67" s="100"/>
      <c r="EO67" s="100"/>
      <c r="EP67" s="100"/>
      <c r="EQ67" s="100"/>
      <c r="ER67" s="100"/>
      <c r="ES67" s="100"/>
      <c r="ET67" s="100"/>
      <c r="EU67" s="100"/>
      <c r="EV67" s="100"/>
      <c r="EW67" s="100"/>
      <c r="EX67" s="100"/>
      <c r="EY67" s="100"/>
      <c r="EZ67" s="100"/>
      <c r="FA67" s="100"/>
      <c r="FB67" s="100"/>
      <c r="FC67" s="100"/>
      <c r="FD67" s="100"/>
      <c r="FE67" s="100"/>
      <c r="FF67" s="100"/>
      <c r="FG67" s="100"/>
      <c r="FH67" s="100"/>
      <c r="FI67" s="100"/>
      <c r="FJ67" s="100"/>
      <c r="FK67" s="100"/>
      <c r="FL67" s="100"/>
      <c r="FM67" s="100"/>
      <c r="FN67" s="100"/>
      <c r="FO67" s="100"/>
      <c r="FP67" s="100"/>
      <c r="FQ67" s="100"/>
      <c r="FR67" s="100"/>
      <c r="FS67" s="100"/>
      <c r="FT67" s="100"/>
      <c r="FU67" s="100"/>
      <c r="FV67" s="100"/>
      <c r="FW67" s="100"/>
      <c r="FX67" s="100"/>
      <c r="FY67" s="100"/>
      <c r="FZ67" s="100"/>
      <c r="GA67" s="100"/>
      <c r="GB67" s="100"/>
      <c r="GC67" s="100"/>
      <c r="GD67" s="100"/>
      <c r="GE67" s="100"/>
      <c r="GF67" s="100"/>
      <c r="GG67" s="100"/>
      <c r="GH67" s="100"/>
      <c r="GI67" s="100"/>
      <c r="GJ67" s="100"/>
      <c r="GK67" s="100"/>
      <c r="GL67" s="100"/>
      <c r="GM67" s="100"/>
      <c r="GN67" s="100"/>
      <c r="GO67" s="100"/>
      <c r="GP67" s="100"/>
      <c r="GQ67" s="100"/>
      <c r="GR67" s="100"/>
      <c r="GS67" s="100"/>
      <c r="GT67" s="100"/>
      <c r="GU67" s="100"/>
      <c r="GV67" s="100"/>
      <c r="GW67" s="100"/>
      <c r="GX67" s="100"/>
      <c r="GY67" s="100"/>
      <c r="GZ67" s="100"/>
      <c r="HA67" s="100"/>
      <c r="HB67" s="100"/>
      <c r="HC67" s="100"/>
      <c r="HD67" s="100"/>
      <c r="HE67" s="100"/>
      <c r="HF67" s="100"/>
      <c r="HG67" s="100"/>
      <c r="HH67" s="100"/>
      <c r="HI67" s="100"/>
      <c r="HJ67" s="100"/>
      <c r="HK67" s="100"/>
      <c r="HL67" s="100"/>
      <c r="HM67" s="100"/>
      <c r="HN67" s="100"/>
      <c r="HO67" s="100"/>
      <c r="HP67" s="100"/>
      <c r="HQ67" s="100"/>
      <c r="HR67" s="100"/>
      <c r="HS67" s="100"/>
      <c r="HT67" s="100"/>
      <c r="HU67" s="100"/>
      <c r="HV67" s="100"/>
      <c r="HW67" s="100"/>
      <c r="HX67" s="100"/>
      <c r="HY67" s="100"/>
      <c r="HZ67" s="100"/>
      <c r="IA67" s="100"/>
      <c r="IB67" s="100"/>
      <c r="IC67" s="100"/>
      <c r="ID67" s="100"/>
      <c r="IE67" s="100"/>
      <c r="IF67" s="100"/>
      <c r="IG67" s="100"/>
      <c r="IH67" s="100"/>
      <c r="II67" s="100"/>
      <c r="IJ67" s="100"/>
      <c r="IK67" s="100"/>
      <c r="IL67" s="100"/>
      <c r="IM67" s="100"/>
      <c r="IN67" s="100"/>
      <c r="IO67" s="100"/>
      <c r="IP67" s="100"/>
      <c r="IQ67" s="100"/>
      <c r="IR67" s="100"/>
      <c r="IS67" s="100"/>
      <c r="IT67" s="100"/>
      <c r="IU67" s="100"/>
      <c r="IV67" s="100"/>
      <c r="IW67" s="100"/>
    </row>
    <row r="68" customFormat="false" ht="12.75" hidden="false" customHeight="false" outlineLevel="0" collapsed="false">
      <c r="A68" s="100"/>
      <c r="B68" s="100" t="s">
        <v>674</v>
      </c>
      <c r="C68" s="100"/>
      <c r="D68" s="130"/>
      <c r="E68" s="100" t="n">
        <f aca="false">Basis!D10+Basis!D28</f>
        <v>0</v>
      </c>
      <c r="F68" s="100" t="n">
        <f aca="false">Basis!E10+Basis!E28</f>
        <v>0</v>
      </c>
      <c r="G68" s="100" t="n">
        <f aca="false">Basis!F10+Basis!F28</f>
        <v>0</v>
      </c>
      <c r="H68" s="100" t="n">
        <f aca="false">Basis!G10+Basis!G28</f>
        <v>0</v>
      </c>
      <c r="I68" s="100" t="n">
        <f aca="false">Basis!H10+Basis!H28</f>
        <v>0</v>
      </c>
      <c r="J68" s="100" t="n">
        <f aca="false">Basis!I10+Basis!I28</f>
        <v>0</v>
      </c>
      <c r="K68" s="100" t="n">
        <f aca="false">Basis!J10+Basis!J28</f>
        <v>0</v>
      </c>
      <c r="L68" s="100" t="n">
        <f aca="false">Basis!K10+Basis!K28</f>
        <v>0</v>
      </c>
      <c r="M68" s="100" t="n">
        <f aca="false">Basis!L10+Basis!L28</f>
        <v>0</v>
      </c>
      <c r="N68" s="100" t="n">
        <f aca="false">Basis!M10+Basis!M28</f>
        <v>0</v>
      </c>
      <c r="O68" s="100" t="n">
        <f aca="false">Basis!N10+Basis!N28</f>
        <v>0</v>
      </c>
      <c r="P68" s="100" t="n">
        <f aca="false">Basis!O10+Basis!O28</f>
        <v>0</v>
      </c>
      <c r="Q68" s="100" t="n">
        <f aca="false">Basis!P10+Basis!P28</f>
        <v>0</v>
      </c>
      <c r="R68" s="100" t="n">
        <f aca="false">Basis!Q10+Basis!Q28</f>
        <v>0</v>
      </c>
      <c r="S68" s="100" t="n">
        <f aca="false">Basis!R10+Basis!R28</f>
        <v>0</v>
      </c>
      <c r="T68" s="100" t="n">
        <f aca="false">Basis!S10+Basis!S28</f>
        <v>0</v>
      </c>
      <c r="U68" s="100" t="n">
        <f aca="false">Basis!T10+Basis!T28</f>
        <v>0</v>
      </c>
      <c r="V68" s="100" t="n">
        <f aca="false">Basis!U10+Basis!U28</f>
        <v>0</v>
      </c>
      <c r="W68" s="100" t="n">
        <f aca="false">Basis!V10+Basis!V28</f>
        <v>0</v>
      </c>
      <c r="X68" s="100" t="n">
        <f aca="false">Basis!W10+Basis!W28</f>
        <v>0</v>
      </c>
      <c r="Y68" s="100" t="n">
        <f aca="false">Basis!X10+Basis!X28</f>
        <v>0</v>
      </c>
      <c r="Z68" s="100" t="n">
        <f aca="false">Basis!Y10+Basis!Y28</f>
        <v>0</v>
      </c>
      <c r="AA68" s="100" t="n">
        <f aca="false">Basis!Z10+Basis!Z28</f>
        <v>0</v>
      </c>
      <c r="AB68" s="100" t="n">
        <f aca="false">Basis!AA10+Basis!AA28</f>
        <v>0</v>
      </c>
      <c r="AC68" s="100" t="n">
        <f aca="false">Basis!AB10+Basis!AB28</f>
        <v>0</v>
      </c>
      <c r="AD68" s="100" t="n">
        <f aca="false">Basis!AC10+Basis!AC28</f>
        <v>0</v>
      </c>
      <c r="AE68" s="100" t="n">
        <f aca="false">Basis!AD10+Basis!AD28</f>
        <v>0</v>
      </c>
      <c r="AF68" s="100" t="n">
        <f aca="false">Basis!AE10+Basis!AE28</f>
        <v>0</v>
      </c>
      <c r="AG68" s="100" t="n">
        <f aca="false">Basis!AF10+Basis!AF28</f>
        <v>0</v>
      </c>
      <c r="AH68" s="100" t="n">
        <f aca="false">Basis!AG10+Basis!AG28</f>
        <v>0</v>
      </c>
      <c r="AI68" s="100" t="n">
        <f aca="false">Basis!AH10+Basis!AH28</f>
        <v>0</v>
      </c>
      <c r="AJ68" s="102"/>
      <c r="AK68" s="102"/>
      <c r="AL68" s="100"/>
      <c r="AM68" s="570" t="n">
        <f aca="false">D68/D$57</f>
        <v>0</v>
      </c>
      <c r="AN68" s="451" t="n">
        <f aca="false">E68/E$57</f>
        <v>0</v>
      </c>
      <c r="AO68" s="451" t="n">
        <f aca="false">F68/F$57</f>
        <v>0</v>
      </c>
      <c r="AP68" s="451" t="n">
        <f aca="false">G68/G$57</f>
        <v>0</v>
      </c>
      <c r="AQ68" s="451" t="n">
        <f aca="false">H68/H$57</f>
        <v>0</v>
      </c>
      <c r="AR68" s="451" t="n">
        <f aca="false">I68/I$57</f>
        <v>0</v>
      </c>
      <c r="AS68" s="451" t="n">
        <f aca="false">J68/J$57</f>
        <v>0</v>
      </c>
      <c r="AT68" s="451" t="n">
        <f aca="false">K68/K$57</f>
        <v>0</v>
      </c>
      <c r="AU68" s="451" t="n">
        <f aca="false">L68/L$57</f>
        <v>0</v>
      </c>
      <c r="AV68" s="451" t="n">
        <f aca="false">M68/M$57</f>
        <v>0</v>
      </c>
      <c r="AW68" s="451" t="n">
        <f aca="false">N68/N$57</f>
        <v>0</v>
      </c>
      <c r="AX68" s="451" t="n">
        <f aca="false">O68/O$57</f>
        <v>0</v>
      </c>
      <c r="AY68" s="451" t="n">
        <f aca="false">P68/P$57</f>
        <v>0</v>
      </c>
      <c r="AZ68" s="451" t="n">
        <f aca="false">Q68/Q$57</f>
        <v>0</v>
      </c>
      <c r="BA68" s="451" t="n">
        <f aca="false">R68/R$57</f>
        <v>0</v>
      </c>
      <c r="BB68" s="451" t="n">
        <f aca="false">S68/S$57</f>
        <v>0</v>
      </c>
      <c r="BC68" s="451" t="n">
        <f aca="false">T68/T$57</f>
        <v>0</v>
      </c>
      <c r="BD68" s="451" t="n">
        <f aca="false">U68/U$57</f>
        <v>0</v>
      </c>
      <c r="BE68" s="451" t="n">
        <f aca="false">V68/V$57</f>
        <v>0</v>
      </c>
      <c r="BF68" s="451" t="n">
        <f aca="false">W68/W$57</f>
        <v>0</v>
      </c>
      <c r="BG68" s="451" t="n">
        <f aca="false">X68/X$57</f>
        <v>0</v>
      </c>
      <c r="BH68" s="451" t="n">
        <f aca="false">Y68/Y$57</f>
        <v>0</v>
      </c>
      <c r="BI68" s="451" t="n">
        <f aca="false">Z68/Z$57</f>
        <v>0</v>
      </c>
      <c r="BJ68" s="451" t="n">
        <f aca="false">AA68/AA$57</f>
        <v>0</v>
      </c>
      <c r="BK68" s="451" t="n">
        <f aca="false">AB68/AB$57</f>
        <v>0</v>
      </c>
      <c r="BL68" s="451" t="n">
        <f aca="false">AC68/AC$57</f>
        <v>0</v>
      </c>
      <c r="BM68" s="451" t="n">
        <f aca="false">AD68/AD$57</f>
        <v>0</v>
      </c>
      <c r="BN68" s="451" t="n">
        <f aca="false">AE68/AE$57</f>
        <v>0</v>
      </c>
      <c r="BO68" s="451" t="n">
        <f aca="false">AF68/AF$57</f>
        <v>0</v>
      </c>
      <c r="BP68" s="451" t="n">
        <f aca="false">AG68/AG$57</f>
        <v>0</v>
      </c>
      <c r="BQ68" s="451" t="n">
        <f aca="false">AH68/AH$57</f>
        <v>0</v>
      </c>
      <c r="BR68" s="451" t="n">
        <f aca="false">AI68/AI$57</f>
        <v>0</v>
      </c>
      <c r="BS68" s="100"/>
      <c r="BT68" s="100"/>
      <c r="BU68" s="100"/>
      <c r="BV68" s="100"/>
      <c r="BW68" s="100"/>
      <c r="BX68" s="100"/>
      <c r="BY68" s="100"/>
      <c r="BZ68" s="100"/>
      <c r="CA68" s="100"/>
      <c r="CB68" s="100"/>
      <c r="CC68" s="100"/>
      <c r="CD68" s="100"/>
      <c r="CE68" s="100"/>
      <c r="CF68" s="100"/>
      <c r="CG68" s="100"/>
      <c r="CH68" s="100"/>
      <c r="CI68" s="100"/>
      <c r="CJ68" s="100"/>
      <c r="CK68" s="100"/>
      <c r="CL68" s="100"/>
      <c r="CM68" s="100"/>
      <c r="CN68" s="100"/>
      <c r="CO68" s="100"/>
      <c r="CP68" s="100"/>
      <c r="CQ68" s="100"/>
      <c r="CR68" s="100"/>
      <c r="CS68" s="100"/>
      <c r="CT68" s="100"/>
      <c r="CU68" s="100"/>
      <c r="CV68" s="100"/>
      <c r="CW68" s="100"/>
      <c r="CX68" s="100"/>
      <c r="CY68" s="100"/>
      <c r="CZ68" s="100"/>
      <c r="DA68" s="100"/>
      <c r="DB68" s="100"/>
      <c r="DC68" s="100"/>
      <c r="DD68" s="100"/>
      <c r="DE68" s="100"/>
      <c r="DF68" s="100"/>
      <c r="DG68" s="100"/>
      <c r="DH68" s="100"/>
      <c r="DI68" s="100"/>
      <c r="DJ68" s="100"/>
      <c r="DK68" s="100"/>
      <c r="DL68" s="100"/>
      <c r="DM68" s="100"/>
      <c r="DN68" s="100"/>
      <c r="DO68" s="100"/>
      <c r="DP68" s="100"/>
      <c r="DQ68" s="100"/>
      <c r="DR68" s="100"/>
      <c r="DS68" s="100"/>
      <c r="DT68" s="100"/>
      <c r="DU68" s="100"/>
      <c r="DV68" s="100"/>
      <c r="DW68" s="100"/>
      <c r="DX68" s="100"/>
      <c r="DY68" s="100"/>
      <c r="DZ68" s="100"/>
      <c r="EA68" s="100"/>
      <c r="EB68" s="100"/>
      <c r="EC68" s="100"/>
      <c r="ED68" s="100"/>
      <c r="EE68" s="100"/>
      <c r="EF68" s="100"/>
      <c r="EG68" s="100"/>
      <c r="EH68" s="100"/>
      <c r="EI68" s="100"/>
      <c r="EJ68" s="100"/>
      <c r="EK68" s="100"/>
      <c r="EL68" s="100"/>
      <c r="EM68" s="100"/>
      <c r="EN68" s="100"/>
      <c r="EO68" s="100"/>
      <c r="EP68" s="100"/>
      <c r="EQ68" s="100"/>
      <c r="ER68" s="100"/>
      <c r="ES68" s="100"/>
      <c r="ET68" s="100"/>
      <c r="EU68" s="100"/>
      <c r="EV68" s="100"/>
      <c r="EW68" s="100"/>
      <c r="EX68" s="100"/>
      <c r="EY68" s="100"/>
      <c r="EZ68" s="100"/>
      <c r="FA68" s="100"/>
      <c r="FB68" s="100"/>
      <c r="FC68" s="100"/>
      <c r="FD68" s="100"/>
      <c r="FE68" s="100"/>
      <c r="FF68" s="100"/>
      <c r="FG68" s="100"/>
      <c r="FH68" s="100"/>
      <c r="FI68" s="100"/>
      <c r="FJ68" s="100"/>
      <c r="FK68" s="100"/>
      <c r="FL68" s="100"/>
      <c r="FM68" s="100"/>
      <c r="FN68" s="100"/>
      <c r="FO68" s="100"/>
      <c r="FP68" s="100"/>
      <c r="FQ68" s="100"/>
      <c r="FR68" s="100"/>
      <c r="FS68" s="100"/>
      <c r="FT68" s="100"/>
      <c r="FU68" s="100"/>
      <c r="FV68" s="100"/>
      <c r="FW68" s="100"/>
      <c r="FX68" s="100"/>
      <c r="FY68" s="100"/>
      <c r="FZ68" s="100"/>
      <c r="GA68" s="100"/>
      <c r="GB68" s="100"/>
      <c r="GC68" s="100"/>
      <c r="GD68" s="100"/>
      <c r="GE68" s="100"/>
      <c r="GF68" s="100"/>
      <c r="GG68" s="100"/>
      <c r="GH68" s="100"/>
      <c r="GI68" s="100"/>
      <c r="GJ68" s="100"/>
      <c r="GK68" s="100"/>
      <c r="GL68" s="100"/>
      <c r="GM68" s="100"/>
      <c r="GN68" s="100"/>
      <c r="GO68" s="100"/>
      <c r="GP68" s="100"/>
      <c r="GQ68" s="100"/>
      <c r="GR68" s="100"/>
      <c r="GS68" s="100"/>
      <c r="GT68" s="100"/>
      <c r="GU68" s="100"/>
      <c r="GV68" s="100"/>
      <c r="GW68" s="100"/>
      <c r="GX68" s="100"/>
      <c r="GY68" s="100"/>
      <c r="GZ68" s="100"/>
      <c r="HA68" s="100"/>
      <c r="HB68" s="100"/>
      <c r="HC68" s="100"/>
      <c r="HD68" s="100"/>
      <c r="HE68" s="100"/>
      <c r="HF68" s="100"/>
      <c r="HG68" s="100"/>
      <c r="HH68" s="100"/>
      <c r="HI68" s="100"/>
      <c r="HJ68" s="100"/>
      <c r="HK68" s="100"/>
      <c r="HL68" s="100"/>
      <c r="HM68" s="100"/>
      <c r="HN68" s="100"/>
      <c r="HO68" s="100"/>
      <c r="HP68" s="100"/>
      <c r="HQ68" s="100"/>
      <c r="HR68" s="100"/>
      <c r="HS68" s="100"/>
      <c r="HT68" s="100"/>
      <c r="HU68" s="100"/>
      <c r="HV68" s="100"/>
      <c r="HW68" s="100"/>
      <c r="HX68" s="100"/>
      <c r="HY68" s="100"/>
      <c r="HZ68" s="100"/>
      <c r="IA68" s="100"/>
      <c r="IB68" s="100"/>
      <c r="IC68" s="100"/>
      <c r="ID68" s="100"/>
      <c r="IE68" s="100"/>
      <c r="IF68" s="100"/>
      <c r="IG68" s="100"/>
      <c r="IH68" s="100"/>
      <c r="II68" s="100"/>
      <c r="IJ68" s="100"/>
      <c r="IK68" s="100"/>
      <c r="IL68" s="100"/>
      <c r="IM68" s="100"/>
      <c r="IN68" s="100"/>
      <c r="IO68" s="100"/>
      <c r="IP68" s="100"/>
      <c r="IQ68" s="100"/>
      <c r="IR68" s="100"/>
      <c r="IS68" s="100"/>
      <c r="IT68" s="100"/>
      <c r="IU68" s="100"/>
      <c r="IV68" s="100"/>
      <c r="IW68" s="100"/>
    </row>
    <row r="69" customFormat="false" ht="12.75" hidden="false" customHeight="false" outlineLevel="0" collapsed="false">
      <c r="A69" s="100"/>
      <c r="B69" s="100" t="s">
        <v>675</v>
      </c>
      <c r="C69" s="100"/>
      <c r="D69" s="130"/>
      <c r="E69" s="100" t="n">
        <f aca="false">E50</f>
        <v>-6590.69375385121</v>
      </c>
      <c r="F69" s="100" t="n">
        <f aca="false">F50</f>
        <v>-10997.9119830166</v>
      </c>
      <c r="G69" s="100" t="n">
        <f aca="false">G50</f>
        <v>-6239.17186602478</v>
      </c>
      <c r="H69" s="100" t="n">
        <f aca="false">H50</f>
        <v>-3361.96112135487</v>
      </c>
      <c r="I69" s="100" t="n">
        <f aca="false">I50</f>
        <v>-3321.11059161527</v>
      </c>
      <c r="J69" s="100" t="n">
        <f aca="false">J50</f>
        <v>-1148.83501811335</v>
      </c>
      <c r="K69" s="100" t="n">
        <f aca="false">K50</f>
        <v>1015.52115517834</v>
      </c>
      <c r="L69" s="100" t="n">
        <f aca="false">L50</f>
        <v>1061.90420265571</v>
      </c>
      <c r="M69" s="100" t="n">
        <f aca="false">M50</f>
        <v>1109.95228067239</v>
      </c>
      <c r="N69" s="100" t="n">
        <f aca="false">N50</f>
        <v>1162.46544961821</v>
      </c>
      <c r="O69" s="100" t="n">
        <f aca="false">O50</f>
        <v>1263.99036879548</v>
      </c>
      <c r="P69" s="100" t="n">
        <f aca="false">P50</f>
        <v>1332.64073154183</v>
      </c>
      <c r="Q69" s="100" t="n">
        <f aca="false">Q50</f>
        <v>1405.2487029033</v>
      </c>
      <c r="R69" s="100" t="n">
        <f aca="false">R50</f>
        <v>1484.37740068846</v>
      </c>
      <c r="S69" s="100" t="n">
        <f aca="false">S50</f>
        <v>1569.47323596597</v>
      </c>
      <c r="T69" s="100" t="n">
        <f aca="false">T50</f>
        <v>1665.07109837912</v>
      </c>
      <c r="U69" s="100" t="n">
        <f aca="false">U50</f>
        <v>1778.23764800145</v>
      </c>
      <c r="V69" s="100" t="n">
        <f aca="false">V50</f>
        <v>1991.95051082941</v>
      </c>
      <c r="W69" s="100" t="n">
        <f aca="false">W50</f>
        <v>1960.85581609821</v>
      </c>
      <c r="X69" s="100" t="n">
        <f aca="false">X50</f>
        <v>1929.83790420078</v>
      </c>
      <c r="Y69" s="100" t="n">
        <f aca="false">Y50</f>
        <v>0</v>
      </c>
      <c r="Z69" s="100" t="n">
        <f aca="false">Z50</f>
        <v>0</v>
      </c>
      <c r="AA69" s="100" t="n">
        <f aca="false">AA50</f>
        <v>0</v>
      </c>
      <c r="AB69" s="100" t="n">
        <f aca="false">AB50</f>
        <v>0</v>
      </c>
      <c r="AC69" s="100" t="n">
        <f aca="false">AC50</f>
        <v>0</v>
      </c>
      <c r="AD69" s="100" t="n">
        <f aca="false">AD50</f>
        <v>0</v>
      </c>
      <c r="AE69" s="100" t="n">
        <f aca="false">AE50</f>
        <v>0</v>
      </c>
      <c r="AF69" s="100" t="n">
        <f aca="false">AF50</f>
        <v>0</v>
      </c>
      <c r="AG69" s="100" t="n">
        <f aca="false">AG50</f>
        <v>0</v>
      </c>
      <c r="AH69" s="100" t="n">
        <f aca="false">AH50</f>
        <v>0</v>
      </c>
      <c r="AI69" s="100" t="n">
        <f aca="false">AI50</f>
        <v>0</v>
      </c>
      <c r="AJ69" s="102"/>
      <c r="AK69" s="102"/>
      <c r="AL69" s="100"/>
      <c r="AM69" s="570" t="n">
        <f aca="false">D69/D$57</f>
        <v>0</v>
      </c>
      <c r="AN69" s="451" t="n">
        <f aca="false">E69/E$57</f>
        <v>-0.208683842934962</v>
      </c>
      <c r="AO69" s="451" t="n">
        <f aca="false">F69/F$57</f>
        <v>-0.559535953850886</v>
      </c>
      <c r="AP69" s="451" t="n">
        <f aca="false">G69/G$57</f>
        <v>-0.500882709455597</v>
      </c>
      <c r="AQ69" s="451" t="n">
        <f aca="false">H69/H$57</f>
        <v>-0.415368743841328</v>
      </c>
      <c r="AR69" s="451" t="n">
        <f aca="false">I69/I$57</f>
        <v>-0.890023671195782</v>
      </c>
      <c r="AS69" s="451" t="n">
        <f aca="false">J69/J$57</f>
        <v>-0.767668948511195</v>
      </c>
      <c r="AT69" s="451" t="n">
        <f aca="false">K69/K$57</f>
        <v>0.731098660673142</v>
      </c>
      <c r="AU69" s="451" t="n">
        <f aca="false">L69/L$57</f>
        <v>0.828612697735601</v>
      </c>
      <c r="AV69" s="451" t="n">
        <f aca="false">M69/M$57</f>
        <v>0.94540056103076</v>
      </c>
      <c r="AW69" s="451" t="n">
        <f aca="false">N69/N$57</f>
        <v>1.08991487051074</v>
      </c>
      <c r="AX69" s="451" t="n">
        <f aca="false">O69/O$57</f>
        <v>1.31792554966784</v>
      </c>
      <c r="AY69" s="451" t="n">
        <f aca="false">P69/P$57</f>
        <v>1.56489265266862</v>
      </c>
      <c r="AZ69" s="451" t="n">
        <f aca="false">Q69/Q$57</f>
        <v>1.88853050987234</v>
      </c>
      <c r="BA69" s="451" t="n">
        <f aca="false">R69/R$57</f>
        <v>2.33170241200355</v>
      </c>
      <c r="BB69" s="451" t="n">
        <f aca="false">S69/S$57</f>
        <v>2.96621181741118</v>
      </c>
      <c r="BC69" s="451" t="n">
        <f aca="false">T69/T$57</f>
        <v>3.94915312680329</v>
      </c>
      <c r="BD69" s="451" t="n">
        <f aca="false">U69/U$57</f>
        <v>5.66069445343524</v>
      </c>
      <c r="BE69" s="451" t="n">
        <f aca="false">V69/V$57</f>
        <v>7.2366544778817</v>
      </c>
      <c r="BF69" s="451" t="n">
        <f aca="false">W69/W$57</f>
        <v>8.29538083248275</v>
      </c>
      <c r="BG69" s="451" t="n">
        <f aca="false">X69/X$57</f>
        <v>696411639923405</v>
      </c>
      <c r="BH69" s="451" t="n">
        <f aca="false">Y69/Y$57</f>
        <v>0</v>
      </c>
      <c r="BI69" s="451" t="n">
        <f aca="false">Z69/Z$57</f>
        <v>0</v>
      </c>
      <c r="BJ69" s="451" t="n">
        <f aca="false">AA69/AA$57</f>
        <v>0</v>
      </c>
      <c r="BK69" s="451" t="n">
        <f aca="false">AB69/AB$57</f>
        <v>0</v>
      </c>
      <c r="BL69" s="451" t="n">
        <f aca="false">AC69/AC$57</f>
        <v>0</v>
      </c>
      <c r="BM69" s="451" t="n">
        <f aca="false">AD69/AD$57</f>
        <v>0</v>
      </c>
      <c r="BN69" s="451" t="n">
        <f aca="false">AE69/AE$57</f>
        <v>0</v>
      </c>
      <c r="BO69" s="451" t="n">
        <f aca="false">AF69/AF$57</f>
        <v>0</v>
      </c>
      <c r="BP69" s="451" t="n">
        <f aca="false">AG69/AG$57</f>
        <v>0</v>
      </c>
      <c r="BQ69" s="451" t="n">
        <f aca="false">AH69/AH$57</f>
        <v>0</v>
      </c>
      <c r="BR69" s="451" t="n">
        <f aca="false">AI69/AI$57</f>
        <v>0</v>
      </c>
      <c r="BS69" s="100"/>
      <c r="BT69" s="100"/>
      <c r="BU69" s="100"/>
      <c r="BV69" s="100"/>
      <c r="BW69" s="100"/>
      <c r="BX69" s="100"/>
      <c r="BY69" s="100"/>
      <c r="BZ69" s="100"/>
      <c r="CA69" s="100"/>
      <c r="CB69" s="100"/>
      <c r="CC69" s="100"/>
      <c r="CD69" s="100"/>
      <c r="CE69" s="100"/>
      <c r="CF69" s="100"/>
      <c r="CG69" s="100"/>
      <c r="CH69" s="100"/>
      <c r="CI69" s="100"/>
      <c r="CJ69" s="100"/>
      <c r="CK69" s="100"/>
      <c r="CL69" s="100"/>
      <c r="CM69" s="100"/>
      <c r="CN69" s="100"/>
      <c r="CO69" s="100"/>
      <c r="CP69" s="100"/>
      <c r="CQ69" s="100"/>
      <c r="CR69" s="100"/>
      <c r="CS69" s="100"/>
      <c r="CT69" s="100"/>
      <c r="CU69" s="100"/>
      <c r="CV69" s="100"/>
      <c r="CW69" s="100"/>
      <c r="CX69" s="100"/>
      <c r="CY69" s="100"/>
      <c r="CZ69" s="100"/>
      <c r="DA69" s="100"/>
      <c r="DB69" s="100"/>
      <c r="DC69" s="100"/>
      <c r="DD69" s="100"/>
      <c r="DE69" s="100"/>
      <c r="DF69" s="100"/>
      <c r="DG69" s="100"/>
      <c r="DH69" s="100"/>
      <c r="DI69" s="100"/>
      <c r="DJ69" s="100"/>
      <c r="DK69" s="100"/>
      <c r="DL69" s="100"/>
      <c r="DM69" s="100"/>
      <c r="DN69" s="100"/>
      <c r="DO69" s="100"/>
      <c r="DP69" s="100"/>
      <c r="DQ69" s="100"/>
      <c r="DR69" s="100"/>
      <c r="DS69" s="100"/>
      <c r="DT69" s="100"/>
      <c r="DU69" s="100"/>
      <c r="DV69" s="100"/>
      <c r="DW69" s="100"/>
      <c r="DX69" s="100"/>
      <c r="DY69" s="100"/>
      <c r="DZ69" s="100"/>
      <c r="EA69" s="100"/>
      <c r="EB69" s="100"/>
      <c r="EC69" s="100"/>
      <c r="ED69" s="100"/>
      <c r="EE69" s="100"/>
      <c r="EF69" s="100"/>
      <c r="EG69" s="100"/>
      <c r="EH69" s="100"/>
      <c r="EI69" s="100"/>
      <c r="EJ69" s="100"/>
      <c r="EK69" s="100"/>
      <c r="EL69" s="100"/>
      <c r="EM69" s="100"/>
      <c r="EN69" s="100"/>
      <c r="EO69" s="100"/>
      <c r="EP69" s="100"/>
      <c r="EQ69" s="100"/>
      <c r="ER69" s="100"/>
      <c r="ES69" s="100"/>
      <c r="ET69" s="100"/>
      <c r="EU69" s="100"/>
      <c r="EV69" s="100"/>
      <c r="EW69" s="100"/>
      <c r="EX69" s="100"/>
      <c r="EY69" s="100"/>
      <c r="EZ69" s="100"/>
      <c r="FA69" s="100"/>
      <c r="FB69" s="100"/>
      <c r="FC69" s="100"/>
      <c r="FD69" s="100"/>
      <c r="FE69" s="100"/>
      <c r="FF69" s="100"/>
      <c r="FG69" s="100"/>
      <c r="FH69" s="100"/>
      <c r="FI69" s="100"/>
      <c r="FJ69" s="100"/>
      <c r="FK69" s="100"/>
      <c r="FL69" s="100"/>
      <c r="FM69" s="100"/>
      <c r="FN69" s="100"/>
      <c r="FO69" s="100"/>
      <c r="FP69" s="100"/>
      <c r="FQ69" s="100"/>
      <c r="FR69" s="100"/>
      <c r="FS69" s="100"/>
      <c r="FT69" s="100"/>
      <c r="FU69" s="100"/>
      <c r="FV69" s="100"/>
      <c r="FW69" s="100"/>
      <c r="FX69" s="100"/>
      <c r="FY69" s="100"/>
      <c r="FZ69" s="100"/>
      <c r="GA69" s="100"/>
      <c r="GB69" s="100"/>
      <c r="GC69" s="100"/>
      <c r="GD69" s="100"/>
      <c r="GE69" s="100"/>
      <c r="GF69" s="100"/>
      <c r="GG69" s="100"/>
      <c r="GH69" s="100"/>
      <c r="GI69" s="100"/>
      <c r="GJ69" s="100"/>
      <c r="GK69" s="100"/>
      <c r="GL69" s="100"/>
      <c r="GM69" s="100"/>
      <c r="GN69" s="100"/>
      <c r="GO69" s="100"/>
      <c r="GP69" s="100"/>
      <c r="GQ69" s="100"/>
      <c r="GR69" s="100"/>
      <c r="GS69" s="100"/>
      <c r="GT69" s="100"/>
      <c r="GU69" s="100"/>
      <c r="GV69" s="100"/>
      <c r="GW69" s="100"/>
      <c r="GX69" s="100"/>
      <c r="GY69" s="100"/>
      <c r="GZ69" s="100"/>
      <c r="HA69" s="100"/>
      <c r="HB69" s="100"/>
      <c r="HC69" s="100"/>
      <c r="HD69" s="100"/>
      <c r="HE69" s="100"/>
      <c r="HF69" s="100"/>
      <c r="HG69" s="100"/>
      <c r="HH69" s="100"/>
      <c r="HI69" s="100"/>
      <c r="HJ69" s="100"/>
      <c r="HK69" s="100"/>
      <c r="HL69" s="100"/>
      <c r="HM69" s="100"/>
      <c r="HN69" s="100"/>
      <c r="HO69" s="100"/>
      <c r="HP69" s="100"/>
      <c r="HQ69" s="100"/>
      <c r="HR69" s="100"/>
      <c r="HS69" s="100"/>
      <c r="HT69" s="100"/>
      <c r="HU69" s="100"/>
      <c r="HV69" s="100"/>
      <c r="HW69" s="100"/>
      <c r="HX69" s="100"/>
      <c r="HY69" s="100"/>
      <c r="HZ69" s="100"/>
      <c r="IA69" s="100"/>
      <c r="IB69" s="100"/>
      <c r="IC69" s="100"/>
      <c r="ID69" s="100"/>
      <c r="IE69" s="100"/>
      <c r="IF69" s="100"/>
      <c r="IG69" s="100"/>
      <c r="IH69" s="100"/>
      <c r="II69" s="100"/>
      <c r="IJ69" s="100"/>
      <c r="IK69" s="100"/>
      <c r="IL69" s="100"/>
      <c r="IM69" s="100"/>
      <c r="IN69" s="100"/>
      <c r="IO69" s="100"/>
      <c r="IP69" s="100"/>
      <c r="IQ69" s="100"/>
      <c r="IR69" s="100"/>
      <c r="IS69" s="100"/>
      <c r="IT69" s="100"/>
      <c r="IU69" s="100"/>
      <c r="IV69" s="100"/>
      <c r="IW69" s="100"/>
    </row>
    <row r="70" customFormat="false" ht="12.75" hidden="false" customHeight="false" outlineLevel="0" collapsed="false">
      <c r="A70" s="100"/>
      <c r="B70" s="100" t="s">
        <v>676</v>
      </c>
      <c r="C70" s="100"/>
      <c r="D70" s="130"/>
      <c r="E70" s="100" t="n">
        <f aca="false">-CashFlow!E63</f>
        <v>-573.300936572961</v>
      </c>
      <c r="F70" s="100" t="n">
        <f aca="false">-CashFlow!F63</f>
        <v>-571.607553384322</v>
      </c>
      <c r="G70" s="100" t="n">
        <f aca="false">-CashFlow!G63</f>
        <v>-569.738018319113</v>
      </c>
      <c r="H70" s="100" t="n">
        <f aca="false">-CashFlow!H63</f>
        <v>-567.626944867061</v>
      </c>
      <c r="I70" s="100" t="n">
        <f aca="false">-CashFlow!I63</f>
        <v>-565.310185632573</v>
      </c>
      <c r="J70" s="100" t="n">
        <f aca="false">-CashFlow!J63</f>
        <v>-562.879487597114</v>
      </c>
      <c r="K70" s="100" t="n">
        <f aca="false">-CashFlow!K63</f>
        <v>-557.665789727338</v>
      </c>
      <c r="L70" s="100" t="n">
        <f aca="false">-CashFlow!L63</f>
        <v>-552.22807750722</v>
      </c>
      <c r="M70" s="100" t="n">
        <f aca="false">-CashFlow!M63</f>
        <v>-546.560279836952</v>
      </c>
      <c r="N70" s="100" t="n">
        <f aca="false">-CashFlow!N63</f>
        <v>-540.393558379574</v>
      </c>
      <c r="O70" s="100" t="n">
        <f aca="false">-CashFlow!O63</f>
        <v>-547.036344776273</v>
      </c>
      <c r="P70" s="100" t="n">
        <f aca="false">-CashFlow!P63</f>
        <v>-540.436096296459</v>
      </c>
      <c r="Q70" s="100" t="n">
        <f aca="false">-CashFlow!Q63</f>
        <v>-533.321999723709</v>
      </c>
      <c r="R70" s="100" t="n">
        <f aca="false">-CashFlow!R63</f>
        <v>-525.661489031909</v>
      </c>
      <c r="S70" s="100" t="n">
        <f aca="false">-CashFlow!S63</f>
        <v>-517.395799501174</v>
      </c>
      <c r="T70" s="100" t="n">
        <f aca="false">-CashFlow!T63</f>
        <v>-509.111721360887</v>
      </c>
      <c r="U70" s="100" t="n">
        <f aca="false">-CashFlow!U63</f>
        <v>-590.594573693744</v>
      </c>
      <c r="V70" s="100" t="n">
        <f aca="false">-CashFlow!V63</f>
        <v>-2030.82975075773</v>
      </c>
      <c r="W70" s="100" t="n">
        <f aca="false">-CashFlow!W63</f>
        <v>-1999.73505602653</v>
      </c>
      <c r="X70" s="100" t="n">
        <f aca="false">-CashFlow!X63</f>
        <v>-2166.2171441291</v>
      </c>
      <c r="Y70" s="100" t="n">
        <f aca="false">-CashFlow!Y63</f>
        <v>-0</v>
      </c>
      <c r="Z70" s="100" t="n">
        <f aca="false">-CashFlow!Z63</f>
        <v>-0</v>
      </c>
      <c r="AA70" s="100" t="n">
        <f aca="false">-CashFlow!AA63</f>
        <v>-0</v>
      </c>
      <c r="AB70" s="100" t="n">
        <f aca="false">-CashFlow!AB63</f>
        <v>-0</v>
      </c>
      <c r="AC70" s="100" t="n">
        <f aca="false">-CashFlow!AC63</f>
        <v>-0</v>
      </c>
      <c r="AD70" s="100" t="n">
        <f aca="false">-CashFlow!AD63</f>
        <v>-0</v>
      </c>
      <c r="AE70" s="100" t="n">
        <f aca="false">-CashFlow!AE63</f>
        <v>-0</v>
      </c>
      <c r="AF70" s="100" t="n">
        <f aca="false">-CashFlow!AF63</f>
        <v>-0</v>
      </c>
      <c r="AG70" s="100" t="n">
        <f aca="false">-CashFlow!AG63</f>
        <v>-0</v>
      </c>
      <c r="AH70" s="100" t="n">
        <f aca="false">-CashFlow!AH63</f>
        <v>-0</v>
      </c>
      <c r="AI70" s="100" t="n">
        <f aca="false">-CashFlow!AI63</f>
        <v>-0</v>
      </c>
      <c r="AJ70" s="102"/>
      <c r="AK70" s="102"/>
      <c r="AL70" s="100"/>
      <c r="AM70" s="570" t="n">
        <f aca="false">D70/D$57</f>
        <v>0</v>
      </c>
      <c r="AN70" s="451" t="n">
        <f aca="false">E70/E$57</f>
        <v>-0.0181526629927765</v>
      </c>
      <c r="AO70" s="451" t="n">
        <f aca="false">F70/F$57</f>
        <v>-0.0290814272841216</v>
      </c>
      <c r="AP70" s="451" t="n">
        <f aca="false">G70/G$57</f>
        <v>-0.0457387500173739</v>
      </c>
      <c r="AQ70" s="451" t="n">
        <f aca="false">H70/H$57</f>
        <v>-0.0701300468831431</v>
      </c>
      <c r="AR70" s="451" t="n">
        <f aca="false">I70/I$57</f>
        <v>-0.151497347920703</v>
      </c>
      <c r="AS70" s="451" t="n">
        <f aca="false">J70/J$57</f>
        <v>-0.376124593670387</v>
      </c>
      <c r="AT70" s="451" t="n">
        <f aca="false">K70/K$57</f>
        <v>-0.401477320185699</v>
      </c>
      <c r="AU70" s="451" t="n">
        <f aca="false">L70/L$57</f>
        <v>-0.430908170364364</v>
      </c>
      <c r="AV70" s="451" t="n">
        <f aca="false">M70/M$57</f>
        <v>-0.465532081146735</v>
      </c>
      <c r="AW70" s="451" t="n">
        <f aca="false">N70/N$57</f>
        <v>-0.506667080212621</v>
      </c>
      <c r="AX70" s="451" t="n">
        <f aca="false">O70/O$57</f>
        <v>-0.570378693679915</v>
      </c>
      <c r="AY70" s="451" t="n">
        <f aca="false">P70/P$57</f>
        <v>-0.634623013025245</v>
      </c>
      <c r="AZ70" s="451" t="n">
        <f aca="false">Q70/Q$57</f>
        <v>-0.716737803054683</v>
      </c>
      <c r="BA70" s="451" t="n">
        <f aca="false">R70/R$57</f>
        <v>-0.825724078866064</v>
      </c>
      <c r="BB70" s="451" t="n">
        <f aca="false">S70/S$57</f>
        <v>-0.977847534822545</v>
      </c>
      <c r="BC70" s="451" t="n">
        <f aca="false">T70/T$57</f>
        <v>-1.20749206941478</v>
      </c>
      <c r="BD70" s="451" t="n">
        <f aca="false">U70/U$57</f>
        <v>-1.88004985233245</v>
      </c>
      <c r="BE70" s="451" t="n">
        <f aca="false">V70/V$57</f>
        <v>-7.37790077099705</v>
      </c>
      <c r="BF70" s="451" t="n">
        <f aca="false">W70/W$57</f>
        <v>-8.45985906644317</v>
      </c>
      <c r="BG70" s="451" t="n">
        <f aca="false">X70/X$57</f>
        <v>-781712718197386</v>
      </c>
      <c r="BH70" s="451" t="n">
        <f aca="false">Y70/Y$57</f>
        <v>-0</v>
      </c>
      <c r="BI70" s="451" t="n">
        <f aca="false">Z70/Z$57</f>
        <v>-0</v>
      </c>
      <c r="BJ70" s="451" t="n">
        <f aca="false">AA70/AA$57</f>
        <v>-0</v>
      </c>
      <c r="BK70" s="451" t="n">
        <f aca="false">AB70/AB$57</f>
        <v>-0</v>
      </c>
      <c r="BL70" s="451" t="n">
        <f aca="false">AC70/AC$57</f>
        <v>-0</v>
      </c>
      <c r="BM70" s="451" t="n">
        <f aca="false">AD70/AD$57</f>
        <v>-0</v>
      </c>
      <c r="BN70" s="451" t="n">
        <f aca="false">AE70/AE$57</f>
        <v>-0</v>
      </c>
      <c r="BO70" s="451" t="n">
        <f aca="false">AF70/AF$57</f>
        <v>-0</v>
      </c>
      <c r="BP70" s="451" t="n">
        <f aca="false">AG70/AG$57</f>
        <v>-0</v>
      </c>
      <c r="BQ70" s="451" t="n">
        <f aca="false">AH70/AH$57</f>
        <v>-0</v>
      </c>
      <c r="BR70" s="451" t="n">
        <f aca="false">AI70/AI$57</f>
        <v>-0</v>
      </c>
      <c r="BS70" s="100"/>
      <c r="BT70" s="100"/>
      <c r="BU70" s="100"/>
      <c r="BV70" s="100"/>
      <c r="BW70" s="100"/>
      <c r="BX70" s="100"/>
      <c r="BY70" s="100"/>
      <c r="BZ70" s="100"/>
      <c r="CA70" s="100"/>
      <c r="CB70" s="100"/>
      <c r="CC70" s="100"/>
      <c r="CD70" s="100"/>
      <c r="CE70" s="100"/>
      <c r="CF70" s="100"/>
      <c r="CG70" s="100"/>
      <c r="CH70" s="100"/>
      <c r="CI70" s="100"/>
      <c r="CJ70" s="100"/>
      <c r="CK70" s="100"/>
      <c r="CL70" s="100"/>
      <c r="CM70" s="100"/>
      <c r="CN70" s="100"/>
      <c r="CO70" s="100"/>
      <c r="CP70" s="100"/>
      <c r="CQ70" s="100"/>
      <c r="CR70" s="100"/>
      <c r="CS70" s="100"/>
      <c r="CT70" s="100"/>
      <c r="CU70" s="100"/>
      <c r="CV70" s="100"/>
      <c r="CW70" s="100"/>
      <c r="CX70" s="100"/>
      <c r="CY70" s="100"/>
      <c r="CZ70" s="100"/>
      <c r="DA70" s="100"/>
      <c r="DB70" s="100"/>
      <c r="DC70" s="100"/>
      <c r="DD70" s="100"/>
      <c r="DE70" s="100"/>
      <c r="DF70" s="100"/>
      <c r="DG70" s="100"/>
      <c r="DH70" s="100"/>
      <c r="DI70" s="100"/>
      <c r="DJ70" s="100"/>
      <c r="DK70" s="100"/>
      <c r="DL70" s="100"/>
      <c r="DM70" s="100"/>
      <c r="DN70" s="100"/>
      <c r="DO70" s="100"/>
      <c r="DP70" s="100"/>
      <c r="DQ70" s="100"/>
      <c r="DR70" s="100"/>
      <c r="DS70" s="100"/>
      <c r="DT70" s="100"/>
      <c r="DU70" s="100"/>
      <c r="DV70" s="100"/>
      <c r="DW70" s="100"/>
      <c r="DX70" s="100"/>
      <c r="DY70" s="100"/>
      <c r="DZ70" s="100"/>
      <c r="EA70" s="100"/>
      <c r="EB70" s="100"/>
      <c r="EC70" s="100"/>
      <c r="ED70" s="100"/>
      <c r="EE70" s="100"/>
      <c r="EF70" s="100"/>
      <c r="EG70" s="100"/>
      <c r="EH70" s="100"/>
      <c r="EI70" s="100"/>
      <c r="EJ70" s="100"/>
      <c r="EK70" s="100"/>
      <c r="EL70" s="100"/>
      <c r="EM70" s="100"/>
      <c r="EN70" s="100"/>
      <c r="EO70" s="100"/>
      <c r="EP70" s="100"/>
      <c r="EQ70" s="100"/>
      <c r="ER70" s="100"/>
      <c r="ES70" s="100"/>
      <c r="ET70" s="100"/>
      <c r="EU70" s="100"/>
      <c r="EV70" s="100"/>
      <c r="EW70" s="100"/>
      <c r="EX70" s="100"/>
      <c r="EY70" s="100"/>
      <c r="EZ70" s="100"/>
      <c r="FA70" s="100"/>
      <c r="FB70" s="100"/>
      <c r="FC70" s="100"/>
      <c r="FD70" s="100"/>
      <c r="FE70" s="100"/>
      <c r="FF70" s="100"/>
      <c r="FG70" s="100"/>
      <c r="FH70" s="100"/>
      <c r="FI70" s="100"/>
      <c r="FJ70" s="100"/>
      <c r="FK70" s="100"/>
      <c r="FL70" s="100"/>
      <c r="FM70" s="100"/>
      <c r="FN70" s="100"/>
      <c r="FO70" s="100"/>
      <c r="FP70" s="100"/>
      <c r="FQ70" s="100"/>
      <c r="FR70" s="100"/>
      <c r="FS70" s="100"/>
      <c r="FT70" s="100"/>
      <c r="FU70" s="100"/>
      <c r="FV70" s="100"/>
      <c r="FW70" s="100"/>
      <c r="FX70" s="100"/>
      <c r="FY70" s="100"/>
      <c r="FZ70" s="100"/>
      <c r="GA70" s="100"/>
      <c r="GB70" s="100"/>
      <c r="GC70" s="100"/>
      <c r="GD70" s="100"/>
      <c r="GE70" s="100"/>
      <c r="GF70" s="100"/>
      <c r="GG70" s="100"/>
      <c r="GH70" s="100"/>
      <c r="GI70" s="100"/>
      <c r="GJ70" s="100"/>
      <c r="GK70" s="100"/>
      <c r="GL70" s="100"/>
      <c r="GM70" s="100"/>
      <c r="GN70" s="100"/>
      <c r="GO70" s="100"/>
      <c r="GP70" s="100"/>
      <c r="GQ70" s="100"/>
      <c r="GR70" s="100"/>
      <c r="GS70" s="100"/>
      <c r="GT70" s="100"/>
      <c r="GU70" s="100"/>
      <c r="GV70" s="100"/>
      <c r="GW70" s="100"/>
      <c r="GX70" s="100"/>
      <c r="GY70" s="100"/>
      <c r="GZ70" s="100"/>
      <c r="HA70" s="100"/>
      <c r="HB70" s="100"/>
      <c r="HC70" s="100"/>
      <c r="HD70" s="100"/>
      <c r="HE70" s="100"/>
      <c r="HF70" s="100"/>
      <c r="HG70" s="100"/>
      <c r="HH70" s="100"/>
      <c r="HI70" s="100"/>
      <c r="HJ70" s="100"/>
      <c r="HK70" s="100"/>
      <c r="HL70" s="100"/>
      <c r="HM70" s="100"/>
      <c r="HN70" s="100"/>
      <c r="HO70" s="100"/>
      <c r="HP70" s="100"/>
      <c r="HQ70" s="100"/>
      <c r="HR70" s="100"/>
      <c r="HS70" s="100"/>
      <c r="HT70" s="100"/>
      <c r="HU70" s="100"/>
      <c r="HV70" s="100"/>
      <c r="HW70" s="100"/>
      <c r="HX70" s="100"/>
      <c r="HY70" s="100"/>
      <c r="HZ70" s="100"/>
      <c r="IA70" s="100"/>
      <c r="IB70" s="100"/>
      <c r="IC70" s="100"/>
      <c r="ID70" s="100"/>
      <c r="IE70" s="100"/>
      <c r="IF70" s="100"/>
      <c r="IG70" s="100"/>
      <c r="IH70" s="100"/>
      <c r="II70" s="100"/>
      <c r="IJ70" s="100"/>
      <c r="IK70" s="100"/>
      <c r="IL70" s="100"/>
      <c r="IM70" s="100"/>
      <c r="IN70" s="100"/>
      <c r="IO70" s="100"/>
      <c r="IP70" s="100"/>
      <c r="IQ70" s="100"/>
      <c r="IR70" s="100"/>
      <c r="IS70" s="100"/>
      <c r="IT70" s="100"/>
      <c r="IU70" s="100"/>
      <c r="IV70" s="100"/>
      <c r="IW70" s="100"/>
    </row>
    <row r="71" customFormat="false" ht="13.5" hidden="false" customHeight="false" outlineLevel="0" collapsed="false">
      <c r="A71" s="313"/>
      <c r="B71" s="313" t="s">
        <v>677</v>
      </c>
      <c r="C71" s="100"/>
      <c r="D71" s="724" t="n">
        <f aca="false">SUM(D66:D70)</f>
        <v>26495.8086355692</v>
      </c>
      <c r="E71" s="724" t="n">
        <f aca="false">SUM(E66:E70)</f>
        <v>19331.813945145</v>
      </c>
      <c r="F71" s="724" t="n">
        <f aca="false">SUM(F66:F70)</f>
        <v>7762.29440874407</v>
      </c>
      <c r="G71" s="724" t="n">
        <f aca="false">SUM(G66:G70)</f>
        <v>953.384524400172</v>
      </c>
      <c r="H71" s="724" t="n">
        <f aca="false">SUM(H66:H70)</f>
        <v>-2976.20354182176</v>
      </c>
      <c r="I71" s="724" t="n">
        <f aca="false">SUM(I66:I70)</f>
        <v>-6862.62431906961</v>
      </c>
      <c r="J71" s="724" t="n">
        <f aca="false">SUM(J66:J70)</f>
        <v>-8574.33882478008</v>
      </c>
      <c r="K71" s="724" t="n">
        <f aca="false">SUM(K66:K70)</f>
        <v>-8116.48345932907</v>
      </c>
      <c r="L71" s="724" t="n">
        <f aca="false">SUM(L66:L70)</f>
        <v>-7606.80733418058</v>
      </c>
      <c r="M71" s="724" t="n">
        <f aca="false">SUM(M66:M70)</f>
        <v>-7043.41533334514</v>
      </c>
      <c r="N71" s="724" t="n">
        <f aca="false">SUM(N66:N70)</f>
        <v>-6421.3434421065</v>
      </c>
      <c r="O71" s="724" t="n">
        <f aca="false">SUM(O66:O70)</f>
        <v>-5704.3894180873</v>
      </c>
      <c r="P71" s="724" t="n">
        <f aca="false">SUM(P66:P70)</f>
        <v>-4912.18478284193</v>
      </c>
      <c r="Q71" s="724" t="n">
        <f aca="false">SUM(Q66:Q70)</f>
        <v>-4040.25807966234</v>
      </c>
      <c r="R71" s="724" t="n">
        <f aca="false">SUM(R66:R70)</f>
        <v>-3081.54216800579</v>
      </c>
      <c r="S71" s="724" t="n">
        <f aca="false">SUM(S66:S70)</f>
        <v>-2029.464731541</v>
      </c>
      <c r="T71" s="724" t="n">
        <f aca="false">SUM(T66:T70)</f>
        <v>-873.50535452276</v>
      </c>
      <c r="U71" s="724" t="n">
        <f aca="false">SUM(U66:U70)</f>
        <v>314.137719784949</v>
      </c>
      <c r="V71" s="724" t="n">
        <f aca="false">SUM(V66:V70)</f>
        <v>275.258479856634</v>
      </c>
      <c r="W71" s="724" t="n">
        <f aca="false">SUM(W66:W70)</f>
        <v>236.379239928318</v>
      </c>
      <c r="X71" s="724" t="n">
        <f aca="false">SUM(X66:X70)</f>
        <v>0</v>
      </c>
      <c r="Y71" s="724" t="n">
        <f aca="false">SUM(Y66:Y70)</f>
        <v>0</v>
      </c>
      <c r="Z71" s="724" t="n">
        <f aca="false">SUM(Z66:Z70)</f>
        <v>0</v>
      </c>
      <c r="AA71" s="724" t="n">
        <f aca="false">SUM(AA66:AA70)</f>
        <v>0</v>
      </c>
      <c r="AB71" s="724" t="n">
        <f aca="false">SUM(AB66:AB70)</f>
        <v>0</v>
      </c>
      <c r="AC71" s="724" t="n">
        <f aca="false">SUM(AC66:AC70)</f>
        <v>0</v>
      </c>
      <c r="AD71" s="724" t="n">
        <f aca="false">SUM(AD66:AD70)</f>
        <v>0</v>
      </c>
      <c r="AE71" s="724" t="n">
        <f aca="false">SUM(AE66:AE70)</f>
        <v>0</v>
      </c>
      <c r="AF71" s="724" t="n">
        <f aca="false">SUM(AF66:AF70)</f>
        <v>0</v>
      </c>
      <c r="AG71" s="724" t="n">
        <f aca="false">SUM(AG66:AG70)</f>
        <v>0</v>
      </c>
      <c r="AH71" s="724" t="n">
        <f aca="false">SUM(AH66:AH70)</f>
        <v>0</v>
      </c>
      <c r="AI71" s="724" t="n">
        <f aca="false">SUM(AI66:AI70)</f>
        <v>0</v>
      </c>
      <c r="AJ71" s="1045"/>
      <c r="AK71" s="1045"/>
      <c r="AL71" s="313"/>
      <c r="AM71" s="1068" t="n">
        <f aca="false">D71/D$57</f>
        <v>0.678045524887048</v>
      </c>
      <c r="AN71" s="1068" t="n">
        <f aca="false">E71/E$57</f>
        <v>0.612111163960422</v>
      </c>
      <c r="AO71" s="1068" t="n">
        <f aca="false">F71/F$57</f>
        <v>0.394918854849453</v>
      </c>
      <c r="AP71" s="1068" t="n">
        <f aca="false">G71/G$57</f>
        <v>0.0765380140167304</v>
      </c>
      <c r="AQ71" s="1068" t="n">
        <f aca="false">H71/H$57</f>
        <v>-0.367708573049892</v>
      </c>
      <c r="AR71" s="1068" t="n">
        <f aca="false">I71/I$57</f>
        <v>-1.839113128577</v>
      </c>
      <c r="AS71" s="1068" t="n">
        <f aca="false">J71/J$57</f>
        <v>-5.72950298869474</v>
      </c>
      <c r="AT71" s="1068" t="n">
        <f aca="false">K71/K$57</f>
        <v>-5.84325610178854</v>
      </c>
      <c r="AU71" s="1068" t="n">
        <f aca="false">L71/L$57</f>
        <v>-5.93565514720341</v>
      </c>
      <c r="AV71" s="1068" t="n">
        <f aca="false">M71/M$57</f>
        <v>-5.9992207986485</v>
      </c>
      <c r="AW71" s="1068" t="n">
        <f aca="false">N71/N$57</f>
        <v>-6.02058126416323</v>
      </c>
      <c r="AX71" s="1068" t="n">
        <f aca="false">O71/O$57</f>
        <v>-5.94779892707285</v>
      </c>
      <c r="AY71" s="1068" t="n">
        <f aca="false">P71/P$57</f>
        <v>-5.76827774604058</v>
      </c>
      <c r="AZ71" s="1068" t="n">
        <f aca="false">Q71/Q$57</f>
        <v>-5.42975107213149</v>
      </c>
      <c r="BA71" s="1068" t="n">
        <f aca="false">R71/R$57</f>
        <v>-4.84057444050093</v>
      </c>
      <c r="BB71" s="1068" t="n">
        <f aca="false">S71/S$57</f>
        <v>-3.8355686046542</v>
      </c>
      <c r="BC71" s="1068" t="n">
        <f aca="false">T71/T$57</f>
        <v>-2.07174720974439</v>
      </c>
      <c r="BD71" s="1068" t="n">
        <f aca="false">U71/U$57</f>
        <v>1</v>
      </c>
      <c r="BE71" s="1068" t="n">
        <f aca="false">V71/V$57</f>
        <v>1</v>
      </c>
      <c r="BF71" s="1068" t="n">
        <f aca="false">W71/W$57</f>
        <v>1</v>
      </c>
      <c r="BG71" s="1068" t="n">
        <f aca="false">X71/X$57</f>
        <v>0</v>
      </c>
      <c r="BH71" s="1068" t="n">
        <f aca="false">Y71/Y$57</f>
        <v>0</v>
      </c>
      <c r="BI71" s="1068" t="n">
        <f aca="false">Z71/Z$57</f>
        <v>0</v>
      </c>
      <c r="BJ71" s="1068" t="n">
        <f aca="false">AA71/AA$57</f>
        <v>0</v>
      </c>
      <c r="BK71" s="1068" t="n">
        <f aca="false">AB71/AB$57</f>
        <v>0</v>
      </c>
      <c r="BL71" s="1068" t="n">
        <f aca="false">AC71/AC$57</f>
        <v>0</v>
      </c>
      <c r="BM71" s="1068" t="n">
        <f aca="false">AD71/AD$57</f>
        <v>0</v>
      </c>
      <c r="BN71" s="1068" t="n">
        <f aca="false">AE71/AE$57</f>
        <v>0</v>
      </c>
      <c r="BO71" s="1068" t="n">
        <f aca="false">AF71/AF$57</f>
        <v>0</v>
      </c>
      <c r="BP71" s="1068" t="n">
        <f aca="false">AG71/AG$57</f>
        <v>0</v>
      </c>
      <c r="BQ71" s="1068" t="n">
        <f aca="false">AH71/AH$57</f>
        <v>0</v>
      </c>
      <c r="BR71" s="451" t="n">
        <f aca="false">AI71/AI$57</f>
        <v>0</v>
      </c>
      <c r="BS71" s="313"/>
      <c r="BT71" s="313"/>
      <c r="BU71" s="313"/>
      <c r="BV71" s="313"/>
      <c r="BW71" s="313"/>
      <c r="BX71" s="313"/>
      <c r="BY71" s="313"/>
      <c r="BZ71" s="313"/>
      <c r="CA71" s="313"/>
      <c r="CB71" s="313"/>
      <c r="CC71" s="313"/>
      <c r="CD71" s="313"/>
      <c r="CE71" s="313"/>
      <c r="CF71" s="313"/>
      <c r="CG71" s="313"/>
      <c r="CH71" s="313"/>
      <c r="CI71" s="313"/>
      <c r="CJ71" s="313"/>
      <c r="CK71" s="313"/>
      <c r="CL71" s="313"/>
      <c r="CM71" s="313"/>
      <c r="CN71" s="313"/>
      <c r="CO71" s="313"/>
      <c r="CP71" s="313"/>
      <c r="CQ71" s="313"/>
      <c r="CR71" s="313"/>
      <c r="CS71" s="313"/>
      <c r="CT71" s="313"/>
      <c r="CU71" s="313"/>
      <c r="CV71" s="313"/>
      <c r="CW71" s="313"/>
      <c r="CX71" s="313"/>
      <c r="CY71" s="313"/>
      <c r="CZ71" s="313"/>
      <c r="DA71" s="313"/>
      <c r="DB71" s="313"/>
      <c r="DC71" s="313"/>
      <c r="DD71" s="313"/>
      <c r="DE71" s="313"/>
      <c r="DF71" s="313"/>
      <c r="DG71" s="313"/>
      <c r="DH71" s="313"/>
      <c r="DI71" s="313"/>
      <c r="DJ71" s="313"/>
      <c r="DK71" s="313"/>
      <c r="DL71" s="313"/>
      <c r="DM71" s="313"/>
      <c r="DN71" s="313"/>
      <c r="DO71" s="313"/>
      <c r="DP71" s="313"/>
      <c r="DQ71" s="313"/>
      <c r="DR71" s="313"/>
      <c r="DS71" s="313"/>
      <c r="DT71" s="313"/>
      <c r="DU71" s="313"/>
      <c r="DV71" s="313"/>
      <c r="DW71" s="313"/>
      <c r="DX71" s="313"/>
      <c r="DY71" s="313"/>
      <c r="DZ71" s="313"/>
      <c r="EA71" s="313"/>
      <c r="EB71" s="313"/>
      <c r="EC71" s="313"/>
      <c r="ED71" s="313"/>
      <c r="EE71" s="313"/>
      <c r="EF71" s="313"/>
      <c r="EG71" s="313"/>
      <c r="EH71" s="313"/>
      <c r="EI71" s="313"/>
      <c r="EJ71" s="313"/>
      <c r="EK71" s="313"/>
      <c r="EL71" s="313"/>
      <c r="EM71" s="313"/>
      <c r="EN71" s="313"/>
      <c r="EO71" s="313"/>
      <c r="EP71" s="313"/>
      <c r="EQ71" s="313"/>
      <c r="ER71" s="313"/>
      <c r="ES71" s="313"/>
      <c r="ET71" s="313"/>
      <c r="EU71" s="313"/>
      <c r="EV71" s="313"/>
      <c r="EW71" s="313"/>
      <c r="EX71" s="313"/>
      <c r="EY71" s="313"/>
      <c r="EZ71" s="313"/>
      <c r="FA71" s="313"/>
      <c r="FB71" s="313"/>
      <c r="FC71" s="313"/>
      <c r="FD71" s="313"/>
      <c r="FE71" s="313"/>
      <c r="FF71" s="313"/>
      <c r="FG71" s="313"/>
      <c r="FH71" s="313"/>
      <c r="FI71" s="313"/>
      <c r="FJ71" s="313"/>
      <c r="FK71" s="313"/>
      <c r="FL71" s="313"/>
      <c r="FM71" s="313"/>
      <c r="FN71" s="313"/>
      <c r="FO71" s="313"/>
      <c r="FP71" s="313"/>
      <c r="FQ71" s="313"/>
      <c r="FR71" s="313"/>
      <c r="FS71" s="313"/>
      <c r="FT71" s="313"/>
      <c r="FU71" s="313"/>
      <c r="FV71" s="313"/>
      <c r="FW71" s="313"/>
      <c r="FX71" s="313"/>
      <c r="FY71" s="313"/>
      <c r="FZ71" s="313"/>
      <c r="GA71" s="313"/>
      <c r="GB71" s="313"/>
      <c r="GC71" s="313"/>
      <c r="GD71" s="313"/>
      <c r="GE71" s="313"/>
      <c r="GF71" s="313"/>
      <c r="GG71" s="313"/>
      <c r="GH71" s="313"/>
      <c r="GI71" s="313"/>
      <c r="GJ71" s="313"/>
      <c r="GK71" s="313"/>
      <c r="GL71" s="313"/>
      <c r="GM71" s="313"/>
      <c r="GN71" s="313"/>
      <c r="GO71" s="313"/>
      <c r="GP71" s="313"/>
      <c r="GQ71" s="313"/>
      <c r="GR71" s="313"/>
      <c r="GS71" s="313"/>
      <c r="GT71" s="313"/>
      <c r="GU71" s="313"/>
      <c r="GV71" s="313"/>
      <c r="GW71" s="313"/>
      <c r="GX71" s="313"/>
      <c r="GY71" s="313"/>
      <c r="GZ71" s="313"/>
      <c r="HA71" s="313"/>
      <c r="HB71" s="313"/>
      <c r="HC71" s="313"/>
      <c r="HD71" s="313"/>
      <c r="HE71" s="313"/>
      <c r="HF71" s="313"/>
      <c r="HG71" s="313"/>
      <c r="HH71" s="313"/>
      <c r="HI71" s="313"/>
      <c r="HJ71" s="313"/>
      <c r="HK71" s="313"/>
      <c r="HL71" s="313"/>
      <c r="HM71" s="313"/>
      <c r="HN71" s="313"/>
      <c r="HO71" s="313"/>
      <c r="HP71" s="313"/>
      <c r="HQ71" s="313"/>
      <c r="HR71" s="313"/>
      <c r="HS71" s="313"/>
      <c r="HT71" s="313"/>
      <c r="HU71" s="313"/>
      <c r="HV71" s="313"/>
      <c r="HW71" s="313"/>
      <c r="HX71" s="313"/>
      <c r="HY71" s="313"/>
      <c r="HZ71" s="313"/>
      <c r="IA71" s="313"/>
      <c r="IB71" s="313"/>
      <c r="IC71" s="313"/>
      <c r="ID71" s="313"/>
      <c r="IE71" s="313"/>
      <c r="IF71" s="313"/>
      <c r="IG71" s="313"/>
      <c r="IH71" s="313"/>
      <c r="II71" s="313"/>
      <c r="IJ71" s="313"/>
      <c r="IK71" s="313"/>
      <c r="IL71" s="313"/>
      <c r="IM71" s="313"/>
      <c r="IN71" s="313"/>
      <c r="IO71" s="313"/>
      <c r="IP71" s="313"/>
      <c r="IQ71" s="313"/>
      <c r="IR71" s="313"/>
      <c r="IS71" s="313"/>
      <c r="IT71" s="313"/>
      <c r="IU71" s="313"/>
      <c r="IV71" s="313"/>
      <c r="IW71" s="313"/>
    </row>
    <row r="72" customFormat="false" ht="13.5" hidden="false" customHeight="false" outlineLevel="0" collapsed="false">
      <c r="A72" s="100"/>
      <c r="B72" s="100"/>
      <c r="C72" s="100"/>
      <c r="D72" s="130"/>
      <c r="E72" s="100"/>
      <c r="F72" s="100"/>
      <c r="G72" s="100"/>
      <c r="H72" s="100"/>
      <c r="I72" s="100"/>
      <c r="J72" s="100"/>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2"/>
      <c r="AK72" s="102"/>
      <c r="AL72" s="100"/>
      <c r="AM72" s="570"/>
      <c r="AN72" s="451"/>
      <c r="AO72" s="451"/>
      <c r="AP72" s="451"/>
      <c r="AQ72" s="451"/>
      <c r="AR72" s="451"/>
      <c r="AS72" s="451"/>
      <c r="AT72" s="451"/>
      <c r="AU72" s="451"/>
      <c r="AV72" s="451"/>
      <c r="AW72" s="451"/>
      <c r="AX72" s="451"/>
      <c r="AY72" s="451"/>
      <c r="AZ72" s="451"/>
      <c r="BA72" s="451"/>
      <c r="BB72" s="451"/>
      <c r="BC72" s="451"/>
      <c r="BD72" s="451"/>
      <c r="BE72" s="451"/>
      <c r="BF72" s="451"/>
      <c r="BG72" s="451"/>
      <c r="BH72" s="451"/>
      <c r="BI72" s="451"/>
      <c r="BJ72" s="451"/>
      <c r="BK72" s="451"/>
      <c r="BL72" s="451"/>
      <c r="BM72" s="451"/>
      <c r="BN72" s="451"/>
      <c r="BO72" s="451"/>
      <c r="BP72" s="451"/>
      <c r="BQ72" s="451"/>
      <c r="BR72" s="451"/>
      <c r="BS72" s="100"/>
      <c r="BT72" s="100"/>
      <c r="BU72" s="100"/>
      <c r="BV72" s="100"/>
      <c r="BW72" s="100"/>
      <c r="BX72" s="100"/>
      <c r="BY72" s="100"/>
      <c r="BZ72" s="100"/>
      <c r="CA72" s="100"/>
      <c r="CB72" s="100"/>
      <c r="CC72" s="100"/>
      <c r="CD72" s="100"/>
      <c r="CE72" s="100"/>
      <c r="CF72" s="100"/>
      <c r="CG72" s="100"/>
      <c r="CH72" s="100"/>
      <c r="CI72" s="100"/>
      <c r="CJ72" s="100"/>
      <c r="CK72" s="100"/>
      <c r="CL72" s="100"/>
      <c r="CM72" s="100"/>
      <c r="CN72" s="100"/>
      <c r="CO72" s="100"/>
      <c r="CP72" s="100"/>
      <c r="CQ72" s="100"/>
      <c r="CR72" s="100"/>
      <c r="CS72" s="100"/>
      <c r="CT72" s="100"/>
      <c r="CU72" s="100"/>
      <c r="CV72" s="100"/>
      <c r="CW72" s="100"/>
      <c r="CX72" s="100"/>
      <c r="CY72" s="100"/>
      <c r="CZ72" s="100"/>
      <c r="DA72" s="100"/>
      <c r="DB72" s="100"/>
      <c r="DC72" s="100"/>
      <c r="DD72" s="100"/>
      <c r="DE72" s="100"/>
      <c r="DF72" s="100"/>
      <c r="DG72" s="100"/>
      <c r="DH72" s="100"/>
      <c r="DI72" s="100"/>
      <c r="DJ72" s="100"/>
      <c r="DK72" s="100"/>
      <c r="DL72" s="100"/>
      <c r="DM72" s="100"/>
      <c r="DN72" s="100"/>
      <c r="DO72" s="100"/>
      <c r="DP72" s="100"/>
      <c r="DQ72" s="100"/>
      <c r="DR72" s="100"/>
      <c r="DS72" s="100"/>
      <c r="DT72" s="100"/>
      <c r="DU72" s="100"/>
      <c r="DV72" s="100"/>
      <c r="DW72" s="100"/>
      <c r="DX72" s="100"/>
      <c r="DY72" s="100"/>
      <c r="DZ72" s="100"/>
      <c r="EA72" s="100"/>
      <c r="EB72" s="100"/>
      <c r="EC72" s="100"/>
      <c r="ED72" s="100"/>
      <c r="EE72" s="100"/>
      <c r="EF72" s="100"/>
      <c r="EG72" s="100"/>
      <c r="EH72" s="100"/>
      <c r="EI72" s="100"/>
      <c r="EJ72" s="100"/>
      <c r="EK72" s="100"/>
      <c r="EL72" s="100"/>
      <c r="EM72" s="100"/>
      <c r="EN72" s="100"/>
      <c r="EO72" s="100"/>
      <c r="EP72" s="100"/>
      <c r="EQ72" s="100"/>
      <c r="ER72" s="100"/>
      <c r="ES72" s="100"/>
      <c r="ET72" s="100"/>
      <c r="EU72" s="100"/>
      <c r="EV72" s="100"/>
      <c r="EW72" s="100"/>
      <c r="EX72" s="100"/>
      <c r="EY72" s="100"/>
      <c r="EZ72" s="100"/>
      <c r="FA72" s="100"/>
      <c r="FB72" s="100"/>
      <c r="FC72" s="100"/>
      <c r="FD72" s="100"/>
      <c r="FE72" s="100"/>
      <c r="FF72" s="100"/>
      <c r="FG72" s="100"/>
      <c r="FH72" s="100"/>
      <c r="FI72" s="100"/>
      <c r="FJ72" s="100"/>
      <c r="FK72" s="100"/>
      <c r="FL72" s="100"/>
      <c r="FM72" s="100"/>
      <c r="FN72" s="100"/>
      <c r="FO72" s="100"/>
      <c r="FP72" s="100"/>
      <c r="FQ72" s="100"/>
      <c r="FR72" s="100"/>
      <c r="FS72" s="100"/>
      <c r="FT72" s="100"/>
      <c r="FU72" s="100"/>
      <c r="FV72" s="100"/>
      <c r="FW72" s="100"/>
      <c r="FX72" s="100"/>
      <c r="FY72" s="100"/>
      <c r="FZ72" s="100"/>
      <c r="GA72" s="100"/>
      <c r="GB72" s="100"/>
      <c r="GC72" s="100"/>
      <c r="GD72" s="100"/>
      <c r="GE72" s="100"/>
      <c r="GF72" s="100"/>
      <c r="GG72" s="100"/>
      <c r="GH72" s="100"/>
      <c r="GI72" s="100"/>
      <c r="GJ72" s="100"/>
      <c r="GK72" s="100"/>
      <c r="GL72" s="100"/>
      <c r="GM72" s="100"/>
      <c r="GN72" s="100"/>
      <c r="GO72" s="100"/>
      <c r="GP72" s="100"/>
      <c r="GQ72" s="100"/>
      <c r="GR72" s="100"/>
      <c r="GS72" s="100"/>
      <c r="GT72" s="100"/>
      <c r="GU72" s="100"/>
      <c r="GV72" s="100"/>
      <c r="GW72" s="100"/>
      <c r="GX72" s="100"/>
      <c r="GY72" s="100"/>
      <c r="GZ72" s="100"/>
      <c r="HA72" s="100"/>
      <c r="HB72" s="100"/>
      <c r="HC72" s="100"/>
      <c r="HD72" s="100"/>
      <c r="HE72" s="100"/>
      <c r="HF72" s="100"/>
      <c r="HG72" s="100"/>
      <c r="HH72" s="100"/>
      <c r="HI72" s="100"/>
      <c r="HJ72" s="100"/>
      <c r="HK72" s="100"/>
      <c r="HL72" s="100"/>
      <c r="HM72" s="100"/>
      <c r="HN72" s="100"/>
      <c r="HO72" s="100"/>
      <c r="HP72" s="100"/>
      <c r="HQ72" s="100"/>
      <c r="HR72" s="100"/>
      <c r="HS72" s="100"/>
      <c r="HT72" s="100"/>
      <c r="HU72" s="100"/>
      <c r="HV72" s="100"/>
      <c r="HW72" s="100"/>
      <c r="HX72" s="100"/>
      <c r="HY72" s="100"/>
      <c r="HZ72" s="100"/>
      <c r="IA72" s="100"/>
      <c r="IB72" s="100"/>
      <c r="IC72" s="100"/>
      <c r="ID72" s="100"/>
      <c r="IE72" s="100"/>
      <c r="IF72" s="100"/>
      <c r="IG72" s="100"/>
      <c r="IH72" s="100"/>
      <c r="II72" s="100"/>
      <c r="IJ72" s="100"/>
      <c r="IK72" s="100"/>
      <c r="IL72" s="100"/>
      <c r="IM72" s="100"/>
      <c r="IN72" s="100"/>
      <c r="IO72" s="100"/>
      <c r="IP72" s="100"/>
      <c r="IQ72" s="100"/>
      <c r="IR72" s="100"/>
      <c r="IS72" s="100"/>
      <c r="IT72" s="100"/>
      <c r="IU72" s="100"/>
      <c r="IV72" s="100"/>
      <c r="IW72" s="100"/>
    </row>
    <row r="73" customFormat="false" ht="13.5" hidden="false" customHeight="false" outlineLevel="0" collapsed="false">
      <c r="A73" s="1064"/>
      <c r="B73" s="1064" t="s">
        <v>678</v>
      </c>
      <c r="C73" s="100"/>
      <c r="D73" s="1069" t="n">
        <f aca="false">D64+D71</f>
        <v>39076.7399283153</v>
      </c>
      <c r="E73" s="1069" t="n">
        <f aca="false">E64+E71</f>
        <v>31582.1946786041</v>
      </c>
      <c r="F73" s="1069" t="n">
        <f aca="false">F64+F71</f>
        <v>19655.4160770651</v>
      </c>
      <c r="G73" s="1069" t="n">
        <f aca="false">G64+G71</f>
        <v>12456.3530508092</v>
      </c>
      <c r="H73" s="1069" t="n">
        <f aca="false">H64+H71</f>
        <v>8093.91936972311</v>
      </c>
      <c r="I73" s="1069" t="n">
        <f aca="false">I64+I71</f>
        <v>3731.48568863706</v>
      </c>
      <c r="J73" s="1069" t="n">
        <f aca="false">J64+J71</f>
        <v>1496.52401642842</v>
      </c>
      <c r="K73" s="1069" t="n">
        <f aca="false">K64+K71</f>
        <v>1389.0343530972</v>
      </c>
      <c r="L73" s="1069" t="n">
        <f aca="false">L64+L71</f>
        <v>1281.54468976598</v>
      </c>
      <c r="M73" s="1069" t="n">
        <f aca="false">M64+M71</f>
        <v>1174.05502643475</v>
      </c>
      <c r="N73" s="1069" t="n">
        <f aca="false">N64+N71</f>
        <v>1066.56536310352</v>
      </c>
      <c r="O73" s="1069" t="n">
        <f aca="false">O64+O71</f>
        <v>959.0756997723</v>
      </c>
      <c r="P73" s="1069" t="n">
        <f aca="false">P64+P71</f>
        <v>851.586036441076</v>
      </c>
      <c r="Q73" s="1069" t="n">
        <f aca="false">Q64+Q71</f>
        <v>744.096373109852</v>
      </c>
      <c r="R73" s="1069" t="n">
        <f aca="false">R64+R71</f>
        <v>636.606709778627</v>
      </c>
      <c r="S73" s="1069" t="n">
        <f aca="false">S64+S71</f>
        <v>529.117046447402</v>
      </c>
      <c r="T73" s="1069" t="n">
        <f aca="false">T64+T71</f>
        <v>421.627383116178</v>
      </c>
      <c r="U73" s="1069" t="n">
        <f aca="false">U64+U71</f>
        <v>314.137719784949</v>
      </c>
      <c r="V73" s="1069" t="n">
        <f aca="false">V64+V71</f>
        <v>275.258479856634</v>
      </c>
      <c r="W73" s="1069" t="n">
        <f aca="false">W64+W71</f>
        <v>236.379239928318</v>
      </c>
      <c r="X73" s="1069" t="n">
        <f aca="false">X64+X71</f>
        <v>0</v>
      </c>
      <c r="Y73" s="1069" t="n">
        <f aca="false">Y64+Y71</f>
        <v>0</v>
      </c>
      <c r="Z73" s="1069" t="n">
        <f aca="false">Z64+Z71</f>
        <v>0</v>
      </c>
      <c r="AA73" s="1069" t="n">
        <f aca="false">AA64+AA71</f>
        <v>0</v>
      </c>
      <c r="AB73" s="1069" t="n">
        <f aca="false">AB64+AB71</f>
        <v>0</v>
      </c>
      <c r="AC73" s="1069" t="n">
        <f aca="false">AC64+AC71</f>
        <v>0</v>
      </c>
      <c r="AD73" s="1069" t="n">
        <f aca="false">AD64+AD71</f>
        <v>0</v>
      </c>
      <c r="AE73" s="1069" t="n">
        <f aca="false">AE64+AE71</f>
        <v>0</v>
      </c>
      <c r="AF73" s="1069" t="n">
        <f aca="false">AF64+AF71</f>
        <v>0</v>
      </c>
      <c r="AG73" s="1069" t="n">
        <f aca="false">AG64+AG71</f>
        <v>0</v>
      </c>
      <c r="AH73" s="1069" t="n">
        <f aca="false">AH64+AH71</f>
        <v>0</v>
      </c>
      <c r="AI73" s="1069" t="n">
        <f aca="false">AI64+AI71</f>
        <v>0</v>
      </c>
      <c r="AJ73" s="1066"/>
      <c r="AK73" s="1066"/>
      <c r="AL73" s="1064"/>
      <c r="AM73" s="1070" t="n">
        <f aca="false">D73/D$57</f>
        <v>1</v>
      </c>
      <c r="AN73" s="1070" t="n">
        <f aca="false">E73/E$57</f>
        <v>1</v>
      </c>
      <c r="AO73" s="1070" t="n">
        <f aca="false">F73/F$57</f>
        <v>1</v>
      </c>
      <c r="AP73" s="1070" t="n">
        <f aca="false">G73/G$57</f>
        <v>1</v>
      </c>
      <c r="AQ73" s="1070" t="n">
        <f aca="false">H73/H$57</f>
        <v>1</v>
      </c>
      <c r="AR73" s="1070" t="n">
        <f aca="false">I73/I$57</f>
        <v>1</v>
      </c>
      <c r="AS73" s="1070" t="n">
        <f aca="false">J73/J$57</f>
        <v>1</v>
      </c>
      <c r="AT73" s="1070" t="n">
        <f aca="false">K73/K$57</f>
        <v>1</v>
      </c>
      <c r="AU73" s="1070" t="n">
        <f aca="false">L73/L$57</f>
        <v>1</v>
      </c>
      <c r="AV73" s="1070" t="n">
        <f aca="false">M73/M$57</f>
        <v>1</v>
      </c>
      <c r="AW73" s="1070" t="n">
        <f aca="false">N73/N$57</f>
        <v>1</v>
      </c>
      <c r="AX73" s="1070" t="n">
        <f aca="false">O73/O$57</f>
        <v>1</v>
      </c>
      <c r="AY73" s="1070" t="n">
        <f aca="false">P73/P$57</f>
        <v>1.00000000000001</v>
      </c>
      <c r="AZ73" s="1070" t="n">
        <f aca="false">Q73/Q$57</f>
        <v>1.00000000000001</v>
      </c>
      <c r="BA73" s="1070" t="n">
        <f aca="false">R73/R$57</f>
        <v>1.00000000000001</v>
      </c>
      <c r="BB73" s="1070" t="n">
        <f aca="false">S73/S$57</f>
        <v>1.00000000000001</v>
      </c>
      <c r="BC73" s="1070" t="n">
        <f aca="false">T73/T$57</f>
        <v>1.00000000000001</v>
      </c>
      <c r="BD73" s="1070" t="n">
        <f aca="false">U73/U$57</f>
        <v>1</v>
      </c>
      <c r="BE73" s="1070" t="n">
        <f aca="false">V73/V$57</f>
        <v>1</v>
      </c>
      <c r="BF73" s="1070" t="n">
        <f aca="false">W73/W$57</f>
        <v>1</v>
      </c>
      <c r="BG73" s="1070" t="n">
        <f aca="false">X73/X$57</f>
        <v>0</v>
      </c>
      <c r="BH73" s="1070" t="n">
        <f aca="false">Y73/Y$57</f>
        <v>0</v>
      </c>
      <c r="BI73" s="1070" t="n">
        <f aca="false">Z73/Z$57</f>
        <v>0</v>
      </c>
      <c r="BJ73" s="1070" t="n">
        <f aca="false">AA73/AA$57</f>
        <v>0</v>
      </c>
      <c r="BK73" s="1070" t="n">
        <f aca="false">AB73/AB$57</f>
        <v>0</v>
      </c>
      <c r="BL73" s="1070" t="n">
        <f aca="false">AC73/AC$57</f>
        <v>0</v>
      </c>
      <c r="BM73" s="1070" t="n">
        <f aca="false">AD73/AD$57</f>
        <v>0</v>
      </c>
      <c r="BN73" s="1070" t="n">
        <f aca="false">AE73/AE$57</f>
        <v>0</v>
      </c>
      <c r="BO73" s="1070" t="n">
        <f aca="false">AF73/AF$57</f>
        <v>0</v>
      </c>
      <c r="BP73" s="1070" t="n">
        <f aca="false">AG73/AG$57</f>
        <v>0</v>
      </c>
      <c r="BQ73" s="1070" t="n">
        <f aca="false">AH73/AH$57</f>
        <v>0</v>
      </c>
      <c r="BR73" s="451" t="n">
        <f aca="false">AI73/AI$57</f>
        <v>0</v>
      </c>
      <c r="BS73" s="1064"/>
      <c r="BT73" s="1064"/>
      <c r="BU73" s="1064"/>
      <c r="BV73" s="1064"/>
      <c r="BW73" s="1064"/>
      <c r="BX73" s="1064"/>
      <c r="BY73" s="1064"/>
      <c r="BZ73" s="1064"/>
      <c r="CA73" s="1064"/>
      <c r="CB73" s="1064"/>
      <c r="CC73" s="1064"/>
      <c r="CD73" s="1064"/>
      <c r="CE73" s="1064"/>
      <c r="CF73" s="1064"/>
      <c r="CG73" s="1064"/>
      <c r="CH73" s="1064"/>
      <c r="CI73" s="1064"/>
      <c r="CJ73" s="1064"/>
      <c r="CK73" s="1064"/>
      <c r="CL73" s="1064"/>
      <c r="CM73" s="1064"/>
      <c r="CN73" s="1064"/>
      <c r="CO73" s="1064"/>
      <c r="CP73" s="1064"/>
      <c r="CQ73" s="1064"/>
      <c r="CR73" s="1064"/>
      <c r="CS73" s="1064"/>
      <c r="CT73" s="1064"/>
      <c r="CU73" s="1064"/>
      <c r="CV73" s="1064"/>
      <c r="CW73" s="1064"/>
      <c r="CX73" s="1064"/>
      <c r="CY73" s="1064"/>
      <c r="CZ73" s="1064"/>
      <c r="DA73" s="1064"/>
      <c r="DB73" s="1064"/>
      <c r="DC73" s="1064"/>
      <c r="DD73" s="1064"/>
      <c r="DE73" s="1064"/>
      <c r="DF73" s="1064"/>
      <c r="DG73" s="1064"/>
      <c r="DH73" s="1064"/>
      <c r="DI73" s="1064"/>
      <c r="DJ73" s="1064"/>
      <c r="DK73" s="1064"/>
      <c r="DL73" s="1064"/>
      <c r="DM73" s="1064"/>
      <c r="DN73" s="1064"/>
      <c r="DO73" s="1064"/>
      <c r="DP73" s="1064"/>
      <c r="DQ73" s="1064"/>
      <c r="DR73" s="1064"/>
      <c r="DS73" s="1064"/>
      <c r="DT73" s="1064"/>
      <c r="DU73" s="1064"/>
      <c r="DV73" s="1064"/>
      <c r="DW73" s="1064"/>
      <c r="DX73" s="1064"/>
      <c r="DY73" s="1064"/>
      <c r="DZ73" s="1064"/>
      <c r="EA73" s="1064"/>
      <c r="EB73" s="1064"/>
      <c r="EC73" s="1064"/>
      <c r="ED73" s="1064"/>
      <c r="EE73" s="1064"/>
      <c r="EF73" s="1064"/>
      <c r="EG73" s="1064"/>
      <c r="EH73" s="1064"/>
      <c r="EI73" s="1064"/>
      <c r="EJ73" s="1064"/>
      <c r="EK73" s="1064"/>
      <c r="EL73" s="1064"/>
      <c r="EM73" s="1064"/>
      <c r="EN73" s="1064"/>
      <c r="EO73" s="1064"/>
      <c r="EP73" s="1064"/>
      <c r="EQ73" s="1064"/>
      <c r="ER73" s="1064"/>
      <c r="ES73" s="1064"/>
      <c r="ET73" s="1064"/>
      <c r="EU73" s="1064"/>
      <c r="EV73" s="1064"/>
      <c r="EW73" s="1064"/>
      <c r="EX73" s="1064"/>
      <c r="EY73" s="1064"/>
      <c r="EZ73" s="1064"/>
      <c r="FA73" s="1064"/>
      <c r="FB73" s="1064"/>
      <c r="FC73" s="1064"/>
      <c r="FD73" s="1064"/>
      <c r="FE73" s="1064"/>
      <c r="FF73" s="1064"/>
      <c r="FG73" s="1064"/>
      <c r="FH73" s="1064"/>
      <c r="FI73" s="1064"/>
      <c r="FJ73" s="1064"/>
      <c r="FK73" s="1064"/>
      <c r="FL73" s="1064"/>
      <c r="FM73" s="1064"/>
      <c r="FN73" s="1064"/>
      <c r="FO73" s="1064"/>
      <c r="FP73" s="1064"/>
      <c r="FQ73" s="1064"/>
      <c r="FR73" s="1064"/>
      <c r="FS73" s="1064"/>
      <c r="FT73" s="1064"/>
      <c r="FU73" s="1064"/>
      <c r="FV73" s="1064"/>
      <c r="FW73" s="1064"/>
      <c r="FX73" s="1064"/>
      <c r="FY73" s="1064"/>
      <c r="FZ73" s="1064"/>
      <c r="GA73" s="1064"/>
      <c r="GB73" s="1064"/>
      <c r="GC73" s="1064"/>
      <c r="GD73" s="1064"/>
      <c r="GE73" s="1064"/>
      <c r="GF73" s="1064"/>
      <c r="GG73" s="1064"/>
      <c r="GH73" s="1064"/>
      <c r="GI73" s="1064"/>
      <c r="GJ73" s="1064"/>
      <c r="GK73" s="1064"/>
      <c r="GL73" s="1064"/>
      <c r="GM73" s="1064"/>
      <c r="GN73" s="1064"/>
      <c r="GO73" s="1064"/>
      <c r="GP73" s="1064"/>
      <c r="GQ73" s="1064"/>
      <c r="GR73" s="1064"/>
      <c r="GS73" s="1064"/>
      <c r="GT73" s="1064"/>
      <c r="GU73" s="1064"/>
      <c r="GV73" s="1064"/>
      <c r="GW73" s="1064"/>
      <c r="GX73" s="1064"/>
      <c r="GY73" s="1064"/>
      <c r="GZ73" s="1064"/>
      <c r="HA73" s="1064"/>
      <c r="HB73" s="1064"/>
      <c r="HC73" s="1064"/>
      <c r="HD73" s="1064"/>
      <c r="HE73" s="1064"/>
      <c r="HF73" s="1064"/>
      <c r="HG73" s="1064"/>
      <c r="HH73" s="1064"/>
      <c r="HI73" s="1064"/>
      <c r="HJ73" s="1064"/>
      <c r="HK73" s="1064"/>
      <c r="HL73" s="1064"/>
      <c r="HM73" s="1064"/>
      <c r="HN73" s="1064"/>
      <c r="HO73" s="1064"/>
      <c r="HP73" s="1064"/>
      <c r="HQ73" s="1064"/>
      <c r="HR73" s="1064"/>
      <c r="HS73" s="1064"/>
      <c r="HT73" s="1064"/>
      <c r="HU73" s="1064"/>
      <c r="HV73" s="1064"/>
      <c r="HW73" s="1064"/>
      <c r="HX73" s="1064"/>
      <c r="HY73" s="1064"/>
      <c r="HZ73" s="1064"/>
      <c r="IA73" s="1064"/>
      <c r="IB73" s="1064"/>
      <c r="IC73" s="1064"/>
      <c r="ID73" s="1064"/>
      <c r="IE73" s="1064"/>
      <c r="IF73" s="1064"/>
      <c r="IG73" s="1064"/>
      <c r="IH73" s="1064"/>
      <c r="II73" s="1064"/>
      <c r="IJ73" s="1064"/>
      <c r="IK73" s="1064"/>
      <c r="IL73" s="1064"/>
      <c r="IM73" s="1064"/>
      <c r="IN73" s="1064"/>
      <c r="IO73" s="1064"/>
      <c r="IP73" s="1064"/>
      <c r="IQ73" s="1064"/>
      <c r="IR73" s="1064"/>
      <c r="IS73" s="1064"/>
      <c r="IT73" s="1064"/>
      <c r="IU73" s="1064"/>
      <c r="IV73" s="1064"/>
      <c r="IW73" s="1064"/>
    </row>
    <row r="74" customFormat="false" ht="12.75" hidden="false" customHeight="false" outlineLevel="0" collapsed="false">
      <c r="A74" s="100"/>
      <c r="B74" s="100"/>
      <c r="C74" s="100"/>
      <c r="D74" s="130"/>
      <c r="E74" s="100"/>
      <c r="F74" s="100"/>
      <c r="G74" s="100"/>
      <c r="H74" s="100"/>
      <c r="I74" s="100"/>
      <c r="J74" s="100"/>
      <c r="K74" s="100"/>
      <c r="L74" s="100"/>
      <c r="M74" s="100"/>
      <c r="N74" s="100"/>
      <c r="O74" s="100"/>
      <c r="P74" s="100"/>
      <c r="Q74" s="100"/>
      <c r="R74" s="100"/>
      <c r="S74" s="100"/>
      <c r="T74" s="100"/>
      <c r="U74" s="100"/>
      <c r="V74" s="100"/>
      <c r="W74" s="100"/>
      <c r="X74" s="100"/>
      <c r="Y74" s="100"/>
      <c r="Z74" s="100"/>
      <c r="AA74" s="100"/>
      <c r="AB74" s="100"/>
      <c r="AC74" s="100"/>
      <c r="AD74" s="100"/>
      <c r="AE74" s="100"/>
      <c r="AF74" s="100"/>
      <c r="AG74" s="100"/>
      <c r="AH74" s="100"/>
      <c r="AI74" s="100"/>
      <c r="AJ74" s="102"/>
      <c r="AK74" s="102"/>
      <c r="AL74" s="100"/>
      <c r="AM74" s="570"/>
      <c r="AN74" s="451"/>
      <c r="AO74" s="451"/>
      <c r="AP74" s="451"/>
      <c r="AQ74" s="451"/>
      <c r="AR74" s="451"/>
      <c r="AS74" s="451"/>
      <c r="AT74" s="451"/>
      <c r="AU74" s="451"/>
      <c r="AV74" s="451"/>
      <c r="AW74" s="451"/>
      <c r="AX74" s="451"/>
      <c r="AY74" s="451"/>
      <c r="AZ74" s="451"/>
      <c r="BA74" s="451"/>
      <c r="BB74" s="451"/>
      <c r="BC74" s="451"/>
      <c r="BD74" s="451"/>
      <c r="BE74" s="451"/>
      <c r="BF74" s="451"/>
      <c r="BG74" s="451"/>
      <c r="BH74" s="451"/>
      <c r="BI74" s="451"/>
      <c r="BJ74" s="451"/>
      <c r="BK74" s="451"/>
      <c r="BL74" s="451"/>
      <c r="BM74" s="451"/>
      <c r="BN74" s="451"/>
      <c r="BO74" s="451"/>
      <c r="BP74" s="451"/>
      <c r="BQ74" s="451"/>
      <c r="BR74" s="451"/>
      <c r="BS74" s="100"/>
      <c r="BT74" s="100"/>
      <c r="BU74" s="100"/>
      <c r="BV74" s="100"/>
      <c r="BW74" s="100"/>
      <c r="BX74" s="100"/>
      <c r="BY74" s="100"/>
      <c r="BZ74" s="100"/>
      <c r="CA74" s="100"/>
      <c r="CB74" s="100"/>
      <c r="CC74" s="100"/>
      <c r="CD74" s="100"/>
      <c r="CE74" s="100"/>
      <c r="CF74" s="100"/>
      <c r="CG74" s="100"/>
      <c r="CH74" s="100"/>
      <c r="CI74" s="100"/>
      <c r="CJ74" s="100"/>
      <c r="CK74" s="100"/>
      <c r="CL74" s="100"/>
      <c r="CM74" s="100"/>
      <c r="CN74" s="100"/>
      <c r="CO74" s="100"/>
      <c r="CP74" s="100"/>
      <c r="CQ74" s="100"/>
      <c r="CR74" s="100"/>
      <c r="CS74" s="100"/>
      <c r="CT74" s="100"/>
      <c r="CU74" s="100"/>
      <c r="CV74" s="100"/>
      <c r="CW74" s="100"/>
      <c r="CX74" s="100"/>
      <c r="CY74" s="100"/>
      <c r="CZ74" s="100"/>
      <c r="DA74" s="100"/>
      <c r="DB74" s="100"/>
      <c r="DC74" s="100"/>
      <c r="DD74" s="100"/>
      <c r="DE74" s="100"/>
      <c r="DF74" s="100"/>
      <c r="DG74" s="100"/>
      <c r="DH74" s="100"/>
      <c r="DI74" s="100"/>
      <c r="DJ74" s="100"/>
      <c r="DK74" s="100"/>
      <c r="DL74" s="100"/>
      <c r="DM74" s="100"/>
      <c r="DN74" s="100"/>
      <c r="DO74" s="100"/>
      <c r="DP74" s="100"/>
      <c r="DQ74" s="100"/>
      <c r="DR74" s="100"/>
      <c r="DS74" s="100"/>
      <c r="DT74" s="100"/>
      <c r="DU74" s="100"/>
      <c r="DV74" s="100"/>
      <c r="DW74" s="100"/>
      <c r="DX74" s="100"/>
      <c r="DY74" s="100"/>
      <c r="DZ74" s="100"/>
      <c r="EA74" s="100"/>
      <c r="EB74" s="100"/>
      <c r="EC74" s="100"/>
      <c r="ED74" s="100"/>
      <c r="EE74" s="100"/>
      <c r="EF74" s="100"/>
      <c r="EG74" s="100"/>
      <c r="EH74" s="100"/>
      <c r="EI74" s="100"/>
      <c r="EJ74" s="100"/>
      <c r="EK74" s="100"/>
      <c r="EL74" s="100"/>
      <c r="EM74" s="100"/>
      <c r="EN74" s="100"/>
      <c r="EO74" s="100"/>
      <c r="EP74" s="100"/>
      <c r="EQ74" s="100"/>
      <c r="ER74" s="100"/>
      <c r="ES74" s="100"/>
      <c r="ET74" s="100"/>
      <c r="EU74" s="100"/>
      <c r="EV74" s="100"/>
      <c r="EW74" s="100"/>
      <c r="EX74" s="100"/>
      <c r="EY74" s="100"/>
      <c r="EZ74" s="100"/>
      <c r="FA74" s="100"/>
      <c r="FB74" s="100"/>
      <c r="FC74" s="100"/>
      <c r="FD74" s="100"/>
      <c r="FE74" s="100"/>
      <c r="FF74" s="100"/>
      <c r="FG74" s="100"/>
      <c r="FH74" s="100"/>
      <c r="FI74" s="100"/>
      <c r="FJ74" s="100"/>
      <c r="FK74" s="100"/>
      <c r="FL74" s="100"/>
      <c r="FM74" s="100"/>
      <c r="FN74" s="100"/>
      <c r="FO74" s="100"/>
      <c r="FP74" s="100"/>
      <c r="FQ74" s="100"/>
      <c r="FR74" s="100"/>
      <c r="FS74" s="100"/>
      <c r="FT74" s="100"/>
      <c r="FU74" s="100"/>
      <c r="FV74" s="100"/>
      <c r="FW74" s="100"/>
      <c r="FX74" s="100"/>
      <c r="FY74" s="100"/>
      <c r="FZ74" s="100"/>
      <c r="GA74" s="100"/>
      <c r="GB74" s="100"/>
      <c r="GC74" s="100"/>
      <c r="GD74" s="100"/>
      <c r="GE74" s="100"/>
      <c r="GF74" s="100"/>
      <c r="GG74" s="100"/>
      <c r="GH74" s="100"/>
      <c r="GI74" s="100"/>
      <c r="GJ74" s="100"/>
      <c r="GK74" s="100"/>
      <c r="GL74" s="100"/>
      <c r="GM74" s="100"/>
      <c r="GN74" s="100"/>
      <c r="GO74" s="100"/>
      <c r="GP74" s="100"/>
      <c r="GQ74" s="100"/>
      <c r="GR74" s="100"/>
      <c r="GS74" s="100"/>
      <c r="GT74" s="100"/>
      <c r="GU74" s="100"/>
      <c r="GV74" s="100"/>
      <c r="GW74" s="100"/>
      <c r="GX74" s="100"/>
      <c r="GY74" s="100"/>
      <c r="GZ74" s="100"/>
      <c r="HA74" s="100"/>
      <c r="HB74" s="100"/>
      <c r="HC74" s="100"/>
      <c r="HD74" s="100"/>
      <c r="HE74" s="100"/>
      <c r="HF74" s="100"/>
      <c r="HG74" s="100"/>
      <c r="HH74" s="100"/>
      <c r="HI74" s="100"/>
      <c r="HJ74" s="100"/>
      <c r="HK74" s="100"/>
      <c r="HL74" s="100"/>
      <c r="HM74" s="100"/>
      <c r="HN74" s="100"/>
      <c r="HO74" s="100"/>
      <c r="HP74" s="100"/>
      <c r="HQ74" s="100"/>
      <c r="HR74" s="100"/>
      <c r="HS74" s="100"/>
      <c r="HT74" s="100"/>
      <c r="HU74" s="100"/>
      <c r="HV74" s="100"/>
      <c r="HW74" s="100"/>
      <c r="HX74" s="100"/>
      <c r="HY74" s="100"/>
      <c r="HZ74" s="100"/>
      <c r="IA74" s="100"/>
      <c r="IB74" s="100"/>
      <c r="IC74" s="100"/>
      <c r="ID74" s="100"/>
      <c r="IE74" s="100"/>
      <c r="IF74" s="100"/>
      <c r="IG74" s="100"/>
      <c r="IH74" s="100"/>
      <c r="II74" s="100"/>
      <c r="IJ74" s="100"/>
      <c r="IK74" s="100"/>
      <c r="IL74" s="100"/>
      <c r="IM74" s="100"/>
      <c r="IN74" s="100"/>
      <c r="IO74" s="100"/>
      <c r="IP74" s="100"/>
      <c r="IQ74" s="100"/>
      <c r="IR74" s="100"/>
      <c r="IS74" s="100"/>
      <c r="IT74" s="100"/>
      <c r="IU74" s="100"/>
      <c r="IV74" s="100"/>
      <c r="IW74" s="100"/>
    </row>
    <row r="75" customFormat="false" ht="12.75" hidden="false" customHeight="false" outlineLevel="0" collapsed="false">
      <c r="A75" s="100"/>
      <c r="B75" s="100" t="s">
        <v>679</v>
      </c>
      <c r="C75" s="100"/>
      <c r="D75" s="130" t="n">
        <f aca="false">D57-D73</f>
        <v>0</v>
      </c>
      <c r="E75" s="100" t="n">
        <f aca="false">E57-E73</f>
        <v>0</v>
      </c>
      <c r="F75" s="100" t="n">
        <f aca="false">F57-F73</f>
        <v>0</v>
      </c>
      <c r="G75" s="100" t="n">
        <f aca="false">G57-G73</f>
        <v>0</v>
      </c>
      <c r="H75" s="100" t="n">
        <f aca="false">H57-H73</f>
        <v>0</v>
      </c>
      <c r="I75" s="100" t="n">
        <f aca="false">I57-I73</f>
        <v>0</v>
      </c>
      <c r="J75" s="100" t="n">
        <f aca="false">J57-J73</f>
        <v>0</v>
      </c>
      <c r="K75" s="100" t="n">
        <f aca="false">K57-K73</f>
        <v>0</v>
      </c>
      <c r="L75" s="100" t="n">
        <f aca="false">L57-L73</f>
        <v>-5.00222085975111E-012</v>
      </c>
      <c r="M75" s="100" t="n">
        <f aca="false">M57-M73</f>
        <v>0</v>
      </c>
      <c r="N75" s="100" t="n">
        <f aca="false">N57-N73</f>
        <v>-4.09272615797818E-012</v>
      </c>
      <c r="O75" s="100" t="n">
        <f aca="false">O57-O73</f>
        <v>-4.09272615797818E-012</v>
      </c>
      <c r="P75" s="100" t="n">
        <f aca="false">P57-P73</f>
        <v>-5.00222085975111E-012</v>
      </c>
      <c r="Q75" s="100" t="n">
        <f aca="false">Q57-Q73</f>
        <v>-5.00222085975111E-012</v>
      </c>
      <c r="R75" s="100" t="n">
        <f aca="false">R57-R73</f>
        <v>-5.00222085975111E-012</v>
      </c>
      <c r="S75" s="100" t="n">
        <f aca="false">S57-S73</f>
        <v>-4.66116034658626E-012</v>
      </c>
      <c r="T75" s="100" t="n">
        <f aca="false">T57-T73</f>
        <v>-4.60431692772545E-012</v>
      </c>
      <c r="U75" s="100" t="n">
        <f aca="false">U57-U73</f>
        <v>0</v>
      </c>
      <c r="V75" s="100" t="n">
        <f aca="false">V57-V73</f>
        <v>0</v>
      </c>
      <c r="W75" s="100" t="n">
        <f aca="false">W57-W73</f>
        <v>0</v>
      </c>
      <c r="X75" s="100" t="n">
        <f aca="false">X57-X73</f>
        <v>2.77111666946439E-012</v>
      </c>
      <c r="Y75" s="100" t="n">
        <f aca="false">Y57-Y73</f>
        <v>2.77111666946439E-012</v>
      </c>
      <c r="Z75" s="100" t="n">
        <f aca="false">Z57-Z73</f>
        <v>2.77111666946439E-012</v>
      </c>
      <c r="AA75" s="100" t="n">
        <f aca="false">AA57-AA73</f>
        <v>2.77111666946439E-012</v>
      </c>
      <c r="AB75" s="100" t="n">
        <f aca="false">AB57-AB73</f>
        <v>2.77111666946439E-012</v>
      </c>
      <c r="AC75" s="100" t="n">
        <f aca="false">AC57-AC73</f>
        <v>2.77111666946439E-012</v>
      </c>
      <c r="AD75" s="100" t="n">
        <f aca="false">AD57-AD73</f>
        <v>2.77111666946439E-012</v>
      </c>
      <c r="AE75" s="100" t="n">
        <f aca="false">AE57-AE73</f>
        <v>2.77111666946439E-012</v>
      </c>
      <c r="AF75" s="100" t="n">
        <f aca="false">AF57-AF73</f>
        <v>2.77111666946439E-012</v>
      </c>
      <c r="AG75" s="100" t="n">
        <f aca="false">AG57-AG73</f>
        <v>2.77111666946439E-012</v>
      </c>
      <c r="AH75" s="100" t="n">
        <f aca="false">AH57-AH73</f>
        <v>2.77111666946439E-012</v>
      </c>
      <c r="AI75" s="100" t="n">
        <f aca="false">AI57-AI73</f>
        <v>2.77111666946439E-012</v>
      </c>
      <c r="AJ75" s="102"/>
      <c r="AK75" s="102"/>
      <c r="AL75" s="100"/>
      <c r="AM75" s="570" t="n">
        <f aca="false">D75/D$57</f>
        <v>0</v>
      </c>
      <c r="AN75" s="451" t="n">
        <f aca="false">E75/E$57</f>
        <v>0</v>
      </c>
      <c r="AO75" s="451" t="n">
        <f aca="false">F75/F$57</f>
        <v>0</v>
      </c>
      <c r="AP75" s="451" t="n">
        <f aca="false">G75/G$57</f>
        <v>0</v>
      </c>
      <c r="AQ75" s="451" t="n">
        <f aca="false">H75/H$57</f>
        <v>0</v>
      </c>
      <c r="AR75" s="451" t="n">
        <f aca="false">I75/I$57</f>
        <v>0</v>
      </c>
      <c r="AS75" s="451" t="n">
        <f aca="false">J75/J$57</f>
        <v>0</v>
      </c>
      <c r="AT75" s="451" t="n">
        <f aca="false">K75/K$57</f>
        <v>0</v>
      </c>
      <c r="AU75" s="451" t="n">
        <f aca="false">L75/L$57</f>
        <v>-3.90327461827694E-015</v>
      </c>
      <c r="AV75" s="451" t="n">
        <f aca="false">M75/M$57</f>
        <v>0</v>
      </c>
      <c r="AW75" s="451" t="n">
        <f aca="false">N75/N$57</f>
        <v>-3.83729520905222E-015</v>
      </c>
      <c r="AX75" s="451" t="n">
        <f aca="false">O75/O$57</f>
        <v>-4.2673650880216E-015</v>
      </c>
      <c r="AY75" s="451" t="n">
        <f aca="false">P75/P$57</f>
        <v>-5.8740052627639E-015</v>
      </c>
      <c r="AZ75" s="451" t="n">
        <f aca="false">Q75/Q$57</f>
        <v>-6.72254433769785E-015</v>
      </c>
      <c r="BA75" s="451" t="n">
        <f aca="false">R75/R$57</f>
        <v>-7.85763138043363E-015</v>
      </c>
      <c r="BB75" s="451" t="n">
        <f aca="false">S75/S$57</f>
        <v>-8.8093180476461E-015</v>
      </c>
      <c r="BC75" s="451" t="n">
        <f aca="false">T75/T$57</f>
        <v>-1.09203460498599E-014</v>
      </c>
      <c r="BD75" s="451" t="n">
        <f aca="false">U75/U$57</f>
        <v>0</v>
      </c>
      <c r="BE75" s="451" t="n">
        <f aca="false">V75/V$57</f>
        <v>0</v>
      </c>
      <c r="BF75" s="451" t="n">
        <f aca="false">W75/W$57</f>
        <v>0</v>
      </c>
      <c r="BG75" s="451" t="n">
        <f aca="false">X75/X$57</f>
        <v>1</v>
      </c>
      <c r="BH75" s="451" t="n">
        <f aca="false">Y75/Y$57</f>
        <v>1</v>
      </c>
      <c r="BI75" s="451" t="n">
        <f aca="false">Z75/Z$57</f>
        <v>1</v>
      </c>
      <c r="BJ75" s="451" t="n">
        <f aca="false">AA75/AA$57</f>
        <v>1</v>
      </c>
      <c r="BK75" s="451" t="n">
        <f aca="false">AB75/AB$57</f>
        <v>1</v>
      </c>
      <c r="BL75" s="451" t="n">
        <f aca="false">AC75/AC$57</f>
        <v>1</v>
      </c>
      <c r="BM75" s="451" t="n">
        <f aca="false">AD75/AD$57</f>
        <v>1</v>
      </c>
      <c r="BN75" s="451" t="n">
        <f aca="false">AE75/AE$57</f>
        <v>1</v>
      </c>
      <c r="BO75" s="451" t="n">
        <f aca="false">AF75/AF$57</f>
        <v>1</v>
      </c>
      <c r="BP75" s="451" t="n">
        <f aca="false">AG75/AG$57</f>
        <v>1</v>
      </c>
      <c r="BQ75" s="451" t="n">
        <f aca="false">AH75/AH$57</f>
        <v>1</v>
      </c>
      <c r="BR75" s="451" t="n">
        <f aca="false">AI75/AI$57</f>
        <v>1</v>
      </c>
      <c r="BS75" s="100"/>
      <c r="BT75" s="100"/>
      <c r="BU75" s="100"/>
      <c r="BV75" s="100"/>
      <c r="BW75" s="100"/>
      <c r="BX75" s="100"/>
      <c r="BY75" s="100"/>
      <c r="BZ75" s="100"/>
      <c r="CA75" s="100"/>
      <c r="CB75" s="100"/>
      <c r="CC75" s="100"/>
      <c r="CD75" s="100"/>
      <c r="CE75" s="100"/>
      <c r="CF75" s="100"/>
      <c r="CG75" s="100"/>
      <c r="CH75" s="100"/>
      <c r="CI75" s="100"/>
      <c r="CJ75" s="100"/>
      <c r="CK75" s="100"/>
      <c r="CL75" s="100"/>
      <c r="CM75" s="100"/>
      <c r="CN75" s="100"/>
      <c r="CO75" s="100"/>
      <c r="CP75" s="100"/>
      <c r="CQ75" s="100"/>
      <c r="CR75" s="100"/>
      <c r="CS75" s="100"/>
      <c r="CT75" s="100"/>
      <c r="CU75" s="100"/>
      <c r="CV75" s="100"/>
      <c r="CW75" s="100"/>
      <c r="CX75" s="100"/>
      <c r="CY75" s="100"/>
      <c r="CZ75" s="100"/>
      <c r="DA75" s="100"/>
      <c r="DB75" s="100"/>
      <c r="DC75" s="100"/>
      <c r="DD75" s="100"/>
      <c r="DE75" s="100"/>
      <c r="DF75" s="100"/>
      <c r="DG75" s="100"/>
      <c r="DH75" s="100"/>
      <c r="DI75" s="100"/>
      <c r="DJ75" s="100"/>
      <c r="DK75" s="100"/>
      <c r="DL75" s="100"/>
      <c r="DM75" s="100"/>
      <c r="DN75" s="100"/>
      <c r="DO75" s="100"/>
      <c r="DP75" s="100"/>
      <c r="DQ75" s="100"/>
      <c r="DR75" s="100"/>
      <c r="DS75" s="100"/>
      <c r="DT75" s="100"/>
      <c r="DU75" s="100"/>
      <c r="DV75" s="100"/>
      <c r="DW75" s="100"/>
      <c r="DX75" s="100"/>
      <c r="DY75" s="100"/>
      <c r="DZ75" s="100"/>
      <c r="EA75" s="100"/>
      <c r="EB75" s="100"/>
      <c r="EC75" s="100"/>
      <c r="ED75" s="100"/>
      <c r="EE75" s="100"/>
      <c r="EF75" s="100"/>
      <c r="EG75" s="100"/>
      <c r="EH75" s="100"/>
      <c r="EI75" s="100"/>
      <c r="EJ75" s="100"/>
      <c r="EK75" s="100"/>
      <c r="EL75" s="100"/>
      <c r="EM75" s="100"/>
      <c r="EN75" s="100"/>
      <c r="EO75" s="100"/>
      <c r="EP75" s="100"/>
      <c r="EQ75" s="100"/>
      <c r="ER75" s="100"/>
      <c r="ES75" s="100"/>
      <c r="ET75" s="100"/>
      <c r="EU75" s="100"/>
      <c r="EV75" s="100"/>
      <c r="EW75" s="100"/>
      <c r="EX75" s="100"/>
      <c r="EY75" s="100"/>
      <c r="EZ75" s="100"/>
      <c r="FA75" s="100"/>
      <c r="FB75" s="100"/>
      <c r="FC75" s="100"/>
      <c r="FD75" s="100"/>
      <c r="FE75" s="100"/>
      <c r="FF75" s="100"/>
      <c r="FG75" s="100"/>
      <c r="FH75" s="100"/>
      <c r="FI75" s="100"/>
      <c r="FJ75" s="100"/>
      <c r="FK75" s="100"/>
      <c r="FL75" s="100"/>
      <c r="FM75" s="100"/>
      <c r="FN75" s="100"/>
      <c r="FO75" s="100"/>
      <c r="FP75" s="100"/>
      <c r="FQ75" s="100"/>
      <c r="FR75" s="100"/>
      <c r="FS75" s="100"/>
      <c r="FT75" s="100"/>
      <c r="FU75" s="100"/>
      <c r="FV75" s="100"/>
      <c r="FW75" s="100"/>
      <c r="FX75" s="100"/>
      <c r="FY75" s="100"/>
      <c r="FZ75" s="100"/>
      <c r="GA75" s="100"/>
      <c r="GB75" s="100"/>
      <c r="GC75" s="100"/>
      <c r="GD75" s="100"/>
      <c r="GE75" s="100"/>
      <c r="GF75" s="100"/>
      <c r="GG75" s="100"/>
      <c r="GH75" s="100"/>
      <c r="GI75" s="100"/>
      <c r="GJ75" s="100"/>
      <c r="GK75" s="100"/>
      <c r="GL75" s="100"/>
      <c r="GM75" s="100"/>
      <c r="GN75" s="100"/>
      <c r="GO75" s="100"/>
      <c r="GP75" s="100"/>
      <c r="GQ75" s="100"/>
      <c r="GR75" s="100"/>
      <c r="GS75" s="100"/>
      <c r="GT75" s="100"/>
      <c r="GU75" s="100"/>
      <c r="GV75" s="100"/>
      <c r="GW75" s="100"/>
      <c r="GX75" s="100"/>
      <c r="GY75" s="100"/>
      <c r="GZ75" s="100"/>
      <c r="HA75" s="100"/>
      <c r="HB75" s="100"/>
      <c r="HC75" s="100"/>
      <c r="HD75" s="100"/>
      <c r="HE75" s="100"/>
      <c r="HF75" s="100"/>
      <c r="HG75" s="100"/>
      <c r="HH75" s="100"/>
      <c r="HI75" s="100"/>
      <c r="HJ75" s="100"/>
      <c r="HK75" s="100"/>
      <c r="HL75" s="100"/>
      <c r="HM75" s="100"/>
      <c r="HN75" s="100"/>
      <c r="HO75" s="100"/>
      <c r="HP75" s="100"/>
      <c r="HQ75" s="100"/>
      <c r="HR75" s="100"/>
      <c r="HS75" s="100"/>
      <c r="HT75" s="100"/>
      <c r="HU75" s="100"/>
      <c r="HV75" s="100"/>
      <c r="HW75" s="100"/>
      <c r="HX75" s="100"/>
      <c r="HY75" s="100"/>
      <c r="HZ75" s="100"/>
      <c r="IA75" s="100"/>
      <c r="IB75" s="100"/>
      <c r="IC75" s="100"/>
      <c r="ID75" s="100"/>
      <c r="IE75" s="100"/>
      <c r="IF75" s="100"/>
      <c r="IG75" s="100"/>
      <c r="IH75" s="100"/>
      <c r="II75" s="100"/>
      <c r="IJ75" s="100"/>
      <c r="IK75" s="100"/>
      <c r="IL75" s="100"/>
      <c r="IM75" s="100"/>
      <c r="IN75" s="100"/>
      <c r="IO75" s="100"/>
      <c r="IP75" s="100"/>
      <c r="IQ75" s="100"/>
      <c r="IR75" s="100"/>
      <c r="IS75" s="100"/>
      <c r="IT75" s="100"/>
      <c r="IU75" s="100"/>
      <c r="IV75" s="100"/>
      <c r="IW75" s="100"/>
    </row>
    <row r="76" customFormat="false" ht="12.75" hidden="false" customHeight="false" outlineLevel="0" collapsed="false">
      <c r="A76" s="100"/>
      <c r="B76" s="100"/>
      <c r="C76" s="100"/>
      <c r="D76" s="130"/>
      <c r="E76" s="100"/>
      <c r="F76" s="100"/>
      <c r="G76" s="100"/>
      <c r="H76" s="100"/>
      <c r="I76" s="100"/>
      <c r="J76" s="100"/>
      <c r="K76" s="100"/>
      <c r="L76" s="100"/>
      <c r="M76" s="100"/>
      <c r="N76" s="100"/>
      <c r="O76" s="100"/>
      <c r="P76" s="100"/>
      <c r="Q76" s="100"/>
      <c r="R76" s="100"/>
      <c r="S76" s="100"/>
      <c r="T76" s="100"/>
      <c r="U76" s="100"/>
      <c r="V76" s="100"/>
      <c r="W76" s="100"/>
      <c r="X76" s="100"/>
      <c r="Y76" s="100"/>
      <c r="Z76" s="100"/>
      <c r="AA76" s="100"/>
      <c r="AB76" s="100"/>
      <c r="AC76" s="100"/>
      <c r="AD76" s="100"/>
      <c r="AE76" s="100"/>
      <c r="AF76" s="100"/>
      <c r="AG76" s="100"/>
      <c r="AH76" s="100"/>
      <c r="AI76" s="100"/>
      <c r="AJ76" s="102"/>
      <c r="AK76" s="102"/>
      <c r="AL76" s="100"/>
      <c r="AM76" s="100"/>
      <c r="AN76" s="100"/>
      <c r="AO76" s="100"/>
      <c r="AP76" s="100"/>
      <c r="AQ76" s="100"/>
      <c r="AR76" s="100"/>
      <c r="AS76" s="100"/>
      <c r="AT76" s="100"/>
      <c r="AU76" s="100"/>
      <c r="AV76" s="100"/>
      <c r="AW76" s="100"/>
      <c r="AX76" s="100"/>
      <c r="AY76" s="100"/>
      <c r="AZ76" s="100"/>
      <c r="BA76" s="100"/>
      <c r="BB76" s="100"/>
      <c r="BC76" s="100"/>
      <c r="BD76" s="100"/>
      <c r="BE76" s="100"/>
      <c r="BF76" s="100"/>
      <c r="BG76" s="100"/>
      <c r="BH76" s="100"/>
      <c r="BI76" s="100"/>
      <c r="BJ76" s="100"/>
      <c r="BK76" s="100"/>
      <c r="BL76" s="100"/>
      <c r="BM76" s="100"/>
      <c r="BN76" s="100"/>
      <c r="BO76" s="100"/>
      <c r="BP76" s="100"/>
      <c r="BQ76" s="100"/>
      <c r="BR76" s="100"/>
      <c r="BS76" s="100"/>
      <c r="BT76" s="100"/>
      <c r="BU76" s="100"/>
      <c r="BV76" s="100"/>
      <c r="BW76" s="100"/>
      <c r="BX76" s="100"/>
      <c r="BY76" s="100"/>
      <c r="BZ76" s="100"/>
      <c r="CA76" s="100"/>
      <c r="CB76" s="100"/>
      <c r="CC76" s="100"/>
      <c r="CD76" s="100"/>
      <c r="CE76" s="100"/>
      <c r="CF76" s="100"/>
      <c r="CG76" s="100"/>
      <c r="CH76" s="100"/>
      <c r="CI76" s="100"/>
      <c r="CJ76" s="100"/>
      <c r="CK76" s="100"/>
      <c r="CL76" s="100"/>
      <c r="CM76" s="100"/>
      <c r="CN76" s="100"/>
      <c r="CO76" s="100"/>
      <c r="CP76" s="100"/>
      <c r="CQ76" s="100"/>
      <c r="CR76" s="100"/>
      <c r="CS76" s="100"/>
      <c r="CT76" s="100"/>
      <c r="CU76" s="100"/>
      <c r="CV76" s="100"/>
      <c r="CW76" s="100"/>
      <c r="CX76" s="100"/>
      <c r="CY76" s="100"/>
      <c r="CZ76" s="100"/>
      <c r="DA76" s="100"/>
      <c r="DB76" s="100"/>
      <c r="DC76" s="100"/>
      <c r="DD76" s="100"/>
      <c r="DE76" s="100"/>
      <c r="DF76" s="100"/>
      <c r="DG76" s="100"/>
      <c r="DH76" s="100"/>
      <c r="DI76" s="100"/>
      <c r="DJ76" s="100"/>
      <c r="DK76" s="100"/>
      <c r="DL76" s="100"/>
      <c r="DM76" s="100"/>
      <c r="DN76" s="100"/>
      <c r="DO76" s="100"/>
      <c r="DP76" s="100"/>
      <c r="DQ76" s="100"/>
      <c r="DR76" s="100"/>
      <c r="DS76" s="100"/>
      <c r="DT76" s="100"/>
      <c r="DU76" s="100"/>
      <c r="DV76" s="100"/>
      <c r="DW76" s="100"/>
      <c r="DX76" s="100"/>
      <c r="DY76" s="100"/>
      <c r="DZ76" s="100"/>
      <c r="EA76" s="100"/>
      <c r="EB76" s="100"/>
      <c r="EC76" s="100"/>
      <c r="ED76" s="100"/>
      <c r="EE76" s="100"/>
      <c r="EF76" s="100"/>
      <c r="EG76" s="100"/>
      <c r="EH76" s="100"/>
      <c r="EI76" s="100"/>
      <c r="EJ76" s="100"/>
      <c r="EK76" s="100"/>
      <c r="EL76" s="100"/>
      <c r="EM76" s="100"/>
      <c r="EN76" s="100"/>
      <c r="EO76" s="100"/>
      <c r="EP76" s="100"/>
      <c r="EQ76" s="100"/>
      <c r="ER76" s="100"/>
      <c r="ES76" s="100"/>
      <c r="ET76" s="100"/>
      <c r="EU76" s="100"/>
      <c r="EV76" s="100"/>
      <c r="EW76" s="100"/>
      <c r="EX76" s="100"/>
      <c r="EY76" s="100"/>
      <c r="EZ76" s="100"/>
      <c r="FA76" s="100"/>
      <c r="FB76" s="100"/>
      <c r="FC76" s="100"/>
      <c r="FD76" s="100"/>
      <c r="FE76" s="100"/>
      <c r="FF76" s="100"/>
      <c r="FG76" s="100"/>
      <c r="FH76" s="100"/>
      <c r="FI76" s="100"/>
      <c r="FJ76" s="100"/>
      <c r="FK76" s="100"/>
      <c r="FL76" s="100"/>
      <c r="FM76" s="100"/>
      <c r="FN76" s="100"/>
      <c r="FO76" s="100"/>
      <c r="FP76" s="100"/>
      <c r="FQ76" s="100"/>
      <c r="FR76" s="100"/>
      <c r="FS76" s="100"/>
      <c r="FT76" s="100"/>
      <c r="FU76" s="100"/>
      <c r="FV76" s="100"/>
      <c r="FW76" s="100"/>
      <c r="FX76" s="100"/>
      <c r="FY76" s="100"/>
      <c r="FZ76" s="100"/>
      <c r="GA76" s="100"/>
      <c r="GB76" s="100"/>
      <c r="GC76" s="100"/>
      <c r="GD76" s="100"/>
      <c r="GE76" s="100"/>
      <c r="GF76" s="100"/>
      <c r="GG76" s="100"/>
      <c r="GH76" s="100"/>
      <c r="GI76" s="100"/>
      <c r="GJ76" s="100"/>
      <c r="GK76" s="100"/>
      <c r="GL76" s="100"/>
      <c r="GM76" s="100"/>
      <c r="GN76" s="100"/>
      <c r="GO76" s="100"/>
      <c r="GP76" s="100"/>
      <c r="GQ76" s="100"/>
      <c r="GR76" s="100"/>
      <c r="GS76" s="100"/>
      <c r="GT76" s="100"/>
      <c r="GU76" s="100"/>
      <c r="GV76" s="100"/>
      <c r="GW76" s="100"/>
      <c r="GX76" s="100"/>
      <c r="GY76" s="100"/>
      <c r="GZ76" s="100"/>
      <c r="HA76" s="100"/>
      <c r="HB76" s="100"/>
      <c r="HC76" s="100"/>
      <c r="HD76" s="100"/>
      <c r="HE76" s="100"/>
      <c r="HF76" s="100"/>
      <c r="HG76" s="100"/>
      <c r="HH76" s="100"/>
      <c r="HI76" s="100"/>
      <c r="HJ76" s="100"/>
      <c r="HK76" s="100"/>
      <c r="HL76" s="100"/>
      <c r="HM76" s="100"/>
      <c r="HN76" s="100"/>
      <c r="HO76" s="100"/>
      <c r="HP76" s="100"/>
      <c r="HQ76" s="100"/>
      <c r="HR76" s="100"/>
      <c r="HS76" s="100"/>
      <c r="HT76" s="100"/>
      <c r="HU76" s="100"/>
      <c r="HV76" s="100"/>
      <c r="HW76" s="100"/>
      <c r="HX76" s="100"/>
      <c r="HY76" s="100"/>
      <c r="HZ76" s="100"/>
      <c r="IA76" s="100"/>
      <c r="IB76" s="100"/>
      <c r="IC76" s="100"/>
      <c r="ID76" s="100"/>
      <c r="IE76" s="100"/>
      <c r="IF76" s="100"/>
      <c r="IG76" s="100"/>
      <c r="IH76" s="100"/>
      <c r="II76" s="100"/>
      <c r="IJ76" s="100"/>
      <c r="IK76" s="100"/>
      <c r="IL76" s="100"/>
      <c r="IM76" s="100"/>
      <c r="IN76" s="100"/>
      <c r="IO76" s="100"/>
      <c r="IP76" s="100"/>
      <c r="IQ76" s="100"/>
      <c r="IR76" s="100"/>
      <c r="IS76" s="100"/>
      <c r="IT76" s="100"/>
      <c r="IU76" s="100"/>
      <c r="IV76" s="100"/>
      <c r="IW76" s="100"/>
    </row>
    <row r="77" customFormat="false" ht="12.75" hidden="false" customHeight="false" outlineLevel="0" collapsed="false">
      <c r="A77" s="100"/>
      <c r="B77" s="100"/>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0"/>
      <c r="AI77" s="100"/>
      <c r="AJ77" s="102"/>
      <c r="AK77" s="102"/>
      <c r="AL77" s="100"/>
      <c r="AM77" s="100"/>
      <c r="AN77" s="100"/>
      <c r="AO77" s="100"/>
      <c r="AP77" s="100"/>
      <c r="AQ77" s="100"/>
      <c r="AR77" s="100"/>
      <c r="AS77" s="100"/>
      <c r="AT77" s="100"/>
      <c r="AU77" s="100"/>
      <c r="AV77" s="100"/>
      <c r="AW77" s="100"/>
      <c r="AX77" s="100"/>
      <c r="AY77" s="100"/>
      <c r="AZ77" s="100"/>
      <c r="BA77" s="100"/>
      <c r="BB77" s="100"/>
      <c r="BC77" s="100"/>
      <c r="BD77" s="100"/>
      <c r="BE77" s="100"/>
      <c r="BF77" s="100"/>
      <c r="BG77" s="100"/>
      <c r="BH77" s="100"/>
      <c r="BI77" s="100"/>
      <c r="BJ77" s="100"/>
      <c r="BK77" s="100"/>
      <c r="BL77" s="100"/>
      <c r="BM77" s="100"/>
      <c r="BN77" s="100"/>
      <c r="BO77" s="100"/>
      <c r="BP77" s="100"/>
      <c r="BQ77" s="100"/>
      <c r="BR77" s="100"/>
      <c r="BS77" s="100"/>
      <c r="BT77" s="100"/>
      <c r="BU77" s="100"/>
      <c r="BV77" s="100"/>
      <c r="BW77" s="100"/>
      <c r="BX77" s="100"/>
      <c r="BY77" s="100"/>
      <c r="BZ77" s="100"/>
      <c r="CA77" s="100"/>
      <c r="CB77" s="100"/>
      <c r="CC77" s="100"/>
      <c r="CD77" s="100"/>
      <c r="CE77" s="100"/>
      <c r="CF77" s="100"/>
      <c r="CG77" s="100"/>
      <c r="CH77" s="100"/>
      <c r="CI77" s="100"/>
      <c r="CJ77" s="100"/>
      <c r="CK77" s="100"/>
      <c r="CL77" s="100"/>
      <c r="CM77" s="100"/>
      <c r="CN77" s="100"/>
      <c r="CO77" s="100"/>
      <c r="CP77" s="100"/>
      <c r="CQ77" s="100"/>
      <c r="CR77" s="100"/>
      <c r="CS77" s="100"/>
      <c r="CT77" s="100"/>
      <c r="CU77" s="100"/>
      <c r="CV77" s="100"/>
      <c r="CW77" s="100"/>
      <c r="CX77" s="100"/>
      <c r="CY77" s="100"/>
      <c r="CZ77" s="100"/>
      <c r="DA77" s="100"/>
      <c r="DB77" s="100"/>
      <c r="DC77" s="100"/>
      <c r="DD77" s="100"/>
      <c r="DE77" s="100"/>
      <c r="DF77" s="100"/>
      <c r="DG77" s="100"/>
      <c r="DH77" s="100"/>
      <c r="DI77" s="100"/>
      <c r="DJ77" s="100"/>
      <c r="DK77" s="100"/>
      <c r="DL77" s="100"/>
      <c r="DM77" s="100"/>
      <c r="DN77" s="100"/>
      <c r="DO77" s="100"/>
      <c r="DP77" s="100"/>
      <c r="DQ77" s="100"/>
      <c r="DR77" s="100"/>
      <c r="DS77" s="100"/>
      <c r="DT77" s="100"/>
      <c r="DU77" s="100"/>
      <c r="DV77" s="100"/>
      <c r="DW77" s="100"/>
      <c r="DX77" s="100"/>
      <c r="DY77" s="100"/>
      <c r="DZ77" s="100"/>
      <c r="EA77" s="100"/>
      <c r="EB77" s="100"/>
      <c r="EC77" s="100"/>
      <c r="ED77" s="100"/>
      <c r="EE77" s="100"/>
      <c r="EF77" s="100"/>
      <c r="EG77" s="100"/>
      <c r="EH77" s="100"/>
      <c r="EI77" s="100"/>
      <c r="EJ77" s="100"/>
      <c r="EK77" s="100"/>
      <c r="EL77" s="100"/>
      <c r="EM77" s="100"/>
      <c r="EN77" s="100"/>
      <c r="EO77" s="100"/>
      <c r="EP77" s="100"/>
      <c r="EQ77" s="100"/>
      <c r="ER77" s="100"/>
      <c r="ES77" s="100"/>
      <c r="ET77" s="100"/>
      <c r="EU77" s="100"/>
      <c r="EV77" s="100"/>
      <c r="EW77" s="100"/>
      <c r="EX77" s="100"/>
      <c r="EY77" s="100"/>
      <c r="EZ77" s="100"/>
      <c r="FA77" s="100"/>
      <c r="FB77" s="100"/>
      <c r="FC77" s="100"/>
      <c r="FD77" s="100"/>
      <c r="FE77" s="100"/>
      <c r="FF77" s="100"/>
      <c r="FG77" s="100"/>
      <c r="FH77" s="100"/>
      <c r="FI77" s="100"/>
      <c r="FJ77" s="100"/>
      <c r="FK77" s="100"/>
      <c r="FL77" s="100"/>
      <c r="FM77" s="100"/>
      <c r="FN77" s="100"/>
      <c r="FO77" s="100"/>
      <c r="FP77" s="100"/>
      <c r="FQ77" s="100"/>
      <c r="FR77" s="100"/>
      <c r="FS77" s="100"/>
      <c r="FT77" s="100"/>
      <c r="FU77" s="100"/>
      <c r="FV77" s="100"/>
      <c r="FW77" s="100"/>
      <c r="FX77" s="100"/>
      <c r="FY77" s="100"/>
      <c r="FZ77" s="100"/>
      <c r="GA77" s="100"/>
      <c r="GB77" s="100"/>
      <c r="GC77" s="100"/>
      <c r="GD77" s="100"/>
      <c r="GE77" s="100"/>
      <c r="GF77" s="100"/>
      <c r="GG77" s="100"/>
      <c r="GH77" s="100"/>
      <c r="GI77" s="100"/>
      <c r="GJ77" s="100"/>
      <c r="GK77" s="100"/>
      <c r="GL77" s="100"/>
      <c r="GM77" s="100"/>
      <c r="GN77" s="100"/>
      <c r="GO77" s="100"/>
      <c r="GP77" s="100"/>
      <c r="GQ77" s="100"/>
      <c r="GR77" s="100"/>
      <c r="GS77" s="100"/>
      <c r="GT77" s="100"/>
      <c r="GU77" s="100"/>
      <c r="GV77" s="100"/>
      <c r="GW77" s="100"/>
      <c r="GX77" s="100"/>
      <c r="GY77" s="100"/>
      <c r="GZ77" s="100"/>
      <c r="HA77" s="100"/>
      <c r="HB77" s="100"/>
      <c r="HC77" s="100"/>
      <c r="HD77" s="100"/>
      <c r="HE77" s="100"/>
      <c r="HF77" s="100"/>
      <c r="HG77" s="100"/>
      <c r="HH77" s="100"/>
      <c r="HI77" s="100"/>
      <c r="HJ77" s="100"/>
      <c r="HK77" s="100"/>
      <c r="HL77" s="100"/>
      <c r="HM77" s="100"/>
      <c r="HN77" s="100"/>
      <c r="HO77" s="100"/>
      <c r="HP77" s="100"/>
      <c r="HQ77" s="100"/>
      <c r="HR77" s="100"/>
      <c r="HS77" s="100"/>
      <c r="HT77" s="100"/>
      <c r="HU77" s="100"/>
      <c r="HV77" s="100"/>
      <c r="HW77" s="100"/>
      <c r="HX77" s="100"/>
      <c r="HY77" s="100"/>
      <c r="HZ77" s="100"/>
      <c r="IA77" s="100"/>
      <c r="IB77" s="100"/>
      <c r="IC77" s="100"/>
      <c r="ID77" s="100"/>
      <c r="IE77" s="100"/>
      <c r="IF77" s="100"/>
      <c r="IG77" s="100"/>
      <c r="IH77" s="100"/>
      <c r="II77" s="100"/>
      <c r="IJ77" s="100"/>
      <c r="IK77" s="100"/>
      <c r="IL77" s="100"/>
      <c r="IM77" s="100"/>
      <c r="IN77" s="100"/>
      <c r="IO77" s="100"/>
      <c r="IP77" s="100"/>
      <c r="IQ77" s="100"/>
      <c r="IR77" s="100"/>
      <c r="IS77" s="100"/>
      <c r="IT77" s="100"/>
      <c r="IU77" s="100"/>
      <c r="IV77" s="100"/>
      <c r="IW77" s="100"/>
    </row>
    <row r="78" customFormat="false" ht="12.75" hidden="false" customHeight="false" outlineLevel="0" collapsed="false">
      <c r="A78" s="102"/>
      <c r="B78" s="1045" t="s">
        <v>680</v>
      </c>
      <c r="C78" s="102"/>
      <c r="D78" s="1045"/>
      <c r="E78" s="1040"/>
      <c r="F78" s="1040"/>
      <c r="G78" s="1040"/>
      <c r="H78" s="1040"/>
      <c r="I78" s="1040"/>
      <c r="J78" s="1040"/>
      <c r="K78" s="1040"/>
      <c r="L78" s="1040"/>
      <c r="M78" s="1040"/>
      <c r="N78" s="1040"/>
      <c r="O78" s="1040"/>
      <c r="P78" s="1040"/>
      <c r="Q78" s="1040"/>
      <c r="R78" s="1040"/>
      <c r="S78" s="1040"/>
      <c r="T78" s="1040"/>
      <c r="U78" s="1040"/>
      <c r="V78" s="1040"/>
      <c r="W78" s="1040"/>
      <c r="X78" s="1040"/>
      <c r="Y78" s="1040"/>
      <c r="Z78" s="1040"/>
      <c r="AA78" s="1040"/>
      <c r="AB78" s="1040"/>
      <c r="AC78" s="1040"/>
      <c r="AD78" s="1040"/>
      <c r="AE78" s="1040"/>
      <c r="AF78" s="1040"/>
      <c r="AG78" s="1040"/>
      <c r="AH78" s="1040"/>
      <c r="AI78" s="1040"/>
      <c r="AJ78" s="102"/>
      <c r="AK78" s="102"/>
      <c r="AL78" s="102"/>
      <c r="AM78" s="102"/>
      <c r="AN78" s="1045" t="s">
        <v>681</v>
      </c>
      <c r="AO78" s="102"/>
      <c r="AP78" s="102"/>
      <c r="AQ78" s="102"/>
      <c r="AR78" s="102"/>
      <c r="AS78" s="102"/>
      <c r="AT78" s="102"/>
      <c r="AU78" s="102"/>
      <c r="AV78" s="102"/>
      <c r="AW78" s="102"/>
      <c r="AX78" s="102"/>
      <c r="AY78" s="102"/>
      <c r="AZ78" s="102"/>
      <c r="BA78" s="102"/>
      <c r="BB78" s="102"/>
      <c r="BC78" s="102"/>
      <c r="BD78" s="102"/>
      <c r="BE78" s="102"/>
      <c r="BF78" s="102"/>
      <c r="BG78" s="102"/>
      <c r="BH78" s="102"/>
      <c r="BI78" s="102"/>
      <c r="BJ78" s="102"/>
      <c r="BK78" s="102"/>
      <c r="BL78" s="102"/>
      <c r="BM78" s="102"/>
      <c r="BN78" s="102"/>
      <c r="BO78" s="102"/>
      <c r="BP78" s="102"/>
      <c r="BQ78" s="102"/>
      <c r="BR78" s="102"/>
      <c r="BS78" s="102"/>
      <c r="BT78" s="102"/>
      <c r="BU78" s="102"/>
      <c r="BV78" s="102"/>
      <c r="BW78" s="102"/>
      <c r="BX78" s="102"/>
      <c r="BY78" s="102"/>
      <c r="BZ78" s="102"/>
      <c r="CA78" s="102"/>
      <c r="CB78" s="102"/>
      <c r="CC78" s="102"/>
      <c r="CD78" s="102"/>
      <c r="CE78" s="102"/>
      <c r="CF78" s="102"/>
      <c r="CG78" s="102"/>
      <c r="CH78" s="102"/>
      <c r="CI78" s="102"/>
      <c r="CJ78" s="102"/>
      <c r="CK78" s="102"/>
      <c r="CL78" s="102"/>
      <c r="CM78" s="102"/>
      <c r="CN78" s="102"/>
      <c r="CO78" s="102"/>
      <c r="CP78" s="102"/>
      <c r="CQ78" s="102"/>
      <c r="CR78" s="102"/>
      <c r="CS78" s="102"/>
      <c r="CT78" s="102"/>
      <c r="CU78" s="102"/>
      <c r="CV78" s="102"/>
      <c r="CW78" s="102"/>
      <c r="CX78" s="102"/>
      <c r="CY78" s="102"/>
      <c r="CZ78" s="102"/>
      <c r="DA78" s="102"/>
      <c r="DB78" s="102"/>
      <c r="DC78" s="102"/>
      <c r="DD78" s="102"/>
      <c r="DE78" s="102"/>
      <c r="DF78" s="102"/>
      <c r="DG78" s="102"/>
      <c r="DH78" s="102"/>
      <c r="DI78" s="102"/>
      <c r="DJ78" s="102"/>
      <c r="DK78" s="102"/>
      <c r="DL78" s="102"/>
      <c r="DM78" s="102"/>
      <c r="DN78" s="102"/>
      <c r="DO78" s="102"/>
      <c r="DP78" s="102"/>
      <c r="DQ78" s="102"/>
      <c r="DR78" s="102"/>
      <c r="DS78" s="102"/>
      <c r="DT78" s="102"/>
      <c r="DU78" s="102"/>
      <c r="DV78" s="102"/>
      <c r="DW78" s="102"/>
      <c r="DX78" s="102"/>
      <c r="DY78" s="102"/>
      <c r="DZ78" s="102"/>
      <c r="EA78" s="102"/>
      <c r="EB78" s="102"/>
      <c r="EC78" s="102"/>
      <c r="ED78" s="102"/>
      <c r="EE78" s="102"/>
      <c r="EF78" s="102"/>
      <c r="EG78" s="102"/>
      <c r="EH78" s="102"/>
      <c r="EI78" s="102"/>
      <c r="EJ78" s="102"/>
      <c r="EK78" s="102"/>
      <c r="EL78" s="102"/>
      <c r="EM78" s="102"/>
      <c r="EN78" s="102"/>
      <c r="EO78" s="102"/>
      <c r="EP78" s="102"/>
      <c r="EQ78" s="102"/>
      <c r="ER78" s="102"/>
      <c r="ES78" s="102"/>
      <c r="ET78" s="102"/>
      <c r="EU78" s="102"/>
      <c r="EV78" s="102"/>
      <c r="EW78" s="102"/>
      <c r="EX78" s="102"/>
      <c r="EY78" s="102"/>
      <c r="EZ78" s="102"/>
      <c r="FA78" s="102"/>
      <c r="FB78" s="102"/>
      <c r="FC78" s="102"/>
      <c r="FD78" s="102"/>
      <c r="FE78" s="102"/>
      <c r="FF78" s="102"/>
      <c r="FG78" s="102"/>
      <c r="FH78" s="102"/>
      <c r="FI78" s="102"/>
      <c r="FJ78" s="102"/>
      <c r="FK78" s="102"/>
      <c r="FL78" s="102"/>
      <c r="FM78" s="102"/>
      <c r="FN78" s="102"/>
      <c r="FO78" s="102"/>
      <c r="FP78" s="102"/>
      <c r="FQ78" s="102"/>
      <c r="FR78" s="102"/>
      <c r="FS78" s="102"/>
      <c r="FT78" s="102"/>
      <c r="FU78" s="102"/>
      <c r="FV78" s="102"/>
      <c r="FW78" s="102"/>
      <c r="FX78" s="102"/>
      <c r="FY78" s="102"/>
      <c r="FZ78" s="102"/>
      <c r="GA78" s="102"/>
      <c r="GB78" s="102"/>
      <c r="GC78" s="102"/>
      <c r="GD78" s="102"/>
      <c r="GE78" s="102"/>
      <c r="GF78" s="102"/>
      <c r="GG78" s="102"/>
      <c r="GH78" s="102"/>
      <c r="GI78" s="102"/>
      <c r="GJ78" s="102"/>
      <c r="GK78" s="102"/>
      <c r="GL78" s="102"/>
      <c r="GM78" s="102"/>
      <c r="GN78" s="102"/>
      <c r="GO78" s="102"/>
      <c r="GP78" s="102"/>
      <c r="GQ78" s="102"/>
      <c r="GR78" s="102"/>
      <c r="GS78" s="102"/>
      <c r="GT78" s="102"/>
      <c r="GU78" s="102"/>
      <c r="GV78" s="102"/>
      <c r="GW78" s="102"/>
      <c r="GX78" s="102"/>
      <c r="GY78" s="102"/>
      <c r="GZ78" s="102"/>
      <c r="HA78" s="102"/>
      <c r="HB78" s="102"/>
      <c r="HC78" s="102"/>
      <c r="HD78" s="102"/>
      <c r="HE78" s="102"/>
      <c r="HF78" s="102"/>
      <c r="HG78" s="102"/>
      <c r="HH78" s="102"/>
      <c r="HI78" s="102"/>
      <c r="HJ78" s="102"/>
      <c r="HK78" s="102"/>
      <c r="HL78" s="102"/>
      <c r="HM78" s="102"/>
      <c r="HN78" s="102"/>
      <c r="HO78" s="102"/>
      <c r="HP78" s="102"/>
      <c r="HQ78" s="102"/>
      <c r="HR78" s="102"/>
      <c r="HS78" s="102"/>
      <c r="HT78" s="102"/>
      <c r="HU78" s="102"/>
      <c r="HV78" s="102"/>
      <c r="HW78" s="102"/>
      <c r="HX78" s="102"/>
      <c r="HY78" s="102"/>
      <c r="HZ78" s="102"/>
      <c r="IA78" s="102"/>
      <c r="IB78" s="102"/>
      <c r="IC78" s="102"/>
      <c r="ID78" s="102"/>
      <c r="IE78" s="102"/>
      <c r="IF78" s="102"/>
      <c r="IG78" s="102"/>
      <c r="IH78" s="102"/>
      <c r="II78" s="102"/>
      <c r="IJ78" s="102"/>
      <c r="IK78" s="102"/>
      <c r="IL78" s="102"/>
      <c r="IM78" s="102"/>
      <c r="IN78" s="102"/>
      <c r="IO78" s="102"/>
      <c r="IP78" s="102"/>
      <c r="IQ78" s="102"/>
      <c r="IR78" s="102"/>
      <c r="IS78" s="102"/>
      <c r="IT78" s="102"/>
      <c r="IU78" s="102"/>
      <c r="IV78" s="102"/>
      <c r="IW78" s="102"/>
    </row>
    <row r="79" customFormat="false" ht="12.75" hidden="false" customHeight="false" outlineLevel="0" collapsed="false">
      <c r="A79" s="100"/>
      <c r="B79" s="100"/>
      <c r="C79" s="100"/>
      <c r="D79" s="13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2"/>
      <c r="AK79" s="102"/>
      <c r="AL79" s="100"/>
      <c r="AM79" s="130"/>
      <c r="AN79" s="100"/>
      <c r="AO79" s="100"/>
      <c r="AP79" s="100"/>
      <c r="AQ79" s="100"/>
      <c r="AR79" s="100"/>
      <c r="AS79" s="100"/>
      <c r="AT79" s="100"/>
      <c r="AU79" s="100"/>
      <c r="AV79" s="100"/>
      <c r="AW79" s="100"/>
      <c r="AX79" s="100"/>
      <c r="AY79" s="100"/>
      <c r="AZ79" s="100"/>
      <c r="BA79" s="100"/>
      <c r="BB79" s="100"/>
      <c r="BC79" s="100"/>
      <c r="BD79" s="100"/>
      <c r="BE79" s="100"/>
      <c r="BF79" s="100"/>
      <c r="BG79" s="100"/>
      <c r="BH79" s="100"/>
      <c r="BI79" s="100"/>
      <c r="BJ79" s="100"/>
      <c r="BK79" s="100"/>
      <c r="BL79" s="100"/>
      <c r="BM79" s="100"/>
      <c r="BN79" s="100"/>
      <c r="BO79" s="100"/>
      <c r="BP79" s="100"/>
      <c r="BQ79" s="100"/>
      <c r="BR79" s="100"/>
      <c r="BS79" s="100"/>
      <c r="BT79" s="100"/>
      <c r="BU79" s="100"/>
      <c r="BV79" s="100"/>
      <c r="BW79" s="100"/>
      <c r="BX79" s="100"/>
      <c r="BY79" s="100"/>
      <c r="BZ79" s="100"/>
      <c r="CA79" s="100"/>
      <c r="CB79" s="100"/>
      <c r="CC79" s="100"/>
      <c r="CD79" s="100"/>
      <c r="CE79" s="100"/>
      <c r="CF79" s="100"/>
      <c r="CG79" s="100"/>
      <c r="CH79" s="100"/>
      <c r="CI79" s="100"/>
      <c r="CJ79" s="100"/>
      <c r="CK79" s="100"/>
      <c r="CL79" s="100"/>
      <c r="CM79" s="100"/>
      <c r="CN79" s="100"/>
      <c r="CO79" s="100"/>
      <c r="CP79" s="100"/>
      <c r="CQ79" s="100"/>
      <c r="CR79" s="100"/>
      <c r="CS79" s="100"/>
      <c r="CT79" s="100"/>
      <c r="CU79" s="100"/>
      <c r="CV79" s="100"/>
      <c r="CW79" s="100"/>
      <c r="CX79" s="100"/>
      <c r="CY79" s="100"/>
      <c r="CZ79" s="100"/>
      <c r="DA79" s="100"/>
      <c r="DB79" s="100"/>
      <c r="DC79" s="100"/>
      <c r="DD79" s="100"/>
      <c r="DE79" s="100"/>
      <c r="DF79" s="100"/>
      <c r="DG79" s="100"/>
      <c r="DH79" s="100"/>
      <c r="DI79" s="100"/>
      <c r="DJ79" s="100"/>
      <c r="DK79" s="100"/>
      <c r="DL79" s="100"/>
      <c r="DM79" s="100"/>
      <c r="DN79" s="100"/>
      <c r="DO79" s="100"/>
      <c r="DP79" s="100"/>
      <c r="DQ79" s="100"/>
      <c r="DR79" s="100"/>
      <c r="DS79" s="100"/>
      <c r="DT79" s="100"/>
      <c r="DU79" s="100"/>
      <c r="DV79" s="100"/>
      <c r="DW79" s="100"/>
      <c r="DX79" s="100"/>
      <c r="DY79" s="100"/>
      <c r="DZ79" s="100"/>
      <c r="EA79" s="100"/>
      <c r="EB79" s="100"/>
      <c r="EC79" s="100"/>
      <c r="ED79" s="100"/>
      <c r="EE79" s="100"/>
      <c r="EF79" s="100"/>
      <c r="EG79" s="100"/>
      <c r="EH79" s="100"/>
      <c r="EI79" s="100"/>
      <c r="EJ79" s="100"/>
      <c r="EK79" s="100"/>
      <c r="EL79" s="100"/>
      <c r="EM79" s="100"/>
      <c r="EN79" s="100"/>
      <c r="EO79" s="100"/>
      <c r="EP79" s="100"/>
      <c r="EQ79" s="100"/>
      <c r="ER79" s="100"/>
      <c r="ES79" s="100"/>
      <c r="ET79" s="100"/>
      <c r="EU79" s="100"/>
      <c r="EV79" s="100"/>
      <c r="EW79" s="100"/>
      <c r="EX79" s="100"/>
      <c r="EY79" s="100"/>
      <c r="EZ79" s="100"/>
      <c r="FA79" s="100"/>
      <c r="FB79" s="100"/>
      <c r="FC79" s="100"/>
      <c r="FD79" s="100"/>
      <c r="FE79" s="100"/>
      <c r="FF79" s="100"/>
      <c r="FG79" s="100"/>
      <c r="FH79" s="100"/>
      <c r="FI79" s="100"/>
      <c r="FJ79" s="100"/>
      <c r="FK79" s="100"/>
      <c r="FL79" s="100"/>
      <c r="FM79" s="100"/>
      <c r="FN79" s="100"/>
      <c r="FO79" s="100"/>
      <c r="FP79" s="100"/>
      <c r="FQ79" s="100"/>
      <c r="FR79" s="100"/>
      <c r="FS79" s="100"/>
      <c r="FT79" s="100"/>
      <c r="FU79" s="100"/>
      <c r="FV79" s="100"/>
      <c r="FW79" s="100"/>
      <c r="FX79" s="100"/>
      <c r="FY79" s="100"/>
      <c r="FZ79" s="100"/>
      <c r="GA79" s="100"/>
      <c r="GB79" s="100"/>
      <c r="GC79" s="100"/>
      <c r="GD79" s="100"/>
      <c r="GE79" s="100"/>
      <c r="GF79" s="100"/>
      <c r="GG79" s="100"/>
      <c r="GH79" s="100"/>
      <c r="GI79" s="100"/>
      <c r="GJ79" s="100"/>
      <c r="GK79" s="100"/>
      <c r="GL79" s="100"/>
      <c r="GM79" s="100"/>
      <c r="GN79" s="100"/>
      <c r="GO79" s="100"/>
      <c r="GP79" s="100"/>
      <c r="GQ79" s="100"/>
      <c r="GR79" s="100"/>
      <c r="GS79" s="100"/>
      <c r="GT79" s="100"/>
      <c r="GU79" s="100"/>
      <c r="GV79" s="100"/>
      <c r="GW79" s="100"/>
      <c r="GX79" s="100"/>
      <c r="GY79" s="100"/>
      <c r="GZ79" s="100"/>
      <c r="HA79" s="100"/>
      <c r="HB79" s="100"/>
      <c r="HC79" s="100"/>
      <c r="HD79" s="100"/>
      <c r="HE79" s="100"/>
      <c r="HF79" s="100"/>
      <c r="HG79" s="100"/>
      <c r="HH79" s="100"/>
      <c r="HI79" s="100"/>
      <c r="HJ79" s="100"/>
      <c r="HK79" s="100"/>
      <c r="HL79" s="100"/>
      <c r="HM79" s="100"/>
      <c r="HN79" s="100"/>
      <c r="HO79" s="100"/>
      <c r="HP79" s="100"/>
      <c r="HQ79" s="100"/>
      <c r="HR79" s="100"/>
      <c r="HS79" s="100"/>
      <c r="HT79" s="100"/>
      <c r="HU79" s="100"/>
      <c r="HV79" s="100"/>
      <c r="HW79" s="100"/>
      <c r="HX79" s="100"/>
      <c r="HY79" s="100"/>
      <c r="HZ79" s="100"/>
      <c r="IA79" s="100"/>
      <c r="IB79" s="100"/>
      <c r="IC79" s="100"/>
      <c r="ID79" s="100"/>
      <c r="IE79" s="100"/>
      <c r="IF79" s="100"/>
      <c r="IG79" s="100"/>
      <c r="IH79" s="100"/>
      <c r="II79" s="100"/>
      <c r="IJ79" s="100"/>
      <c r="IK79" s="100"/>
      <c r="IL79" s="100"/>
      <c r="IM79" s="100"/>
      <c r="IN79" s="100"/>
      <c r="IO79" s="100"/>
      <c r="IP79" s="100"/>
      <c r="IQ79" s="100"/>
      <c r="IR79" s="100"/>
      <c r="IS79" s="100"/>
      <c r="IT79" s="100"/>
      <c r="IU79" s="100"/>
      <c r="IV79" s="100"/>
      <c r="IW79" s="100"/>
    </row>
    <row r="80" customFormat="false" ht="12.75" hidden="false" customHeight="false" outlineLevel="0" collapsed="false">
      <c r="A80" s="313"/>
      <c r="B80" s="718" t="s">
        <v>647</v>
      </c>
      <c r="C80" s="100"/>
      <c r="D80" s="1056"/>
      <c r="E80" s="313" t="n">
        <f aca="false">E33</f>
        <v>3703.96222781693</v>
      </c>
      <c r="F80" s="313" t="n">
        <f aca="false">F33</f>
        <v>3703.96222781693</v>
      </c>
      <c r="G80" s="313" t="n">
        <f aca="false">G33</f>
        <v>3703.96222781693</v>
      </c>
      <c r="H80" s="313" t="n">
        <f aca="false">H33</f>
        <v>3703.96222781693</v>
      </c>
      <c r="I80" s="313" t="n">
        <f aca="false">I33</f>
        <v>3703.96222781693</v>
      </c>
      <c r="J80" s="313" t="n">
        <f aca="false">J33</f>
        <v>3703.96222781693</v>
      </c>
      <c r="K80" s="313" t="n">
        <f aca="false">K33</f>
        <v>3703.96222781693</v>
      </c>
      <c r="L80" s="313" t="n">
        <f aca="false">L33</f>
        <v>3703.96222781693</v>
      </c>
      <c r="M80" s="313" t="n">
        <f aca="false">M33</f>
        <v>3703.96222781693</v>
      </c>
      <c r="N80" s="313" t="n">
        <f aca="false">N33</f>
        <v>3703.96222781693</v>
      </c>
      <c r="O80" s="313" t="n">
        <f aca="false">O33</f>
        <v>3703.96222781693</v>
      </c>
      <c r="P80" s="313" t="n">
        <f aca="false">P33</f>
        <v>3703.96222781693</v>
      </c>
      <c r="Q80" s="313" t="n">
        <f aca="false">Q33</f>
        <v>3703.96222781693</v>
      </c>
      <c r="R80" s="313" t="n">
        <f aca="false">R33</f>
        <v>3703.96222781693</v>
      </c>
      <c r="S80" s="313" t="n">
        <f aca="false">S33</f>
        <v>3703.96222781693</v>
      </c>
      <c r="T80" s="313" t="n">
        <f aca="false">T33</f>
        <v>3703.96222781693</v>
      </c>
      <c r="U80" s="313" t="n">
        <f aca="false">U33</f>
        <v>3703.96222781693</v>
      </c>
      <c r="V80" s="313" t="n">
        <f aca="false">V33</f>
        <v>3703.96222781693</v>
      </c>
      <c r="W80" s="313" t="n">
        <f aca="false">W33</f>
        <v>3703.96222781693</v>
      </c>
      <c r="X80" s="313" t="n">
        <f aca="false">X33</f>
        <v>3703.96222781693</v>
      </c>
      <c r="Y80" s="313" t="n">
        <f aca="false">Y33</f>
        <v>0</v>
      </c>
      <c r="Z80" s="313" t="n">
        <f aca="false">Z33</f>
        <v>0</v>
      </c>
      <c r="AA80" s="313" t="n">
        <f aca="false">AA33</f>
        <v>0</v>
      </c>
      <c r="AB80" s="313" t="n">
        <f aca="false">AB33</f>
        <v>0</v>
      </c>
      <c r="AC80" s="313" t="n">
        <f aca="false">AC33</f>
        <v>0</v>
      </c>
      <c r="AD80" s="313" t="n">
        <f aca="false">AD33</f>
        <v>0</v>
      </c>
      <c r="AE80" s="313" t="n">
        <f aca="false">AE33</f>
        <v>0</v>
      </c>
      <c r="AF80" s="313" t="n">
        <f aca="false">AF33</f>
        <v>0</v>
      </c>
      <c r="AG80" s="313" t="n">
        <f aca="false">AG33</f>
        <v>0</v>
      </c>
      <c r="AH80" s="313" t="n">
        <f aca="false">AH33</f>
        <v>0</v>
      </c>
      <c r="AI80" s="313" t="n">
        <f aca="false">AI33</f>
        <v>0</v>
      </c>
      <c r="AJ80" s="1045"/>
      <c r="AK80" s="1045"/>
      <c r="AL80" s="313"/>
      <c r="AM80" s="1056"/>
      <c r="AN80" s="963" t="n">
        <f aca="false">E80/E$80</f>
        <v>1</v>
      </c>
      <c r="AO80" s="963" t="n">
        <f aca="false">F80/F$80</f>
        <v>1</v>
      </c>
      <c r="AP80" s="963" t="n">
        <f aca="false">G80/G$80</f>
        <v>1</v>
      </c>
      <c r="AQ80" s="963" t="n">
        <f aca="false">H80/H$80</f>
        <v>1</v>
      </c>
      <c r="AR80" s="963" t="n">
        <f aca="false">I80/I$80</f>
        <v>1</v>
      </c>
      <c r="AS80" s="963" t="n">
        <f aca="false">J80/J$80</f>
        <v>1</v>
      </c>
      <c r="AT80" s="963" t="n">
        <f aca="false">K80/K$80</f>
        <v>1</v>
      </c>
      <c r="AU80" s="963" t="n">
        <f aca="false">L80/L$80</f>
        <v>1</v>
      </c>
      <c r="AV80" s="963" t="n">
        <f aca="false">M80/M$80</f>
        <v>1</v>
      </c>
      <c r="AW80" s="963" t="n">
        <f aca="false">N80/N$80</f>
        <v>1</v>
      </c>
      <c r="AX80" s="963" t="n">
        <f aca="false">O80/O$80</f>
        <v>1</v>
      </c>
      <c r="AY80" s="963" t="n">
        <f aca="false">P80/P$80</f>
        <v>1</v>
      </c>
      <c r="AZ80" s="963" t="n">
        <f aca="false">Q80/Q$80</f>
        <v>1</v>
      </c>
      <c r="BA80" s="963" t="n">
        <f aca="false">R80/R$80</f>
        <v>1</v>
      </c>
      <c r="BB80" s="963" t="n">
        <f aca="false">S80/S$80</f>
        <v>1</v>
      </c>
      <c r="BC80" s="963" t="n">
        <f aca="false">T80/T$80</f>
        <v>1</v>
      </c>
      <c r="BD80" s="963" t="n">
        <f aca="false">U80/U$80</f>
        <v>1</v>
      </c>
      <c r="BE80" s="963" t="n">
        <f aca="false">V80/V$80</f>
        <v>1</v>
      </c>
      <c r="BF80" s="963" t="n">
        <f aca="false">W80/W$80</f>
        <v>1</v>
      </c>
      <c r="BG80" s="963" t="n">
        <f aca="false">X80/X$80</f>
        <v>1</v>
      </c>
      <c r="BH80" s="963" t="e">
        <f aca="false">Y80/Y$80</f>
        <v>#DIV/0!</v>
      </c>
      <c r="BI80" s="963" t="e">
        <f aca="false">Z80/Z$80</f>
        <v>#DIV/0!</v>
      </c>
      <c r="BJ80" s="963" t="e">
        <f aca="false">AA80/AA$80</f>
        <v>#DIV/0!</v>
      </c>
      <c r="BK80" s="963" t="e">
        <f aca="false">AB80/AB$80</f>
        <v>#DIV/0!</v>
      </c>
      <c r="BL80" s="963" t="e">
        <f aca="false">AC80/AC$80</f>
        <v>#DIV/0!</v>
      </c>
      <c r="BM80" s="963" t="e">
        <f aca="false">AD80/AD$80</f>
        <v>#DIV/0!</v>
      </c>
      <c r="BN80" s="963" t="e">
        <f aca="false">AE80/AE$80</f>
        <v>#DIV/0!</v>
      </c>
      <c r="BO80" s="963" t="e">
        <f aca="false">AF80/AF$80</f>
        <v>#DIV/0!</v>
      </c>
      <c r="BP80" s="963" t="e">
        <f aca="false">AG80/AG$80</f>
        <v>#DIV/0!</v>
      </c>
      <c r="BQ80" s="963" t="e">
        <f aca="false">AH80/AH$80</f>
        <v>#DIV/0!</v>
      </c>
      <c r="BR80" s="963" t="e">
        <f aca="false">AI80/AI$80</f>
        <v>#DIV/0!</v>
      </c>
      <c r="BS80" s="313"/>
      <c r="BT80" s="313"/>
      <c r="BU80" s="313"/>
      <c r="BV80" s="313"/>
      <c r="BW80" s="313"/>
      <c r="BX80" s="313"/>
      <c r="BY80" s="313"/>
      <c r="BZ80" s="313"/>
      <c r="CA80" s="313"/>
      <c r="CB80" s="313"/>
      <c r="CC80" s="313"/>
      <c r="CD80" s="313"/>
      <c r="CE80" s="313"/>
      <c r="CF80" s="313"/>
      <c r="CG80" s="313"/>
      <c r="CH80" s="313"/>
      <c r="CI80" s="313"/>
      <c r="CJ80" s="313"/>
      <c r="CK80" s="313"/>
      <c r="CL80" s="313"/>
      <c r="CM80" s="313"/>
      <c r="CN80" s="313"/>
      <c r="CO80" s="313"/>
      <c r="CP80" s="313"/>
      <c r="CQ80" s="313"/>
      <c r="CR80" s="313"/>
      <c r="CS80" s="313"/>
      <c r="CT80" s="313"/>
      <c r="CU80" s="313"/>
      <c r="CV80" s="313"/>
      <c r="CW80" s="313"/>
      <c r="CX80" s="313"/>
      <c r="CY80" s="313"/>
      <c r="CZ80" s="313"/>
      <c r="DA80" s="313"/>
      <c r="DB80" s="313"/>
      <c r="DC80" s="313"/>
      <c r="DD80" s="313"/>
      <c r="DE80" s="313"/>
      <c r="DF80" s="313"/>
      <c r="DG80" s="313"/>
      <c r="DH80" s="313"/>
      <c r="DI80" s="313"/>
      <c r="DJ80" s="313"/>
      <c r="DK80" s="313"/>
      <c r="DL80" s="313"/>
      <c r="DM80" s="313"/>
      <c r="DN80" s="313"/>
      <c r="DO80" s="313"/>
      <c r="DP80" s="313"/>
      <c r="DQ80" s="313"/>
      <c r="DR80" s="313"/>
      <c r="DS80" s="313"/>
      <c r="DT80" s="313"/>
      <c r="DU80" s="313"/>
      <c r="DV80" s="313"/>
      <c r="DW80" s="313"/>
      <c r="DX80" s="313"/>
      <c r="DY80" s="313"/>
      <c r="DZ80" s="313"/>
      <c r="EA80" s="313"/>
      <c r="EB80" s="313"/>
      <c r="EC80" s="313"/>
      <c r="ED80" s="313"/>
      <c r="EE80" s="313"/>
      <c r="EF80" s="313"/>
      <c r="EG80" s="313"/>
      <c r="EH80" s="313"/>
      <c r="EI80" s="313"/>
      <c r="EJ80" s="313"/>
      <c r="EK80" s="313"/>
      <c r="EL80" s="313"/>
      <c r="EM80" s="313"/>
      <c r="EN80" s="313"/>
      <c r="EO80" s="313"/>
      <c r="EP80" s="313"/>
      <c r="EQ80" s="313"/>
      <c r="ER80" s="313"/>
      <c r="ES80" s="313"/>
      <c r="ET80" s="313"/>
      <c r="EU80" s="313"/>
      <c r="EV80" s="313"/>
      <c r="EW80" s="313"/>
      <c r="EX80" s="313"/>
      <c r="EY80" s="313"/>
      <c r="EZ80" s="313"/>
      <c r="FA80" s="313"/>
      <c r="FB80" s="313"/>
      <c r="FC80" s="313"/>
      <c r="FD80" s="313"/>
      <c r="FE80" s="313"/>
      <c r="FF80" s="313"/>
      <c r="FG80" s="313"/>
      <c r="FH80" s="313"/>
      <c r="FI80" s="313"/>
      <c r="FJ80" s="313"/>
      <c r="FK80" s="313"/>
      <c r="FL80" s="313"/>
      <c r="FM80" s="313"/>
      <c r="FN80" s="313"/>
      <c r="FO80" s="313"/>
      <c r="FP80" s="313"/>
      <c r="FQ80" s="313"/>
      <c r="FR80" s="313"/>
      <c r="FS80" s="313"/>
      <c r="FT80" s="313"/>
      <c r="FU80" s="313"/>
      <c r="FV80" s="313"/>
      <c r="FW80" s="313"/>
      <c r="FX80" s="313"/>
      <c r="FY80" s="313"/>
      <c r="FZ80" s="313"/>
      <c r="GA80" s="313"/>
      <c r="GB80" s="313"/>
      <c r="GC80" s="313"/>
      <c r="GD80" s="313"/>
      <c r="GE80" s="313"/>
      <c r="GF80" s="313"/>
      <c r="GG80" s="313"/>
      <c r="GH80" s="313"/>
      <c r="GI80" s="313"/>
      <c r="GJ80" s="313"/>
      <c r="GK80" s="313"/>
      <c r="GL80" s="313"/>
      <c r="GM80" s="313"/>
      <c r="GN80" s="313"/>
      <c r="GO80" s="313"/>
      <c r="GP80" s="313"/>
      <c r="GQ80" s="313"/>
      <c r="GR80" s="313"/>
      <c r="GS80" s="313"/>
      <c r="GT80" s="313"/>
      <c r="GU80" s="313"/>
      <c r="GV80" s="313"/>
      <c r="GW80" s="313"/>
      <c r="GX80" s="313"/>
      <c r="GY80" s="313"/>
      <c r="GZ80" s="313"/>
      <c r="HA80" s="313"/>
      <c r="HB80" s="313"/>
      <c r="HC80" s="313"/>
      <c r="HD80" s="313"/>
      <c r="HE80" s="313"/>
      <c r="HF80" s="313"/>
      <c r="HG80" s="313"/>
      <c r="HH80" s="313"/>
      <c r="HI80" s="313"/>
      <c r="HJ80" s="313"/>
      <c r="HK80" s="313"/>
      <c r="HL80" s="313"/>
      <c r="HM80" s="313"/>
      <c r="HN80" s="313"/>
      <c r="HO80" s="313"/>
      <c r="HP80" s="313"/>
      <c r="HQ80" s="313"/>
      <c r="HR80" s="313"/>
      <c r="HS80" s="313"/>
      <c r="HT80" s="313"/>
      <c r="HU80" s="313"/>
      <c r="HV80" s="313"/>
      <c r="HW80" s="313"/>
      <c r="HX80" s="313"/>
      <c r="HY80" s="313"/>
      <c r="HZ80" s="313"/>
      <c r="IA80" s="313"/>
      <c r="IB80" s="313"/>
      <c r="IC80" s="313"/>
      <c r="ID80" s="313"/>
      <c r="IE80" s="313"/>
      <c r="IF80" s="313"/>
      <c r="IG80" s="313"/>
      <c r="IH80" s="313"/>
      <c r="II80" s="313"/>
      <c r="IJ80" s="313"/>
      <c r="IK80" s="313"/>
      <c r="IL80" s="313"/>
      <c r="IM80" s="313"/>
      <c r="IN80" s="313"/>
      <c r="IO80" s="313"/>
      <c r="IP80" s="313"/>
      <c r="IQ80" s="313"/>
      <c r="IR80" s="313"/>
      <c r="IS80" s="313"/>
      <c r="IT80" s="313"/>
      <c r="IU80" s="313"/>
      <c r="IV80" s="313"/>
      <c r="IW80" s="313"/>
    </row>
    <row r="81" customFormat="false" ht="12.75" hidden="false" customHeight="false" outlineLevel="0" collapsed="false">
      <c r="A81" s="100"/>
      <c r="B81" s="703" t="s">
        <v>238</v>
      </c>
      <c r="C81" s="100"/>
      <c r="D81" s="1057"/>
      <c r="E81" s="100" t="n">
        <f aca="false">E34</f>
        <v>-1128.5524</v>
      </c>
      <c r="F81" s="100" t="n">
        <f aca="false">F34</f>
        <v>-1129.049997</v>
      </c>
      <c r="G81" s="100" t="n">
        <f aca="false">G34</f>
        <v>-1130.1997655895</v>
      </c>
      <c r="H81" s="100" t="n">
        <f aca="false">H34</f>
        <v>-1132.14898157918</v>
      </c>
      <c r="I81" s="100" t="n">
        <f aca="false">I34</f>
        <v>-1134.77213920728</v>
      </c>
      <c r="J81" s="100" t="n">
        <f aca="false">J34</f>
        <v>-1482.98190870659</v>
      </c>
      <c r="K81" s="100" t="n">
        <f aca="false">K34</f>
        <v>-1495.89981899892</v>
      </c>
      <c r="L81" s="100" t="n">
        <f aca="false">L34</f>
        <v>-1509.57379006443</v>
      </c>
      <c r="M81" s="100" t="n">
        <f aca="false">M34</f>
        <v>-1524.0085116777</v>
      </c>
      <c r="N81" s="100" t="n">
        <f aca="false">N34</f>
        <v>-1539.3053282885</v>
      </c>
      <c r="O81" s="100" t="n">
        <f aca="false">O34</f>
        <v>-1510.53261358893</v>
      </c>
      <c r="P81" s="100" t="n">
        <f aca="false">P34</f>
        <v>-1528.03529858551</v>
      </c>
      <c r="Q81" s="100" t="n">
        <f aca="false">Q34</f>
        <v>-1547.14492393436</v>
      </c>
      <c r="R81" s="100" t="n">
        <f aca="false">R34</f>
        <v>-1567.94382324035</v>
      </c>
      <c r="S81" s="100" t="n">
        <f aca="false">S34</f>
        <v>-1590.62782339725</v>
      </c>
      <c r="T81" s="100" t="n">
        <f aca="false">T34</f>
        <v>-1615.19582420471</v>
      </c>
      <c r="U81" s="100" t="n">
        <f aca="false">U34</f>
        <v>-1641.50928056403</v>
      </c>
      <c r="V81" s="100" t="n">
        <f aca="false">V34</f>
        <v>-1591.62284885926</v>
      </c>
      <c r="W81" s="100" t="n">
        <f aca="false">W34</f>
        <v>-1620.41172855041</v>
      </c>
      <c r="X81" s="100" t="n">
        <f aca="false">X34</f>
        <v>-1652.33852365652</v>
      </c>
      <c r="Y81" s="100" t="n">
        <f aca="false">Y34</f>
        <v>0</v>
      </c>
      <c r="Z81" s="100" t="n">
        <f aca="false">Z34</f>
        <v>0</v>
      </c>
      <c r="AA81" s="100" t="n">
        <f aca="false">AA34</f>
        <v>0</v>
      </c>
      <c r="AB81" s="100" t="n">
        <f aca="false">AB34</f>
        <v>0</v>
      </c>
      <c r="AC81" s="100" t="n">
        <f aca="false">AC34</f>
        <v>0</v>
      </c>
      <c r="AD81" s="100" t="n">
        <f aca="false">AD34</f>
        <v>0</v>
      </c>
      <c r="AE81" s="100" t="n">
        <f aca="false">AE34</f>
        <v>0</v>
      </c>
      <c r="AF81" s="100" t="n">
        <f aca="false">AF34</f>
        <v>0</v>
      </c>
      <c r="AG81" s="100" t="n">
        <f aca="false">AG34</f>
        <v>0</v>
      </c>
      <c r="AH81" s="100" t="n">
        <f aca="false">AH34</f>
        <v>0</v>
      </c>
      <c r="AI81" s="100" t="n">
        <f aca="false">AI34</f>
        <v>0</v>
      </c>
      <c r="AJ81" s="102"/>
      <c r="AK81" s="102"/>
      <c r="AL81" s="100"/>
      <c r="AM81" s="1057"/>
      <c r="AN81" s="451" t="n">
        <f aca="false">E81/E$80</f>
        <v>-0.304687880325701</v>
      </c>
      <c r="AO81" s="451" t="n">
        <f aca="false">F81/F$80</f>
        <v>-0.304822222138439</v>
      </c>
      <c r="AP81" s="451" t="n">
        <f aca="false">G81/G$80</f>
        <v>-0.305132637990109</v>
      </c>
      <c r="AQ81" s="451" t="n">
        <f aca="false">H81/H$80</f>
        <v>-0.305658889574167</v>
      </c>
      <c r="AR81" s="451" t="n">
        <f aca="false">I81/I$80</f>
        <v>-0.306367092700106</v>
      </c>
      <c r="AS81" s="451" t="n">
        <f aca="false">J81/J$80</f>
        <v>-0.400377168419626</v>
      </c>
      <c r="AT81" s="451" t="n">
        <f aca="false">K81/K$80</f>
        <v>-0.403864760759342</v>
      </c>
      <c r="AU81" s="451" t="n">
        <f aca="false">L81/L$80</f>
        <v>-0.40755647525978</v>
      </c>
      <c r="AV81" s="451" t="n">
        <f aca="false">M81/M$80</f>
        <v>-0.411453578071699</v>
      </c>
      <c r="AW81" s="451" t="n">
        <f aca="false">N81/N$80</f>
        <v>-0.415583430286694</v>
      </c>
      <c r="AX81" s="451" t="n">
        <f aca="false">O81/O$80</f>
        <v>-0.407815339542277</v>
      </c>
      <c r="AY81" s="451" t="n">
        <f aca="false">P81/P$80</f>
        <v>-0.412540734651638</v>
      </c>
      <c r="AZ81" s="451" t="n">
        <f aca="false">Q81/Q$80</f>
        <v>-0.417699973373169</v>
      </c>
      <c r="BA81" s="451" t="n">
        <f aca="false">R81/R$80</f>
        <v>-0.423315284228608</v>
      </c>
      <c r="BB81" s="451" t="n">
        <f aca="false">S81/S$80</f>
        <v>-0.429439536788892</v>
      </c>
      <c r="BC81" s="451" t="n">
        <f aca="false">T81/T$80</f>
        <v>-0.43607243402066</v>
      </c>
      <c r="BD81" s="451" t="n">
        <f aca="false">U81/U$80</f>
        <v>-0.443176571358158</v>
      </c>
      <c r="BE81" s="451" t="n">
        <f aca="false">V81/V$80</f>
        <v>-0.429708174912287</v>
      </c>
      <c r="BF81" s="451" t="n">
        <f aca="false">W81/W$80</f>
        <v>-0.437480629899797</v>
      </c>
      <c r="BG81" s="451" t="n">
        <f aca="false">X81/X$80</f>
        <v>-0.446100262915043</v>
      </c>
      <c r="BH81" s="451" t="e">
        <f aca="false">Y81/Y$80</f>
        <v>#DIV/0!</v>
      </c>
      <c r="BI81" s="451" t="e">
        <f aca="false">Z81/Z$80</f>
        <v>#DIV/0!</v>
      </c>
      <c r="BJ81" s="451" t="e">
        <f aca="false">AA81/AA$80</f>
        <v>#DIV/0!</v>
      </c>
      <c r="BK81" s="451" t="e">
        <f aca="false">AB81/AB$80</f>
        <v>#DIV/0!</v>
      </c>
      <c r="BL81" s="451" t="e">
        <f aca="false">AC81/AC$80</f>
        <v>#DIV/0!</v>
      </c>
      <c r="BM81" s="451" t="e">
        <f aca="false">AD81/AD$80</f>
        <v>#DIV/0!</v>
      </c>
      <c r="BN81" s="451" t="e">
        <f aca="false">AE81/AE$80</f>
        <v>#DIV/0!</v>
      </c>
      <c r="BO81" s="451" t="e">
        <f aca="false">AF81/AF$80</f>
        <v>#DIV/0!</v>
      </c>
      <c r="BP81" s="451" t="e">
        <f aca="false">AG81/AG$80</f>
        <v>#DIV/0!</v>
      </c>
      <c r="BQ81" s="451" t="e">
        <f aca="false">AH81/AH$80</f>
        <v>#DIV/0!</v>
      </c>
      <c r="BR81" s="963" t="e">
        <f aca="false">AI81/AI$80</f>
        <v>#DIV/0!</v>
      </c>
      <c r="BS81" s="100"/>
      <c r="BT81" s="100"/>
      <c r="BU81" s="100"/>
      <c r="BV81" s="100"/>
      <c r="BW81" s="100"/>
      <c r="BX81" s="100"/>
      <c r="BY81" s="100"/>
      <c r="BZ81" s="100"/>
      <c r="CA81" s="100"/>
      <c r="CB81" s="100"/>
      <c r="CC81" s="100"/>
      <c r="CD81" s="100"/>
      <c r="CE81" s="100"/>
      <c r="CF81" s="100"/>
      <c r="CG81" s="100"/>
      <c r="CH81" s="100"/>
      <c r="CI81" s="100"/>
      <c r="CJ81" s="100"/>
      <c r="CK81" s="100"/>
      <c r="CL81" s="100"/>
      <c r="CM81" s="100"/>
      <c r="CN81" s="100"/>
      <c r="CO81" s="100"/>
      <c r="CP81" s="100"/>
      <c r="CQ81" s="100"/>
      <c r="CR81" s="100"/>
      <c r="CS81" s="100"/>
      <c r="CT81" s="100"/>
      <c r="CU81" s="100"/>
      <c r="CV81" s="100"/>
      <c r="CW81" s="100"/>
      <c r="CX81" s="100"/>
      <c r="CY81" s="100"/>
      <c r="CZ81" s="100"/>
      <c r="DA81" s="100"/>
      <c r="DB81" s="100"/>
      <c r="DC81" s="100"/>
      <c r="DD81" s="100"/>
      <c r="DE81" s="100"/>
      <c r="DF81" s="100"/>
      <c r="DG81" s="100"/>
      <c r="DH81" s="100"/>
      <c r="DI81" s="100"/>
      <c r="DJ81" s="100"/>
      <c r="DK81" s="100"/>
      <c r="DL81" s="100"/>
      <c r="DM81" s="100"/>
      <c r="DN81" s="100"/>
      <c r="DO81" s="100"/>
      <c r="DP81" s="100"/>
      <c r="DQ81" s="100"/>
      <c r="DR81" s="100"/>
      <c r="DS81" s="100"/>
      <c r="DT81" s="100"/>
      <c r="DU81" s="100"/>
      <c r="DV81" s="100"/>
      <c r="DW81" s="100"/>
      <c r="DX81" s="100"/>
      <c r="DY81" s="100"/>
      <c r="DZ81" s="100"/>
      <c r="EA81" s="100"/>
      <c r="EB81" s="100"/>
      <c r="EC81" s="100"/>
      <c r="ED81" s="100"/>
      <c r="EE81" s="100"/>
      <c r="EF81" s="100"/>
      <c r="EG81" s="100"/>
      <c r="EH81" s="100"/>
      <c r="EI81" s="100"/>
      <c r="EJ81" s="100"/>
      <c r="EK81" s="100"/>
      <c r="EL81" s="100"/>
      <c r="EM81" s="100"/>
      <c r="EN81" s="100"/>
      <c r="EO81" s="100"/>
      <c r="EP81" s="100"/>
      <c r="EQ81" s="100"/>
      <c r="ER81" s="100"/>
      <c r="ES81" s="100"/>
      <c r="ET81" s="100"/>
      <c r="EU81" s="100"/>
      <c r="EV81" s="100"/>
      <c r="EW81" s="100"/>
      <c r="EX81" s="100"/>
      <c r="EY81" s="100"/>
      <c r="EZ81" s="100"/>
      <c r="FA81" s="100"/>
      <c r="FB81" s="100"/>
      <c r="FC81" s="100"/>
      <c r="FD81" s="100"/>
      <c r="FE81" s="100"/>
      <c r="FF81" s="100"/>
      <c r="FG81" s="100"/>
      <c r="FH81" s="100"/>
      <c r="FI81" s="100"/>
      <c r="FJ81" s="100"/>
      <c r="FK81" s="100"/>
      <c r="FL81" s="100"/>
      <c r="FM81" s="100"/>
      <c r="FN81" s="100"/>
      <c r="FO81" s="100"/>
      <c r="FP81" s="100"/>
      <c r="FQ81" s="100"/>
      <c r="FR81" s="100"/>
      <c r="FS81" s="100"/>
      <c r="FT81" s="100"/>
      <c r="FU81" s="100"/>
      <c r="FV81" s="100"/>
      <c r="FW81" s="100"/>
      <c r="FX81" s="100"/>
      <c r="FY81" s="100"/>
      <c r="FZ81" s="100"/>
      <c r="GA81" s="100"/>
      <c r="GB81" s="100"/>
      <c r="GC81" s="100"/>
      <c r="GD81" s="100"/>
      <c r="GE81" s="100"/>
      <c r="GF81" s="100"/>
      <c r="GG81" s="100"/>
      <c r="GH81" s="100"/>
      <c r="GI81" s="100"/>
      <c r="GJ81" s="100"/>
      <c r="GK81" s="100"/>
      <c r="GL81" s="100"/>
      <c r="GM81" s="100"/>
      <c r="GN81" s="100"/>
      <c r="GO81" s="100"/>
      <c r="GP81" s="100"/>
      <c r="GQ81" s="100"/>
      <c r="GR81" s="100"/>
      <c r="GS81" s="100"/>
      <c r="GT81" s="100"/>
      <c r="GU81" s="100"/>
      <c r="GV81" s="100"/>
      <c r="GW81" s="100"/>
      <c r="GX81" s="100"/>
      <c r="GY81" s="100"/>
      <c r="GZ81" s="100"/>
      <c r="HA81" s="100"/>
      <c r="HB81" s="100"/>
      <c r="HC81" s="100"/>
      <c r="HD81" s="100"/>
      <c r="HE81" s="100"/>
      <c r="HF81" s="100"/>
      <c r="HG81" s="100"/>
      <c r="HH81" s="100"/>
      <c r="HI81" s="100"/>
      <c r="HJ81" s="100"/>
      <c r="HK81" s="100"/>
      <c r="HL81" s="100"/>
      <c r="HM81" s="100"/>
      <c r="HN81" s="100"/>
      <c r="HO81" s="100"/>
      <c r="HP81" s="100"/>
      <c r="HQ81" s="100"/>
      <c r="HR81" s="100"/>
      <c r="HS81" s="100"/>
      <c r="HT81" s="100"/>
      <c r="HU81" s="100"/>
      <c r="HV81" s="100"/>
      <c r="HW81" s="100"/>
      <c r="HX81" s="100"/>
      <c r="HY81" s="100"/>
      <c r="HZ81" s="100"/>
      <c r="IA81" s="100"/>
      <c r="IB81" s="100"/>
      <c r="IC81" s="100"/>
      <c r="ID81" s="100"/>
      <c r="IE81" s="100"/>
      <c r="IF81" s="100"/>
      <c r="IG81" s="100"/>
      <c r="IH81" s="100"/>
      <c r="II81" s="100"/>
      <c r="IJ81" s="100"/>
      <c r="IK81" s="100"/>
      <c r="IL81" s="100"/>
      <c r="IM81" s="100"/>
      <c r="IN81" s="100"/>
      <c r="IO81" s="100"/>
      <c r="IP81" s="100"/>
      <c r="IQ81" s="100"/>
      <c r="IR81" s="100"/>
      <c r="IS81" s="100"/>
      <c r="IT81" s="100"/>
      <c r="IU81" s="100"/>
      <c r="IV81" s="100"/>
      <c r="IW81" s="100"/>
    </row>
    <row r="82" customFormat="false" ht="12.75" hidden="false" customHeight="false" outlineLevel="0" collapsed="false">
      <c r="A82" s="100"/>
      <c r="B82" s="703" t="s">
        <v>682</v>
      </c>
      <c r="C82" s="100"/>
      <c r="D82" s="1057"/>
      <c r="E82" s="100" t="n">
        <f aca="false">SUM(E35:E37)</f>
        <v>-408.959014231876</v>
      </c>
      <c r="F82" s="100" t="n">
        <f aca="false">SUM(F35:F37)</f>
        <v>-410.510226849086</v>
      </c>
      <c r="G82" s="100" t="n">
        <f aca="false">SUM(G35:G37)</f>
        <v>-412.05125660301</v>
      </c>
      <c r="H82" s="100" t="n">
        <f aca="false">SUM(H35:H37)</f>
        <v>-413.605411200867</v>
      </c>
      <c r="I82" s="100" t="n">
        <f aca="false">SUM(I35:I37)</f>
        <v>-415.172696827327</v>
      </c>
      <c r="J82" s="100" t="n">
        <f aca="false">SUM(J35:J37)</f>
        <v>-71.6863178629822</v>
      </c>
      <c r="K82" s="100" t="n">
        <f aca="false">SUM(K35:K37)</f>
        <v>-73.2091842206639</v>
      </c>
      <c r="L82" s="100" t="n">
        <f aca="false">SUM(L35:L37)</f>
        <v>-74.7400475649222</v>
      </c>
      <c r="M82" s="100" t="n">
        <f aca="false">SUM(M35:M37)</f>
        <v>-76.2836390599721</v>
      </c>
      <c r="N82" s="100" t="n">
        <f aca="false">SUM(N35:N37)</f>
        <v>-78.0798414856904</v>
      </c>
      <c r="O82" s="100" t="n">
        <f aca="false">SUM(O35:O37)</f>
        <v>-79.6578307174416</v>
      </c>
      <c r="P82" s="100" t="n">
        <f aca="false">SUM(P35:P37)</f>
        <v>-81.2573120553746</v>
      </c>
      <c r="Q82" s="100" t="n">
        <f aca="false">SUM(Q35:Q37)</f>
        <v>-82.9115156713117</v>
      </c>
      <c r="R82" s="100" t="n">
        <f aca="false">SUM(R35:R37)</f>
        <v>-84.6294837042567</v>
      </c>
      <c r="S82" s="100" t="n">
        <f aca="false">SUM(S35:S37)</f>
        <v>-86.4140303330191</v>
      </c>
      <c r="T82" s="100" t="n">
        <f aca="false">SUM(T35:T37)</f>
        <v>-87.6786796711749</v>
      </c>
      <c r="U82" s="100" t="n">
        <f aca="false">SUM(U35:U37)</f>
        <v>-79.3310601888711</v>
      </c>
      <c r="V82" s="100" t="n">
        <f aca="false">SUM(V35:V37)</f>
        <v>-81.5096281999388</v>
      </c>
      <c r="W82" s="100" t="n">
        <f aca="false">SUM(W35:W37)</f>
        <v>-83.8154432399967</v>
      </c>
      <c r="X82" s="100" t="n">
        <f aca="false">SUM(X35:X37)</f>
        <v>-82.9065600313145</v>
      </c>
      <c r="Y82" s="100" t="n">
        <f aca="false">SUM(Y35:Y37)</f>
        <v>0</v>
      </c>
      <c r="Z82" s="100" t="n">
        <f aca="false">SUM(Z35:Z37)</f>
        <v>0</v>
      </c>
      <c r="AA82" s="100" t="n">
        <f aca="false">SUM(AA35:AA37)</f>
        <v>0</v>
      </c>
      <c r="AB82" s="100" t="n">
        <f aca="false">SUM(AB35:AB37)</f>
        <v>0</v>
      </c>
      <c r="AC82" s="100" t="n">
        <f aca="false">SUM(AC35:AC37)</f>
        <v>0</v>
      </c>
      <c r="AD82" s="100" t="n">
        <f aca="false">SUM(AD35:AD37)</f>
        <v>0</v>
      </c>
      <c r="AE82" s="100" t="n">
        <f aca="false">SUM(AE35:AE37)</f>
        <v>0</v>
      </c>
      <c r="AF82" s="100" t="n">
        <f aca="false">SUM(AF35:AF37)</f>
        <v>0</v>
      </c>
      <c r="AG82" s="100" t="n">
        <f aca="false">SUM(AG35:AG37)</f>
        <v>0</v>
      </c>
      <c r="AH82" s="100" t="n">
        <f aca="false">SUM(AH35:AH37)</f>
        <v>0</v>
      </c>
      <c r="AI82" s="100" t="n">
        <f aca="false">SUM(AI35:AI37)</f>
        <v>0</v>
      </c>
      <c r="AJ82" s="102"/>
      <c r="AK82" s="102"/>
      <c r="AL82" s="100"/>
      <c r="AM82" s="1057"/>
      <c r="AN82" s="451" t="n">
        <f aca="false">E82/E$80</f>
        <v>-0.11041122697218</v>
      </c>
      <c r="AO82" s="451" t="n">
        <f aca="false">F82/F$80</f>
        <v>-0.110830025146081</v>
      </c>
      <c r="AP82" s="451" t="n">
        <f aca="false">G82/G$80</f>
        <v>-0.111246074138793</v>
      </c>
      <c r="AQ82" s="451" t="n">
        <f aca="false">H82/H$80</f>
        <v>-0.111665666592027</v>
      </c>
      <c r="AR82" s="451" t="n">
        <f aca="false">I82/I$80</f>
        <v>-0.112088804175529</v>
      </c>
      <c r="AS82" s="451" t="n">
        <f aca="false">J82/J$80</f>
        <v>-0.0193539548877185</v>
      </c>
      <c r="AT82" s="451" t="n">
        <f aca="false">K82/K$80</f>
        <v>-0.0197651001057353</v>
      </c>
      <c r="AU82" s="451" t="n">
        <f aca="false">L82/L$80</f>
        <v>-0.0201784043594238</v>
      </c>
      <c r="AV82" s="451" t="n">
        <f aca="false">M82/M$80</f>
        <v>-0.0205951449739629</v>
      </c>
      <c r="AW82" s="451" t="n">
        <f aca="false">N82/N$80</f>
        <v>-0.021080085779306</v>
      </c>
      <c r="AX82" s="451" t="n">
        <f aca="false">O82/O$80</f>
        <v>-0.0215061131345259</v>
      </c>
      <c r="AY82" s="451" t="n">
        <f aca="false">P82/P$80</f>
        <v>-0.0219379429533942</v>
      </c>
      <c r="AZ82" s="451" t="n">
        <f aca="false">Q82/Q$80</f>
        <v>-0.0223845467560771</v>
      </c>
      <c r="BA82" s="451" t="n">
        <f aca="false">R82/R$80</f>
        <v>-0.0228483657497059</v>
      </c>
      <c r="BB82" s="451" t="n">
        <f aca="false">S82/S$80</f>
        <v>-0.0233301597095256</v>
      </c>
      <c r="BC82" s="451" t="n">
        <f aca="false">T82/T$80</f>
        <v>-0.023671591198394</v>
      </c>
      <c r="BD82" s="451" t="n">
        <f aca="false">U82/U$80</f>
        <v>-0.0214178912498327</v>
      </c>
      <c r="BE82" s="451" t="n">
        <f aca="false">V82/V$80</f>
        <v>-0.0220060635575055</v>
      </c>
      <c r="BF82" s="451" t="n">
        <f aca="false">W82/W$80</f>
        <v>-0.0226285901650235</v>
      </c>
      <c r="BG82" s="451" t="n">
        <f aca="false">X82/X$80</f>
        <v>-0.0223832088266674</v>
      </c>
      <c r="BH82" s="451" t="e">
        <f aca="false">Y82/Y$80</f>
        <v>#DIV/0!</v>
      </c>
      <c r="BI82" s="451" t="e">
        <f aca="false">Z82/Z$80</f>
        <v>#DIV/0!</v>
      </c>
      <c r="BJ82" s="451" t="e">
        <f aca="false">AA82/AA$80</f>
        <v>#DIV/0!</v>
      </c>
      <c r="BK82" s="451" t="e">
        <f aca="false">AB82/AB$80</f>
        <v>#DIV/0!</v>
      </c>
      <c r="BL82" s="451" t="e">
        <f aca="false">AC82/AC$80</f>
        <v>#DIV/0!</v>
      </c>
      <c r="BM82" s="451" t="e">
        <f aca="false">AD82/AD$80</f>
        <v>#DIV/0!</v>
      </c>
      <c r="BN82" s="451" t="e">
        <f aca="false">AE82/AE$80</f>
        <v>#DIV/0!</v>
      </c>
      <c r="BO82" s="451" t="e">
        <f aca="false">AF82/AF$80</f>
        <v>#DIV/0!</v>
      </c>
      <c r="BP82" s="451" t="e">
        <f aca="false">AG82/AG$80</f>
        <v>#DIV/0!</v>
      </c>
      <c r="BQ82" s="451" t="e">
        <f aca="false">AH82/AH$80</f>
        <v>#DIV/0!</v>
      </c>
      <c r="BR82" s="963" t="e">
        <f aca="false">AI82/AI$80</f>
        <v>#DIV/0!</v>
      </c>
      <c r="BS82" s="100"/>
      <c r="BT82" s="100"/>
      <c r="BU82" s="100"/>
      <c r="BV82" s="100"/>
      <c r="BW82" s="100"/>
      <c r="BX82" s="100"/>
      <c r="BY82" s="100"/>
      <c r="BZ82" s="100"/>
      <c r="CA82" s="100"/>
      <c r="CB82" s="100"/>
      <c r="CC82" s="100"/>
      <c r="CD82" s="100"/>
      <c r="CE82" s="100"/>
      <c r="CF82" s="100"/>
      <c r="CG82" s="100"/>
      <c r="CH82" s="100"/>
      <c r="CI82" s="100"/>
      <c r="CJ82" s="100"/>
      <c r="CK82" s="100"/>
      <c r="CL82" s="100"/>
      <c r="CM82" s="100"/>
      <c r="CN82" s="100"/>
      <c r="CO82" s="100"/>
      <c r="CP82" s="100"/>
      <c r="CQ82" s="100"/>
      <c r="CR82" s="100"/>
      <c r="CS82" s="100"/>
      <c r="CT82" s="100"/>
      <c r="CU82" s="100"/>
      <c r="CV82" s="100"/>
      <c r="CW82" s="100"/>
      <c r="CX82" s="100"/>
      <c r="CY82" s="100"/>
      <c r="CZ82" s="100"/>
      <c r="DA82" s="100"/>
      <c r="DB82" s="100"/>
      <c r="DC82" s="100"/>
      <c r="DD82" s="100"/>
      <c r="DE82" s="100"/>
      <c r="DF82" s="100"/>
      <c r="DG82" s="100"/>
      <c r="DH82" s="100"/>
      <c r="DI82" s="100"/>
      <c r="DJ82" s="100"/>
      <c r="DK82" s="100"/>
      <c r="DL82" s="100"/>
      <c r="DM82" s="100"/>
      <c r="DN82" s="100"/>
      <c r="DO82" s="100"/>
      <c r="DP82" s="100"/>
      <c r="DQ82" s="100"/>
      <c r="DR82" s="100"/>
      <c r="DS82" s="100"/>
      <c r="DT82" s="100"/>
      <c r="DU82" s="100"/>
      <c r="DV82" s="100"/>
      <c r="DW82" s="100"/>
      <c r="DX82" s="100"/>
      <c r="DY82" s="100"/>
      <c r="DZ82" s="100"/>
      <c r="EA82" s="100"/>
      <c r="EB82" s="100"/>
      <c r="EC82" s="100"/>
      <c r="ED82" s="100"/>
      <c r="EE82" s="100"/>
      <c r="EF82" s="100"/>
      <c r="EG82" s="100"/>
      <c r="EH82" s="100"/>
      <c r="EI82" s="100"/>
      <c r="EJ82" s="100"/>
      <c r="EK82" s="100"/>
      <c r="EL82" s="100"/>
      <c r="EM82" s="100"/>
      <c r="EN82" s="100"/>
      <c r="EO82" s="100"/>
      <c r="EP82" s="100"/>
      <c r="EQ82" s="100"/>
      <c r="ER82" s="100"/>
      <c r="ES82" s="100"/>
      <c r="ET82" s="100"/>
      <c r="EU82" s="100"/>
      <c r="EV82" s="100"/>
      <c r="EW82" s="100"/>
      <c r="EX82" s="100"/>
      <c r="EY82" s="100"/>
      <c r="EZ82" s="100"/>
      <c r="FA82" s="100"/>
      <c r="FB82" s="100"/>
      <c r="FC82" s="100"/>
      <c r="FD82" s="100"/>
      <c r="FE82" s="100"/>
      <c r="FF82" s="100"/>
      <c r="FG82" s="100"/>
      <c r="FH82" s="100"/>
      <c r="FI82" s="100"/>
      <c r="FJ82" s="100"/>
      <c r="FK82" s="100"/>
      <c r="FL82" s="100"/>
      <c r="FM82" s="100"/>
      <c r="FN82" s="100"/>
      <c r="FO82" s="100"/>
      <c r="FP82" s="100"/>
      <c r="FQ82" s="100"/>
      <c r="FR82" s="100"/>
      <c r="FS82" s="100"/>
      <c r="FT82" s="100"/>
      <c r="FU82" s="100"/>
      <c r="FV82" s="100"/>
      <c r="FW82" s="100"/>
      <c r="FX82" s="100"/>
      <c r="FY82" s="100"/>
      <c r="FZ82" s="100"/>
      <c r="GA82" s="100"/>
      <c r="GB82" s="100"/>
      <c r="GC82" s="100"/>
      <c r="GD82" s="100"/>
      <c r="GE82" s="100"/>
      <c r="GF82" s="100"/>
      <c r="GG82" s="100"/>
      <c r="GH82" s="100"/>
      <c r="GI82" s="100"/>
      <c r="GJ82" s="100"/>
      <c r="GK82" s="100"/>
      <c r="GL82" s="100"/>
      <c r="GM82" s="100"/>
      <c r="GN82" s="100"/>
      <c r="GO82" s="100"/>
      <c r="GP82" s="100"/>
      <c r="GQ82" s="100"/>
      <c r="GR82" s="100"/>
      <c r="GS82" s="100"/>
      <c r="GT82" s="100"/>
      <c r="GU82" s="100"/>
      <c r="GV82" s="100"/>
      <c r="GW82" s="100"/>
      <c r="GX82" s="100"/>
      <c r="GY82" s="100"/>
      <c r="GZ82" s="100"/>
      <c r="HA82" s="100"/>
      <c r="HB82" s="100"/>
      <c r="HC82" s="100"/>
      <c r="HD82" s="100"/>
      <c r="HE82" s="100"/>
      <c r="HF82" s="100"/>
      <c r="HG82" s="100"/>
      <c r="HH82" s="100"/>
      <c r="HI82" s="100"/>
      <c r="HJ82" s="100"/>
      <c r="HK82" s="100"/>
      <c r="HL82" s="100"/>
      <c r="HM82" s="100"/>
      <c r="HN82" s="100"/>
      <c r="HO82" s="100"/>
      <c r="HP82" s="100"/>
      <c r="HQ82" s="100"/>
      <c r="HR82" s="100"/>
      <c r="HS82" s="100"/>
      <c r="HT82" s="100"/>
      <c r="HU82" s="100"/>
      <c r="HV82" s="100"/>
      <c r="HW82" s="100"/>
      <c r="HX82" s="100"/>
      <c r="HY82" s="100"/>
      <c r="HZ82" s="100"/>
      <c r="IA82" s="100"/>
      <c r="IB82" s="100"/>
      <c r="IC82" s="100"/>
      <c r="ID82" s="100"/>
      <c r="IE82" s="100"/>
      <c r="IF82" s="100"/>
      <c r="IG82" s="100"/>
      <c r="IH82" s="100"/>
      <c r="II82" s="100"/>
      <c r="IJ82" s="100"/>
      <c r="IK82" s="100"/>
      <c r="IL82" s="100"/>
      <c r="IM82" s="100"/>
      <c r="IN82" s="100"/>
      <c r="IO82" s="100"/>
      <c r="IP82" s="100"/>
      <c r="IQ82" s="100"/>
      <c r="IR82" s="100"/>
      <c r="IS82" s="100"/>
      <c r="IT82" s="100"/>
      <c r="IU82" s="100"/>
      <c r="IV82" s="100"/>
      <c r="IW82" s="100"/>
    </row>
    <row r="83" customFormat="false" ht="13.5" hidden="false" customHeight="false" outlineLevel="0" collapsed="false">
      <c r="A83" s="313"/>
      <c r="B83" s="732" t="s">
        <v>482</v>
      </c>
      <c r="C83" s="100"/>
      <c r="D83" s="1056"/>
      <c r="E83" s="724" t="n">
        <f aca="false">SUM(E80:E82)</f>
        <v>2166.45081358505</v>
      </c>
      <c r="F83" s="724" t="n">
        <f aca="false">SUM(F80:F82)</f>
        <v>2164.40200396784</v>
      </c>
      <c r="G83" s="724" t="n">
        <f aca="false">SUM(G80:G82)</f>
        <v>2161.71120562442</v>
      </c>
      <c r="H83" s="724" t="n">
        <f aca="false">SUM(H80:H82)</f>
        <v>2158.20783503688</v>
      </c>
      <c r="I83" s="724" t="n">
        <f aca="false">SUM(I80:I82)</f>
        <v>2154.01739178232</v>
      </c>
      <c r="J83" s="724" t="n">
        <f aca="false">SUM(J80:J82)</f>
        <v>2149.29400124736</v>
      </c>
      <c r="K83" s="724" t="n">
        <f aca="false">SUM(K80:K82)</f>
        <v>2134.85322459734</v>
      </c>
      <c r="L83" s="724" t="n">
        <f aca="false">SUM(L80:L82)</f>
        <v>2119.64839018758</v>
      </c>
      <c r="M83" s="724" t="n">
        <f aca="false">SUM(M80:M82)</f>
        <v>2103.67007707926</v>
      </c>
      <c r="N83" s="724" t="n">
        <f aca="false">SUM(N80:N82)</f>
        <v>2086.57705804274</v>
      </c>
      <c r="O83" s="724" t="n">
        <f aca="false">SUM(O80:O82)</f>
        <v>2113.77178351056</v>
      </c>
      <c r="P83" s="724" t="n">
        <f aca="false">SUM(P80:P82)</f>
        <v>2094.66961717604</v>
      </c>
      <c r="Q83" s="724" t="n">
        <f aca="false">SUM(Q80:Q82)</f>
        <v>2073.90578821126</v>
      </c>
      <c r="R83" s="724" t="n">
        <f aca="false">SUM(R80:R82)</f>
        <v>2051.38892087232</v>
      </c>
      <c r="S83" s="724" t="n">
        <f aca="false">SUM(S80:S82)</f>
        <v>2026.92037408666</v>
      </c>
      <c r="T83" s="724" t="n">
        <f aca="false">SUM(T80:T82)</f>
        <v>2001.08772394104</v>
      </c>
      <c r="U83" s="724" t="n">
        <f aca="false">SUM(U80:U82)</f>
        <v>1983.12188706403</v>
      </c>
      <c r="V83" s="724" t="n">
        <f aca="false">SUM(V80:V82)</f>
        <v>2030.82975075773</v>
      </c>
      <c r="W83" s="724" t="n">
        <f aca="false">SUM(W80:W82)</f>
        <v>1999.73505602653</v>
      </c>
      <c r="X83" s="724" t="n">
        <f aca="false">SUM(X80:X82)</f>
        <v>1968.7171441291</v>
      </c>
      <c r="Y83" s="724" t="n">
        <f aca="false">SUM(Y80:Y82)</f>
        <v>0</v>
      </c>
      <c r="Z83" s="724" t="n">
        <f aca="false">SUM(Z80:Z82)</f>
        <v>0</v>
      </c>
      <c r="AA83" s="724" t="n">
        <f aca="false">SUM(AA80:AA82)</f>
        <v>0</v>
      </c>
      <c r="AB83" s="724" t="n">
        <f aca="false">SUM(AB80:AB82)</f>
        <v>0</v>
      </c>
      <c r="AC83" s="724" t="n">
        <f aca="false">SUM(AC80:AC82)</f>
        <v>0</v>
      </c>
      <c r="AD83" s="724" t="n">
        <f aca="false">SUM(AD80:AD82)</f>
        <v>0</v>
      </c>
      <c r="AE83" s="724" t="n">
        <f aca="false">SUM(AE80:AE82)</f>
        <v>0</v>
      </c>
      <c r="AF83" s="724" t="n">
        <f aca="false">SUM(AF80:AF82)</f>
        <v>0</v>
      </c>
      <c r="AG83" s="724" t="n">
        <f aca="false">SUM(AG80:AG82)</f>
        <v>0</v>
      </c>
      <c r="AH83" s="724" t="n">
        <f aca="false">SUM(AH80:AH82)</f>
        <v>0</v>
      </c>
      <c r="AI83" s="724" t="n">
        <f aca="false">SUM(AI80:AI82)</f>
        <v>0</v>
      </c>
      <c r="AJ83" s="1045"/>
      <c r="AK83" s="1045"/>
      <c r="AL83" s="313"/>
      <c r="AM83" s="1056"/>
      <c r="AN83" s="1068" t="n">
        <f aca="false">E83/E$80</f>
        <v>0.584900892702119</v>
      </c>
      <c r="AO83" s="1068" t="n">
        <f aca="false">F83/F$80</f>
        <v>0.58434775271548</v>
      </c>
      <c r="AP83" s="1068" t="n">
        <f aca="false">G83/G$80</f>
        <v>0.583621287871099</v>
      </c>
      <c r="AQ83" s="1068" t="n">
        <f aca="false">H83/H$80</f>
        <v>0.582675443833806</v>
      </c>
      <c r="AR83" s="1068" t="n">
        <f aca="false">I83/I$80</f>
        <v>0.581544103124365</v>
      </c>
      <c r="AS83" s="1068" t="n">
        <f aca="false">J83/J$80</f>
        <v>0.580268876692655</v>
      </c>
      <c r="AT83" s="1068" t="n">
        <f aca="false">K83/K$80</f>
        <v>0.576370139134923</v>
      </c>
      <c r="AU83" s="1068" t="n">
        <f aca="false">L83/L$80</f>
        <v>0.572265120380796</v>
      </c>
      <c r="AV83" s="1068" t="n">
        <f aca="false">M83/M$80</f>
        <v>0.567951276954338</v>
      </c>
      <c r="AW83" s="1068" t="n">
        <f aca="false">N83/N$80</f>
        <v>0.563336483934001</v>
      </c>
      <c r="AX83" s="1068" t="n">
        <f aca="false">O83/O$80</f>
        <v>0.570678547323197</v>
      </c>
      <c r="AY83" s="1068" t="n">
        <f aca="false">P83/P$80</f>
        <v>0.565521322394968</v>
      </c>
      <c r="AZ83" s="1068" t="n">
        <f aca="false">Q83/Q$80</f>
        <v>0.559915479870754</v>
      </c>
      <c r="BA83" s="1068" t="n">
        <f aca="false">R83/R$80</f>
        <v>0.553836350021686</v>
      </c>
      <c r="BB83" s="1068" t="n">
        <f aca="false">S83/S$80</f>
        <v>0.547230303501583</v>
      </c>
      <c r="BC83" s="1068" t="n">
        <f aca="false">T83/T$80</f>
        <v>0.540255974780947</v>
      </c>
      <c r="BD83" s="1068" t="n">
        <f aca="false">U83/U$80</f>
        <v>0.535405537392009</v>
      </c>
      <c r="BE83" s="1068" t="n">
        <f aca="false">V83/V$80</f>
        <v>0.548285761530208</v>
      </c>
      <c r="BF83" s="1068" t="n">
        <f aca="false">W83/W$80</f>
        <v>0.539890779935179</v>
      </c>
      <c r="BG83" s="1068" t="n">
        <f aca="false">X83/X$80</f>
        <v>0.53151652825829</v>
      </c>
      <c r="BH83" s="1068" t="e">
        <f aca="false">Y83/Y$80</f>
        <v>#DIV/0!</v>
      </c>
      <c r="BI83" s="1068" t="e">
        <f aca="false">Z83/Z$80</f>
        <v>#DIV/0!</v>
      </c>
      <c r="BJ83" s="1068" t="e">
        <f aca="false">AA83/AA$80</f>
        <v>#DIV/0!</v>
      </c>
      <c r="BK83" s="1068" t="e">
        <f aca="false">AB83/AB$80</f>
        <v>#DIV/0!</v>
      </c>
      <c r="BL83" s="1068" t="e">
        <f aca="false">AC83/AC$80</f>
        <v>#DIV/0!</v>
      </c>
      <c r="BM83" s="1068" t="e">
        <f aca="false">AD83/AD$80</f>
        <v>#DIV/0!</v>
      </c>
      <c r="BN83" s="1068" t="e">
        <f aca="false">AE83/AE$80</f>
        <v>#DIV/0!</v>
      </c>
      <c r="BO83" s="1068" t="e">
        <f aca="false">AF83/AF$80</f>
        <v>#DIV/0!</v>
      </c>
      <c r="BP83" s="1068" t="e">
        <f aca="false">AG83/AG$80</f>
        <v>#DIV/0!</v>
      </c>
      <c r="BQ83" s="1068" t="e">
        <f aca="false">AH83/AH$80</f>
        <v>#DIV/0!</v>
      </c>
      <c r="BR83" s="963" t="e">
        <f aca="false">AI83/AI$80</f>
        <v>#DIV/0!</v>
      </c>
      <c r="BS83" s="313"/>
      <c r="BT83" s="313"/>
      <c r="BU83" s="313"/>
      <c r="BV83" s="313"/>
      <c r="BW83" s="313"/>
      <c r="BX83" s="313"/>
      <c r="BY83" s="313"/>
      <c r="BZ83" s="313"/>
      <c r="CA83" s="313"/>
      <c r="CB83" s="313"/>
      <c r="CC83" s="313"/>
      <c r="CD83" s="313"/>
      <c r="CE83" s="313"/>
      <c r="CF83" s="313"/>
      <c r="CG83" s="313"/>
      <c r="CH83" s="313"/>
      <c r="CI83" s="313"/>
      <c r="CJ83" s="313"/>
      <c r="CK83" s="313"/>
      <c r="CL83" s="313"/>
      <c r="CM83" s="313"/>
      <c r="CN83" s="313"/>
      <c r="CO83" s="313"/>
      <c r="CP83" s="313"/>
      <c r="CQ83" s="313"/>
      <c r="CR83" s="313"/>
      <c r="CS83" s="313"/>
      <c r="CT83" s="313"/>
      <c r="CU83" s="313"/>
      <c r="CV83" s="313"/>
      <c r="CW83" s="313"/>
      <c r="CX83" s="313"/>
      <c r="CY83" s="313"/>
      <c r="CZ83" s="313"/>
      <c r="DA83" s="313"/>
      <c r="DB83" s="313"/>
      <c r="DC83" s="313"/>
      <c r="DD83" s="313"/>
      <c r="DE83" s="313"/>
      <c r="DF83" s="313"/>
      <c r="DG83" s="313"/>
      <c r="DH83" s="313"/>
      <c r="DI83" s="313"/>
      <c r="DJ83" s="313"/>
      <c r="DK83" s="313"/>
      <c r="DL83" s="313"/>
      <c r="DM83" s="313"/>
      <c r="DN83" s="313"/>
      <c r="DO83" s="313"/>
      <c r="DP83" s="313"/>
      <c r="DQ83" s="313"/>
      <c r="DR83" s="313"/>
      <c r="DS83" s="313"/>
      <c r="DT83" s="313"/>
      <c r="DU83" s="313"/>
      <c r="DV83" s="313"/>
      <c r="DW83" s="313"/>
      <c r="DX83" s="313"/>
      <c r="DY83" s="313"/>
      <c r="DZ83" s="313"/>
      <c r="EA83" s="313"/>
      <c r="EB83" s="313"/>
      <c r="EC83" s="313"/>
      <c r="ED83" s="313"/>
      <c r="EE83" s="313"/>
      <c r="EF83" s="313"/>
      <c r="EG83" s="313"/>
      <c r="EH83" s="313"/>
      <c r="EI83" s="313"/>
      <c r="EJ83" s="313"/>
      <c r="EK83" s="313"/>
      <c r="EL83" s="313"/>
      <c r="EM83" s="313"/>
      <c r="EN83" s="313"/>
      <c r="EO83" s="313"/>
      <c r="EP83" s="313"/>
      <c r="EQ83" s="313"/>
      <c r="ER83" s="313"/>
      <c r="ES83" s="313"/>
      <c r="ET83" s="313"/>
      <c r="EU83" s="313"/>
      <c r="EV83" s="313"/>
      <c r="EW83" s="313"/>
      <c r="EX83" s="313"/>
      <c r="EY83" s="313"/>
      <c r="EZ83" s="313"/>
      <c r="FA83" s="313"/>
      <c r="FB83" s="313"/>
      <c r="FC83" s="313"/>
      <c r="FD83" s="313"/>
      <c r="FE83" s="313"/>
      <c r="FF83" s="313"/>
      <c r="FG83" s="313"/>
      <c r="FH83" s="313"/>
      <c r="FI83" s="313"/>
      <c r="FJ83" s="313"/>
      <c r="FK83" s="313"/>
      <c r="FL83" s="313"/>
      <c r="FM83" s="313"/>
      <c r="FN83" s="313"/>
      <c r="FO83" s="313"/>
      <c r="FP83" s="313"/>
      <c r="FQ83" s="313"/>
      <c r="FR83" s="313"/>
      <c r="FS83" s="313"/>
      <c r="FT83" s="313"/>
      <c r="FU83" s="313"/>
      <c r="FV83" s="313"/>
      <c r="FW83" s="313"/>
      <c r="FX83" s="313"/>
      <c r="FY83" s="313"/>
      <c r="FZ83" s="313"/>
      <c r="GA83" s="313"/>
      <c r="GB83" s="313"/>
      <c r="GC83" s="313"/>
      <c r="GD83" s="313"/>
      <c r="GE83" s="313"/>
      <c r="GF83" s="313"/>
      <c r="GG83" s="313"/>
      <c r="GH83" s="313"/>
      <c r="GI83" s="313"/>
      <c r="GJ83" s="313"/>
      <c r="GK83" s="313"/>
      <c r="GL83" s="313"/>
      <c r="GM83" s="313"/>
      <c r="GN83" s="313"/>
      <c r="GO83" s="313"/>
      <c r="GP83" s="313"/>
      <c r="GQ83" s="313"/>
      <c r="GR83" s="313"/>
      <c r="GS83" s="313"/>
      <c r="GT83" s="313"/>
      <c r="GU83" s="313"/>
      <c r="GV83" s="313"/>
      <c r="GW83" s="313"/>
      <c r="GX83" s="313"/>
      <c r="GY83" s="313"/>
      <c r="GZ83" s="313"/>
      <c r="HA83" s="313"/>
      <c r="HB83" s="313"/>
      <c r="HC83" s="313"/>
      <c r="HD83" s="313"/>
      <c r="HE83" s="313"/>
      <c r="HF83" s="313"/>
      <c r="HG83" s="313"/>
      <c r="HH83" s="313"/>
      <c r="HI83" s="313"/>
      <c r="HJ83" s="313"/>
      <c r="HK83" s="313"/>
      <c r="HL83" s="313"/>
      <c r="HM83" s="313"/>
      <c r="HN83" s="313"/>
      <c r="HO83" s="313"/>
      <c r="HP83" s="313"/>
      <c r="HQ83" s="313"/>
      <c r="HR83" s="313"/>
      <c r="HS83" s="313"/>
      <c r="HT83" s="313"/>
      <c r="HU83" s="313"/>
      <c r="HV83" s="313"/>
      <c r="HW83" s="313"/>
      <c r="HX83" s="313"/>
      <c r="HY83" s="313"/>
      <c r="HZ83" s="313"/>
      <c r="IA83" s="313"/>
      <c r="IB83" s="313"/>
      <c r="IC83" s="313"/>
      <c r="ID83" s="313"/>
      <c r="IE83" s="313"/>
      <c r="IF83" s="313"/>
      <c r="IG83" s="313"/>
      <c r="IH83" s="313"/>
      <c r="II83" s="313"/>
      <c r="IJ83" s="313"/>
      <c r="IK83" s="313"/>
      <c r="IL83" s="313"/>
      <c r="IM83" s="313"/>
      <c r="IN83" s="313"/>
      <c r="IO83" s="313"/>
      <c r="IP83" s="313"/>
      <c r="IQ83" s="313"/>
      <c r="IR83" s="313"/>
      <c r="IS83" s="313"/>
      <c r="IT83" s="313"/>
      <c r="IU83" s="313"/>
      <c r="IV83" s="313"/>
      <c r="IW83" s="313"/>
    </row>
    <row r="84" customFormat="false" ht="13.5" hidden="false" customHeight="false" outlineLevel="0" collapsed="false">
      <c r="A84" s="100"/>
      <c r="B84" s="703" t="s">
        <v>651</v>
      </c>
      <c r="C84" s="674"/>
      <c r="D84" s="130"/>
      <c r="E84" s="100" t="n">
        <f aca="false">-E22</f>
        <v>-1846.76389659497</v>
      </c>
      <c r="F84" s="100" t="n">
        <f aca="false">-F22</f>
        <v>-1846.76389659497</v>
      </c>
      <c r="G84" s="100" t="n">
        <f aca="false">-G22</f>
        <v>-1846.76389659497</v>
      </c>
      <c r="H84" s="100" t="n">
        <f aca="false">-H22</f>
        <v>-1846.76389659497</v>
      </c>
      <c r="I84" s="100" t="n">
        <f aca="false">-I22</f>
        <v>-1846.76389659497</v>
      </c>
      <c r="J84" s="100" t="n">
        <f aca="false">-J22</f>
        <v>-1846.76389659497</v>
      </c>
      <c r="K84" s="100" t="n">
        <f aca="false">-K22</f>
        <v>-1846.76389659497</v>
      </c>
      <c r="L84" s="100" t="n">
        <f aca="false">-L22</f>
        <v>-1846.76389659497</v>
      </c>
      <c r="M84" s="100" t="n">
        <f aca="false">-M22</f>
        <v>-1846.76389659497</v>
      </c>
      <c r="N84" s="100" t="n">
        <f aca="false">-N22</f>
        <v>-1846.76389659497</v>
      </c>
      <c r="O84" s="100" t="n">
        <f aca="false">-O22</f>
        <v>-1846.76389659497</v>
      </c>
      <c r="P84" s="100" t="n">
        <f aca="false">-P22</f>
        <v>-1846.76389659497</v>
      </c>
      <c r="Q84" s="100" t="n">
        <f aca="false">-Q22</f>
        <v>-1846.76389659497</v>
      </c>
      <c r="R84" s="100" t="n">
        <f aca="false">-R22</f>
        <v>-1846.76389659497</v>
      </c>
      <c r="S84" s="100" t="n">
        <f aca="false">-S22</f>
        <v>-1846.76389659497</v>
      </c>
      <c r="T84" s="100" t="n">
        <f aca="false">-T22</f>
        <v>-1846.76389659497</v>
      </c>
      <c r="U84" s="100" t="n">
        <f aca="false">-U22</f>
        <v>-1846.76389659497</v>
      </c>
      <c r="V84" s="100" t="n">
        <f aca="false">-V22</f>
        <v>-1846.76389659497</v>
      </c>
      <c r="W84" s="100" t="n">
        <f aca="false">-W22</f>
        <v>-1846.76389659497</v>
      </c>
      <c r="X84" s="100" t="n">
        <f aca="false">-X22</f>
        <v>-1846.76389659497</v>
      </c>
      <c r="Y84" s="100" t="n">
        <f aca="false">-Y22</f>
        <v>-0</v>
      </c>
      <c r="Z84" s="100" t="n">
        <f aca="false">-Z22</f>
        <v>-0</v>
      </c>
      <c r="AA84" s="100" t="n">
        <f aca="false">-AA22</f>
        <v>-0</v>
      </c>
      <c r="AB84" s="100" t="n">
        <f aca="false">-AB22</f>
        <v>-0</v>
      </c>
      <c r="AC84" s="100" t="n">
        <f aca="false">-AC22</f>
        <v>-0</v>
      </c>
      <c r="AD84" s="100" t="n">
        <f aca="false">-AD22</f>
        <v>-0</v>
      </c>
      <c r="AE84" s="100" t="n">
        <f aca="false">-AE22</f>
        <v>-0</v>
      </c>
      <c r="AF84" s="100" t="n">
        <f aca="false">-AF22</f>
        <v>-0</v>
      </c>
      <c r="AG84" s="100" t="n">
        <f aca="false">-AG22</f>
        <v>-0</v>
      </c>
      <c r="AH84" s="100" t="n">
        <f aca="false">-AH22</f>
        <v>-0</v>
      </c>
      <c r="AI84" s="100" t="n">
        <f aca="false">-AI22</f>
        <v>-0</v>
      </c>
      <c r="AJ84" s="102"/>
      <c r="AK84" s="102"/>
      <c r="AL84" s="100"/>
      <c r="AM84" s="130"/>
      <c r="AN84" s="451" t="n">
        <f aca="false">E84/E$80</f>
        <v>-0.4985914496443</v>
      </c>
      <c r="AO84" s="451" t="n">
        <f aca="false">F84/F$80</f>
        <v>-0.4985914496443</v>
      </c>
      <c r="AP84" s="451" t="n">
        <f aca="false">G84/G$80</f>
        <v>-0.4985914496443</v>
      </c>
      <c r="AQ84" s="451" t="n">
        <f aca="false">H84/H$80</f>
        <v>-0.4985914496443</v>
      </c>
      <c r="AR84" s="451" t="n">
        <f aca="false">I84/I$80</f>
        <v>-0.4985914496443</v>
      </c>
      <c r="AS84" s="451" t="n">
        <f aca="false">J84/J$80</f>
        <v>-0.4985914496443</v>
      </c>
      <c r="AT84" s="451" t="n">
        <f aca="false">K84/K$80</f>
        <v>-0.4985914496443</v>
      </c>
      <c r="AU84" s="451" t="n">
        <f aca="false">L84/L$80</f>
        <v>-0.4985914496443</v>
      </c>
      <c r="AV84" s="451" t="n">
        <f aca="false">M84/M$80</f>
        <v>-0.4985914496443</v>
      </c>
      <c r="AW84" s="451" t="n">
        <f aca="false">N84/N$80</f>
        <v>-0.4985914496443</v>
      </c>
      <c r="AX84" s="451" t="n">
        <f aca="false">O84/O$80</f>
        <v>-0.4985914496443</v>
      </c>
      <c r="AY84" s="451" t="n">
        <f aca="false">P84/P$80</f>
        <v>-0.4985914496443</v>
      </c>
      <c r="AZ84" s="451" t="n">
        <f aca="false">Q84/Q$80</f>
        <v>-0.4985914496443</v>
      </c>
      <c r="BA84" s="451" t="n">
        <f aca="false">R84/R$80</f>
        <v>-0.4985914496443</v>
      </c>
      <c r="BB84" s="451" t="n">
        <f aca="false">S84/S$80</f>
        <v>-0.4985914496443</v>
      </c>
      <c r="BC84" s="451" t="n">
        <f aca="false">T84/T$80</f>
        <v>-0.4985914496443</v>
      </c>
      <c r="BD84" s="451" t="n">
        <f aca="false">U84/U$80</f>
        <v>-0.4985914496443</v>
      </c>
      <c r="BE84" s="451" t="n">
        <f aca="false">V84/V$80</f>
        <v>-0.4985914496443</v>
      </c>
      <c r="BF84" s="451" t="n">
        <f aca="false">W84/W$80</f>
        <v>-0.4985914496443</v>
      </c>
      <c r="BG84" s="451" t="n">
        <f aca="false">X84/X$80</f>
        <v>-0.4985914496443</v>
      </c>
      <c r="BH84" s="451" t="e">
        <f aca="false">Y84/Y$80</f>
        <v>#DIV/0!</v>
      </c>
      <c r="BI84" s="451" t="e">
        <f aca="false">Z84/Z$80</f>
        <v>#DIV/0!</v>
      </c>
      <c r="BJ84" s="451" t="e">
        <f aca="false">AA84/AA$80</f>
        <v>#DIV/0!</v>
      </c>
      <c r="BK84" s="451" t="e">
        <f aca="false">AB84/AB$80</f>
        <v>#DIV/0!</v>
      </c>
      <c r="BL84" s="451" t="e">
        <f aca="false">AC84/AC$80</f>
        <v>#DIV/0!</v>
      </c>
      <c r="BM84" s="451" t="e">
        <f aca="false">AD84/AD$80</f>
        <v>#DIV/0!</v>
      </c>
      <c r="BN84" s="451" t="e">
        <f aca="false">AE84/AE$80</f>
        <v>#DIV/0!</v>
      </c>
      <c r="BO84" s="451" t="e">
        <f aca="false">AF84/AF$80</f>
        <v>#DIV/0!</v>
      </c>
      <c r="BP84" s="451" t="e">
        <f aca="false">AG84/AG$80</f>
        <v>#DIV/0!</v>
      </c>
      <c r="BQ84" s="451" t="e">
        <f aca="false">AH84/AH$80</f>
        <v>#DIV/0!</v>
      </c>
      <c r="BR84" s="963" t="e">
        <f aca="false">AI84/AI$80</f>
        <v>#DIV/0!</v>
      </c>
      <c r="BS84" s="100"/>
      <c r="BT84" s="100"/>
      <c r="BU84" s="100"/>
      <c r="BV84" s="100"/>
      <c r="BW84" s="100"/>
      <c r="BX84" s="100"/>
      <c r="BY84" s="100"/>
      <c r="BZ84" s="100"/>
      <c r="CA84" s="100"/>
      <c r="CB84" s="100"/>
      <c r="CC84" s="100"/>
      <c r="CD84" s="100"/>
      <c r="CE84" s="100"/>
      <c r="CF84" s="100"/>
      <c r="CG84" s="100"/>
      <c r="CH84" s="100"/>
      <c r="CI84" s="100"/>
      <c r="CJ84" s="100"/>
      <c r="CK84" s="100"/>
      <c r="CL84" s="100"/>
      <c r="CM84" s="100"/>
      <c r="CN84" s="100"/>
      <c r="CO84" s="100"/>
      <c r="CP84" s="100"/>
      <c r="CQ84" s="100"/>
      <c r="CR84" s="100"/>
      <c r="CS84" s="100"/>
      <c r="CT84" s="100"/>
      <c r="CU84" s="100"/>
      <c r="CV84" s="100"/>
      <c r="CW84" s="100"/>
      <c r="CX84" s="100"/>
      <c r="CY84" s="100"/>
      <c r="CZ84" s="100"/>
      <c r="DA84" s="100"/>
      <c r="DB84" s="100"/>
      <c r="DC84" s="100"/>
      <c r="DD84" s="100"/>
      <c r="DE84" s="100"/>
      <c r="DF84" s="100"/>
      <c r="DG84" s="100"/>
      <c r="DH84" s="100"/>
      <c r="DI84" s="100"/>
      <c r="DJ84" s="100"/>
      <c r="DK84" s="100"/>
      <c r="DL84" s="100"/>
      <c r="DM84" s="100"/>
      <c r="DN84" s="100"/>
      <c r="DO84" s="100"/>
      <c r="DP84" s="100"/>
      <c r="DQ84" s="100"/>
      <c r="DR84" s="100"/>
      <c r="DS84" s="100"/>
      <c r="DT84" s="100"/>
      <c r="DU84" s="100"/>
      <c r="DV84" s="100"/>
      <c r="DW84" s="100"/>
      <c r="DX84" s="100"/>
      <c r="DY84" s="100"/>
      <c r="DZ84" s="100"/>
      <c r="EA84" s="100"/>
      <c r="EB84" s="100"/>
      <c r="EC84" s="100"/>
      <c r="ED84" s="100"/>
      <c r="EE84" s="100"/>
      <c r="EF84" s="100"/>
      <c r="EG84" s="100"/>
      <c r="EH84" s="100"/>
      <c r="EI84" s="100"/>
      <c r="EJ84" s="100"/>
      <c r="EK84" s="100"/>
      <c r="EL84" s="100"/>
      <c r="EM84" s="100"/>
      <c r="EN84" s="100"/>
      <c r="EO84" s="100"/>
      <c r="EP84" s="100"/>
      <c r="EQ84" s="100"/>
      <c r="ER84" s="100"/>
      <c r="ES84" s="100"/>
      <c r="ET84" s="100"/>
      <c r="EU84" s="100"/>
      <c r="EV84" s="100"/>
      <c r="EW84" s="100"/>
      <c r="EX84" s="100"/>
      <c r="EY84" s="100"/>
      <c r="EZ84" s="100"/>
      <c r="FA84" s="100"/>
      <c r="FB84" s="100"/>
      <c r="FC84" s="100"/>
      <c r="FD84" s="100"/>
      <c r="FE84" s="100"/>
      <c r="FF84" s="100"/>
      <c r="FG84" s="100"/>
      <c r="FH84" s="100"/>
      <c r="FI84" s="100"/>
      <c r="FJ84" s="100"/>
      <c r="FK84" s="100"/>
      <c r="FL84" s="100"/>
      <c r="FM84" s="100"/>
      <c r="FN84" s="100"/>
      <c r="FO84" s="100"/>
      <c r="FP84" s="100"/>
      <c r="FQ84" s="100"/>
      <c r="FR84" s="100"/>
      <c r="FS84" s="100"/>
      <c r="FT84" s="100"/>
      <c r="FU84" s="100"/>
      <c r="FV84" s="100"/>
      <c r="FW84" s="100"/>
      <c r="FX84" s="100"/>
      <c r="FY84" s="100"/>
      <c r="FZ84" s="100"/>
      <c r="GA84" s="100"/>
      <c r="GB84" s="100"/>
      <c r="GC84" s="100"/>
      <c r="GD84" s="100"/>
      <c r="GE84" s="100"/>
      <c r="GF84" s="100"/>
      <c r="GG84" s="100"/>
      <c r="GH84" s="100"/>
      <c r="GI84" s="100"/>
      <c r="GJ84" s="100"/>
      <c r="GK84" s="100"/>
      <c r="GL84" s="100"/>
      <c r="GM84" s="100"/>
      <c r="GN84" s="100"/>
      <c r="GO84" s="100"/>
      <c r="GP84" s="100"/>
      <c r="GQ84" s="100"/>
      <c r="GR84" s="100"/>
      <c r="GS84" s="100"/>
      <c r="GT84" s="100"/>
      <c r="GU84" s="100"/>
      <c r="GV84" s="100"/>
      <c r="GW84" s="100"/>
      <c r="GX84" s="100"/>
      <c r="GY84" s="100"/>
      <c r="GZ84" s="100"/>
      <c r="HA84" s="100"/>
      <c r="HB84" s="100"/>
      <c r="HC84" s="100"/>
      <c r="HD84" s="100"/>
      <c r="HE84" s="100"/>
      <c r="HF84" s="100"/>
      <c r="HG84" s="100"/>
      <c r="HH84" s="100"/>
      <c r="HI84" s="100"/>
      <c r="HJ84" s="100"/>
      <c r="HK84" s="100"/>
      <c r="HL84" s="100"/>
      <c r="HM84" s="100"/>
      <c r="HN84" s="100"/>
      <c r="HO84" s="100"/>
      <c r="HP84" s="100"/>
      <c r="HQ84" s="100"/>
      <c r="HR84" s="100"/>
      <c r="HS84" s="100"/>
      <c r="HT84" s="100"/>
      <c r="HU84" s="100"/>
      <c r="HV84" s="100"/>
      <c r="HW84" s="100"/>
      <c r="HX84" s="100"/>
      <c r="HY84" s="100"/>
      <c r="HZ84" s="100"/>
      <c r="IA84" s="100"/>
      <c r="IB84" s="100"/>
      <c r="IC84" s="100"/>
      <c r="ID84" s="100"/>
      <c r="IE84" s="100"/>
      <c r="IF84" s="100"/>
      <c r="IG84" s="100"/>
      <c r="IH84" s="100"/>
      <c r="II84" s="100"/>
      <c r="IJ84" s="100"/>
      <c r="IK84" s="100"/>
      <c r="IL84" s="100"/>
      <c r="IM84" s="100"/>
      <c r="IN84" s="100"/>
      <c r="IO84" s="100"/>
      <c r="IP84" s="100"/>
      <c r="IQ84" s="100"/>
      <c r="IR84" s="100"/>
      <c r="IS84" s="100"/>
      <c r="IT84" s="100"/>
      <c r="IU84" s="100"/>
      <c r="IV84" s="100"/>
      <c r="IW84" s="100"/>
    </row>
    <row r="85" customFormat="false" ht="12.75" hidden="false" customHeight="false" outlineLevel="0" collapsed="false">
      <c r="A85" s="100"/>
      <c r="B85" s="703" t="s">
        <v>652</v>
      </c>
      <c r="C85" s="674"/>
      <c r="D85" s="130"/>
      <c r="E85" s="100" t="n">
        <f aca="false">-E28</f>
        <v>-107.489663331225</v>
      </c>
      <c r="F85" s="100" t="n">
        <f aca="false">-F28</f>
        <v>-107.489663331225</v>
      </c>
      <c r="G85" s="100" t="n">
        <f aca="false">-G28</f>
        <v>-107.489663331225</v>
      </c>
      <c r="H85" s="100" t="n">
        <f aca="false">-H28</f>
        <v>-107.489663331225</v>
      </c>
      <c r="I85" s="100" t="n">
        <f aca="false">-I28</f>
        <v>-107.489663331225</v>
      </c>
      <c r="J85" s="100" t="n">
        <f aca="false">-J28</f>
        <v>-107.489663331225</v>
      </c>
      <c r="K85" s="100" t="n">
        <f aca="false">-K28</f>
        <v>-107.489663331225</v>
      </c>
      <c r="L85" s="100" t="n">
        <f aca="false">-L28</f>
        <v>-107.489663331225</v>
      </c>
      <c r="M85" s="100" t="n">
        <f aca="false">-M28</f>
        <v>-107.489663331225</v>
      </c>
      <c r="N85" s="100" t="n">
        <f aca="false">-N28</f>
        <v>-107.489663331225</v>
      </c>
      <c r="O85" s="100" t="n">
        <f aca="false">-O28</f>
        <v>-107.489663331225</v>
      </c>
      <c r="P85" s="100" t="n">
        <f aca="false">-P28</f>
        <v>-107.489663331225</v>
      </c>
      <c r="Q85" s="100" t="n">
        <f aca="false">-Q28</f>
        <v>-107.489663331225</v>
      </c>
      <c r="R85" s="100" t="n">
        <f aca="false">-R28</f>
        <v>-107.489663331225</v>
      </c>
      <c r="S85" s="100" t="n">
        <f aca="false">-S28</f>
        <v>-107.489663331225</v>
      </c>
      <c r="T85" s="100" t="n">
        <f aca="false">-T28</f>
        <v>-107.489663331225</v>
      </c>
      <c r="U85" s="100" t="n">
        <f aca="false">-U28</f>
        <v>-107.489663331225</v>
      </c>
      <c r="V85" s="100" t="n">
        <f aca="false">-V28</f>
        <v>-38.8792399283153</v>
      </c>
      <c r="W85" s="100" t="n">
        <f aca="false">-W28</f>
        <v>-38.8792399283153</v>
      </c>
      <c r="X85" s="100" t="n">
        <f aca="false">-X28</f>
        <v>-38.8792399283153</v>
      </c>
      <c r="Y85" s="100" t="n">
        <f aca="false">-Y28</f>
        <v>-0</v>
      </c>
      <c r="Z85" s="100" t="n">
        <f aca="false">-Z28</f>
        <v>-0</v>
      </c>
      <c r="AA85" s="100" t="n">
        <f aca="false">-AA28</f>
        <v>-0</v>
      </c>
      <c r="AB85" s="100" t="n">
        <f aca="false">-AB28</f>
        <v>-0</v>
      </c>
      <c r="AC85" s="100" t="n">
        <f aca="false">-AC28</f>
        <v>-0</v>
      </c>
      <c r="AD85" s="100" t="n">
        <f aca="false">-AD28</f>
        <v>-0</v>
      </c>
      <c r="AE85" s="100" t="n">
        <f aca="false">-AE28</f>
        <v>-0</v>
      </c>
      <c r="AF85" s="100" t="n">
        <f aca="false">-AF28</f>
        <v>-0</v>
      </c>
      <c r="AG85" s="100" t="n">
        <f aca="false">-AG28</f>
        <v>-0</v>
      </c>
      <c r="AH85" s="100" t="n">
        <f aca="false">-AH28</f>
        <v>-0</v>
      </c>
      <c r="AI85" s="100" t="n">
        <f aca="false">-AI28</f>
        <v>-0</v>
      </c>
      <c r="AJ85" s="102"/>
      <c r="AK85" s="102"/>
      <c r="AL85" s="100"/>
      <c r="AM85" s="130"/>
      <c r="AN85" s="451" t="n">
        <f aca="false">E85/E$80</f>
        <v>-0.029020183446789</v>
      </c>
      <c r="AO85" s="451" t="n">
        <f aca="false">F85/F$80</f>
        <v>-0.029020183446789</v>
      </c>
      <c r="AP85" s="451" t="n">
        <f aca="false">G85/G$80</f>
        <v>-0.029020183446789</v>
      </c>
      <c r="AQ85" s="451" t="n">
        <f aca="false">H85/H$80</f>
        <v>-0.029020183446789</v>
      </c>
      <c r="AR85" s="451" t="n">
        <f aca="false">I85/I$80</f>
        <v>-0.029020183446789</v>
      </c>
      <c r="AS85" s="451" t="n">
        <f aca="false">J85/J$80</f>
        <v>-0.029020183446789</v>
      </c>
      <c r="AT85" s="451" t="n">
        <f aca="false">K85/K$80</f>
        <v>-0.029020183446789</v>
      </c>
      <c r="AU85" s="451" t="n">
        <f aca="false">L85/L$80</f>
        <v>-0.029020183446789</v>
      </c>
      <c r="AV85" s="451" t="n">
        <f aca="false">M85/M$80</f>
        <v>-0.029020183446789</v>
      </c>
      <c r="AW85" s="451" t="n">
        <f aca="false">N85/N$80</f>
        <v>-0.029020183446789</v>
      </c>
      <c r="AX85" s="451" t="n">
        <f aca="false">O85/O$80</f>
        <v>-0.029020183446789</v>
      </c>
      <c r="AY85" s="451" t="n">
        <f aca="false">P85/P$80</f>
        <v>-0.029020183446789</v>
      </c>
      <c r="AZ85" s="451" t="n">
        <f aca="false">Q85/Q$80</f>
        <v>-0.029020183446789</v>
      </c>
      <c r="BA85" s="451" t="n">
        <f aca="false">R85/R$80</f>
        <v>-0.029020183446789</v>
      </c>
      <c r="BB85" s="451" t="n">
        <f aca="false">S85/S$80</f>
        <v>-0.029020183446789</v>
      </c>
      <c r="BC85" s="451" t="n">
        <f aca="false">T85/T$80</f>
        <v>-0.029020183446789</v>
      </c>
      <c r="BD85" s="451" t="n">
        <f aca="false">U85/U$80</f>
        <v>-0.029020183446789</v>
      </c>
      <c r="BE85" s="451" t="n">
        <f aca="false">V85/V$80</f>
        <v>-0.0104966620977747</v>
      </c>
      <c r="BF85" s="451" t="n">
        <f aca="false">W85/W$80</f>
        <v>-0.0104966620977747</v>
      </c>
      <c r="BG85" s="451" t="n">
        <f aca="false">X85/X$80</f>
        <v>-0.0104966620977747</v>
      </c>
      <c r="BH85" s="451" t="e">
        <f aca="false">Y85/Y$80</f>
        <v>#DIV/0!</v>
      </c>
      <c r="BI85" s="451" t="e">
        <f aca="false">Z85/Z$80</f>
        <v>#DIV/0!</v>
      </c>
      <c r="BJ85" s="451" t="e">
        <f aca="false">AA85/AA$80</f>
        <v>#DIV/0!</v>
      </c>
      <c r="BK85" s="451" t="e">
        <f aca="false">AB85/AB$80</f>
        <v>#DIV/0!</v>
      </c>
      <c r="BL85" s="451" t="e">
        <f aca="false">AC85/AC$80</f>
        <v>#DIV/0!</v>
      </c>
      <c r="BM85" s="451" t="e">
        <f aca="false">AD85/AD$80</f>
        <v>#DIV/0!</v>
      </c>
      <c r="BN85" s="451" t="e">
        <f aca="false">AE85/AE$80</f>
        <v>#DIV/0!</v>
      </c>
      <c r="BO85" s="451" t="e">
        <f aca="false">AF85/AF$80</f>
        <v>#DIV/0!</v>
      </c>
      <c r="BP85" s="451" t="e">
        <f aca="false">AG85/AG$80</f>
        <v>#DIV/0!</v>
      </c>
      <c r="BQ85" s="451" t="e">
        <f aca="false">AH85/AH$80</f>
        <v>#DIV/0!</v>
      </c>
      <c r="BR85" s="963" t="e">
        <f aca="false">AI85/AI$80</f>
        <v>#DIV/0!</v>
      </c>
      <c r="BS85" s="100"/>
      <c r="BT85" s="100"/>
      <c r="BU85" s="100"/>
      <c r="BV85" s="100"/>
      <c r="BW85" s="100"/>
      <c r="BX85" s="100"/>
      <c r="BY85" s="100"/>
      <c r="BZ85" s="100"/>
      <c r="CA85" s="100"/>
      <c r="CB85" s="100"/>
      <c r="CC85" s="100"/>
      <c r="CD85" s="100"/>
      <c r="CE85" s="100"/>
      <c r="CF85" s="100"/>
      <c r="CG85" s="100"/>
      <c r="CH85" s="100"/>
      <c r="CI85" s="100"/>
      <c r="CJ85" s="100"/>
      <c r="CK85" s="100"/>
      <c r="CL85" s="100"/>
      <c r="CM85" s="100"/>
      <c r="CN85" s="100"/>
      <c r="CO85" s="100"/>
      <c r="CP85" s="100"/>
      <c r="CQ85" s="100"/>
      <c r="CR85" s="100"/>
      <c r="CS85" s="100"/>
      <c r="CT85" s="100"/>
      <c r="CU85" s="100"/>
      <c r="CV85" s="100"/>
      <c r="CW85" s="100"/>
      <c r="CX85" s="100"/>
      <c r="CY85" s="100"/>
      <c r="CZ85" s="100"/>
      <c r="DA85" s="100"/>
      <c r="DB85" s="100"/>
      <c r="DC85" s="100"/>
      <c r="DD85" s="100"/>
      <c r="DE85" s="100"/>
      <c r="DF85" s="100"/>
      <c r="DG85" s="100"/>
      <c r="DH85" s="100"/>
      <c r="DI85" s="100"/>
      <c r="DJ85" s="100"/>
      <c r="DK85" s="100"/>
      <c r="DL85" s="100"/>
      <c r="DM85" s="100"/>
      <c r="DN85" s="100"/>
      <c r="DO85" s="100"/>
      <c r="DP85" s="100"/>
      <c r="DQ85" s="100"/>
      <c r="DR85" s="100"/>
      <c r="DS85" s="100"/>
      <c r="DT85" s="100"/>
      <c r="DU85" s="100"/>
      <c r="DV85" s="100"/>
      <c r="DW85" s="100"/>
      <c r="DX85" s="100"/>
      <c r="DY85" s="100"/>
      <c r="DZ85" s="100"/>
      <c r="EA85" s="100"/>
      <c r="EB85" s="100"/>
      <c r="EC85" s="100"/>
      <c r="ED85" s="100"/>
      <c r="EE85" s="100"/>
      <c r="EF85" s="100"/>
      <c r="EG85" s="100"/>
      <c r="EH85" s="100"/>
      <c r="EI85" s="100"/>
      <c r="EJ85" s="100"/>
      <c r="EK85" s="100"/>
      <c r="EL85" s="100"/>
      <c r="EM85" s="100"/>
      <c r="EN85" s="100"/>
      <c r="EO85" s="100"/>
      <c r="EP85" s="100"/>
      <c r="EQ85" s="100"/>
      <c r="ER85" s="100"/>
      <c r="ES85" s="100"/>
      <c r="ET85" s="100"/>
      <c r="EU85" s="100"/>
      <c r="EV85" s="100"/>
      <c r="EW85" s="100"/>
      <c r="EX85" s="100"/>
      <c r="EY85" s="100"/>
      <c r="EZ85" s="100"/>
      <c r="FA85" s="100"/>
      <c r="FB85" s="100"/>
      <c r="FC85" s="100"/>
      <c r="FD85" s="100"/>
      <c r="FE85" s="100"/>
      <c r="FF85" s="100"/>
      <c r="FG85" s="100"/>
      <c r="FH85" s="100"/>
      <c r="FI85" s="100"/>
      <c r="FJ85" s="100"/>
      <c r="FK85" s="100"/>
      <c r="FL85" s="100"/>
      <c r="FM85" s="100"/>
      <c r="FN85" s="100"/>
      <c r="FO85" s="100"/>
      <c r="FP85" s="100"/>
      <c r="FQ85" s="100"/>
      <c r="FR85" s="100"/>
      <c r="FS85" s="100"/>
      <c r="FT85" s="100"/>
      <c r="FU85" s="100"/>
      <c r="FV85" s="100"/>
      <c r="FW85" s="100"/>
      <c r="FX85" s="100"/>
      <c r="FY85" s="100"/>
      <c r="FZ85" s="100"/>
      <c r="GA85" s="100"/>
      <c r="GB85" s="100"/>
      <c r="GC85" s="100"/>
      <c r="GD85" s="100"/>
      <c r="GE85" s="100"/>
      <c r="GF85" s="100"/>
      <c r="GG85" s="100"/>
      <c r="GH85" s="100"/>
      <c r="GI85" s="100"/>
      <c r="GJ85" s="100"/>
      <c r="GK85" s="100"/>
      <c r="GL85" s="100"/>
      <c r="GM85" s="100"/>
      <c r="GN85" s="100"/>
      <c r="GO85" s="100"/>
      <c r="GP85" s="100"/>
      <c r="GQ85" s="100"/>
      <c r="GR85" s="100"/>
      <c r="GS85" s="100"/>
      <c r="GT85" s="100"/>
      <c r="GU85" s="100"/>
      <c r="GV85" s="100"/>
      <c r="GW85" s="100"/>
      <c r="GX85" s="100"/>
      <c r="GY85" s="100"/>
      <c r="GZ85" s="100"/>
      <c r="HA85" s="100"/>
      <c r="HB85" s="100"/>
      <c r="HC85" s="100"/>
      <c r="HD85" s="100"/>
      <c r="HE85" s="100"/>
      <c r="HF85" s="100"/>
      <c r="HG85" s="100"/>
      <c r="HH85" s="100"/>
      <c r="HI85" s="100"/>
      <c r="HJ85" s="100"/>
      <c r="HK85" s="100"/>
      <c r="HL85" s="100"/>
      <c r="HM85" s="100"/>
      <c r="HN85" s="100"/>
      <c r="HO85" s="100"/>
      <c r="HP85" s="100"/>
      <c r="HQ85" s="100"/>
      <c r="HR85" s="100"/>
      <c r="HS85" s="100"/>
      <c r="HT85" s="100"/>
      <c r="HU85" s="100"/>
      <c r="HV85" s="100"/>
      <c r="HW85" s="100"/>
      <c r="HX85" s="100"/>
      <c r="HY85" s="100"/>
      <c r="HZ85" s="100"/>
      <c r="IA85" s="100"/>
      <c r="IB85" s="100"/>
      <c r="IC85" s="100"/>
      <c r="ID85" s="100"/>
      <c r="IE85" s="100"/>
      <c r="IF85" s="100"/>
      <c r="IG85" s="100"/>
      <c r="IH85" s="100"/>
      <c r="II85" s="100"/>
      <c r="IJ85" s="100"/>
      <c r="IK85" s="100"/>
      <c r="IL85" s="100"/>
      <c r="IM85" s="100"/>
      <c r="IN85" s="100"/>
      <c r="IO85" s="100"/>
      <c r="IP85" s="100"/>
      <c r="IQ85" s="100"/>
      <c r="IR85" s="100"/>
      <c r="IS85" s="100"/>
      <c r="IT85" s="100"/>
      <c r="IU85" s="100"/>
      <c r="IV85" s="100"/>
      <c r="IW85" s="100"/>
    </row>
    <row r="86" customFormat="false" ht="13.5" hidden="false" customHeight="false" outlineLevel="0" collapsed="false">
      <c r="A86" s="313"/>
      <c r="B86" s="732" t="s">
        <v>654</v>
      </c>
      <c r="C86" s="100"/>
      <c r="D86" s="1056"/>
      <c r="E86" s="724" t="n">
        <f aca="false">SUM(E83:E85)</f>
        <v>212.197253658854</v>
      </c>
      <c r="F86" s="724" t="n">
        <f aca="false">SUM(F83:F85)</f>
        <v>210.148444041645</v>
      </c>
      <c r="G86" s="724" t="n">
        <f aca="false">SUM(G83:G85)</f>
        <v>207.45764569822</v>
      </c>
      <c r="H86" s="724" t="n">
        <f aca="false">SUM(H83:H85)</f>
        <v>203.954275110683</v>
      </c>
      <c r="I86" s="724" t="n">
        <f aca="false">SUM(I83:I85)</f>
        <v>199.763831856123</v>
      </c>
      <c r="J86" s="724" t="n">
        <f aca="false">SUM(J83:J85)</f>
        <v>195.040441321156</v>
      </c>
      <c r="K86" s="724" t="n">
        <f aca="false">SUM(K83:K85)</f>
        <v>180.599664671143</v>
      </c>
      <c r="L86" s="724" t="n">
        <f aca="false">SUM(L83:L85)</f>
        <v>165.394830261377</v>
      </c>
      <c r="M86" s="724" t="n">
        <f aca="false">SUM(M83:M85)</f>
        <v>149.416517153062</v>
      </c>
      <c r="N86" s="724" t="n">
        <f aca="false">SUM(N83:N85)</f>
        <v>132.323498116537</v>
      </c>
      <c r="O86" s="724" t="n">
        <f aca="false">SUM(O83:O85)</f>
        <v>159.518223584358</v>
      </c>
      <c r="P86" s="724" t="n">
        <f aca="false">SUM(P83:P85)</f>
        <v>140.416057249842</v>
      </c>
      <c r="Q86" s="724" t="n">
        <f aca="false">SUM(Q83:Q85)</f>
        <v>119.652228285062</v>
      </c>
      <c r="R86" s="724" t="n">
        <f aca="false">SUM(R83:R85)</f>
        <v>97.1353609461228</v>
      </c>
      <c r="S86" s="724" t="n">
        <f aca="false">SUM(S83:S85)</f>
        <v>72.6668141604571</v>
      </c>
      <c r="T86" s="724" t="n">
        <f aca="false">SUM(T83:T85)</f>
        <v>46.8341640148422</v>
      </c>
      <c r="U86" s="724" t="n">
        <f aca="false">SUM(U83:U85)</f>
        <v>28.8683271378266</v>
      </c>
      <c r="V86" s="724" t="n">
        <f aca="false">SUM(V83:V85)</f>
        <v>145.18661423444</v>
      </c>
      <c r="W86" s="724" t="n">
        <f aca="false">SUM(W83:W85)</f>
        <v>114.091919503237</v>
      </c>
      <c r="X86" s="724" t="n">
        <f aca="false">SUM(X83:X85)</f>
        <v>83.0740076058059</v>
      </c>
      <c r="Y86" s="724" t="n">
        <f aca="false">SUM(Y83:Y85)</f>
        <v>0</v>
      </c>
      <c r="Z86" s="724" t="n">
        <f aca="false">SUM(Z83:Z85)</f>
        <v>0</v>
      </c>
      <c r="AA86" s="724" t="n">
        <f aca="false">SUM(AA83:AA85)</f>
        <v>0</v>
      </c>
      <c r="AB86" s="724" t="n">
        <f aca="false">SUM(AB83:AB85)</f>
        <v>0</v>
      </c>
      <c r="AC86" s="724" t="n">
        <f aca="false">SUM(AC83:AC85)</f>
        <v>0</v>
      </c>
      <c r="AD86" s="724" t="n">
        <f aca="false">SUM(AD83:AD85)</f>
        <v>0</v>
      </c>
      <c r="AE86" s="724" t="n">
        <f aca="false">SUM(AE83:AE85)</f>
        <v>0</v>
      </c>
      <c r="AF86" s="724" t="n">
        <f aca="false">SUM(AF83:AF85)</f>
        <v>0</v>
      </c>
      <c r="AG86" s="724" t="n">
        <f aca="false">SUM(AG83:AG85)</f>
        <v>0</v>
      </c>
      <c r="AH86" s="724" t="n">
        <f aca="false">SUM(AH83:AH85)</f>
        <v>0</v>
      </c>
      <c r="AI86" s="724" t="n">
        <f aca="false">SUM(AI83:AI85)</f>
        <v>0</v>
      </c>
      <c r="AJ86" s="1045"/>
      <c r="AK86" s="1045"/>
      <c r="AL86" s="313"/>
      <c r="AM86" s="1056"/>
      <c r="AN86" s="1068" t="n">
        <f aca="false">E86/E$80</f>
        <v>0.0572892596110301</v>
      </c>
      <c r="AO86" s="1068" t="n">
        <f aca="false">F86/F$80</f>
        <v>0.0567361196243903</v>
      </c>
      <c r="AP86" s="1068" t="n">
        <f aca="false">G86/G$80</f>
        <v>0.0560096547800093</v>
      </c>
      <c r="AQ86" s="1068" t="n">
        <f aca="false">H86/H$80</f>
        <v>0.0550638107427167</v>
      </c>
      <c r="AR86" s="1068" t="n">
        <f aca="false">I86/I$80</f>
        <v>0.0539324700332762</v>
      </c>
      <c r="AS86" s="1068" t="n">
        <f aca="false">J86/J$80</f>
        <v>0.0526572436015661</v>
      </c>
      <c r="AT86" s="1068" t="n">
        <f aca="false">K86/K$80</f>
        <v>0.0487585060438336</v>
      </c>
      <c r="AU86" s="1068" t="n">
        <f aca="false">L86/L$80</f>
        <v>0.0446534872897066</v>
      </c>
      <c r="AV86" s="1068" t="n">
        <f aca="false">M86/M$80</f>
        <v>0.0403396438632492</v>
      </c>
      <c r="AW86" s="1068" t="n">
        <f aca="false">N86/N$80</f>
        <v>0.0357248508429113</v>
      </c>
      <c r="AX86" s="1068" t="n">
        <f aca="false">O86/O$80</f>
        <v>0.0430669142321077</v>
      </c>
      <c r="AY86" s="1068" t="n">
        <f aca="false">P86/P$80</f>
        <v>0.0379096893038788</v>
      </c>
      <c r="AZ86" s="1068" t="n">
        <f aca="false">Q86/Q$80</f>
        <v>0.0323038467796643</v>
      </c>
      <c r="BA86" s="1068" t="n">
        <f aca="false">R86/R$80</f>
        <v>0.0262247169305971</v>
      </c>
      <c r="BB86" s="1068" t="n">
        <f aca="false">S86/S$80</f>
        <v>0.0196186704104934</v>
      </c>
      <c r="BC86" s="1068" t="n">
        <f aca="false">T86/T$80</f>
        <v>0.0126443416898573</v>
      </c>
      <c r="BD86" s="1068" t="n">
        <f aca="false">U86/U$80</f>
        <v>0.00779390430091974</v>
      </c>
      <c r="BE86" s="1068" t="n">
        <f aca="false">V86/V$80</f>
        <v>0.0391976497881327</v>
      </c>
      <c r="BF86" s="1068" t="n">
        <f aca="false">W86/W$80</f>
        <v>0.0308026681931044</v>
      </c>
      <c r="BG86" s="1068" t="n">
        <f aca="false">X86/X$80</f>
        <v>0.022428416516215</v>
      </c>
      <c r="BH86" s="1068" t="e">
        <f aca="false">Y86/Y$80</f>
        <v>#DIV/0!</v>
      </c>
      <c r="BI86" s="1068" t="e">
        <f aca="false">Z86/Z$80</f>
        <v>#DIV/0!</v>
      </c>
      <c r="BJ86" s="1068" t="e">
        <f aca="false">AA86/AA$80</f>
        <v>#DIV/0!</v>
      </c>
      <c r="BK86" s="1068" t="e">
        <f aca="false">AB86/AB$80</f>
        <v>#DIV/0!</v>
      </c>
      <c r="BL86" s="1068" t="e">
        <f aca="false">AC86/AC$80</f>
        <v>#DIV/0!</v>
      </c>
      <c r="BM86" s="1068" t="e">
        <f aca="false">AD86/AD$80</f>
        <v>#DIV/0!</v>
      </c>
      <c r="BN86" s="1068" t="e">
        <f aca="false">AE86/AE$80</f>
        <v>#DIV/0!</v>
      </c>
      <c r="BO86" s="1068" t="e">
        <f aca="false">AF86/AF$80</f>
        <v>#DIV/0!</v>
      </c>
      <c r="BP86" s="1068" t="e">
        <f aca="false">AG86/AG$80</f>
        <v>#DIV/0!</v>
      </c>
      <c r="BQ86" s="1068" t="e">
        <f aca="false">AH86/AH$80</f>
        <v>#DIV/0!</v>
      </c>
      <c r="BR86" s="963" t="e">
        <f aca="false">AI86/AI$80</f>
        <v>#DIV/0!</v>
      </c>
      <c r="BS86" s="313"/>
      <c r="BT86" s="313"/>
      <c r="BU86" s="313"/>
      <c r="BV86" s="313"/>
      <c r="BW86" s="313"/>
      <c r="BX86" s="313"/>
      <c r="BY86" s="313"/>
      <c r="BZ86" s="313"/>
      <c r="CA86" s="313"/>
      <c r="CB86" s="313"/>
      <c r="CC86" s="313"/>
      <c r="CD86" s="313"/>
      <c r="CE86" s="313"/>
      <c r="CF86" s="313"/>
      <c r="CG86" s="313"/>
      <c r="CH86" s="313"/>
      <c r="CI86" s="313"/>
      <c r="CJ86" s="313"/>
      <c r="CK86" s="313"/>
      <c r="CL86" s="313"/>
      <c r="CM86" s="313"/>
      <c r="CN86" s="313"/>
      <c r="CO86" s="313"/>
      <c r="CP86" s="313"/>
      <c r="CQ86" s="313"/>
      <c r="CR86" s="313"/>
      <c r="CS86" s="313"/>
      <c r="CT86" s="313"/>
      <c r="CU86" s="313"/>
      <c r="CV86" s="313"/>
      <c r="CW86" s="313"/>
      <c r="CX86" s="313"/>
      <c r="CY86" s="313"/>
      <c r="CZ86" s="313"/>
      <c r="DA86" s="313"/>
      <c r="DB86" s="313"/>
      <c r="DC86" s="313"/>
      <c r="DD86" s="313"/>
      <c r="DE86" s="313"/>
      <c r="DF86" s="313"/>
      <c r="DG86" s="313"/>
      <c r="DH86" s="313"/>
      <c r="DI86" s="313"/>
      <c r="DJ86" s="313"/>
      <c r="DK86" s="313"/>
      <c r="DL86" s="313"/>
      <c r="DM86" s="313"/>
      <c r="DN86" s="313"/>
      <c r="DO86" s="313"/>
      <c r="DP86" s="313"/>
      <c r="DQ86" s="313"/>
      <c r="DR86" s="313"/>
      <c r="DS86" s="313"/>
      <c r="DT86" s="313"/>
      <c r="DU86" s="313"/>
      <c r="DV86" s="313"/>
      <c r="DW86" s="313"/>
      <c r="DX86" s="313"/>
      <c r="DY86" s="313"/>
      <c r="DZ86" s="313"/>
      <c r="EA86" s="313"/>
      <c r="EB86" s="313"/>
      <c r="EC86" s="313"/>
      <c r="ED86" s="313"/>
      <c r="EE86" s="313"/>
      <c r="EF86" s="313"/>
      <c r="EG86" s="313"/>
      <c r="EH86" s="313"/>
      <c r="EI86" s="313"/>
      <c r="EJ86" s="313"/>
      <c r="EK86" s="313"/>
      <c r="EL86" s="313"/>
      <c r="EM86" s="313"/>
      <c r="EN86" s="313"/>
      <c r="EO86" s="313"/>
      <c r="EP86" s="313"/>
      <c r="EQ86" s="313"/>
      <c r="ER86" s="313"/>
      <c r="ES86" s="313"/>
      <c r="ET86" s="313"/>
      <c r="EU86" s="313"/>
      <c r="EV86" s="313"/>
      <c r="EW86" s="313"/>
      <c r="EX86" s="313"/>
      <c r="EY86" s="313"/>
      <c r="EZ86" s="313"/>
      <c r="FA86" s="313"/>
      <c r="FB86" s="313"/>
      <c r="FC86" s="313"/>
      <c r="FD86" s="313"/>
      <c r="FE86" s="313"/>
      <c r="FF86" s="313"/>
      <c r="FG86" s="313"/>
      <c r="FH86" s="313"/>
      <c r="FI86" s="313"/>
      <c r="FJ86" s="313"/>
      <c r="FK86" s="313"/>
      <c r="FL86" s="313"/>
      <c r="FM86" s="313"/>
      <c r="FN86" s="313"/>
      <c r="FO86" s="313"/>
      <c r="FP86" s="313"/>
      <c r="FQ86" s="313"/>
      <c r="FR86" s="313"/>
      <c r="FS86" s="313"/>
      <c r="FT86" s="313"/>
      <c r="FU86" s="313"/>
      <c r="FV86" s="313"/>
      <c r="FW86" s="313"/>
      <c r="FX86" s="313"/>
      <c r="FY86" s="313"/>
      <c r="FZ86" s="313"/>
      <c r="GA86" s="313"/>
      <c r="GB86" s="313"/>
      <c r="GC86" s="313"/>
      <c r="GD86" s="313"/>
      <c r="GE86" s="313"/>
      <c r="GF86" s="313"/>
      <c r="GG86" s="313"/>
      <c r="GH86" s="313"/>
      <c r="GI86" s="313"/>
      <c r="GJ86" s="313"/>
      <c r="GK86" s="313"/>
      <c r="GL86" s="313"/>
      <c r="GM86" s="313"/>
      <c r="GN86" s="313"/>
      <c r="GO86" s="313"/>
      <c r="GP86" s="313"/>
      <c r="GQ86" s="313"/>
      <c r="GR86" s="313"/>
      <c r="GS86" s="313"/>
      <c r="GT86" s="313"/>
      <c r="GU86" s="313"/>
      <c r="GV86" s="313"/>
      <c r="GW86" s="313"/>
      <c r="GX86" s="313"/>
      <c r="GY86" s="313"/>
      <c r="GZ86" s="313"/>
      <c r="HA86" s="313"/>
      <c r="HB86" s="313"/>
      <c r="HC86" s="313"/>
      <c r="HD86" s="313"/>
      <c r="HE86" s="313"/>
      <c r="HF86" s="313"/>
      <c r="HG86" s="313"/>
      <c r="HH86" s="313"/>
      <c r="HI86" s="313"/>
      <c r="HJ86" s="313"/>
      <c r="HK86" s="313"/>
      <c r="HL86" s="313"/>
      <c r="HM86" s="313"/>
      <c r="HN86" s="313"/>
      <c r="HO86" s="313"/>
      <c r="HP86" s="313"/>
      <c r="HQ86" s="313"/>
      <c r="HR86" s="313"/>
      <c r="HS86" s="313"/>
      <c r="HT86" s="313"/>
      <c r="HU86" s="313"/>
      <c r="HV86" s="313"/>
      <c r="HW86" s="313"/>
      <c r="HX86" s="313"/>
      <c r="HY86" s="313"/>
      <c r="HZ86" s="313"/>
      <c r="IA86" s="313"/>
      <c r="IB86" s="313"/>
      <c r="IC86" s="313"/>
      <c r="ID86" s="313"/>
      <c r="IE86" s="313"/>
      <c r="IF86" s="313"/>
      <c r="IG86" s="313"/>
      <c r="IH86" s="313"/>
      <c r="II86" s="313"/>
      <c r="IJ86" s="313"/>
      <c r="IK86" s="313"/>
      <c r="IL86" s="313"/>
      <c r="IM86" s="313"/>
      <c r="IN86" s="313"/>
      <c r="IO86" s="313"/>
      <c r="IP86" s="313"/>
      <c r="IQ86" s="313"/>
      <c r="IR86" s="313"/>
      <c r="IS86" s="313"/>
      <c r="IT86" s="313"/>
      <c r="IU86" s="313"/>
      <c r="IV86" s="313"/>
      <c r="IW86" s="313"/>
    </row>
    <row r="87" customFormat="false" ht="13.5" hidden="false" customHeight="false" outlineLevel="0" collapsed="false">
      <c r="A87" s="100"/>
      <c r="B87" s="703" t="s">
        <v>683</v>
      </c>
      <c r="C87" s="100"/>
      <c r="D87" s="1057"/>
      <c r="E87" s="100" t="n">
        <f aca="false">E49</f>
        <v>-1262.59931772513</v>
      </c>
      <c r="F87" s="100" t="n">
        <f aca="false">F49</f>
        <v>-1235.53538544543</v>
      </c>
      <c r="G87" s="100" t="n">
        <f aca="false">G49</f>
        <v>-1201.82004539327</v>
      </c>
      <c r="H87" s="100" t="n">
        <f aca="false">H49</f>
        <v>-1157.73527530571</v>
      </c>
      <c r="I87" s="100" t="n">
        <f aca="false">I49</f>
        <v>-1112.69430231155</v>
      </c>
      <c r="J87" s="100" t="n">
        <f aca="false">J49</f>
        <v>-1063.16734715207</v>
      </c>
      <c r="K87" s="100" t="n">
        <f aca="false">K49</f>
        <v>-1011.84240608777</v>
      </c>
      <c r="L87" s="100" t="n">
        <f aca="false">L49</f>
        <v>-950.254524200638</v>
      </c>
      <c r="M87" s="100" t="n">
        <f aca="false">M49</f>
        <v>-886.228133075645</v>
      </c>
      <c r="N87" s="100" t="n">
        <f aca="false">N49</f>
        <v>-816.621945093302</v>
      </c>
      <c r="O87" s="100" t="n">
        <f aca="false">O49</f>
        <v>-742.291751383858</v>
      </c>
      <c r="P87" s="100" t="n">
        <f aca="false">P49</f>
        <v>-654.53922230299</v>
      </c>
      <c r="Q87" s="100" t="n">
        <f aca="false">Q49</f>
        <v>-561.167421976736</v>
      </c>
      <c r="R87" s="100" t="n">
        <f aca="false">R49</f>
        <v>-459.52185685264</v>
      </c>
      <c r="S87" s="100" t="n">
        <f aca="false">S49</f>
        <v>-349.957474789461</v>
      </c>
      <c r="T87" s="100" t="n">
        <f aca="false">T49</f>
        <v>-228.526962230695</v>
      </c>
      <c r="U87" s="100" t="n">
        <f aca="false">U49</f>
        <v>-97.394575731349</v>
      </c>
      <c r="V87" s="100" t="n">
        <f aca="false">V49</f>
        <v>0</v>
      </c>
      <c r="W87" s="100" t="n">
        <f aca="false">W49</f>
        <v>0</v>
      </c>
      <c r="X87" s="100" t="n">
        <f aca="false">X49</f>
        <v>0</v>
      </c>
      <c r="Y87" s="100" t="n">
        <f aca="false">Y49</f>
        <v>0</v>
      </c>
      <c r="Z87" s="100" t="n">
        <f aca="false">Z49</f>
        <v>0</v>
      </c>
      <c r="AA87" s="100" t="n">
        <f aca="false">AA49</f>
        <v>0</v>
      </c>
      <c r="AB87" s="100" t="n">
        <f aca="false">AB49</f>
        <v>0</v>
      </c>
      <c r="AC87" s="100" t="n">
        <f aca="false">AC49</f>
        <v>0</v>
      </c>
      <c r="AD87" s="100" t="n">
        <f aca="false">AD49</f>
        <v>0</v>
      </c>
      <c r="AE87" s="100" t="n">
        <f aca="false">AE49</f>
        <v>0</v>
      </c>
      <c r="AF87" s="100" t="n">
        <f aca="false">AF49</f>
        <v>0</v>
      </c>
      <c r="AG87" s="100" t="n">
        <f aca="false">AG49</f>
        <v>0</v>
      </c>
      <c r="AH87" s="100" t="n">
        <f aca="false">AH49</f>
        <v>0</v>
      </c>
      <c r="AI87" s="100" t="n">
        <f aca="false">AI49</f>
        <v>0</v>
      </c>
      <c r="AJ87" s="102"/>
      <c r="AK87" s="102"/>
      <c r="AL87" s="100"/>
      <c r="AM87" s="1057"/>
      <c r="AN87" s="451" t="n">
        <f aca="false">E87/E$80</f>
        <v>-0.340878021984931</v>
      </c>
      <c r="AO87" s="451" t="n">
        <f aca="false">F87/F$80</f>
        <v>-0.333571270291716</v>
      </c>
      <c r="AP87" s="451" t="n">
        <f aca="false">G87/G$80</f>
        <v>-0.324468763846334</v>
      </c>
      <c r="AQ87" s="451" t="n">
        <f aca="false">H87/H$80</f>
        <v>-0.31256670670426</v>
      </c>
      <c r="AR87" s="451" t="n">
        <f aca="false">I87/I$80</f>
        <v>-0.300406492797136</v>
      </c>
      <c r="AS87" s="451" t="n">
        <f aca="false">J87/J$80</f>
        <v>-0.287035148244126</v>
      </c>
      <c r="AT87" s="451" t="n">
        <f aca="false">K87/K$80</f>
        <v>-0.273178381380024</v>
      </c>
      <c r="AU87" s="451" t="n">
        <f aca="false">L87/L$80</f>
        <v>-0.256550813899824</v>
      </c>
      <c r="AV87" s="451" t="n">
        <f aca="false">M87/M$80</f>
        <v>-0.239264894879335</v>
      </c>
      <c r="AW87" s="451" t="n">
        <f aca="false">N87/N$80</f>
        <v>-0.220472535859149</v>
      </c>
      <c r="AX87" s="451" t="n">
        <f aca="false">O87/O$80</f>
        <v>-0.200404784316971</v>
      </c>
      <c r="AY87" s="451" t="n">
        <f aca="false">P87/P$80</f>
        <v>-0.176713255169659</v>
      </c>
      <c r="AZ87" s="451" t="n">
        <f aca="false">Q87/Q$80</f>
        <v>-0.151504628681778</v>
      </c>
      <c r="BA87" s="451" t="n">
        <f aca="false">R87/R$80</f>
        <v>-0.124062241618343</v>
      </c>
      <c r="BB87" s="451" t="n">
        <f aca="false">S87/S$80</f>
        <v>-0.0944819232121927</v>
      </c>
      <c r="BC87" s="451" t="n">
        <f aca="false">T87/T$80</f>
        <v>-0.0616979731905598</v>
      </c>
      <c r="BD87" s="451" t="n">
        <f aca="false">U87/U$80</f>
        <v>-0.0262947000376816</v>
      </c>
      <c r="BE87" s="451" t="n">
        <f aca="false">V87/V$80</f>
        <v>0</v>
      </c>
      <c r="BF87" s="451" t="n">
        <f aca="false">W87/W$80</f>
        <v>0</v>
      </c>
      <c r="BG87" s="451" t="n">
        <f aca="false">X87/X$80</f>
        <v>0</v>
      </c>
      <c r="BH87" s="451" t="e">
        <f aca="false">Y87/Y$80</f>
        <v>#DIV/0!</v>
      </c>
      <c r="BI87" s="451" t="e">
        <f aca="false">Z87/Z$80</f>
        <v>#DIV/0!</v>
      </c>
      <c r="BJ87" s="451" t="e">
        <f aca="false">AA87/AA$80</f>
        <v>#DIV/0!</v>
      </c>
      <c r="BK87" s="451" t="e">
        <f aca="false">AB87/AB$80</f>
        <v>#DIV/0!</v>
      </c>
      <c r="BL87" s="451" t="e">
        <f aca="false">AC87/AC$80</f>
        <v>#DIV/0!</v>
      </c>
      <c r="BM87" s="451" t="e">
        <f aca="false">AD87/AD$80</f>
        <v>#DIV/0!</v>
      </c>
      <c r="BN87" s="451" t="e">
        <f aca="false">AE87/AE$80</f>
        <v>#DIV/0!</v>
      </c>
      <c r="BO87" s="451" t="e">
        <f aca="false">AF87/AF$80</f>
        <v>#DIV/0!</v>
      </c>
      <c r="BP87" s="451" t="e">
        <f aca="false">AG87/AG$80</f>
        <v>#DIV/0!</v>
      </c>
      <c r="BQ87" s="451" t="e">
        <f aca="false">AH87/AH$80</f>
        <v>#DIV/0!</v>
      </c>
      <c r="BR87" s="963" t="e">
        <f aca="false">AI87/AI$80</f>
        <v>#DIV/0!</v>
      </c>
      <c r="BS87" s="100"/>
      <c r="BT87" s="100"/>
      <c r="BU87" s="100"/>
      <c r="BV87" s="100"/>
      <c r="BW87" s="100"/>
      <c r="BX87" s="100"/>
      <c r="BY87" s="100"/>
      <c r="BZ87" s="100"/>
      <c r="CA87" s="100"/>
      <c r="CB87" s="100"/>
      <c r="CC87" s="100"/>
      <c r="CD87" s="100"/>
      <c r="CE87" s="100"/>
      <c r="CF87" s="100"/>
      <c r="CG87" s="100"/>
      <c r="CH87" s="100"/>
      <c r="CI87" s="100"/>
      <c r="CJ87" s="100"/>
      <c r="CK87" s="100"/>
      <c r="CL87" s="100"/>
      <c r="CM87" s="100"/>
      <c r="CN87" s="100"/>
      <c r="CO87" s="100"/>
      <c r="CP87" s="100"/>
      <c r="CQ87" s="100"/>
      <c r="CR87" s="100"/>
      <c r="CS87" s="100"/>
      <c r="CT87" s="100"/>
      <c r="CU87" s="100"/>
      <c r="CV87" s="100"/>
      <c r="CW87" s="100"/>
      <c r="CX87" s="100"/>
      <c r="CY87" s="100"/>
      <c r="CZ87" s="100"/>
      <c r="DA87" s="100"/>
      <c r="DB87" s="100"/>
      <c r="DC87" s="100"/>
      <c r="DD87" s="100"/>
      <c r="DE87" s="100"/>
      <c r="DF87" s="100"/>
      <c r="DG87" s="100"/>
      <c r="DH87" s="100"/>
      <c r="DI87" s="100"/>
      <c r="DJ87" s="100"/>
      <c r="DK87" s="100"/>
      <c r="DL87" s="100"/>
      <c r="DM87" s="100"/>
      <c r="DN87" s="100"/>
      <c r="DO87" s="100"/>
      <c r="DP87" s="100"/>
      <c r="DQ87" s="100"/>
      <c r="DR87" s="100"/>
      <c r="DS87" s="100"/>
      <c r="DT87" s="100"/>
      <c r="DU87" s="100"/>
      <c r="DV87" s="100"/>
      <c r="DW87" s="100"/>
      <c r="DX87" s="100"/>
      <c r="DY87" s="100"/>
      <c r="DZ87" s="100"/>
      <c r="EA87" s="100"/>
      <c r="EB87" s="100"/>
      <c r="EC87" s="100"/>
      <c r="ED87" s="100"/>
      <c r="EE87" s="100"/>
      <c r="EF87" s="100"/>
      <c r="EG87" s="100"/>
      <c r="EH87" s="100"/>
      <c r="EI87" s="100"/>
      <c r="EJ87" s="100"/>
      <c r="EK87" s="100"/>
      <c r="EL87" s="100"/>
      <c r="EM87" s="100"/>
      <c r="EN87" s="100"/>
      <c r="EO87" s="100"/>
      <c r="EP87" s="100"/>
      <c r="EQ87" s="100"/>
      <c r="ER87" s="100"/>
      <c r="ES87" s="100"/>
      <c r="ET87" s="100"/>
      <c r="EU87" s="100"/>
      <c r="EV87" s="100"/>
      <c r="EW87" s="100"/>
      <c r="EX87" s="100"/>
      <c r="EY87" s="100"/>
      <c r="EZ87" s="100"/>
      <c r="FA87" s="100"/>
      <c r="FB87" s="100"/>
      <c r="FC87" s="100"/>
      <c r="FD87" s="100"/>
      <c r="FE87" s="100"/>
      <c r="FF87" s="100"/>
      <c r="FG87" s="100"/>
      <c r="FH87" s="100"/>
      <c r="FI87" s="100"/>
      <c r="FJ87" s="100"/>
      <c r="FK87" s="100"/>
      <c r="FL87" s="100"/>
      <c r="FM87" s="100"/>
      <c r="FN87" s="100"/>
      <c r="FO87" s="100"/>
      <c r="FP87" s="100"/>
      <c r="FQ87" s="100"/>
      <c r="FR87" s="100"/>
      <c r="FS87" s="100"/>
      <c r="FT87" s="100"/>
      <c r="FU87" s="100"/>
      <c r="FV87" s="100"/>
      <c r="FW87" s="100"/>
      <c r="FX87" s="100"/>
      <c r="FY87" s="100"/>
      <c r="FZ87" s="100"/>
      <c r="GA87" s="100"/>
      <c r="GB87" s="100"/>
      <c r="GC87" s="100"/>
      <c r="GD87" s="100"/>
      <c r="GE87" s="100"/>
      <c r="GF87" s="100"/>
      <c r="GG87" s="100"/>
      <c r="GH87" s="100"/>
      <c r="GI87" s="100"/>
      <c r="GJ87" s="100"/>
      <c r="GK87" s="100"/>
      <c r="GL87" s="100"/>
      <c r="GM87" s="100"/>
      <c r="GN87" s="100"/>
      <c r="GO87" s="100"/>
      <c r="GP87" s="100"/>
      <c r="GQ87" s="100"/>
      <c r="GR87" s="100"/>
      <c r="GS87" s="100"/>
      <c r="GT87" s="100"/>
      <c r="GU87" s="100"/>
      <c r="GV87" s="100"/>
      <c r="GW87" s="100"/>
      <c r="GX87" s="100"/>
      <c r="GY87" s="100"/>
      <c r="GZ87" s="100"/>
      <c r="HA87" s="100"/>
      <c r="HB87" s="100"/>
      <c r="HC87" s="100"/>
      <c r="HD87" s="100"/>
      <c r="HE87" s="100"/>
      <c r="HF87" s="100"/>
      <c r="HG87" s="100"/>
      <c r="HH87" s="100"/>
      <c r="HI87" s="100"/>
      <c r="HJ87" s="100"/>
      <c r="HK87" s="100"/>
      <c r="HL87" s="100"/>
      <c r="HM87" s="100"/>
      <c r="HN87" s="100"/>
      <c r="HO87" s="100"/>
      <c r="HP87" s="100"/>
      <c r="HQ87" s="100"/>
      <c r="HR87" s="100"/>
      <c r="HS87" s="100"/>
      <c r="HT87" s="100"/>
      <c r="HU87" s="100"/>
      <c r="HV87" s="100"/>
      <c r="HW87" s="100"/>
      <c r="HX87" s="100"/>
      <c r="HY87" s="100"/>
      <c r="HZ87" s="100"/>
      <c r="IA87" s="100"/>
      <c r="IB87" s="100"/>
      <c r="IC87" s="100"/>
      <c r="ID87" s="100"/>
      <c r="IE87" s="100"/>
      <c r="IF87" s="100"/>
      <c r="IG87" s="100"/>
      <c r="IH87" s="100"/>
      <c r="II87" s="100"/>
      <c r="IJ87" s="100"/>
      <c r="IK87" s="100"/>
      <c r="IL87" s="100"/>
      <c r="IM87" s="100"/>
      <c r="IN87" s="100"/>
      <c r="IO87" s="100"/>
      <c r="IP87" s="100"/>
      <c r="IQ87" s="100"/>
      <c r="IR87" s="100"/>
      <c r="IS87" s="100"/>
      <c r="IT87" s="100"/>
      <c r="IU87" s="100"/>
      <c r="IV87" s="100"/>
      <c r="IW87" s="100"/>
    </row>
    <row r="88" customFormat="false" ht="13.5" hidden="false" customHeight="false" outlineLevel="0" collapsed="false">
      <c r="A88" s="313"/>
      <c r="B88" s="708" t="s">
        <v>684</v>
      </c>
      <c r="C88" s="100"/>
      <c r="D88" s="1056"/>
      <c r="E88" s="331" t="n">
        <f aca="false">SUM(E86:E87)</f>
        <v>-1050.40206406628</v>
      </c>
      <c r="F88" s="331" t="n">
        <f aca="false">SUM(F86:F87)</f>
        <v>-1025.38694140378</v>
      </c>
      <c r="G88" s="331" t="n">
        <f aca="false">SUM(G86:G87)</f>
        <v>-994.362399695052</v>
      </c>
      <c r="H88" s="331" t="n">
        <f aca="false">SUM(H86:H87)</f>
        <v>-953.781000195027</v>
      </c>
      <c r="I88" s="331" t="n">
        <f aca="false">SUM(I86:I87)</f>
        <v>-912.930470455427</v>
      </c>
      <c r="J88" s="331" t="n">
        <f aca="false">SUM(J86:J87)</f>
        <v>-868.126905830919</v>
      </c>
      <c r="K88" s="331" t="n">
        <f aca="false">SUM(K86:K87)</f>
        <v>-831.242741416632</v>
      </c>
      <c r="L88" s="331" t="n">
        <f aca="false">SUM(L86:L87)</f>
        <v>-784.859693939262</v>
      </c>
      <c r="M88" s="331" t="n">
        <f aca="false">SUM(M86:M87)</f>
        <v>-736.811615922583</v>
      </c>
      <c r="N88" s="331" t="n">
        <f aca="false">SUM(N86:N87)</f>
        <v>-684.298446976765</v>
      </c>
      <c r="O88" s="331" t="n">
        <f aca="false">SUM(O86:O87)</f>
        <v>-582.773527799499</v>
      </c>
      <c r="P88" s="331" t="n">
        <f aca="false">SUM(P86:P87)</f>
        <v>-514.123165053148</v>
      </c>
      <c r="Q88" s="331" t="n">
        <f aca="false">SUM(Q86:Q87)</f>
        <v>-441.515193691674</v>
      </c>
      <c r="R88" s="331" t="n">
        <f aca="false">SUM(R86:R87)</f>
        <v>-362.386495906517</v>
      </c>
      <c r="S88" s="331" t="n">
        <f aca="false">SUM(S86:S87)</f>
        <v>-277.290660629004</v>
      </c>
      <c r="T88" s="331" t="n">
        <f aca="false">SUM(T86:T87)</f>
        <v>-181.692798215853</v>
      </c>
      <c r="U88" s="331" t="n">
        <f aca="false">SUM(U86:U87)</f>
        <v>-68.5262485935224</v>
      </c>
      <c r="V88" s="331" t="n">
        <f aca="false">SUM(V86:V87)</f>
        <v>145.18661423444</v>
      </c>
      <c r="W88" s="331" t="n">
        <f aca="false">SUM(W86:W87)</f>
        <v>114.091919503237</v>
      </c>
      <c r="X88" s="331" t="n">
        <f aca="false">SUM(X86:X87)</f>
        <v>83.0740076058059</v>
      </c>
      <c r="Y88" s="331" t="n">
        <f aca="false">SUM(Y86:Y87)</f>
        <v>0</v>
      </c>
      <c r="Z88" s="331" t="n">
        <f aca="false">SUM(Z86:Z87)</f>
        <v>0</v>
      </c>
      <c r="AA88" s="331" t="n">
        <f aca="false">SUM(AA86:AA87)</f>
        <v>0</v>
      </c>
      <c r="AB88" s="331" t="n">
        <f aca="false">SUM(AB86:AB87)</f>
        <v>0</v>
      </c>
      <c r="AC88" s="331" t="n">
        <f aca="false">SUM(AC86:AC87)</f>
        <v>0</v>
      </c>
      <c r="AD88" s="331" t="n">
        <f aca="false">SUM(AD86:AD87)</f>
        <v>0</v>
      </c>
      <c r="AE88" s="331" t="n">
        <f aca="false">SUM(AE86:AE87)</f>
        <v>0</v>
      </c>
      <c r="AF88" s="331" t="n">
        <f aca="false">SUM(AF86:AF87)</f>
        <v>0</v>
      </c>
      <c r="AG88" s="331" t="n">
        <f aca="false">SUM(AG86:AG87)</f>
        <v>0</v>
      </c>
      <c r="AH88" s="331" t="n">
        <f aca="false">SUM(AH86:AH87)</f>
        <v>0</v>
      </c>
      <c r="AI88" s="331" t="n">
        <f aca="false">SUM(AI86:AI87)</f>
        <v>0</v>
      </c>
      <c r="AJ88" s="1045"/>
      <c r="AK88" s="1045"/>
      <c r="AL88" s="313"/>
      <c r="AM88" s="1056"/>
      <c r="AN88" s="1071" t="n">
        <f aca="false">E88/E$80</f>
        <v>-0.283588762373901</v>
      </c>
      <c r="AO88" s="1071" t="n">
        <f aca="false">F88/F$80</f>
        <v>-0.276835150667325</v>
      </c>
      <c r="AP88" s="1071" t="n">
        <f aca="false">G88/G$80</f>
        <v>-0.268459109066325</v>
      </c>
      <c r="AQ88" s="1071" t="n">
        <f aca="false">H88/H$80</f>
        <v>-0.257502895961543</v>
      </c>
      <c r="AR88" s="1071" t="n">
        <f aca="false">I88/I$80</f>
        <v>-0.24647402276386</v>
      </c>
      <c r="AS88" s="1071" t="n">
        <f aca="false">J88/J$80</f>
        <v>-0.23437790464256</v>
      </c>
      <c r="AT88" s="1071" t="n">
        <f aca="false">K88/K$80</f>
        <v>-0.22441987533619</v>
      </c>
      <c r="AU88" s="1071" t="n">
        <f aca="false">L88/L$80</f>
        <v>-0.211897326610117</v>
      </c>
      <c r="AV88" s="1071" t="n">
        <f aca="false">M88/M$80</f>
        <v>-0.198925251016086</v>
      </c>
      <c r="AW88" s="1071" t="n">
        <f aca="false">N88/N$80</f>
        <v>-0.184747685016238</v>
      </c>
      <c r="AX88" s="1071" t="n">
        <f aca="false">O88/O$80</f>
        <v>-0.157337870084863</v>
      </c>
      <c r="AY88" s="1071" t="n">
        <f aca="false">P88/P$80</f>
        <v>-0.13880356586578</v>
      </c>
      <c r="AZ88" s="1071" t="n">
        <f aca="false">Q88/Q$80</f>
        <v>-0.119200781902114</v>
      </c>
      <c r="BA88" s="1071" t="n">
        <f aca="false">R88/R$80</f>
        <v>-0.0978375246877459</v>
      </c>
      <c r="BB88" s="1071" t="n">
        <f aca="false">S88/S$80</f>
        <v>-0.0748632528016994</v>
      </c>
      <c r="BC88" s="1071" t="n">
        <f aca="false">T88/T$80</f>
        <v>-0.0490536315007025</v>
      </c>
      <c r="BD88" s="1071" t="n">
        <f aca="false">U88/U$80</f>
        <v>-0.0185007957367619</v>
      </c>
      <c r="BE88" s="1071" t="n">
        <f aca="false">V88/V$80</f>
        <v>0.0391976497881327</v>
      </c>
      <c r="BF88" s="1071" t="n">
        <f aca="false">W88/W$80</f>
        <v>0.0308026681931044</v>
      </c>
      <c r="BG88" s="1071" t="n">
        <f aca="false">X88/X$80</f>
        <v>0.022428416516215</v>
      </c>
      <c r="BH88" s="1071" t="e">
        <f aca="false">Y88/Y$80</f>
        <v>#DIV/0!</v>
      </c>
      <c r="BI88" s="1071" t="e">
        <f aca="false">Z88/Z$80</f>
        <v>#DIV/0!</v>
      </c>
      <c r="BJ88" s="1071" t="e">
        <f aca="false">AA88/AA$80</f>
        <v>#DIV/0!</v>
      </c>
      <c r="BK88" s="1071" t="e">
        <f aca="false">AB88/AB$80</f>
        <v>#DIV/0!</v>
      </c>
      <c r="BL88" s="1071" t="e">
        <f aca="false">AC88/AC$80</f>
        <v>#DIV/0!</v>
      </c>
      <c r="BM88" s="1071" t="e">
        <f aca="false">AD88/AD$80</f>
        <v>#DIV/0!</v>
      </c>
      <c r="BN88" s="1071" t="e">
        <f aca="false">AE88/AE$80</f>
        <v>#DIV/0!</v>
      </c>
      <c r="BO88" s="1071" t="e">
        <f aca="false">AF88/AF$80</f>
        <v>#DIV/0!</v>
      </c>
      <c r="BP88" s="1071" t="e">
        <f aca="false">AG88/AG$80</f>
        <v>#DIV/0!</v>
      </c>
      <c r="BQ88" s="1071" t="e">
        <f aca="false">AH88/AH$80</f>
        <v>#DIV/0!</v>
      </c>
      <c r="BR88" s="963" t="e">
        <f aca="false">AI88/AI$80</f>
        <v>#DIV/0!</v>
      </c>
      <c r="BS88" s="313"/>
      <c r="BT88" s="313"/>
      <c r="BU88" s="313"/>
      <c r="BV88" s="313"/>
      <c r="BW88" s="313"/>
      <c r="BX88" s="313"/>
      <c r="BY88" s="313"/>
      <c r="BZ88" s="313"/>
      <c r="CA88" s="313"/>
      <c r="CB88" s="313"/>
      <c r="CC88" s="313"/>
      <c r="CD88" s="313"/>
      <c r="CE88" s="313"/>
      <c r="CF88" s="313"/>
      <c r="CG88" s="313"/>
      <c r="CH88" s="313"/>
      <c r="CI88" s="313"/>
      <c r="CJ88" s="313"/>
      <c r="CK88" s="313"/>
      <c r="CL88" s="313"/>
      <c r="CM88" s="313"/>
      <c r="CN88" s="313"/>
      <c r="CO88" s="313"/>
      <c r="CP88" s="313"/>
      <c r="CQ88" s="313"/>
      <c r="CR88" s="313"/>
      <c r="CS88" s="313"/>
      <c r="CT88" s="313"/>
      <c r="CU88" s="313"/>
      <c r="CV88" s="313"/>
      <c r="CW88" s="313"/>
      <c r="CX88" s="313"/>
      <c r="CY88" s="313"/>
      <c r="CZ88" s="313"/>
      <c r="DA88" s="313"/>
      <c r="DB88" s="313"/>
      <c r="DC88" s="313"/>
      <c r="DD88" s="313"/>
      <c r="DE88" s="313"/>
      <c r="DF88" s="313"/>
      <c r="DG88" s="313"/>
      <c r="DH88" s="313"/>
      <c r="DI88" s="313"/>
      <c r="DJ88" s="313"/>
      <c r="DK88" s="313"/>
      <c r="DL88" s="313"/>
      <c r="DM88" s="313"/>
      <c r="DN88" s="313"/>
      <c r="DO88" s="313"/>
      <c r="DP88" s="313"/>
      <c r="DQ88" s="313"/>
      <c r="DR88" s="313"/>
      <c r="DS88" s="313"/>
      <c r="DT88" s="313"/>
      <c r="DU88" s="313"/>
      <c r="DV88" s="313"/>
      <c r="DW88" s="313"/>
      <c r="DX88" s="313"/>
      <c r="DY88" s="313"/>
      <c r="DZ88" s="313"/>
      <c r="EA88" s="313"/>
      <c r="EB88" s="313"/>
      <c r="EC88" s="313"/>
      <c r="ED88" s="313"/>
      <c r="EE88" s="313"/>
      <c r="EF88" s="313"/>
      <c r="EG88" s="313"/>
      <c r="EH88" s="313"/>
      <c r="EI88" s="313"/>
      <c r="EJ88" s="313"/>
      <c r="EK88" s="313"/>
      <c r="EL88" s="313"/>
      <c r="EM88" s="313"/>
      <c r="EN88" s="313"/>
      <c r="EO88" s="313"/>
      <c r="EP88" s="313"/>
      <c r="EQ88" s="313"/>
      <c r="ER88" s="313"/>
      <c r="ES88" s="313"/>
      <c r="ET88" s="313"/>
      <c r="EU88" s="313"/>
      <c r="EV88" s="313"/>
      <c r="EW88" s="313"/>
      <c r="EX88" s="313"/>
      <c r="EY88" s="313"/>
      <c r="EZ88" s="313"/>
      <c r="FA88" s="313"/>
      <c r="FB88" s="313"/>
      <c r="FC88" s="313"/>
      <c r="FD88" s="313"/>
      <c r="FE88" s="313"/>
      <c r="FF88" s="313"/>
      <c r="FG88" s="313"/>
      <c r="FH88" s="313"/>
      <c r="FI88" s="313"/>
      <c r="FJ88" s="313"/>
      <c r="FK88" s="313"/>
      <c r="FL88" s="313"/>
      <c r="FM88" s="313"/>
      <c r="FN88" s="313"/>
      <c r="FO88" s="313"/>
      <c r="FP88" s="313"/>
      <c r="FQ88" s="313"/>
      <c r="FR88" s="313"/>
      <c r="FS88" s="313"/>
      <c r="FT88" s="313"/>
      <c r="FU88" s="313"/>
      <c r="FV88" s="313"/>
      <c r="FW88" s="313"/>
      <c r="FX88" s="313"/>
      <c r="FY88" s="313"/>
      <c r="FZ88" s="313"/>
      <c r="GA88" s="313"/>
      <c r="GB88" s="313"/>
      <c r="GC88" s="313"/>
      <c r="GD88" s="313"/>
      <c r="GE88" s="313"/>
      <c r="GF88" s="313"/>
      <c r="GG88" s="313"/>
      <c r="GH88" s="313"/>
      <c r="GI88" s="313"/>
      <c r="GJ88" s="313"/>
      <c r="GK88" s="313"/>
      <c r="GL88" s="313"/>
      <c r="GM88" s="313"/>
      <c r="GN88" s="313"/>
      <c r="GO88" s="313"/>
      <c r="GP88" s="313"/>
      <c r="GQ88" s="313"/>
      <c r="GR88" s="313"/>
      <c r="GS88" s="313"/>
      <c r="GT88" s="313"/>
      <c r="GU88" s="313"/>
      <c r="GV88" s="313"/>
      <c r="GW88" s="313"/>
      <c r="GX88" s="313"/>
      <c r="GY88" s="313"/>
      <c r="GZ88" s="313"/>
      <c r="HA88" s="313"/>
      <c r="HB88" s="313"/>
      <c r="HC88" s="313"/>
      <c r="HD88" s="313"/>
      <c r="HE88" s="313"/>
      <c r="HF88" s="313"/>
      <c r="HG88" s="313"/>
      <c r="HH88" s="313"/>
      <c r="HI88" s="313"/>
      <c r="HJ88" s="313"/>
      <c r="HK88" s="313"/>
      <c r="HL88" s="313"/>
      <c r="HM88" s="313"/>
      <c r="HN88" s="313"/>
      <c r="HO88" s="313"/>
      <c r="HP88" s="313"/>
      <c r="HQ88" s="313"/>
      <c r="HR88" s="313"/>
      <c r="HS88" s="313"/>
      <c r="HT88" s="313"/>
      <c r="HU88" s="313"/>
      <c r="HV88" s="313"/>
      <c r="HW88" s="313"/>
      <c r="HX88" s="313"/>
      <c r="HY88" s="313"/>
      <c r="HZ88" s="313"/>
      <c r="IA88" s="313"/>
      <c r="IB88" s="313"/>
      <c r="IC88" s="313"/>
      <c r="ID88" s="313"/>
      <c r="IE88" s="313"/>
      <c r="IF88" s="313"/>
      <c r="IG88" s="313"/>
      <c r="IH88" s="313"/>
      <c r="II88" s="313"/>
      <c r="IJ88" s="313"/>
      <c r="IK88" s="313"/>
      <c r="IL88" s="313"/>
      <c r="IM88" s="313"/>
      <c r="IN88" s="313"/>
      <c r="IO88" s="313"/>
      <c r="IP88" s="313"/>
      <c r="IQ88" s="313"/>
      <c r="IR88" s="313"/>
      <c r="IS88" s="313"/>
      <c r="IT88" s="313"/>
      <c r="IU88" s="313"/>
      <c r="IV88" s="313"/>
      <c r="IW88" s="313"/>
    </row>
    <row r="89" customFormat="false" ht="12.75" hidden="false" customHeight="false" outlineLevel="0" collapsed="false">
      <c r="A89" s="100"/>
      <c r="B89" s="100"/>
      <c r="C89" s="100"/>
      <c r="D89" s="13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2"/>
      <c r="AK89" s="102"/>
      <c r="AL89" s="100"/>
      <c r="AM89" s="130"/>
      <c r="AN89" s="100"/>
      <c r="AO89" s="100"/>
      <c r="AP89" s="100"/>
      <c r="AQ89" s="100"/>
      <c r="AR89" s="100"/>
      <c r="AS89" s="100"/>
      <c r="AT89" s="100"/>
      <c r="AU89" s="100"/>
      <c r="AV89" s="100"/>
      <c r="AW89" s="100"/>
      <c r="AX89" s="100"/>
      <c r="AY89" s="100"/>
      <c r="AZ89" s="100"/>
      <c r="BA89" s="100"/>
      <c r="BB89" s="100"/>
      <c r="BC89" s="100"/>
      <c r="BD89" s="100"/>
      <c r="BE89" s="100"/>
      <c r="BF89" s="100"/>
      <c r="BG89" s="100"/>
      <c r="BH89" s="100"/>
      <c r="BI89" s="100"/>
      <c r="BJ89" s="100"/>
      <c r="BK89" s="100"/>
      <c r="BL89" s="100"/>
      <c r="BM89" s="100"/>
      <c r="BN89" s="100"/>
      <c r="BO89" s="100"/>
      <c r="BP89" s="100"/>
      <c r="BQ89" s="100"/>
      <c r="BR89" s="100"/>
      <c r="BS89" s="100"/>
      <c r="BT89" s="100"/>
      <c r="BU89" s="100"/>
      <c r="BV89" s="100"/>
      <c r="BW89" s="100"/>
      <c r="BX89" s="100"/>
      <c r="BY89" s="100"/>
      <c r="BZ89" s="100"/>
      <c r="CA89" s="100"/>
      <c r="CB89" s="100"/>
      <c r="CC89" s="100"/>
      <c r="CD89" s="100"/>
      <c r="CE89" s="100"/>
      <c r="CF89" s="100"/>
      <c r="CG89" s="100"/>
      <c r="CH89" s="100"/>
      <c r="CI89" s="100"/>
      <c r="CJ89" s="100"/>
      <c r="CK89" s="100"/>
      <c r="CL89" s="100"/>
      <c r="CM89" s="100"/>
      <c r="CN89" s="100"/>
      <c r="CO89" s="100"/>
      <c r="CP89" s="100"/>
      <c r="CQ89" s="100"/>
      <c r="CR89" s="100"/>
      <c r="CS89" s="100"/>
      <c r="CT89" s="100"/>
      <c r="CU89" s="100"/>
      <c r="CV89" s="100"/>
      <c r="CW89" s="100"/>
      <c r="CX89" s="100"/>
      <c r="CY89" s="100"/>
      <c r="CZ89" s="100"/>
      <c r="DA89" s="100"/>
      <c r="DB89" s="100"/>
      <c r="DC89" s="100"/>
      <c r="DD89" s="100"/>
      <c r="DE89" s="100"/>
      <c r="DF89" s="100"/>
      <c r="DG89" s="100"/>
      <c r="DH89" s="100"/>
      <c r="DI89" s="100"/>
      <c r="DJ89" s="100"/>
      <c r="DK89" s="100"/>
      <c r="DL89" s="100"/>
      <c r="DM89" s="100"/>
      <c r="DN89" s="100"/>
      <c r="DO89" s="100"/>
      <c r="DP89" s="100"/>
      <c r="DQ89" s="100"/>
      <c r="DR89" s="100"/>
      <c r="DS89" s="100"/>
      <c r="DT89" s="100"/>
      <c r="DU89" s="100"/>
      <c r="DV89" s="100"/>
      <c r="DW89" s="100"/>
      <c r="DX89" s="100"/>
      <c r="DY89" s="100"/>
      <c r="DZ89" s="100"/>
      <c r="EA89" s="100"/>
      <c r="EB89" s="100"/>
      <c r="EC89" s="100"/>
      <c r="ED89" s="100"/>
      <c r="EE89" s="100"/>
      <c r="EF89" s="100"/>
      <c r="EG89" s="100"/>
      <c r="EH89" s="100"/>
      <c r="EI89" s="100"/>
      <c r="EJ89" s="100"/>
      <c r="EK89" s="100"/>
      <c r="EL89" s="100"/>
      <c r="EM89" s="100"/>
      <c r="EN89" s="100"/>
      <c r="EO89" s="100"/>
      <c r="EP89" s="100"/>
      <c r="EQ89" s="100"/>
      <c r="ER89" s="100"/>
      <c r="ES89" s="100"/>
      <c r="ET89" s="100"/>
      <c r="EU89" s="100"/>
      <c r="EV89" s="100"/>
      <c r="EW89" s="100"/>
      <c r="EX89" s="100"/>
      <c r="EY89" s="100"/>
      <c r="EZ89" s="100"/>
      <c r="FA89" s="100"/>
      <c r="FB89" s="100"/>
      <c r="FC89" s="100"/>
      <c r="FD89" s="100"/>
      <c r="FE89" s="100"/>
      <c r="FF89" s="100"/>
      <c r="FG89" s="100"/>
      <c r="FH89" s="100"/>
      <c r="FI89" s="100"/>
      <c r="FJ89" s="100"/>
      <c r="FK89" s="100"/>
      <c r="FL89" s="100"/>
      <c r="FM89" s="100"/>
      <c r="FN89" s="100"/>
      <c r="FO89" s="100"/>
      <c r="FP89" s="100"/>
      <c r="FQ89" s="100"/>
      <c r="FR89" s="100"/>
      <c r="FS89" s="100"/>
      <c r="FT89" s="100"/>
      <c r="FU89" s="100"/>
      <c r="FV89" s="100"/>
      <c r="FW89" s="100"/>
      <c r="FX89" s="100"/>
      <c r="FY89" s="100"/>
      <c r="FZ89" s="100"/>
      <c r="GA89" s="100"/>
      <c r="GB89" s="100"/>
      <c r="GC89" s="100"/>
      <c r="GD89" s="100"/>
      <c r="GE89" s="100"/>
      <c r="GF89" s="100"/>
      <c r="GG89" s="100"/>
      <c r="GH89" s="100"/>
      <c r="GI89" s="100"/>
      <c r="GJ89" s="100"/>
      <c r="GK89" s="100"/>
      <c r="GL89" s="100"/>
      <c r="GM89" s="100"/>
      <c r="GN89" s="100"/>
      <c r="GO89" s="100"/>
      <c r="GP89" s="100"/>
      <c r="GQ89" s="100"/>
      <c r="GR89" s="100"/>
      <c r="GS89" s="100"/>
      <c r="GT89" s="100"/>
      <c r="GU89" s="100"/>
      <c r="GV89" s="100"/>
      <c r="GW89" s="100"/>
      <c r="GX89" s="100"/>
      <c r="GY89" s="100"/>
      <c r="GZ89" s="100"/>
      <c r="HA89" s="100"/>
      <c r="HB89" s="100"/>
      <c r="HC89" s="100"/>
      <c r="HD89" s="100"/>
      <c r="HE89" s="100"/>
      <c r="HF89" s="100"/>
      <c r="HG89" s="100"/>
      <c r="HH89" s="100"/>
      <c r="HI89" s="100"/>
      <c r="HJ89" s="100"/>
      <c r="HK89" s="100"/>
      <c r="HL89" s="100"/>
      <c r="HM89" s="100"/>
      <c r="HN89" s="100"/>
      <c r="HO89" s="100"/>
      <c r="HP89" s="100"/>
      <c r="HQ89" s="100"/>
      <c r="HR89" s="100"/>
      <c r="HS89" s="100"/>
      <c r="HT89" s="100"/>
      <c r="HU89" s="100"/>
      <c r="HV89" s="100"/>
      <c r="HW89" s="100"/>
      <c r="HX89" s="100"/>
      <c r="HY89" s="100"/>
      <c r="HZ89" s="100"/>
      <c r="IA89" s="100"/>
      <c r="IB89" s="100"/>
      <c r="IC89" s="100"/>
      <c r="ID89" s="100"/>
      <c r="IE89" s="100"/>
      <c r="IF89" s="100"/>
      <c r="IG89" s="100"/>
      <c r="IH89" s="100"/>
      <c r="II89" s="100"/>
      <c r="IJ89" s="100"/>
      <c r="IK89" s="100"/>
      <c r="IL89" s="100"/>
      <c r="IM89" s="100"/>
      <c r="IN89" s="100"/>
      <c r="IO89" s="100"/>
      <c r="IP89" s="100"/>
      <c r="IQ89" s="100"/>
      <c r="IR89" s="100"/>
      <c r="IS89" s="100"/>
      <c r="IT89" s="100"/>
      <c r="IU89" s="100"/>
      <c r="IV89" s="100"/>
      <c r="IW89" s="100"/>
    </row>
    <row r="90" customFormat="false" ht="12.75" hidden="false" customHeight="false" outlineLevel="0" collapsed="false">
      <c r="A90" s="102"/>
      <c r="B90" s="102"/>
      <c r="C90" s="102"/>
      <c r="D90" s="1052"/>
      <c r="E90" s="102"/>
      <c r="F90" s="102"/>
      <c r="G90" s="102"/>
      <c r="H90" s="102"/>
      <c r="I90" s="102"/>
      <c r="J90" s="102"/>
      <c r="K90" s="102"/>
      <c r="L90" s="102"/>
      <c r="M90" s="102"/>
      <c r="N90" s="102"/>
      <c r="O90" s="102"/>
      <c r="P90" s="102"/>
      <c r="Q90" s="102"/>
      <c r="R90" s="102"/>
      <c r="S90" s="102"/>
      <c r="T90" s="102"/>
      <c r="U90" s="102"/>
      <c r="V90" s="102"/>
      <c r="W90" s="102"/>
      <c r="X90" s="102"/>
      <c r="Y90" s="102"/>
      <c r="Z90" s="102"/>
      <c r="AA90" s="102"/>
      <c r="AB90" s="102"/>
      <c r="AC90" s="102"/>
      <c r="AD90" s="102"/>
      <c r="AE90" s="102"/>
      <c r="AF90" s="102"/>
      <c r="AG90" s="102"/>
      <c r="AH90" s="102"/>
      <c r="AI90" s="102"/>
      <c r="AJ90" s="102"/>
      <c r="AK90" s="102"/>
      <c r="AL90" s="102"/>
      <c r="AM90" s="102"/>
      <c r="AN90" s="102"/>
      <c r="AO90" s="102"/>
      <c r="AP90" s="102"/>
      <c r="AQ90" s="102"/>
      <c r="AR90" s="102"/>
      <c r="AS90" s="102"/>
      <c r="AT90" s="102"/>
      <c r="AU90" s="102"/>
      <c r="AV90" s="102"/>
      <c r="AW90" s="102"/>
      <c r="AX90" s="102"/>
      <c r="AY90" s="102"/>
      <c r="AZ90" s="102"/>
      <c r="BA90" s="102"/>
      <c r="BB90" s="102"/>
      <c r="BC90" s="102"/>
      <c r="BD90" s="102"/>
      <c r="BE90" s="102"/>
      <c r="BF90" s="102"/>
      <c r="BG90" s="102"/>
      <c r="BH90" s="102"/>
      <c r="BI90" s="102"/>
      <c r="BJ90" s="102"/>
      <c r="BK90" s="102"/>
      <c r="BL90" s="102"/>
      <c r="BM90" s="102"/>
      <c r="BN90" s="102"/>
      <c r="BO90" s="102"/>
      <c r="BP90" s="102"/>
      <c r="BQ90" s="102"/>
      <c r="BR90" s="102"/>
      <c r="BS90" s="102"/>
      <c r="BT90" s="102"/>
      <c r="BU90" s="102"/>
      <c r="BV90" s="102"/>
      <c r="BW90" s="102"/>
      <c r="BX90" s="102"/>
      <c r="BY90" s="102"/>
      <c r="BZ90" s="102"/>
      <c r="CA90" s="102"/>
      <c r="CB90" s="102"/>
      <c r="CC90" s="102"/>
      <c r="CD90" s="102"/>
      <c r="CE90" s="102"/>
      <c r="CF90" s="102"/>
      <c r="CG90" s="102"/>
      <c r="CH90" s="102"/>
      <c r="CI90" s="102"/>
      <c r="CJ90" s="102"/>
      <c r="CK90" s="102"/>
      <c r="CL90" s="102"/>
      <c r="CM90" s="102"/>
      <c r="CN90" s="102"/>
      <c r="CO90" s="102"/>
      <c r="CP90" s="102"/>
      <c r="CQ90" s="102"/>
      <c r="CR90" s="102"/>
      <c r="CS90" s="102"/>
      <c r="CT90" s="102"/>
      <c r="CU90" s="102"/>
      <c r="CV90" s="102"/>
      <c r="CW90" s="102"/>
      <c r="CX90" s="102"/>
      <c r="CY90" s="102"/>
      <c r="CZ90" s="102"/>
      <c r="DA90" s="102"/>
      <c r="DB90" s="102"/>
      <c r="DC90" s="102"/>
      <c r="DD90" s="102"/>
      <c r="DE90" s="102"/>
      <c r="DF90" s="102"/>
      <c r="DG90" s="102"/>
      <c r="DH90" s="102"/>
      <c r="DI90" s="102"/>
      <c r="DJ90" s="102"/>
      <c r="DK90" s="102"/>
      <c r="DL90" s="102"/>
      <c r="DM90" s="102"/>
      <c r="DN90" s="102"/>
      <c r="DO90" s="102"/>
      <c r="DP90" s="102"/>
      <c r="DQ90" s="102"/>
      <c r="DR90" s="102"/>
      <c r="DS90" s="102"/>
      <c r="DT90" s="102"/>
      <c r="DU90" s="102"/>
      <c r="DV90" s="102"/>
      <c r="DW90" s="102"/>
      <c r="DX90" s="102"/>
      <c r="DY90" s="102"/>
      <c r="DZ90" s="102"/>
      <c r="EA90" s="102"/>
      <c r="EB90" s="102"/>
      <c r="EC90" s="102"/>
      <c r="ED90" s="102"/>
      <c r="EE90" s="102"/>
      <c r="EF90" s="102"/>
      <c r="EG90" s="102"/>
      <c r="EH90" s="102"/>
      <c r="EI90" s="102"/>
      <c r="EJ90" s="102"/>
      <c r="EK90" s="102"/>
      <c r="EL90" s="102"/>
      <c r="EM90" s="102"/>
      <c r="EN90" s="102"/>
      <c r="EO90" s="102"/>
      <c r="EP90" s="102"/>
      <c r="EQ90" s="102"/>
      <c r="ER90" s="102"/>
      <c r="ES90" s="102"/>
      <c r="ET90" s="102"/>
      <c r="EU90" s="102"/>
      <c r="EV90" s="102"/>
      <c r="EW90" s="102"/>
      <c r="EX90" s="102"/>
      <c r="EY90" s="102"/>
      <c r="EZ90" s="102"/>
      <c r="FA90" s="102"/>
      <c r="FB90" s="102"/>
      <c r="FC90" s="102"/>
      <c r="FD90" s="102"/>
      <c r="FE90" s="102"/>
      <c r="FF90" s="102"/>
      <c r="FG90" s="102"/>
      <c r="FH90" s="102"/>
      <c r="FI90" s="102"/>
      <c r="FJ90" s="102"/>
      <c r="FK90" s="102"/>
      <c r="FL90" s="102"/>
      <c r="FM90" s="102"/>
      <c r="FN90" s="102"/>
      <c r="FO90" s="102"/>
      <c r="FP90" s="102"/>
      <c r="FQ90" s="102"/>
      <c r="FR90" s="102"/>
      <c r="FS90" s="102"/>
      <c r="FT90" s="102"/>
      <c r="FU90" s="102"/>
      <c r="FV90" s="102"/>
      <c r="FW90" s="102"/>
      <c r="FX90" s="102"/>
      <c r="FY90" s="102"/>
      <c r="FZ90" s="102"/>
      <c r="GA90" s="102"/>
      <c r="GB90" s="102"/>
      <c r="GC90" s="102"/>
      <c r="GD90" s="102"/>
      <c r="GE90" s="102"/>
      <c r="GF90" s="102"/>
      <c r="GG90" s="102"/>
      <c r="GH90" s="102"/>
      <c r="GI90" s="102"/>
      <c r="GJ90" s="102"/>
      <c r="GK90" s="102"/>
      <c r="GL90" s="102"/>
      <c r="GM90" s="102"/>
      <c r="GN90" s="102"/>
      <c r="GO90" s="102"/>
      <c r="GP90" s="102"/>
      <c r="GQ90" s="102"/>
      <c r="GR90" s="102"/>
      <c r="GS90" s="102"/>
      <c r="GT90" s="102"/>
      <c r="GU90" s="102"/>
      <c r="GV90" s="102"/>
      <c r="GW90" s="102"/>
      <c r="GX90" s="102"/>
      <c r="GY90" s="102"/>
      <c r="GZ90" s="102"/>
      <c r="HA90" s="102"/>
      <c r="HB90" s="102"/>
      <c r="HC90" s="102"/>
      <c r="HD90" s="102"/>
      <c r="HE90" s="102"/>
      <c r="HF90" s="102"/>
      <c r="HG90" s="102"/>
      <c r="HH90" s="102"/>
      <c r="HI90" s="102"/>
      <c r="HJ90" s="102"/>
      <c r="HK90" s="102"/>
      <c r="HL90" s="102"/>
      <c r="HM90" s="102"/>
      <c r="HN90" s="102"/>
      <c r="HO90" s="102"/>
      <c r="HP90" s="102"/>
      <c r="HQ90" s="102"/>
      <c r="HR90" s="102"/>
      <c r="HS90" s="102"/>
      <c r="HT90" s="102"/>
      <c r="HU90" s="102"/>
      <c r="HV90" s="102"/>
      <c r="HW90" s="102"/>
      <c r="HX90" s="102"/>
      <c r="HY90" s="102"/>
      <c r="HZ90" s="102"/>
      <c r="IA90" s="102"/>
      <c r="IB90" s="102"/>
      <c r="IC90" s="102"/>
      <c r="ID90" s="102"/>
      <c r="IE90" s="102"/>
      <c r="IF90" s="102"/>
      <c r="IG90" s="102"/>
      <c r="IH90" s="102"/>
      <c r="II90" s="102"/>
      <c r="IJ90" s="102"/>
      <c r="IK90" s="102"/>
      <c r="IL90" s="102"/>
      <c r="IM90" s="102"/>
      <c r="IN90" s="102"/>
      <c r="IO90" s="102"/>
      <c r="IP90" s="102"/>
      <c r="IQ90" s="102"/>
      <c r="IR90" s="102"/>
      <c r="IS90" s="102"/>
      <c r="IT90" s="102"/>
      <c r="IU90" s="102"/>
      <c r="IV90" s="102"/>
      <c r="IW90" s="102"/>
    </row>
  </sheetData>
  <printOptions headings="true" gridLines="false" gridLinesSet="true" horizontalCentered="false" verticalCentered="false"/>
  <pageMargins left="0.3" right="0.229861111111111" top="0.370138888888889" bottom="0.409722222222222" header="0.511811023622047" footer="0.209722222222222"/>
  <pageSetup paperSize="1" scale="40" fitToWidth="1" fitToHeight="1" pageOrder="downThenOver" orientation="landscape" blackAndWhite="false" draft="false" cellComments="none" horizontalDpi="300" verticalDpi="300" copies="1"/>
  <headerFooter differentFirst="false" differentOddEven="false">
    <oddHeader/>
    <oddFooter>&amp;R&amp;F</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6"/>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W56"/>
    </sheetView>
  </sheetViews>
  <sheetFormatPr defaultColWidth="8.70703125" defaultRowHeight="12.75" customHeight="true" zeroHeight="false" outlineLevelRow="0" outlineLevelCol="0"/>
  <cols>
    <col collapsed="false" customWidth="false" hidden="false" outlineLevel="0" max="1" min="1" style="148" width="8.7"/>
    <col collapsed="false" customWidth="true" hidden="false" outlineLevel="0" max="2" min="2" style="0" width="32.14"/>
    <col collapsed="false" customWidth="true" hidden="false" outlineLevel="0" max="3" min="3" style="0" width="9.85"/>
    <col collapsed="false" customWidth="true" hidden="false" outlineLevel="0" max="4" min="4" style="0" width="16.42"/>
    <col collapsed="false" customWidth="true" hidden="false" outlineLevel="0" max="5" min="5" style="0" width="12.14"/>
    <col collapsed="false" customWidth="true" hidden="false" outlineLevel="0" max="7" min="6" style="0" width="11.13"/>
    <col collapsed="false" customWidth="true" hidden="false" outlineLevel="0" max="8" min="8" style="0" width="9.41"/>
    <col collapsed="false" customWidth="true" hidden="false" outlineLevel="0" max="9" min="9" style="0" width="9.28"/>
    <col collapsed="false" customWidth="true" hidden="false" outlineLevel="0" max="10" min="10" style="0" width="9.41"/>
    <col collapsed="false" customWidth="true" hidden="false" outlineLevel="0" max="11" min="11" style="0" width="9.28"/>
    <col collapsed="false" customWidth="true" hidden="false" outlineLevel="0" max="12" min="12" style="0" width="8.85"/>
    <col collapsed="false" customWidth="true" hidden="false" outlineLevel="0" max="13" min="13" style="0" width="9.7"/>
    <col collapsed="false" customWidth="true" hidden="false" outlineLevel="0" max="14" min="14" style="0" width="9.85"/>
    <col collapsed="false" customWidth="true" hidden="false" outlineLevel="0" max="15" min="15" style="0" width="9.28"/>
    <col collapsed="false" customWidth="true" hidden="false" outlineLevel="0" max="16" min="16" style="0" width="8.85"/>
    <col collapsed="false" customWidth="true" hidden="false" outlineLevel="0" max="17" min="17" style="0" width="9.28"/>
    <col collapsed="false" customWidth="true" hidden="false" outlineLevel="0" max="27" min="27" style="0" width="9.28"/>
  </cols>
  <sheetData>
    <row r="1" customFormat="false" ht="15.75" hidden="false" customHeight="false" outlineLevel="0" collapsed="false">
      <c r="B1" s="2" t="str">
        <f aca="false">ExecSum!$E$4</f>
        <v>SMUD - Solano 34.50MW Project</v>
      </c>
      <c r="C1" s="941"/>
      <c r="D1" s="4" t="n">
        <v>1</v>
      </c>
      <c r="E1" s="5" t="n">
        <v>2</v>
      </c>
      <c r="F1" s="5" t="n">
        <v>3</v>
      </c>
      <c r="G1" s="5" t="n">
        <v>4</v>
      </c>
      <c r="H1" s="5" t="n">
        <v>5</v>
      </c>
      <c r="I1" s="5" t="n">
        <v>6</v>
      </c>
      <c r="J1" s="5" t="n">
        <v>7</v>
      </c>
      <c r="K1" s="5" t="n">
        <v>8</v>
      </c>
      <c r="L1" s="5" t="n">
        <v>9</v>
      </c>
      <c r="M1" s="5" t="n">
        <v>10</v>
      </c>
      <c r="N1" s="5" t="n">
        <v>11</v>
      </c>
      <c r="O1" s="5" t="n">
        <v>12</v>
      </c>
      <c r="P1" s="5" t="n">
        <v>13</v>
      </c>
      <c r="Q1" s="5" t="n">
        <v>14</v>
      </c>
      <c r="R1" s="5" t="n">
        <v>15</v>
      </c>
      <c r="S1" s="5" t="n">
        <v>16</v>
      </c>
      <c r="T1" s="5" t="n">
        <v>17</v>
      </c>
      <c r="U1" s="5" t="n">
        <v>18</v>
      </c>
      <c r="V1" s="5" t="n">
        <v>19</v>
      </c>
      <c r="W1" s="5" t="n">
        <v>20</v>
      </c>
      <c r="X1" s="5" t="n">
        <v>21</v>
      </c>
      <c r="Y1" s="5" t="n">
        <v>22</v>
      </c>
      <c r="Z1" s="5" t="n">
        <v>23</v>
      </c>
      <c r="AA1" s="5" t="n">
        <v>24</v>
      </c>
      <c r="AB1" s="5" t="n">
        <v>25</v>
      </c>
      <c r="AC1" s="5" t="n">
        <v>26</v>
      </c>
      <c r="AD1" s="5" t="n">
        <v>27</v>
      </c>
      <c r="AE1" s="5" t="n">
        <v>28</v>
      </c>
      <c r="AF1" s="5" t="n">
        <v>29</v>
      </c>
      <c r="AG1" s="5" t="n">
        <v>30</v>
      </c>
      <c r="AH1" s="6" t="n">
        <v>31</v>
      </c>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row>
    <row r="2" customFormat="false" ht="15.75" hidden="false" customHeight="false" outlineLevel="0" collapsed="false">
      <c r="B2" s="1072" t="s">
        <v>685</v>
      </c>
      <c r="C2" s="15"/>
      <c r="D2" s="7" t="n">
        <f aca="false">Assum!$H$25</f>
        <v>2002</v>
      </c>
      <c r="E2" s="8" t="n">
        <f aca="false">D2+1</f>
        <v>2003</v>
      </c>
      <c r="F2" s="8" t="n">
        <f aca="false">E2+1</f>
        <v>2004</v>
      </c>
      <c r="G2" s="8" t="n">
        <f aca="false">F2+1</f>
        <v>2005</v>
      </c>
      <c r="H2" s="8" t="n">
        <f aca="false">G2+1</f>
        <v>2006</v>
      </c>
      <c r="I2" s="8" t="n">
        <f aca="false">H2+1</f>
        <v>2007</v>
      </c>
      <c r="J2" s="8" t="n">
        <f aca="false">I2+1</f>
        <v>2008</v>
      </c>
      <c r="K2" s="8" t="n">
        <f aca="false">J2+1</f>
        <v>2009</v>
      </c>
      <c r="L2" s="8" t="n">
        <f aca="false">K2+1</f>
        <v>2010</v>
      </c>
      <c r="M2" s="8" t="n">
        <f aca="false">L2+1</f>
        <v>2011</v>
      </c>
      <c r="N2" s="8" t="n">
        <f aca="false">M2+1</f>
        <v>2012</v>
      </c>
      <c r="O2" s="8" t="n">
        <f aca="false">N2+1</f>
        <v>2013</v>
      </c>
      <c r="P2" s="8" t="n">
        <f aca="false">O2+1</f>
        <v>2014</v>
      </c>
      <c r="Q2" s="8" t="n">
        <f aca="false">P2+1</f>
        <v>2015</v>
      </c>
      <c r="R2" s="8" t="n">
        <f aca="false">Q2+1</f>
        <v>2016</v>
      </c>
      <c r="S2" s="8" t="n">
        <f aca="false">R2+1</f>
        <v>2017</v>
      </c>
      <c r="T2" s="8" t="n">
        <f aca="false">S2+1</f>
        <v>2018</v>
      </c>
      <c r="U2" s="8" t="n">
        <f aca="false">T2+1</f>
        <v>2019</v>
      </c>
      <c r="V2" s="8" t="n">
        <f aca="false">U2+1</f>
        <v>2020</v>
      </c>
      <c r="W2" s="8" t="n">
        <f aca="false">V2+1</f>
        <v>2021</v>
      </c>
      <c r="X2" s="8" t="n">
        <f aca="false">W2+1</f>
        <v>2022</v>
      </c>
      <c r="Y2" s="8" t="n">
        <f aca="false">X2+1</f>
        <v>2023</v>
      </c>
      <c r="Z2" s="8" t="n">
        <f aca="false">Y2+1</f>
        <v>2024</v>
      </c>
      <c r="AA2" s="8" t="n">
        <f aca="false">Z2+1</f>
        <v>2025</v>
      </c>
      <c r="AB2" s="8" t="n">
        <f aca="false">AA2+1</f>
        <v>2026</v>
      </c>
      <c r="AC2" s="8" t="n">
        <f aca="false">AB2+1</f>
        <v>2027</v>
      </c>
      <c r="AD2" s="8" t="n">
        <f aca="false">AC2+1</f>
        <v>2028</v>
      </c>
      <c r="AE2" s="8" t="n">
        <f aca="false">AD2+1</f>
        <v>2029</v>
      </c>
      <c r="AF2" s="8" t="n">
        <f aca="false">AE2+1</f>
        <v>2030</v>
      </c>
      <c r="AG2" s="8" t="n">
        <f aca="false">AF2+1</f>
        <v>2031</v>
      </c>
      <c r="AH2" s="9" t="n">
        <f aca="false">AG2+1</f>
        <v>2032</v>
      </c>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5"/>
    </row>
    <row r="4" customFormat="false" ht="12.75" hidden="false" customHeight="false" outlineLevel="0" collapsed="false">
      <c r="A4" s="736"/>
      <c r="B4" s="100"/>
      <c r="C4" s="1073"/>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59"/>
      <c r="AJ4" s="100"/>
      <c r="AK4" s="100"/>
      <c r="AL4" s="100"/>
      <c r="AM4" s="100"/>
      <c r="AN4" s="100"/>
      <c r="AO4" s="100"/>
      <c r="AP4" s="100"/>
      <c r="AQ4" s="100"/>
      <c r="AR4" s="100"/>
      <c r="AS4" s="100"/>
      <c r="AT4" s="100"/>
      <c r="AU4" s="100"/>
      <c r="AV4" s="100"/>
      <c r="AW4" s="100"/>
      <c r="AX4" s="100"/>
      <c r="AY4" s="100"/>
      <c r="AZ4" s="100"/>
      <c r="BA4" s="100"/>
      <c r="BB4" s="100"/>
      <c r="BC4" s="100"/>
      <c r="BD4" s="100"/>
      <c r="BE4" s="100"/>
      <c r="BF4" s="100"/>
      <c r="BG4" s="100"/>
      <c r="BH4" s="100"/>
      <c r="BI4" s="100"/>
      <c r="BJ4" s="100"/>
      <c r="BK4" s="100"/>
      <c r="BL4" s="100"/>
      <c r="BM4" s="100"/>
      <c r="BN4" s="100"/>
      <c r="BO4" s="100"/>
      <c r="BP4" s="100"/>
      <c r="BQ4" s="100"/>
      <c r="BR4" s="100"/>
      <c r="BS4" s="100"/>
      <c r="BT4" s="100"/>
      <c r="BU4" s="100"/>
      <c r="BV4" s="100"/>
      <c r="BW4" s="100"/>
      <c r="BX4" s="100"/>
      <c r="BY4" s="100"/>
      <c r="BZ4" s="100"/>
      <c r="CA4" s="100"/>
      <c r="CB4" s="100"/>
      <c r="CC4" s="100"/>
      <c r="CD4" s="100"/>
      <c r="CE4" s="100"/>
      <c r="CF4" s="100"/>
      <c r="CG4" s="100"/>
      <c r="CH4" s="100"/>
      <c r="CI4" s="100"/>
      <c r="CJ4" s="100"/>
      <c r="CK4" s="100"/>
      <c r="CL4" s="100"/>
      <c r="CM4" s="100"/>
      <c r="CN4" s="100"/>
      <c r="CO4" s="100"/>
      <c r="CP4" s="100"/>
      <c r="CQ4" s="100"/>
      <c r="CR4" s="100"/>
      <c r="CS4" s="100"/>
      <c r="CT4" s="100"/>
      <c r="CU4" s="100"/>
      <c r="CV4" s="100"/>
      <c r="CW4" s="100"/>
      <c r="CX4" s="100"/>
      <c r="CY4" s="100"/>
      <c r="CZ4" s="100"/>
      <c r="DA4" s="100"/>
      <c r="DB4" s="100"/>
      <c r="DC4" s="100"/>
      <c r="DD4" s="100"/>
      <c r="DE4" s="100"/>
      <c r="DF4" s="100"/>
      <c r="DG4" s="100"/>
      <c r="DH4" s="100"/>
      <c r="DI4" s="100"/>
      <c r="DJ4" s="100"/>
      <c r="DK4" s="100"/>
      <c r="DL4" s="100"/>
      <c r="DM4" s="100"/>
      <c r="DN4" s="100"/>
      <c r="DO4" s="100"/>
      <c r="DP4" s="100"/>
      <c r="DQ4" s="100"/>
      <c r="DR4" s="100"/>
      <c r="DS4" s="100"/>
      <c r="DT4" s="100"/>
      <c r="DU4" s="100"/>
      <c r="DV4" s="100"/>
      <c r="DW4" s="100"/>
      <c r="DX4" s="100"/>
      <c r="DY4" s="100"/>
      <c r="DZ4" s="100"/>
      <c r="EA4" s="100"/>
      <c r="EB4" s="100"/>
      <c r="EC4" s="100"/>
      <c r="ED4" s="100"/>
      <c r="EE4" s="100"/>
      <c r="EF4" s="100"/>
      <c r="EG4" s="100"/>
      <c r="EH4" s="100"/>
      <c r="EI4" s="100"/>
      <c r="EJ4" s="100"/>
      <c r="EK4" s="100"/>
      <c r="EL4" s="100"/>
      <c r="EM4" s="100"/>
      <c r="EN4" s="100"/>
      <c r="EO4" s="100"/>
      <c r="EP4" s="100"/>
      <c r="EQ4" s="100"/>
      <c r="ER4" s="100"/>
      <c r="ES4" s="100"/>
      <c r="ET4" s="100"/>
      <c r="EU4" s="100"/>
      <c r="EV4" s="100"/>
      <c r="EW4" s="100"/>
      <c r="EX4" s="100"/>
      <c r="EY4" s="100"/>
      <c r="EZ4" s="100"/>
      <c r="FA4" s="100"/>
      <c r="FB4" s="100"/>
      <c r="FC4" s="100"/>
      <c r="FD4" s="100"/>
      <c r="FE4" s="100"/>
      <c r="FF4" s="100"/>
      <c r="FG4" s="100"/>
      <c r="FH4" s="100"/>
      <c r="FI4" s="100"/>
      <c r="FJ4" s="100"/>
      <c r="FK4" s="100"/>
      <c r="FL4" s="100"/>
      <c r="FM4" s="100"/>
      <c r="FN4" s="100"/>
      <c r="FO4" s="100"/>
      <c r="FP4" s="100"/>
      <c r="FQ4" s="100"/>
      <c r="FR4" s="100"/>
      <c r="FS4" s="100"/>
      <c r="FT4" s="100"/>
      <c r="FU4" s="100"/>
      <c r="FV4" s="100"/>
      <c r="FW4" s="100"/>
      <c r="FX4" s="100"/>
      <c r="FY4" s="100"/>
      <c r="FZ4" s="100"/>
      <c r="GA4" s="100"/>
      <c r="GB4" s="100"/>
      <c r="GC4" s="100"/>
      <c r="GD4" s="100"/>
      <c r="GE4" s="100"/>
      <c r="GF4" s="100"/>
      <c r="GG4" s="100"/>
      <c r="GH4" s="100"/>
      <c r="GI4" s="100"/>
      <c r="GJ4" s="100"/>
      <c r="GK4" s="100"/>
      <c r="GL4" s="100"/>
      <c r="GM4" s="100"/>
      <c r="GN4" s="100"/>
      <c r="GO4" s="100"/>
      <c r="GP4" s="100"/>
      <c r="GQ4" s="100"/>
      <c r="GR4" s="100"/>
      <c r="GS4" s="100"/>
      <c r="GT4" s="100"/>
      <c r="GU4" s="100"/>
      <c r="GV4" s="100"/>
      <c r="GW4" s="100"/>
      <c r="GX4" s="100"/>
      <c r="GY4" s="100"/>
      <c r="GZ4" s="100"/>
      <c r="HA4" s="100"/>
      <c r="HB4" s="100"/>
      <c r="HC4" s="100"/>
      <c r="HD4" s="100"/>
      <c r="HE4" s="100"/>
      <c r="HF4" s="100"/>
      <c r="HG4" s="100"/>
      <c r="HH4" s="100"/>
      <c r="HI4" s="100"/>
      <c r="HJ4" s="100"/>
      <c r="HK4" s="100"/>
      <c r="HL4" s="100"/>
      <c r="HM4" s="100"/>
      <c r="HN4" s="100"/>
      <c r="HO4" s="100"/>
      <c r="HP4" s="100"/>
      <c r="HQ4" s="100"/>
      <c r="HR4" s="100"/>
      <c r="HS4" s="100"/>
      <c r="HT4" s="100"/>
      <c r="HU4" s="100"/>
      <c r="HV4" s="100"/>
      <c r="HW4" s="100"/>
      <c r="HX4" s="100"/>
      <c r="HY4" s="100"/>
      <c r="HZ4" s="100"/>
      <c r="IA4" s="100"/>
      <c r="IB4" s="100"/>
      <c r="IC4" s="100"/>
      <c r="ID4" s="100"/>
      <c r="IE4" s="100"/>
      <c r="IF4" s="100"/>
      <c r="IG4" s="100"/>
      <c r="IH4" s="100"/>
      <c r="II4" s="100"/>
      <c r="IJ4" s="100"/>
      <c r="IK4" s="100"/>
      <c r="IL4" s="100"/>
      <c r="IM4" s="100"/>
      <c r="IN4" s="100"/>
      <c r="IO4" s="100"/>
      <c r="IP4" s="100"/>
      <c r="IQ4" s="100"/>
      <c r="IR4" s="100"/>
      <c r="IS4" s="100"/>
      <c r="IT4" s="100"/>
      <c r="IU4" s="100"/>
      <c r="IV4" s="100"/>
      <c r="IW4" s="100"/>
    </row>
    <row r="5" customFormat="false" ht="12.75" hidden="false" customHeight="false" outlineLevel="0" collapsed="false">
      <c r="B5" s="428" t="s">
        <v>494</v>
      </c>
      <c r="C5" s="1073"/>
      <c r="D5" s="100"/>
      <c r="E5" s="100"/>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59"/>
      <c r="AJ5" s="100"/>
      <c r="AK5" s="100"/>
      <c r="AL5" s="100"/>
      <c r="AM5" s="100"/>
      <c r="AN5" s="100"/>
      <c r="AO5" s="100"/>
      <c r="AP5" s="100"/>
      <c r="AQ5" s="100"/>
      <c r="AR5" s="100"/>
      <c r="AS5" s="100"/>
      <c r="AT5" s="100"/>
      <c r="AU5" s="100"/>
      <c r="AV5" s="100"/>
      <c r="AW5" s="100"/>
      <c r="AX5" s="100"/>
      <c r="AY5" s="100"/>
      <c r="AZ5" s="100"/>
      <c r="BA5" s="100"/>
      <c r="BB5" s="100"/>
      <c r="BC5" s="100"/>
      <c r="BD5" s="100"/>
      <c r="BE5" s="100"/>
      <c r="BF5" s="100"/>
      <c r="BG5" s="100"/>
      <c r="BH5" s="100"/>
      <c r="BI5" s="100"/>
      <c r="BJ5" s="100"/>
      <c r="BK5" s="100"/>
      <c r="BL5" s="100"/>
      <c r="BM5" s="100"/>
      <c r="BN5" s="100"/>
      <c r="BO5" s="100"/>
      <c r="BP5" s="100"/>
      <c r="BQ5" s="100"/>
      <c r="BR5" s="100"/>
      <c r="BS5" s="100"/>
      <c r="BT5" s="100"/>
      <c r="BU5" s="100"/>
      <c r="BV5" s="100"/>
      <c r="BW5" s="100"/>
      <c r="BX5" s="100"/>
      <c r="BY5" s="100"/>
      <c r="BZ5" s="100"/>
      <c r="CA5" s="100"/>
      <c r="CB5" s="100"/>
      <c r="CC5" s="100"/>
      <c r="CD5" s="100"/>
      <c r="CE5" s="100"/>
      <c r="CF5" s="100"/>
      <c r="CG5" s="100"/>
      <c r="CH5" s="100"/>
      <c r="CI5" s="100"/>
      <c r="CJ5" s="100"/>
      <c r="CK5" s="100"/>
      <c r="CL5" s="100"/>
      <c r="CM5" s="100"/>
      <c r="CN5" s="100"/>
      <c r="CO5" s="100"/>
      <c r="CP5" s="100"/>
      <c r="CQ5" s="100"/>
      <c r="CR5" s="100"/>
      <c r="CS5" s="100"/>
      <c r="CT5" s="100"/>
      <c r="CU5" s="100"/>
      <c r="CV5" s="100"/>
      <c r="CW5" s="100"/>
      <c r="CX5" s="100"/>
      <c r="CY5" s="100"/>
      <c r="CZ5" s="100"/>
      <c r="DA5" s="100"/>
      <c r="DB5" s="100"/>
      <c r="DC5" s="100"/>
      <c r="DD5" s="100"/>
      <c r="DE5" s="100"/>
      <c r="DF5" s="100"/>
      <c r="DG5" s="100"/>
      <c r="DH5" s="100"/>
      <c r="DI5" s="100"/>
      <c r="DJ5" s="100"/>
      <c r="DK5" s="100"/>
      <c r="DL5" s="100"/>
      <c r="DM5" s="100"/>
      <c r="DN5" s="100"/>
      <c r="DO5" s="100"/>
      <c r="DP5" s="100"/>
      <c r="DQ5" s="100"/>
      <c r="DR5" s="100"/>
      <c r="DS5" s="100"/>
      <c r="DT5" s="100"/>
      <c r="DU5" s="100"/>
      <c r="DV5" s="100"/>
      <c r="DW5" s="100"/>
      <c r="DX5" s="100"/>
      <c r="DY5" s="100"/>
      <c r="DZ5" s="100"/>
      <c r="EA5" s="100"/>
      <c r="EB5" s="100"/>
      <c r="EC5" s="100"/>
      <c r="ED5" s="100"/>
      <c r="EE5" s="100"/>
      <c r="EF5" s="100"/>
      <c r="EG5" s="100"/>
      <c r="EH5" s="100"/>
      <c r="EI5" s="100"/>
      <c r="EJ5" s="100"/>
      <c r="EK5" s="100"/>
      <c r="EL5" s="100"/>
      <c r="EM5" s="100"/>
      <c r="EN5" s="100"/>
      <c r="EO5" s="100"/>
      <c r="EP5" s="100"/>
      <c r="EQ5" s="100"/>
      <c r="ER5" s="100"/>
      <c r="ES5" s="100"/>
      <c r="ET5" s="100"/>
      <c r="EU5" s="100"/>
      <c r="EV5" s="100"/>
      <c r="EW5" s="100"/>
      <c r="EX5" s="100"/>
      <c r="EY5" s="100"/>
      <c r="EZ5" s="100"/>
      <c r="FA5" s="100"/>
      <c r="FB5" s="100"/>
      <c r="FC5" s="100"/>
      <c r="FD5" s="100"/>
      <c r="FE5" s="100"/>
      <c r="FF5" s="100"/>
      <c r="FG5" s="100"/>
      <c r="FH5" s="100"/>
      <c r="FI5" s="100"/>
      <c r="FJ5" s="100"/>
      <c r="FK5" s="100"/>
      <c r="FL5" s="100"/>
      <c r="FM5" s="100"/>
      <c r="FN5" s="100"/>
      <c r="FO5" s="100"/>
      <c r="FP5" s="100"/>
      <c r="FQ5" s="100"/>
      <c r="FR5" s="100"/>
      <c r="FS5" s="100"/>
      <c r="FT5" s="100"/>
      <c r="FU5" s="100"/>
      <c r="FV5" s="100"/>
      <c r="FW5" s="100"/>
      <c r="FX5" s="100"/>
      <c r="FY5" s="100"/>
      <c r="FZ5" s="100"/>
      <c r="GA5" s="100"/>
      <c r="GB5" s="100"/>
      <c r="GC5" s="100"/>
      <c r="GD5" s="100"/>
      <c r="GE5" s="100"/>
      <c r="GF5" s="100"/>
      <c r="GG5" s="100"/>
      <c r="GH5" s="100"/>
      <c r="GI5" s="100"/>
      <c r="GJ5" s="100"/>
      <c r="GK5" s="100"/>
      <c r="GL5" s="100"/>
      <c r="GM5" s="100"/>
      <c r="GN5" s="100"/>
      <c r="GO5" s="100"/>
      <c r="GP5" s="100"/>
      <c r="GQ5" s="100"/>
      <c r="GR5" s="100"/>
      <c r="GS5" s="100"/>
      <c r="GT5" s="100"/>
      <c r="GU5" s="100"/>
      <c r="GV5" s="100"/>
      <c r="GW5" s="100"/>
      <c r="GX5" s="100"/>
      <c r="GY5" s="100"/>
      <c r="GZ5" s="100"/>
      <c r="HA5" s="100"/>
      <c r="HB5" s="100"/>
      <c r="HC5" s="100"/>
      <c r="HD5" s="100"/>
      <c r="HE5" s="100"/>
      <c r="HF5" s="100"/>
      <c r="HG5" s="100"/>
      <c r="HH5" s="100"/>
      <c r="HI5" s="100"/>
      <c r="HJ5" s="100"/>
      <c r="HK5" s="100"/>
      <c r="HL5" s="100"/>
      <c r="HM5" s="100"/>
      <c r="HN5" s="100"/>
      <c r="HO5" s="100"/>
      <c r="HP5" s="100"/>
      <c r="HQ5" s="100"/>
      <c r="HR5" s="100"/>
      <c r="HS5" s="100"/>
      <c r="HT5" s="100"/>
      <c r="HU5" s="100"/>
      <c r="HV5" s="100"/>
      <c r="HW5" s="100"/>
      <c r="HX5" s="100"/>
      <c r="HY5" s="100"/>
      <c r="HZ5" s="100"/>
      <c r="IA5" s="100"/>
      <c r="IB5" s="100"/>
      <c r="IC5" s="100"/>
      <c r="ID5" s="100"/>
      <c r="IE5" s="100"/>
      <c r="IF5" s="100"/>
      <c r="IG5" s="100"/>
      <c r="IH5" s="100"/>
      <c r="II5" s="100"/>
      <c r="IJ5" s="100"/>
      <c r="IK5" s="100"/>
      <c r="IL5" s="100"/>
      <c r="IM5" s="100"/>
      <c r="IN5" s="100"/>
      <c r="IO5" s="100"/>
      <c r="IP5" s="100"/>
      <c r="IQ5" s="100"/>
      <c r="IR5" s="100"/>
      <c r="IS5" s="100"/>
      <c r="IT5" s="100"/>
      <c r="IU5" s="100"/>
      <c r="IV5" s="100"/>
      <c r="IW5" s="100"/>
    </row>
    <row r="6" customFormat="false" ht="12.75" hidden="false" customHeight="false" outlineLevel="0" collapsed="false">
      <c r="B6" s="4" t="s">
        <v>686</v>
      </c>
      <c r="C6" s="5"/>
      <c r="D6" s="1074" t="n">
        <f aca="false">Assum!E337</f>
        <v>0.99</v>
      </c>
      <c r="E6" s="1074" t="n">
        <f aca="false">Assum!F337</f>
        <v>0.99</v>
      </c>
      <c r="F6" s="1074" t="n">
        <f aca="false">Assum!G337</f>
        <v>0.99</v>
      </c>
      <c r="G6" s="1074" t="n">
        <f aca="false">Assum!H337</f>
        <v>0.99</v>
      </c>
      <c r="H6" s="1074" t="n">
        <f aca="false">Assum!I337</f>
        <v>0.99</v>
      </c>
      <c r="I6" s="1074" t="n">
        <f aca="false">Assum!J337</f>
        <v>0.99</v>
      </c>
      <c r="J6" s="1074" t="n">
        <f aca="false">Assum!K337</f>
        <v>0.99</v>
      </c>
      <c r="K6" s="1074" t="n">
        <f aca="false">Assum!L337</f>
        <v>0.99</v>
      </c>
      <c r="L6" s="1074" t="n">
        <f aca="false">Assum!M337</f>
        <v>0.99</v>
      </c>
      <c r="M6" s="1074" t="n">
        <f aca="false">Assum!N337</f>
        <v>0.99</v>
      </c>
      <c r="N6" s="1074" t="n">
        <f aca="false">Assum!O337</f>
        <v>0.99</v>
      </c>
      <c r="O6" s="1074" t="n">
        <f aca="false">Assum!P337</f>
        <v>0.99</v>
      </c>
      <c r="P6" s="1074" t="n">
        <f aca="false">Assum!Q337</f>
        <v>0.99</v>
      </c>
      <c r="Q6" s="1074" t="n">
        <f aca="false">Assum!R337</f>
        <v>0.99</v>
      </c>
      <c r="R6" s="1074" t="n">
        <f aca="false">Assum!S337</f>
        <v>0.99</v>
      </c>
      <c r="S6" s="1074" t="n">
        <f aca="false">Assum!T337</f>
        <v>0.99</v>
      </c>
      <c r="T6" s="1074" t="n">
        <f aca="false">Assum!U337</f>
        <v>0.99</v>
      </c>
      <c r="U6" s="1074" t="n">
        <f aca="false">Assum!V337</f>
        <v>0.99</v>
      </c>
      <c r="V6" s="1074" t="n">
        <f aca="false">Assum!W337</f>
        <v>0.99</v>
      </c>
      <c r="W6" s="1074" t="n">
        <f aca="false">Assum!X337</f>
        <v>0.99</v>
      </c>
      <c r="X6" s="1074" t="n">
        <f aca="false">Assum!Y337</f>
        <v>0.99</v>
      </c>
      <c r="Y6" s="1074" t="n">
        <f aca="false">Assum!Z337</f>
        <v>0.99</v>
      </c>
      <c r="Z6" s="1074" t="n">
        <f aca="false">Assum!AA337</f>
        <v>0.99</v>
      </c>
      <c r="AA6" s="1074" t="n">
        <f aca="false">Assum!AB337</f>
        <v>0.99</v>
      </c>
      <c r="AB6" s="1074" t="n">
        <f aca="false">Assum!AC337</f>
        <v>0.99</v>
      </c>
      <c r="AC6" s="1074" t="n">
        <f aca="false">Assum!AD337</f>
        <v>0.99</v>
      </c>
      <c r="AD6" s="1074" t="n">
        <f aca="false">Assum!AE337</f>
        <v>0.99</v>
      </c>
      <c r="AE6" s="1074" t="n">
        <f aca="false">Assum!AF337</f>
        <v>0.99</v>
      </c>
      <c r="AF6" s="1074" t="n">
        <f aca="false">Assum!AG337</f>
        <v>0.99</v>
      </c>
      <c r="AG6" s="1074" t="n">
        <f aca="false">Assum!AH337</f>
        <v>0.99</v>
      </c>
      <c r="AH6" s="1075" t="n">
        <f aca="false">Assum!AI337</f>
        <v>0</v>
      </c>
      <c r="AI6" s="59"/>
      <c r="AJ6" s="100"/>
      <c r="AK6" s="100"/>
      <c r="AL6" s="100"/>
      <c r="AM6" s="100"/>
      <c r="AN6" s="100"/>
      <c r="AO6" s="100"/>
      <c r="AP6" s="100"/>
      <c r="AQ6" s="100"/>
      <c r="AR6" s="100"/>
      <c r="AS6" s="100"/>
      <c r="AT6" s="100"/>
      <c r="AU6" s="100"/>
      <c r="AV6" s="100"/>
      <c r="AW6" s="100"/>
      <c r="AX6" s="100"/>
      <c r="AY6" s="100"/>
      <c r="AZ6" s="100"/>
      <c r="BA6" s="100"/>
      <c r="BB6" s="100"/>
      <c r="BC6" s="100"/>
      <c r="BD6" s="100"/>
      <c r="BE6" s="100"/>
      <c r="BF6" s="100"/>
      <c r="BG6" s="100"/>
      <c r="BH6" s="100"/>
      <c r="BI6" s="100"/>
      <c r="BJ6" s="100"/>
      <c r="BK6" s="100"/>
      <c r="BL6" s="100"/>
      <c r="BM6" s="100"/>
      <c r="BN6" s="100"/>
      <c r="BO6" s="100"/>
      <c r="BP6" s="100"/>
      <c r="BQ6" s="100"/>
      <c r="BR6" s="100"/>
      <c r="BS6" s="100"/>
      <c r="BT6" s="100"/>
      <c r="BU6" s="100"/>
      <c r="BV6" s="100"/>
      <c r="BW6" s="100"/>
      <c r="BX6" s="100"/>
      <c r="BY6" s="100"/>
      <c r="BZ6" s="100"/>
      <c r="CA6" s="100"/>
      <c r="CB6" s="100"/>
      <c r="CC6" s="100"/>
      <c r="CD6" s="100"/>
      <c r="CE6" s="100"/>
      <c r="CF6" s="100"/>
      <c r="CG6" s="100"/>
      <c r="CH6" s="100"/>
      <c r="CI6" s="100"/>
      <c r="CJ6" s="100"/>
      <c r="CK6" s="100"/>
      <c r="CL6" s="100"/>
      <c r="CM6" s="100"/>
      <c r="CN6" s="100"/>
      <c r="CO6" s="100"/>
      <c r="CP6" s="100"/>
      <c r="CQ6" s="100"/>
      <c r="CR6" s="100"/>
      <c r="CS6" s="100"/>
      <c r="CT6" s="100"/>
      <c r="CU6" s="100"/>
      <c r="CV6" s="100"/>
      <c r="CW6" s="100"/>
      <c r="CX6" s="100"/>
      <c r="CY6" s="100"/>
      <c r="CZ6" s="100"/>
      <c r="DA6" s="100"/>
      <c r="DB6" s="100"/>
      <c r="DC6" s="100"/>
      <c r="DD6" s="100"/>
      <c r="DE6" s="100"/>
      <c r="DF6" s="100"/>
      <c r="DG6" s="100"/>
      <c r="DH6" s="100"/>
      <c r="DI6" s="100"/>
      <c r="DJ6" s="100"/>
      <c r="DK6" s="100"/>
      <c r="DL6" s="100"/>
      <c r="DM6" s="100"/>
      <c r="DN6" s="100"/>
      <c r="DO6" s="100"/>
      <c r="DP6" s="100"/>
      <c r="DQ6" s="100"/>
      <c r="DR6" s="100"/>
      <c r="DS6" s="100"/>
      <c r="DT6" s="100"/>
      <c r="DU6" s="100"/>
      <c r="DV6" s="100"/>
      <c r="DW6" s="100"/>
      <c r="DX6" s="100"/>
      <c r="DY6" s="100"/>
      <c r="DZ6" s="100"/>
      <c r="EA6" s="100"/>
      <c r="EB6" s="100"/>
      <c r="EC6" s="100"/>
      <c r="ED6" s="100"/>
      <c r="EE6" s="100"/>
      <c r="EF6" s="100"/>
      <c r="EG6" s="100"/>
      <c r="EH6" s="100"/>
      <c r="EI6" s="100"/>
      <c r="EJ6" s="100"/>
      <c r="EK6" s="100"/>
      <c r="EL6" s="100"/>
      <c r="EM6" s="100"/>
      <c r="EN6" s="100"/>
      <c r="EO6" s="100"/>
      <c r="EP6" s="100"/>
      <c r="EQ6" s="100"/>
      <c r="ER6" s="100"/>
      <c r="ES6" s="100"/>
      <c r="ET6" s="100"/>
      <c r="EU6" s="100"/>
      <c r="EV6" s="100"/>
      <c r="EW6" s="100"/>
      <c r="EX6" s="100"/>
      <c r="EY6" s="100"/>
      <c r="EZ6" s="100"/>
      <c r="FA6" s="100"/>
      <c r="FB6" s="100"/>
      <c r="FC6" s="100"/>
      <c r="FD6" s="100"/>
      <c r="FE6" s="100"/>
      <c r="FF6" s="100"/>
      <c r="FG6" s="100"/>
      <c r="FH6" s="100"/>
      <c r="FI6" s="100"/>
      <c r="FJ6" s="100"/>
      <c r="FK6" s="100"/>
      <c r="FL6" s="100"/>
      <c r="FM6" s="100"/>
      <c r="FN6" s="100"/>
      <c r="FO6" s="100"/>
      <c r="FP6" s="100"/>
      <c r="FQ6" s="100"/>
      <c r="FR6" s="100"/>
      <c r="FS6" s="100"/>
      <c r="FT6" s="100"/>
      <c r="FU6" s="100"/>
      <c r="FV6" s="100"/>
      <c r="FW6" s="100"/>
      <c r="FX6" s="100"/>
      <c r="FY6" s="100"/>
      <c r="FZ6" s="100"/>
      <c r="GA6" s="100"/>
      <c r="GB6" s="100"/>
      <c r="GC6" s="100"/>
      <c r="GD6" s="100"/>
      <c r="GE6" s="100"/>
      <c r="GF6" s="100"/>
      <c r="GG6" s="100"/>
      <c r="GH6" s="100"/>
      <c r="GI6" s="100"/>
      <c r="GJ6" s="100"/>
      <c r="GK6" s="100"/>
      <c r="GL6" s="100"/>
      <c r="GM6" s="100"/>
      <c r="GN6" s="100"/>
      <c r="GO6" s="100"/>
      <c r="GP6" s="100"/>
      <c r="GQ6" s="100"/>
      <c r="GR6" s="100"/>
      <c r="GS6" s="100"/>
      <c r="GT6" s="100"/>
      <c r="GU6" s="100"/>
      <c r="GV6" s="100"/>
      <c r="GW6" s="100"/>
      <c r="GX6" s="100"/>
      <c r="GY6" s="100"/>
      <c r="GZ6" s="100"/>
      <c r="HA6" s="100"/>
      <c r="HB6" s="100"/>
      <c r="HC6" s="100"/>
      <c r="HD6" s="100"/>
      <c r="HE6" s="100"/>
      <c r="HF6" s="100"/>
      <c r="HG6" s="100"/>
      <c r="HH6" s="100"/>
      <c r="HI6" s="100"/>
      <c r="HJ6" s="100"/>
      <c r="HK6" s="100"/>
      <c r="HL6" s="100"/>
      <c r="HM6" s="100"/>
      <c r="HN6" s="100"/>
      <c r="HO6" s="100"/>
      <c r="HP6" s="100"/>
      <c r="HQ6" s="100"/>
      <c r="HR6" s="100"/>
      <c r="HS6" s="100"/>
      <c r="HT6" s="100"/>
      <c r="HU6" s="100"/>
      <c r="HV6" s="100"/>
      <c r="HW6" s="100"/>
      <c r="HX6" s="100"/>
      <c r="HY6" s="100"/>
      <c r="HZ6" s="100"/>
      <c r="IA6" s="100"/>
      <c r="IB6" s="100"/>
      <c r="IC6" s="100"/>
      <c r="ID6" s="100"/>
      <c r="IE6" s="100"/>
      <c r="IF6" s="100"/>
      <c r="IG6" s="100"/>
      <c r="IH6" s="100"/>
      <c r="II6" s="100"/>
      <c r="IJ6" s="100"/>
      <c r="IK6" s="100"/>
      <c r="IL6" s="100"/>
      <c r="IM6" s="100"/>
      <c r="IN6" s="100"/>
      <c r="IO6" s="100"/>
      <c r="IP6" s="100"/>
      <c r="IQ6" s="100"/>
      <c r="IR6" s="100"/>
      <c r="IS6" s="100"/>
      <c r="IT6" s="100"/>
      <c r="IU6" s="100"/>
      <c r="IV6" s="100"/>
      <c r="IW6" s="100"/>
    </row>
    <row r="7" customFormat="false" ht="12.75" hidden="false" customHeight="false" outlineLevel="0" collapsed="false">
      <c r="B7" s="1076" t="s">
        <v>687</v>
      </c>
      <c r="C7" s="1037"/>
      <c r="D7" s="1077" t="n">
        <f aca="false">Assum!E341</f>
        <v>0.99</v>
      </c>
      <c r="E7" s="1077" t="n">
        <f aca="false">Assum!F341</f>
        <v>0.99</v>
      </c>
      <c r="F7" s="1077" t="n">
        <f aca="false">Assum!G341</f>
        <v>0.99</v>
      </c>
      <c r="G7" s="1077" t="n">
        <f aca="false">Assum!H341</f>
        <v>0.99</v>
      </c>
      <c r="H7" s="1077" t="n">
        <f aca="false">Assum!I341</f>
        <v>0.99</v>
      </c>
      <c r="I7" s="1077" t="n">
        <f aca="false">Assum!J341</f>
        <v>0.99</v>
      </c>
      <c r="J7" s="1077" t="n">
        <f aca="false">Assum!K341</f>
        <v>0.99</v>
      </c>
      <c r="K7" s="1077" t="n">
        <f aca="false">Assum!L341</f>
        <v>0.99</v>
      </c>
      <c r="L7" s="1077" t="n">
        <f aca="false">Assum!M341</f>
        <v>0.99</v>
      </c>
      <c r="M7" s="1077" t="n">
        <f aca="false">Assum!N341</f>
        <v>0.99</v>
      </c>
      <c r="N7" s="1077" t="n">
        <f aca="false">Assum!O341</f>
        <v>0.99</v>
      </c>
      <c r="O7" s="1077" t="n">
        <f aca="false">Assum!P341</f>
        <v>0.99</v>
      </c>
      <c r="P7" s="1077" t="n">
        <f aca="false">Assum!Q341</f>
        <v>0.99</v>
      </c>
      <c r="Q7" s="1077" t="n">
        <f aca="false">Assum!R341</f>
        <v>0.99</v>
      </c>
      <c r="R7" s="1077" t="n">
        <f aca="false">Assum!S341</f>
        <v>0.99</v>
      </c>
      <c r="S7" s="1077" t="n">
        <f aca="false">Assum!T341</f>
        <v>0.99</v>
      </c>
      <c r="T7" s="1077" t="n">
        <f aca="false">Assum!U341</f>
        <v>0.99</v>
      </c>
      <c r="U7" s="1077" t="n">
        <f aca="false">Assum!V341</f>
        <v>0.99</v>
      </c>
      <c r="V7" s="1077" t="n">
        <f aca="false">Assum!W341</f>
        <v>0.99</v>
      </c>
      <c r="W7" s="1077" t="n">
        <f aca="false">Assum!X341</f>
        <v>0.99</v>
      </c>
      <c r="X7" s="1077" t="n">
        <f aca="false">Assum!Y341</f>
        <v>0.99</v>
      </c>
      <c r="Y7" s="1077" t="n">
        <f aca="false">Assum!Z341</f>
        <v>0.99</v>
      </c>
      <c r="Z7" s="1077" t="n">
        <f aca="false">Assum!AA341</f>
        <v>0.99</v>
      </c>
      <c r="AA7" s="1077" t="n">
        <f aca="false">Assum!AB341</f>
        <v>0.99</v>
      </c>
      <c r="AB7" s="1077" t="n">
        <f aca="false">Assum!AC341</f>
        <v>0.99</v>
      </c>
      <c r="AC7" s="1077" t="n">
        <f aca="false">Assum!AD341</f>
        <v>0.99</v>
      </c>
      <c r="AD7" s="1077" t="n">
        <f aca="false">Assum!AE341</f>
        <v>0.99</v>
      </c>
      <c r="AE7" s="1077" t="n">
        <f aca="false">Assum!AF341</f>
        <v>0.99</v>
      </c>
      <c r="AF7" s="1077" t="n">
        <f aca="false">Assum!AG341</f>
        <v>0.99</v>
      </c>
      <c r="AG7" s="1077" t="n">
        <f aca="false">Assum!AH341</f>
        <v>0.99</v>
      </c>
      <c r="AH7" s="1078" t="n">
        <f aca="false">Assum!AI341</f>
        <v>0</v>
      </c>
      <c r="AI7" s="59"/>
      <c r="AJ7" s="100"/>
      <c r="AK7" s="100"/>
      <c r="AL7" s="100"/>
      <c r="AM7" s="100"/>
      <c r="AN7" s="100"/>
      <c r="AO7" s="100"/>
      <c r="AP7" s="100"/>
      <c r="AQ7" s="100"/>
      <c r="AR7" s="100"/>
      <c r="AS7" s="100"/>
      <c r="AT7" s="100"/>
      <c r="AU7" s="100"/>
      <c r="AV7" s="100"/>
      <c r="AW7" s="100"/>
      <c r="AX7" s="100"/>
      <c r="AY7" s="100"/>
      <c r="AZ7" s="100"/>
      <c r="BA7" s="100"/>
      <c r="BB7" s="100"/>
      <c r="BC7" s="100"/>
      <c r="BD7" s="100"/>
      <c r="BE7" s="100"/>
      <c r="BF7" s="100"/>
      <c r="BG7" s="100"/>
      <c r="BH7" s="100"/>
      <c r="BI7" s="100"/>
      <c r="BJ7" s="100"/>
      <c r="BK7" s="100"/>
      <c r="BL7" s="100"/>
      <c r="BM7" s="100"/>
      <c r="BN7" s="100"/>
      <c r="BO7" s="100"/>
      <c r="BP7" s="100"/>
      <c r="BQ7" s="100"/>
      <c r="BR7" s="100"/>
      <c r="BS7" s="100"/>
      <c r="BT7" s="100"/>
      <c r="BU7" s="100"/>
      <c r="BV7" s="100"/>
      <c r="BW7" s="100"/>
      <c r="BX7" s="100"/>
      <c r="BY7" s="100"/>
      <c r="BZ7" s="100"/>
      <c r="CA7" s="100"/>
      <c r="CB7" s="100"/>
      <c r="CC7" s="100"/>
      <c r="CD7" s="100"/>
      <c r="CE7" s="100"/>
      <c r="CF7" s="100"/>
      <c r="CG7" s="100"/>
      <c r="CH7" s="100"/>
      <c r="CI7" s="100"/>
      <c r="CJ7" s="100"/>
      <c r="CK7" s="100"/>
      <c r="CL7" s="100"/>
      <c r="CM7" s="100"/>
      <c r="CN7" s="100"/>
      <c r="CO7" s="100"/>
      <c r="CP7" s="100"/>
      <c r="CQ7" s="100"/>
      <c r="CR7" s="100"/>
      <c r="CS7" s="100"/>
      <c r="CT7" s="100"/>
      <c r="CU7" s="100"/>
      <c r="CV7" s="100"/>
      <c r="CW7" s="100"/>
      <c r="CX7" s="100"/>
      <c r="CY7" s="100"/>
      <c r="CZ7" s="100"/>
      <c r="DA7" s="100"/>
      <c r="DB7" s="100"/>
      <c r="DC7" s="100"/>
      <c r="DD7" s="100"/>
      <c r="DE7" s="100"/>
      <c r="DF7" s="100"/>
      <c r="DG7" s="100"/>
      <c r="DH7" s="100"/>
      <c r="DI7" s="100"/>
      <c r="DJ7" s="100"/>
      <c r="DK7" s="100"/>
      <c r="DL7" s="100"/>
      <c r="DM7" s="100"/>
      <c r="DN7" s="100"/>
      <c r="DO7" s="100"/>
      <c r="DP7" s="100"/>
      <c r="DQ7" s="100"/>
      <c r="DR7" s="100"/>
      <c r="DS7" s="100"/>
      <c r="DT7" s="100"/>
      <c r="DU7" s="100"/>
      <c r="DV7" s="100"/>
      <c r="DW7" s="100"/>
      <c r="DX7" s="100"/>
      <c r="DY7" s="100"/>
      <c r="DZ7" s="100"/>
      <c r="EA7" s="100"/>
      <c r="EB7" s="100"/>
      <c r="EC7" s="100"/>
      <c r="ED7" s="100"/>
      <c r="EE7" s="100"/>
      <c r="EF7" s="100"/>
      <c r="EG7" s="100"/>
      <c r="EH7" s="100"/>
      <c r="EI7" s="100"/>
      <c r="EJ7" s="100"/>
      <c r="EK7" s="100"/>
      <c r="EL7" s="100"/>
      <c r="EM7" s="100"/>
      <c r="EN7" s="100"/>
      <c r="EO7" s="100"/>
      <c r="EP7" s="100"/>
      <c r="EQ7" s="100"/>
      <c r="ER7" s="100"/>
      <c r="ES7" s="100"/>
      <c r="ET7" s="100"/>
      <c r="EU7" s="100"/>
      <c r="EV7" s="100"/>
      <c r="EW7" s="100"/>
      <c r="EX7" s="100"/>
      <c r="EY7" s="100"/>
      <c r="EZ7" s="100"/>
      <c r="FA7" s="100"/>
      <c r="FB7" s="100"/>
      <c r="FC7" s="100"/>
      <c r="FD7" s="100"/>
      <c r="FE7" s="100"/>
      <c r="FF7" s="100"/>
      <c r="FG7" s="100"/>
      <c r="FH7" s="100"/>
      <c r="FI7" s="100"/>
      <c r="FJ7" s="100"/>
      <c r="FK7" s="100"/>
      <c r="FL7" s="100"/>
      <c r="FM7" s="100"/>
      <c r="FN7" s="100"/>
      <c r="FO7" s="100"/>
      <c r="FP7" s="100"/>
      <c r="FQ7" s="100"/>
      <c r="FR7" s="100"/>
      <c r="FS7" s="100"/>
      <c r="FT7" s="100"/>
      <c r="FU7" s="100"/>
      <c r="FV7" s="100"/>
      <c r="FW7" s="100"/>
      <c r="FX7" s="100"/>
      <c r="FY7" s="100"/>
      <c r="FZ7" s="100"/>
      <c r="GA7" s="100"/>
      <c r="GB7" s="100"/>
      <c r="GC7" s="100"/>
      <c r="GD7" s="100"/>
      <c r="GE7" s="100"/>
      <c r="GF7" s="100"/>
      <c r="GG7" s="100"/>
      <c r="GH7" s="100"/>
      <c r="GI7" s="100"/>
      <c r="GJ7" s="100"/>
      <c r="GK7" s="100"/>
      <c r="GL7" s="100"/>
      <c r="GM7" s="100"/>
      <c r="GN7" s="100"/>
      <c r="GO7" s="100"/>
      <c r="GP7" s="100"/>
      <c r="GQ7" s="100"/>
      <c r="GR7" s="100"/>
      <c r="GS7" s="100"/>
      <c r="GT7" s="100"/>
      <c r="GU7" s="100"/>
      <c r="GV7" s="100"/>
      <c r="GW7" s="100"/>
      <c r="GX7" s="100"/>
      <c r="GY7" s="100"/>
      <c r="GZ7" s="100"/>
      <c r="HA7" s="100"/>
      <c r="HB7" s="100"/>
      <c r="HC7" s="100"/>
      <c r="HD7" s="100"/>
      <c r="HE7" s="100"/>
      <c r="HF7" s="100"/>
      <c r="HG7" s="100"/>
      <c r="HH7" s="100"/>
      <c r="HI7" s="100"/>
      <c r="HJ7" s="100"/>
      <c r="HK7" s="100"/>
      <c r="HL7" s="100"/>
      <c r="HM7" s="100"/>
      <c r="HN7" s="100"/>
      <c r="HO7" s="100"/>
      <c r="HP7" s="100"/>
      <c r="HQ7" s="100"/>
      <c r="HR7" s="100"/>
      <c r="HS7" s="100"/>
      <c r="HT7" s="100"/>
      <c r="HU7" s="100"/>
      <c r="HV7" s="100"/>
      <c r="HW7" s="100"/>
      <c r="HX7" s="100"/>
      <c r="HY7" s="100"/>
      <c r="HZ7" s="100"/>
      <c r="IA7" s="100"/>
      <c r="IB7" s="100"/>
      <c r="IC7" s="100"/>
      <c r="ID7" s="100"/>
      <c r="IE7" s="100"/>
      <c r="IF7" s="100"/>
      <c r="IG7" s="100"/>
      <c r="IH7" s="100"/>
      <c r="II7" s="100"/>
      <c r="IJ7" s="100"/>
      <c r="IK7" s="100"/>
      <c r="IL7" s="100"/>
      <c r="IM7" s="100"/>
      <c r="IN7" s="100"/>
      <c r="IO7" s="100"/>
      <c r="IP7" s="100"/>
      <c r="IQ7" s="100"/>
      <c r="IR7" s="100"/>
      <c r="IS7" s="100"/>
      <c r="IT7" s="100"/>
      <c r="IU7" s="100"/>
      <c r="IV7" s="100"/>
      <c r="IW7" s="100"/>
    </row>
    <row r="8" customFormat="false" ht="12.75" hidden="false" customHeight="false" outlineLevel="0" collapsed="false">
      <c r="B8" s="1079"/>
      <c r="C8" s="1080"/>
      <c r="D8" s="1080"/>
      <c r="E8" s="1081"/>
      <c r="F8" s="1080"/>
      <c r="G8" s="1080"/>
      <c r="H8" s="1080"/>
      <c r="I8" s="1080"/>
      <c r="J8" s="1080"/>
      <c r="K8" s="1080"/>
      <c r="L8" s="1080"/>
      <c r="M8" s="1080"/>
      <c r="N8" s="1080"/>
      <c r="O8" s="1080"/>
      <c r="P8" s="1080"/>
      <c r="Q8" s="1080"/>
      <c r="R8" s="1080"/>
      <c r="S8" s="1080"/>
      <c r="T8" s="1080"/>
      <c r="U8" s="1080"/>
      <c r="V8" s="1080"/>
      <c r="W8" s="1080"/>
      <c r="X8" s="1080"/>
      <c r="Y8" s="1080"/>
      <c r="Z8" s="1080"/>
      <c r="AA8" s="1080"/>
      <c r="AB8" s="1080"/>
      <c r="AC8" s="1080"/>
      <c r="AD8" s="1080"/>
      <c r="AE8" s="1080"/>
      <c r="AF8" s="1080"/>
      <c r="AG8" s="1080"/>
      <c r="AH8" s="1082"/>
      <c r="AI8" s="59"/>
      <c r="AJ8" s="100"/>
      <c r="AK8" s="100"/>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0"/>
      <c r="BJ8" s="100"/>
      <c r="BK8" s="100"/>
      <c r="BL8" s="100"/>
      <c r="BM8" s="100"/>
      <c r="BN8" s="100"/>
      <c r="BO8" s="100"/>
      <c r="BP8" s="100"/>
      <c r="BQ8" s="100"/>
      <c r="BR8" s="100"/>
      <c r="BS8" s="100"/>
      <c r="BT8" s="100"/>
      <c r="BU8" s="100"/>
      <c r="BV8" s="100"/>
      <c r="BW8" s="100"/>
      <c r="BX8" s="100"/>
      <c r="BY8" s="100"/>
      <c r="BZ8" s="100"/>
      <c r="CA8" s="100"/>
      <c r="CB8" s="100"/>
      <c r="CC8" s="100"/>
      <c r="CD8" s="100"/>
      <c r="CE8" s="100"/>
      <c r="CF8" s="100"/>
      <c r="CG8" s="100"/>
      <c r="CH8" s="100"/>
      <c r="CI8" s="100"/>
      <c r="CJ8" s="100"/>
      <c r="CK8" s="100"/>
      <c r="CL8" s="100"/>
      <c r="CM8" s="100"/>
      <c r="CN8" s="100"/>
      <c r="CO8" s="100"/>
      <c r="CP8" s="100"/>
      <c r="CQ8" s="100"/>
      <c r="CR8" s="100"/>
      <c r="CS8" s="100"/>
      <c r="CT8" s="100"/>
      <c r="CU8" s="100"/>
      <c r="CV8" s="100"/>
      <c r="CW8" s="100"/>
      <c r="CX8" s="100"/>
      <c r="CY8" s="100"/>
      <c r="CZ8" s="100"/>
      <c r="DA8" s="100"/>
      <c r="DB8" s="100"/>
      <c r="DC8" s="100"/>
      <c r="DD8" s="100"/>
      <c r="DE8" s="100"/>
      <c r="DF8" s="100"/>
      <c r="DG8" s="100"/>
      <c r="DH8" s="100"/>
      <c r="DI8" s="100"/>
      <c r="DJ8" s="100"/>
      <c r="DK8" s="100"/>
      <c r="DL8" s="100"/>
      <c r="DM8" s="100"/>
      <c r="DN8" s="100"/>
      <c r="DO8" s="100"/>
      <c r="DP8" s="100"/>
      <c r="DQ8" s="100"/>
      <c r="DR8" s="100"/>
      <c r="DS8" s="100"/>
      <c r="DT8" s="100"/>
      <c r="DU8" s="100"/>
      <c r="DV8" s="100"/>
      <c r="DW8" s="100"/>
      <c r="DX8" s="100"/>
      <c r="DY8" s="100"/>
      <c r="DZ8" s="100"/>
      <c r="EA8" s="100"/>
      <c r="EB8" s="100"/>
      <c r="EC8" s="100"/>
      <c r="ED8" s="100"/>
      <c r="EE8" s="100"/>
      <c r="EF8" s="100"/>
      <c r="EG8" s="100"/>
      <c r="EH8" s="100"/>
      <c r="EI8" s="100"/>
      <c r="EJ8" s="100"/>
      <c r="EK8" s="100"/>
      <c r="EL8" s="100"/>
      <c r="EM8" s="100"/>
      <c r="EN8" s="100"/>
      <c r="EO8" s="100"/>
      <c r="EP8" s="100"/>
      <c r="EQ8" s="100"/>
      <c r="ER8" s="100"/>
      <c r="ES8" s="100"/>
      <c r="ET8" s="100"/>
      <c r="EU8" s="100"/>
      <c r="EV8" s="100"/>
      <c r="EW8" s="100"/>
      <c r="EX8" s="100"/>
      <c r="EY8" s="100"/>
      <c r="EZ8" s="100"/>
      <c r="FA8" s="100"/>
      <c r="FB8" s="100"/>
      <c r="FC8" s="100"/>
      <c r="FD8" s="100"/>
      <c r="FE8" s="100"/>
      <c r="FF8" s="100"/>
      <c r="FG8" s="100"/>
      <c r="FH8" s="100"/>
      <c r="FI8" s="100"/>
      <c r="FJ8" s="100"/>
      <c r="FK8" s="100"/>
      <c r="FL8" s="100"/>
      <c r="FM8" s="100"/>
      <c r="FN8" s="100"/>
      <c r="FO8" s="100"/>
      <c r="FP8" s="100"/>
      <c r="FQ8" s="100"/>
      <c r="FR8" s="100"/>
      <c r="FS8" s="100"/>
      <c r="FT8" s="100"/>
      <c r="FU8" s="100"/>
      <c r="FV8" s="100"/>
      <c r="FW8" s="100"/>
      <c r="FX8" s="100"/>
      <c r="FY8" s="100"/>
      <c r="FZ8" s="100"/>
      <c r="GA8" s="100"/>
      <c r="GB8" s="100"/>
      <c r="GC8" s="100"/>
      <c r="GD8" s="100"/>
      <c r="GE8" s="100"/>
      <c r="GF8" s="100"/>
      <c r="GG8" s="100"/>
      <c r="GH8" s="100"/>
      <c r="GI8" s="100"/>
      <c r="GJ8" s="100"/>
      <c r="GK8" s="100"/>
      <c r="GL8" s="100"/>
      <c r="GM8" s="100"/>
      <c r="GN8" s="100"/>
      <c r="GO8" s="100"/>
      <c r="GP8" s="100"/>
      <c r="GQ8" s="100"/>
      <c r="GR8" s="100"/>
      <c r="GS8" s="100"/>
      <c r="GT8" s="100"/>
      <c r="GU8" s="100"/>
      <c r="GV8" s="100"/>
      <c r="GW8" s="100"/>
      <c r="GX8" s="100"/>
      <c r="GY8" s="100"/>
      <c r="GZ8" s="100"/>
      <c r="HA8" s="100"/>
      <c r="HB8" s="100"/>
      <c r="HC8" s="100"/>
      <c r="HD8" s="100"/>
      <c r="HE8" s="100"/>
      <c r="HF8" s="100"/>
      <c r="HG8" s="100"/>
      <c r="HH8" s="100"/>
      <c r="HI8" s="100"/>
      <c r="HJ8" s="100"/>
      <c r="HK8" s="100"/>
      <c r="HL8" s="100"/>
      <c r="HM8" s="100"/>
      <c r="HN8" s="100"/>
      <c r="HO8" s="100"/>
      <c r="HP8" s="100"/>
      <c r="HQ8" s="100"/>
      <c r="HR8" s="100"/>
      <c r="HS8" s="100"/>
      <c r="HT8" s="100"/>
      <c r="HU8" s="100"/>
      <c r="HV8" s="100"/>
      <c r="HW8" s="100"/>
      <c r="HX8" s="100"/>
      <c r="HY8" s="100"/>
      <c r="HZ8" s="100"/>
      <c r="IA8" s="100"/>
      <c r="IB8" s="100"/>
      <c r="IC8" s="100"/>
      <c r="ID8" s="100"/>
      <c r="IE8" s="100"/>
      <c r="IF8" s="100"/>
      <c r="IG8" s="100"/>
      <c r="IH8" s="100"/>
      <c r="II8" s="100"/>
      <c r="IJ8" s="100"/>
      <c r="IK8" s="100"/>
      <c r="IL8" s="100"/>
      <c r="IM8" s="100"/>
      <c r="IN8" s="100"/>
      <c r="IO8" s="100"/>
      <c r="IP8" s="100"/>
      <c r="IQ8" s="100"/>
      <c r="IR8" s="100"/>
      <c r="IS8" s="100"/>
      <c r="IT8" s="100"/>
      <c r="IU8" s="100"/>
      <c r="IV8" s="100"/>
      <c r="IW8" s="100"/>
    </row>
    <row r="9" customFormat="false" ht="12.75" hidden="false" customHeight="false" outlineLevel="0" collapsed="false">
      <c r="B9" s="1083" t="s">
        <v>688</v>
      </c>
      <c r="C9" s="1084"/>
      <c r="D9" s="1085" t="n">
        <v>0</v>
      </c>
      <c r="E9" s="1085" t="n">
        <f aca="false">D25</f>
        <v>19138.4958056936</v>
      </c>
      <c r="F9" s="1085" t="n">
        <f aca="false">E25</f>
        <v>7684.67146465663</v>
      </c>
      <c r="G9" s="1085" t="n">
        <f aca="false">F25</f>
        <v>943.850679156177</v>
      </c>
      <c r="H9" s="1085" t="n">
        <f aca="false">G25</f>
        <v>-2946.44150640354</v>
      </c>
      <c r="I9" s="1085" t="n">
        <f aca="false">H25</f>
        <v>-6793.99807587891</v>
      </c>
      <c r="J9" s="1085" t="n">
        <f aca="false">I25</f>
        <v>-8488.59543653227</v>
      </c>
      <c r="K9" s="1085" t="n">
        <f aca="false">J25</f>
        <v>-8035.31862473577</v>
      </c>
      <c r="L9" s="1085" t="n">
        <f aca="false">K25</f>
        <v>-7530.73926083877</v>
      </c>
      <c r="M9" s="1085" t="n">
        <f aca="false">L25</f>
        <v>-6972.98118001168</v>
      </c>
      <c r="N9" s="1085" t="n">
        <f aca="false">M25</f>
        <v>-6357.13000768543</v>
      </c>
      <c r="O9" s="1085" t="n">
        <f aca="false">N25</f>
        <v>-5647.34552390642</v>
      </c>
      <c r="P9" s="1085" t="n">
        <f aca="false">O25</f>
        <v>-4863.06293501351</v>
      </c>
      <c r="Q9" s="1085" t="n">
        <f aca="false">P25</f>
        <v>-3999.85549886571</v>
      </c>
      <c r="R9" s="1085" t="n">
        <f aca="false">Q25</f>
        <v>-3050.72674632573</v>
      </c>
      <c r="S9" s="1085" t="n">
        <f aca="false">R25</f>
        <v>-2009.17008422558</v>
      </c>
      <c r="T9" s="1085" t="n">
        <f aca="false">S25</f>
        <v>-864.770300977524</v>
      </c>
      <c r="U9" s="1085" t="n">
        <f aca="false">T25</f>
        <v>310.996342587108</v>
      </c>
      <c r="V9" s="1085" t="n">
        <f aca="false">U25</f>
        <v>272.505895058076</v>
      </c>
      <c r="W9" s="1085" t="n">
        <f aca="false">V25</f>
        <v>234.015447529044</v>
      </c>
      <c r="X9" s="1085" t="n">
        <f aca="false">W25</f>
        <v>1.18234311230481E-011</v>
      </c>
      <c r="Y9" s="1085" t="n">
        <f aca="false">X25</f>
        <v>1.18234311230481E-011</v>
      </c>
      <c r="Z9" s="1085" t="n">
        <f aca="false">Y25</f>
        <v>1.18234311230481E-011</v>
      </c>
      <c r="AA9" s="1085" t="n">
        <f aca="false">Z25</f>
        <v>1.18234311230481E-011</v>
      </c>
      <c r="AB9" s="1085" t="n">
        <f aca="false">AA25</f>
        <v>1.18234311230481E-011</v>
      </c>
      <c r="AC9" s="1085" t="n">
        <f aca="false">AB25</f>
        <v>1.18234311230481E-011</v>
      </c>
      <c r="AD9" s="1085" t="n">
        <f aca="false">AC25</f>
        <v>1.18234311230481E-011</v>
      </c>
      <c r="AE9" s="1085" t="n">
        <f aca="false">AD25</f>
        <v>1.18234311230481E-011</v>
      </c>
      <c r="AF9" s="1085" t="n">
        <f aca="false">AE25</f>
        <v>1.18234311230481E-011</v>
      </c>
      <c r="AG9" s="1085" t="n">
        <f aca="false">AF25</f>
        <v>1.18234311230481E-011</v>
      </c>
      <c r="AH9" s="1086" t="n">
        <f aca="false">AG25</f>
        <v>1.18234311230481E-011</v>
      </c>
      <c r="AI9" s="366"/>
      <c r="AJ9" s="313"/>
      <c r="AK9" s="313"/>
      <c r="AL9" s="313"/>
      <c r="AM9" s="313"/>
      <c r="AN9" s="313"/>
      <c r="AO9" s="313"/>
      <c r="AP9" s="313"/>
      <c r="AQ9" s="313"/>
      <c r="AR9" s="313"/>
      <c r="AS9" s="313"/>
      <c r="AT9" s="313"/>
      <c r="AU9" s="313"/>
      <c r="AV9" s="313"/>
      <c r="AW9" s="313"/>
      <c r="AX9" s="313"/>
      <c r="AY9" s="313"/>
      <c r="AZ9" s="313"/>
      <c r="BA9" s="313"/>
      <c r="BB9" s="313"/>
      <c r="BC9" s="313"/>
      <c r="BD9" s="313"/>
      <c r="BE9" s="313"/>
      <c r="BF9" s="313"/>
      <c r="BG9" s="313"/>
      <c r="BH9" s="313"/>
      <c r="BI9" s="313"/>
      <c r="BJ9" s="313"/>
      <c r="BK9" s="313"/>
      <c r="BL9" s="313"/>
      <c r="BM9" s="313"/>
      <c r="BN9" s="313"/>
      <c r="BO9" s="313"/>
      <c r="BP9" s="313"/>
      <c r="BQ9" s="313"/>
      <c r="BR9" s="313"/>
      <c r="BS9" s="313"/>
      <c r="BT9" s="313"/>
      <c r="BU9" s="313"/>
      <c r="BV9" s="313"/>
      <c r="BW9" s="313"/>
      <c r="BX9" s="313"/>
      <c r="BY9" s="313"/>
      <c r="BZ9" s="313"/>
      <c r="CA9" s="313"/>
      <c r="CB9" s="313"/>
      <c r="CC9" s="313"/>
      <c r="CD9" s="313"/>
      <c r="CE9" s="313"/>
      <c r="CF9" s="313"/>
      <c r="CG9" s="313"/>
      <c r="CH9" s="313"/>
      <c r="CI9" s="313"/>
      <c r="CJ9" s="313"/>
      <c r="CK9" s="313"/>
      <c r="CL9" s="313"/>
      <c r="CM9" s="313"/>
      <c r="CN9" s="313"/>
      <c r="CO9" s="313"/>
      <c r="CP9" s="313"/>
      <c r="CQ9" s="313"/>
      <c r="CR9" s="313"/>
      <c r="CS9" s="313"/>
      <c r="CT9" s="313"/>
      <c r="CU9" s="313"/>
      <c r="CV9" s="313"/>
      <c r="CW9" s="313"/>
      <c r="CX9" s="313"/>
      <c r="CY9" s="313"/>
      <c r="CZ9" s="313"/>
      <c r="DA9" s="313"/>
      <c r="DB9" s="313"/>
      <c r="DC9" s="313"/>
      <c r="DD9" s="313"/>
      <c r="DE9" s="313"/>
      <c r="DF9" s="313"/>
      <c r="DG9" s="313"/>
      <c r="DH9" s="313"/>
      <c r="DI9" s="313"/>
      <c r="DJ9" s="313"/>
      <c r="DK9" s="313"/>
      <c r="DL9" s="313"/>
      <c r="DM9" s="313"/>
      <c r="DN9" s="313"/>
      <c r="DO9" s="313"/>
      <c r="DP9" s="313"/>
      <c r="DQ9" s="313"/>
      <c r="DR9" s="313"/>
      <c r="DS9" s="313"/>
      <c r="DT9" s="313"/>
      <c r="DU9" s="313"/>
      <c r="DV9" s="313"/>
      <c r="DW9" s="313"/>
      <c r="DX9" s="313"/>
      <c r="DY9" s="313"/>
      <c r="DZ9" s="313"/>
      <c r="EA9" s="313"/>
      <c r="EB9" s="313"/>
      <c r="EC9" s="313"/>
      <c r="ED9" s="313"/>
      <c r="EE9" s="313"/>
      <c r="EF9" s="313"/>
      <c r="EG9" s="313"/>
      <c r="EH9" s="313"/>
      <c r="EI9" s="313"/>
      <c r="EJ9" s="313"/>
      <c r="EK9" s="313"/>
      <c r="EL9" s="313"/>
      <c r="EM9" s="313"/>
      <c r="EN9" s="313"/>
      <c r="EO9" s="313"/>
      <c r="EP9" s="313"/>
      <c r="EQ9" s="313"/>
      <c r="ER9" s="313"/>
      <c r="ES9" s="313"/>
      <c r="ET9" s="313"/>
      <c r="EU9" s="313"/>
      <c r="EV9" s="313"/>
      <c r="EW9" s="313"/>
      <c r="EX9" s="313"/>
      <c r="EY9" s="313"/>
      <c r="EZ9" s="313"/>
      <c r="FA9" s="313"/>
      <c r="FB9" s="313"/>
      <c r="FC9" s="313"/>
      <c r="FD9" s="313"/>
      <c r="FE9" s="313"/>
      <c r="FF9" s="313"/>
      <c r="FG9" s="313"/>
      <c r="FH9" s="313"/>
      <c r="FI9" s="313"/>
      <c r="FJ9" s="313"/>
      <c r="FK9" s="313"/>
      <c r="FL9" s="313"/>
      <c r="FM9" s="313"/>
      <c r="FN9" s="313"/>
      <c r="FO9" s="313"/>
      <c r="FP9" s="313"/>
      <c r="FQ9" s="313"/>
      <c r="FR9" s="313"/>
      <c r="FS9" s="313"/>
      <c r="FT9" s="313"/>
      <c r="FU9" s="313"/>
      <c r="FV9" s="313"/>
      <c r="FW9" s="313"/>
      <c r="FX9" s="313"/>
      <c r="FY9" s="313"/>
      <c r="FZ9" s="313"/>
      <c r="GA9" s="313"/>
      <c r="GB9" s="313"/>
      <c r="GC9" s="313"/>
      <c r="GD9" s="313"/>
      <c r="GE9" s="313"/>
      <c r="GF9" s="313"/>
      <c r="GG9" s="313"/>
      <c r="GH9" s="313"/>
      <c r="GI9" s="313"/>
      <c r="GJ9" s="313"/>
      <c r="GK9" s="313"/>
      <c r="GL9" s="313"/>
      <c r="GM9" s="313"/>
      <c r="GN9" s="313"/>
      <c r="GO9" s="313"/>
      <c r="GP9" s="313"/>
      <c r="GQ9" s="313"/>
      <c r="GR9" s="313"/>
      <c r="GS9" s="313"/>
      <c r="GT9" s="313"/>
      <c r="GU9" s="313"/>
      <c r="GV9" s="313"/>
      <c r="GW9" s="313"/>
      <c r="GX9" s="313"/>
      <c r="GY9" s="313"/>
      <c r="GZ9" s="313"/>
      <c r="HA9" s="313"/>
      <c r="HB9" s="313"/>
      <c r="HC9" s="313"/>
      <c r="HD9" s="313"/>
      <c r="HE9" s="313"/>
      <c r="HF9" s="313"/>
      <c r="HG9" s="313"/>
      <c r="HH9" s="313"/>
      <c r="HI9" s="313"/>
      <c r="HJ9" s="313"/>
      <c r="HK9" s="313"/>
      <c r="HL9" s="313"/>
      <c r="HM9" s="313"/>
      <c r="HN9" s="313"/>
      <c r="HO9" s="313"/>
      <c r="HP9" s="313"/>
      <c r="HQ9" s="313"/>
      <c r="HR9" s="313"/>
      <c r="HS9" s="313"/>
      <c r="HT9" s="313"/>
      <c r="HU9" s="313"/>
      <c r="HV9" s="313"/>
      <c r="HW9" s="313"/>
      <c r="HX9" s="313"/>
      <c r="HY9" s="313"/>
      <c r="HZ9" s="313"/>
      <c r="IA9" s="313"/>
      <c r="IB9" s="313"/>
      <c r="IC9" s="313"/>
      <c r="ID9" s="313"/>
      <c r="IE9" s="313"/>
      <c r="IF9" s="313"/>
      <c r="IG9" s="313"/>
      <c r="IH9" s="313"/>
      <c r="II9" s="313"/>
      <c r="IJ9" s="313"/>
      <c r="IK9" s="313"/>
      <c r="IL9" s="313"/>
      <c r="IM9" s="313"/>
      <c r="IN9" s="313"/>
      <c r="IO9" s="313"/>
      <c r="IP9" s="313"/>
      <c r="IQ9" s="313"/>
      <c r="IR9" s="313"/>
      <c r="IS9" s="313"/>
      <c r="IT9" s="313"/>
      <c r="IU9" s="313"/>
      <c r="IV9" s="313"/>
      <c r="IW9" s="313"/>
    </row>
    <row r="10" customFormat="false" ht="12.75" hidden="false" customHeight="false" outlineLevel="0" collapsed="false">
      <c r="B10" s="1087" t="s">
        <v>689</v>
      </c>
      <c r="C10" s="108"/>
      <c r="D10" s="100" t="n">
        <f aca="false">Srcs_Uses!E6</f>
        <v>26230.8505492135</v>
      </c>
      <c r="E10" s="100"/>
      <c r="F10" s="100"/>
      <c r="G10" s="100"/>
      <c r="H10" s="100"/>
      <c r="I10" s="100"/>
      <c r="J10" s="100"/>
      <c r="K10" s="100"/>
      <c r="L10" s="100"/>
      <c r="M10" s="100"/>
      <c r="N10" s="100"/>
      <c r="O10" s="100"/>
      <c r="P10" s="100"/>
      <c r="Q10" s="100"/>
      <c r="R10" s="100"/>
      <c r="S10" s="100"/>
      <c r="T10" s="100"/>
      <c r="U10" s="100"/>
      <c r="V10" s="100"/>
      <c r="W10" s="100"/>
      <c r="X10" s="100"/>
      <c r="Y10" s="100"/>
      <c r="Z10" s="100"/>
      <c r="AA10" s="100"/>
      <c r="AB10" s="100"/>
      <c r="AC10" s="100"/>
      <c r="AD10" s="100"/>
      <c r="AE10" s="100"/>
      <c r="AF10" s="100"/>
      <c r="AG10" s="100"/>
      <c r="AH10" s="1088"/>
      <c r="AI10" s="100"/>
      <c r="AJ10" s="100"/>
      <c r="AK10" s="100"/>
      <c r="AL10" s="100"/>
      <c r="AM10" s="100"/>
    </row>
    <row r="11" customFormat="false" ht="14.25" hidden="false" customHeight="true" outlineLevel="0" collapsed="false">
      <c r="B11" s="1089" t="s">
        <v>551</v>
      </c>
      <c r="C11" s="108"/>
      <c r="D11" s="130" t="n">
        <f aca="false">CashFlow!E42</f>
        <v>0</v>
      </c>
      <c r="E11" s="130" t="n">
        <f aca="false">CashFlow!F42</f>
        <v>0</v>
      </c>
      <c r="F11" s="130" t="n">
        <f aca="false">CashFlow!G42</f>
        <v>0</v>
      </c>
      <c r="G11" s="130" t="n">
        <f aca="false">CashFlow!H42</f>
        <v>0</v>
      </c>
      <c r="H11" s="130" t="n">
        <f aca="false">CashFlow!I42</f>
        <v>0</v>
      </c>
      <c r="I11" s="130" t="n">
        <f aca="false">CashFlow!J42</f>
        <v>0</v>
      </c>
      <c r="J11" s="130" t="n">
        <f aca="false">CashFlow!K42</f>
        <v>0</v>
      </c>
      <c r="K11" s="130" t="n">
        <f aca="false">CashFlow!L42</f>
        <v>0</v>
      </c>
      <c r="L11" s="130" t="n">
        <f aca="false">CashFlow!M42</f>
        <v>0</v>
      </c>
      <c r="M11" s="130" t="n">
        <f aca="false">CashFlow!N42</f>
        <v>0</v>
      </c>
      <c r="N11" s="130" t="n">
        <f aca="false">CashFlow!O42</f>
        <v>0</v>
      </c>
      <c r="O11" s="130" t="n">
        <f aca="false">CashFlow!P42</f>
        <v>0</v>
      </c>
      <c r="P11" s="130" t="n">
        <f aca="false">CashFlow!Q42</f>
        <v>0</v>
      </c>
      <c r="Q11" s="130" t="n">
        <f aca="false">CashFlow!R42</f>
        <v>0</v>
      </c>
      <c r="R11" s="130" t="n">
        <f aca="false">CashFlow!S42</f>
        <v>0</v>
      </c>
      <c r="S11" s="130" t="n">
        <f aca="false">CashFlow!T42</f>
        <v>0</v>
      </c>
      <c r="T11" s="130" t="n">
        <f aca="false">CashFlow!U42</f>
        <v>0</v>
      </c>
      <c r="U11" s="130" t="n">
        <f aca="false">CashFlow!V42</f>
        <v>0</v>
      </c>
      <c r="V11" s="130" t="n">
        <f aca="false">CashFlow!W42</f>
        <v>0</v>
      </c>
      <c r="W11" s="130" t="n">
        <f aca="false">CashFlow!X42</f>
        <v>0</v>
      </c>
      <c r="X11" s="130" t="n">
        <f aca="false">CashFlow!Y42</f>
        <v>0</v>
      </c>
      <c r="Y11" s="130" t="n">
        <f aca="false">CashFlow!Z42</f>
        <v>0</v>
      </c>
      <c r="Z11" s="130" t="n">
        <f aca="false">CashFlow!AA42</f>
        <v>0</v>
      </c>
      <c r="AA11" s="130" t="n">
        <f aca="false">CashFlow!AB42</f>
        <v>0</v>
      </c>
      <c r="AB11" s="130" t="n">
        <f aca="false">CashFlow!AC42</f>
        <v>0</v>
      </c>
      <c r="AC11" s="130" t="n">
        <f aca="false">CashFlow!AD42</f>
        <v>0</v>
      </c>
      <c r="AD11" s="130" t="n">
        <f aca="false">CashFlow!AE42</f>
        <v>0</v>
      </c>
      <c r="AE11" s="130" t="n">
        <f aca="false">CashFlow!AF42</f>
        <v>0</v>
      </c>
      <c r="AF11" s="130" t="n">
        <f aca="false">CashFlow!AG42</f>
        <v>0</v>
      </c>
      <c r="AG11" s="130" t="n">
        <f aca="false">CashFlow!AH42</f>
        <v>0</v>
      </c>
      <c r="AH11" s="1090" t="n">
        <f aca="false">CashFlow!AI42</f>
        <v>0</v>
      </c>
      <c r="AI11" s="130"/>
      <c r="AJ11" s="130"/>
      <c r="AK11" s="130"/>
      <c r="AL11" s="130"/>
      <c r="AM11" s="130"/>
      <c r="AN11" s="317"/>
      <c r="AO11" s="317"/>
      <c r="AP11" s="317"/>
      <c r="AQ11" s="317"/>
      <c r="AR11" s="317"/>
      <c r="AS11" s="317"/>
      <c r="AT11" s="317"/>
      <c r="AU11" s="317"/>
      <c r="AV11" s="317"/>
      <c r="AW11" s="317"/>
      <c r="AX11" s="317"/>
      <c r="AY11" s="317"/>
      <c r="AZ11" s="317"/>
      <c r="BA11" s="317"/>
      <c r="BB11" s="317"/>
      <c r="BC11" s="317"/>
      <c r="BD11" s="317"/>
      <c r="BE11" s="317"/>
      <c r="BF11" s="317"/>
      <c r="BG11" s="317"/>
      <c r="BH11" s="317"/>
      <c r="BI11" s="317"/>
      <c r="BJ11" s="317"/>
      <c r="BK11" s="317"/>
      <c r="BL11" s="317"/>
      <c r="BM11" s="317"/>
      <c r="BN11" s="317"/>
      <c r="BO11" s="317"/>
      <c r="BP11" s="317"/>
      <c r="BQ11" s="317"/>
      <c r="BR11" s="317"/>
      <c r="BS11" s="317"/>
      <c r="BT11" s="317"/>
      <c r="BU11" s="317"/>
      <c r="BV11" s="317"/>
      <c r="BW11" s="317"/>
      <c r="BX11" s="317"/>
      <c r="BY11" s="317"/>
      <c r="BZ11" s="317"/>
      <c r="CA11" s="317"/>
      <c r="CB11" s="317"/>
      <c r="CC11" s="317"/>
      <c r="CD11" s="317"/>
      <c r="CE11" s="317"/>
      <c r="CF11" s="317"/>
      <c r="CG11" s="317"/>
      <c r="CH11" s="317"/>
      <c r="CI11" s="317"/>
      <c r="CJ11" s="317"/>
      <c r="CK11" s="317"/>
      <c r="CL11" s="317"/>
      <c r="CM11" s="317"/>
      <c r="CN11" s="317"/>
      <c r="CO11" s="317"/>
      <c r="CP11" s="317"/>
      <c r="CQ11" s="317"/>
      <c r="CR11" s="317"/>
      <c r="CS11" s="317"/>
      <c r="CT11" s="317"/>
      <c r="CU11" s="317"/>
      <c r="CV11" s="317"/>
      <c r="CW11" s="317"/>
      <c r="CX11" s="317"/>
      <c r="CY11" s="317"/>
      <c r="CZ11" s="317"/>
      <c r="DA11" s="317"/>
      <c r="DB11" s="317"/>
      <c r="DC11" s="317"/>
      <c r="DD11" s="317"/>
      <c r="DE11" s="317"/>
      <c r="DF11" s="317"/>
      <c r="DG11" s="317"/>
      <c r="DH11" s="317"/>
      <c r="DI11" s="317"/>
      <c r="DJ11" s="317"/>
      <c r="DK11" s="317"/>
      <c r="DL11" s="317"/>
      <c r="DM11" s="317"/>
      <c r="DN11" s="317"/>
      <c r="DO11" s="317"/>
      <c r="DP11" s="317"/>
      <c r="DQ11" s="317"/>
      <c r="DR11" s="317"/>
      <c r="DS11" s="317"/>
      <c r="DT11" s="317"/>
      <c r="DU11" s="317"/>
      <c r="DV11" s="317"/>
      <c r="DW11" s="317"/>
      <c r="DX11" s="317"/>
      <c r="DY11" s="317"/>
      <c r="DZ11" s="317"/>
      <c r="EA11" s="317"/>
      <c r="EB11" s="317"/>
      <c r="EC11" s="317"/>
      <c r="ED11" s="317"/>
      <c r="EE11" s="317"/>
      <c r="EF11" s="317"/>
      <c r="EG11" s="317"/>
      <c r="EH11" s="317"/>
      <c r="EI11" s="317"/>
      <c r="EJ11" s="317"/>
      <c r="EK11" s="317"/>
      <c r="EL11" s="317"/>
      <c r="EM11" s="317"/>
      <c r="EN11" s="317"/>
      <c r="EO11" s="317"/>
      <c r="EP11" s="317"/>
      <c r="EQ11" s="317"/>
      <c r="ER11" s="317"/>
      <c r="ES11" s="317"/>
      <c r="ET11" s="317"/>
      <c r="EU11" s="317"/>
      <c r="EV11" s="317"/>
      <c r="EW11" s="317"/>
      <c r="EX11" s="317"/>
      <c r="EY11" s="317"/>
      <c r="EZ11" s="317"/>
      <c r="FA11" s="317"/>
      <c r="FB11" s="317"/>
      <c r="FC11" s="317"/>
      <c r="FD11" s="317"/>
      <c r="FE11" s="317"/>
      <c r="FF11" s="317"/>
      <c r="FG11" s="317"/>
      <c r="FH11" s="317"/>
      <c r="FI11" s="317"/>
      <c r="FJ11" s="317"/>
      <c r="FK11" s="317"/>
      <c r="FL11" s="317"/>
      <c r="FM11" s="317"/>
      <c r="FN11" s="317"/>
      <c r="FO11" s="317"/>
      <c r="FP11" s="317"/>
      <c r="FQ11" s="317"/>
      <c r="FR11" s="317"/>
      <c r="FS11" s="317"/>
      <c r="FT11" s="317"/>
      <c r="FU11" s="317"/>
      <c r="FV11" s="317"/>
      <c r="FW11" s="317"/>
      <c r="FX11" s="317"/>
      <c r="FY11" s="317"/>
      <c r="FZ11" s="317"/>
      <c r="GA11" s="317"/>
      <c r="GB11" s="317"/>
      <c r="GC11" s="317"/>
      <c r="GD11" s="317"/>
      <c r="GE11" s="317"/>
      <c r="GF11" s="317"/>
      <c r="GG11" s="317"/>
      <c r="GH11" s="317"/>
      <c r="GI11" s="317"/>
      <c r="GJ11" s="317"/>
      <c r="GK11" s="317"/>
      <c r="GL11" s="317"/>
      <c r="GM11" s="317"/>
      <c r="GN11" s="317"/>
      <c r="GO11" s="317"/>
      <c r="GP11" s="317"/>
      <c r="GQ11" s="317"/>
      <c r="GR11" s="317"/>
      <c r="GS11" s="317"/>
      <c r="GT11" s="317"/>
      <c r="GU11" s="317"/>
      <c r="GV11" s="317"/>
      <c r="GW11" s="317"/>
      <c r="GX11" s="317"/>
      <c r="GY11" s="317"/>
      <c r="GZ11" s="317"/>
      <c r="HA11" s="317"/>
      <c r="HB11" s="317"/>
      <c r="HC11" s="317"/>
      <c r="HD11" s="317"/>
      <c r="HE11" s="317"/>
      <c r="HF11" s="317"/>
      <c r="HG11" s="317"/>
      <c r="HH11" s="317"/>
      <c r="HI11" s="317"/>
      <c r="HJ11" s="317"/>
      <c r="HK11" s="317"/>
      <c r="HL11" s="317"/>
      <c r="HM11" s="317"/>
      <c r="HN11" s="317"/>
      <c r="HO11" s="317"/>
      <c r="HP11" s="317"/>
      <c r="HQ11" s="317"/>
      <c r="HR11" s="317"/>
      <c r="HS11" s="317"/>
      <c r="HT11" s="317"/>
      <c r="HU11" s="317"/>
      <c r="HV11" s="317"/>
      <c r="HW11" s="317"/>
      <c r="HX11" s="317"/>
      <c r="HY11" s="317"/>
      <c r="HZ11" s="317"/>
      <c r="IA11" s="317"/>
      <c r="IB11" s="317"/>
      <c r="IC11" s="317"/>
      <c r="ID11" s="317"/>
      <c r="IE11" s="317"/>
      <c r="IF11" s="317"/>
      <c r="IG11" s="317"/>
      <c r="IH11" s="317"/>
      <c r="II11" s="317"/>
      <c r="IJ11" s="317"/>
      <c r="IK11" s="317"/>
      <c r="IL11" s="317"/>
      <c r="IM11" s="317"/>
      <c r="IN11" s="317"/>
      <c r="IO11" s="317"/>
      <c r="IP11" s="317"/>
      <c r="IQ11" s="317"/>
      <c r="IR11" s="317"/>
      <c r="IS11" s="317"/>
      <c r="IT11" s="317"/>
      <c r="IU11" s="317"/>
      <c r="IV11" s="317"/>
      <c r="IW11" s="317"/>
    </row>
    <row r="12" customFormat="false" ht="14.25" hidden="false" customHeight="true" outlineLevel="0" collapsed="false">
      <c r="B12" s="1091" t="s">
        <v>690</v>
      </c>
      <c r="C12" s="108"/>
      <c r="D12" s="1053"/>
      <c r="E12" s="1053"/>
      <c r="F12" s="1053"/>
      <c r="G12" s="1053"/>
      <c r="H12" s="1053"/>
      <c r="I12" s="1053"/>
      <c r="J12" s="1053"/>
      <c r="K12" s="1053"/>
      <c r="L12" s="1053"/>
      <c r="M12" s="1053"/>
      <c r="N12" s="1053"/>
      <c r="O12" s="1053"/>
      <c r="P12" s="1053"/>
      <c r="Q12" s="1053"/>
      <c r="R12" s="1053"/>
      <c r="S12" s="1053"/>
      <c r="T12" s="1053"/>
      <c r="U12" s="1053"/>
      <c r="V12" s="1053"/>
      <c r="W12" s="1053"/>
      <c r="X12" s="1053"/>
      <c r="Y12" s="1053"/>
      <c r="Z12" s="1053"/>
      <c r="AA12" s="1053"/>
      <c r="AB12" s="1053"/>
      <c r="AC12" s="1053"/>
      <c r="AD12" s="1053"/>
      <c r="AE12" s="1053"/>
      <c r="AF12" s="1053"/>
      <c r="AG12" s="1053"/>
      <c r="AH12" s="1092"/>
      <c r="AI12" s="1053"/>
      <c r="AJ12" s="1053"/>
      <c r="AK12" s="1053"/>
      <c r="AL12" s="1053"/>
      <c r="AM12" s="1053"/>
      <c r="AN12" s="1093"/>
      <c r="AO12" s="1093"/>
      <c r="AP12" s="1093"/>
      <c r="AQ12" s="1093"/>
      <c r="AR12" s="1093"/>
      <c r="AS12" s="1093"/>
      <c r="AT12" s="1093"/>
      <c r="AU12" s="1093"/>
      <c r="AV12" s="1093"/>
      <c r="AW12" s="1093"/>
      <c r="AX12" s="1093"/>
      <c r="AY12" s="1093"/>
      <c r="AZ12" s="1093"/>
      <c r="BA12" s="1093"/>
      <c r="BB12" s="1093"/>
      <c r="BC12" s="1093"/>
      <c r="BD12" s="1093"/>
      <c r="BE12" s="1093"/>
      <c r="BF12" s="1093"/>
      <c r="BG12" s="1093"/>
      <c r="BH12" s="1093"/>
      <c r="BI12" s="1093"/>
      <c r="BJ12" s="1093"/>
      <c r="BK12" s="1093"/>
      <c r="BL12" s="1093"/>
      <c r="BM12" s="1093"/>
      <c r="BN12" s="1093"/>
      <c r="BO12" s="1093"/>
      <c r="BP12" s="1093"/>
      <c r="BQ12" s="1093"/>
      <c r="BR12" s="1093"/>
      <c r="BS12" s="1093"/>
      <c r="BT12" s="1093"/>
      <c r="BU12" s="1093"/>
      <c r="BV12" s="1093"/>
      <c r="BW12" s="1093"/>
      <c r="BX12" s="1093"/>
      <c r="BY12" s="1093"/>
      <c r="BZ12" s="1093"/>
      <c r="CA12" s="1093"/>
      <c r="CB12" s="1093"/>
      <c r="CC12" s="1093"/>
      <c r="CD12" s="1093"/>
      <c r="CE12" s="1093"/>
      <c r="CF12" s="1093"/>
      <c r="CG12" s="1093"/>
      <c r="CH12" s="1093"/>
      <c r="CI12" s="1093"/>
      <c r="CJ12" s="1093"/>
      <c r="CK12" s="1093"/>
      <c r="CL12" s="1093"/>
      <c r="CM12" s="1093"/>
      <c r="CN12" s="1093"/>
      <c r="CO12" s="1093"/>
      <c r="CP12" s="1093"/>
      <c r="CQ12" s="1093"/>
      <c r="CR12" s="1093"/>
      <c r="CS12" s="1093"/>
      <c r="CT12" s="1093"/>
      <c r="CU12" s="1093"/>
      <c r="CV12" s="1093"/>
      <c r="CW12" s="1093"/>
      <c r="CX12" s="1093"/>
      <c r="CY12" s="1093"/>
      <c r="CZ12" s="1093"/>
      <c r="DA12" s="1093"/>
      <c r="DB12" s="1093"/>
      <c r="DC12" s="1093"/>
      <c r="DD12" s="1093"/>
      <c r="DE12" s="1093"/>
      <c r="DF12" s="1093"/>
      <c r="DG12" s="1093"/>
      <c r="DH12" s="1093"/>
      <c r="DI12" s="1093"/>
      <c r="DJ12" s="1093"/>
      <c r="DK12" s="1093"/>
      <c r="DL12" s="1093"/>
      <c r="DM12" s="1093"/>
      <c r="DN12" s="1093"/>
      <c r="DO12" s="1093"/>
      <c r="DP12" s="1093"/>
      <c r="DQ12" s="1093"/>
      <c r="DR12" s="1093"/>
      <c r="DS12" s="1093"/>
      <c r="DT12" s="1093"/>
      <c r="DU12" s="1093"/>
      <c r="DV12" s="1093"/>
      <c r="DW12" s="1093"/>
      <c r="DX12" s="1093"/>
      <c r="DY12" s="1093"/>
      <c r="DZ12" s="1093"/>
      <c r="EA12" s="1093"/>
      <c r="EB12" s="1093"/>
      <c r="EC12" s="1093"/>
      <c r="ED12" s="1093"/>
      <c r="EE12" s="1093"/>
      <c r="EF12" s="1093"/>
      <c r="EG12" s="1093"/>
      <c r="EH12" s="1093"/>
      <c r="EI12" s="1093"/>
      <c r="EJ12" s="1093"/>
      <c r="EK12" s="1093"/>
      <c r="EL12" s="1093"/>
      <c r="EM12" s="1093"/>
      <c r="EN12" s="1093"/>
      <c r="EO12" s="1093"/>
      <c r="EP12" s="1093"/>
      <c r="EQ12" s="1093"/>
      <c r="ER12" s="1093"/>
      <c r="ES12" s="1093"/>
      <c r="ET12" s="1093"/>
      <c r="EU12" s="1093"/>
      <c r="EV12" s="1093"/>
      <c r="EW12" s="1093"/>
      <c r="EX12" s="1093"/>
      <c r="EY12" s="1093"/>
      <c r="EZ12" s="1093"/>
      <c r="FA12" s="1093"/>
      <c r="FB12" s="1093"/>
      <c r="FC12" s="1093"/>
      <c r="FD12" s="1093"/>
      <c r="FE12" s="1093"/>
      <c r="FF12" s="1093"/>
      <c r="FG12" s="1093"/>
      <c r="FH12" s="1093"/>
      <c r="FI12" s="1093"/>
      <c r="FJ12" s="1093"/>
      <c r="FK12" s="1093"/>
      <c r="FL12" s="1093"/>
      <c r="FM12" s="1093"/>
      <c r="FN12" s="1093"/>
      <c r="FO12" s="1093"/>
      <c r="FP12" s="1093"/>
      <c r="FQ12" s="1093"/>
      <c r="FR12" s="1093"/>
      <c r="FS12" s="1093"/>
      <c r="FT12" s="1093"/>
      <c r="FU12" s="1093"/>
      <c r="FV12" s="1093"/>
      <c r="FW12" s="1093"/>
      <c r="FX12" s="1093"/>
      <c r="FY12" s="1093"/>
      <c r="FZ12" s="1093"/>
      <c r="GA12" s="1093"/>
      <c r="GB12" s="1093"/>
      <c r="GC12" s="1093"/>
      <c r="GD12" s="1093"/>
      <c r="GE12" s="1093"/>
      <c r="GF12" s="1093"/>
      <c r="GG12" s="1093"/>
      <c r="GH12" s="1093"/>
      <c r="GI12" s="1093"/>
      <c r="GJ12" s="1093"/>
      <c r="GK12" s="1093"/>
      <c r="GL12" s="1093"/>
      <c r="GM12" s="1093"/>
      <c r="GN12" s="1093"/>
      <c r="GO12" s="1093"/>
      <c r="GP12" s="1093"/>
      <c r="GQ12" s="1093"/>
      <c r="GR12" s="1093"/>
      <c r="GS12" s="1093"/>
      <c r="GT12" s="1093"/>
      <c r="GU12" s="1093"/>
      <c r="GV12" s="1093"/>
      <c r="GW12" s="1093"/>
      <c r="GX12" s="1093"/>
      <c r="GY12" s="1093"/>
      <c r="GZ12" s="1093"/>
      <c r="HA12" s="1093"/>
      <c r="HB12" s="1093"/>
      <c r="HC12" s="1093"/>
      <c r="HD12" s="1093"/>
      <c r="HE12" s="1093"/>
      <c r="HF12" s="1093"/>
      <c r="HG12" s="1093"/>
      <c r="HH12" s="1093"/>
      <c r="HI12" s="1093"/>
      <c r="HJ12" s="1093"/>
      <c r="HK12" s="1093"/>
      <c r="HL12" s="1093"/>
      <c r="HM12" s="1093"/>
      <c r="HN12" s="1093"/>
      <c r="HO12" s="1093"/>
      <c r="HP12" s="1093"/>
      <c r="HQ12" s="1093"/>
      <c r="HR12" s="1093"/>
      <c r="HS12" s="1093"/>
      <c r="HT12" s="1093"/>
      <c r="HU12" s="1093"/>
      <c r="HV12" s="1093"/>
      <c r="HW12" s="1093"/>
      <c r="HX12" s="1093"/>
      <c r="HY12" s="1093"/>
      <c r="HZ12" s="1093"/>
      <c r="IA12" s="1093"/>
      <c r="IB12" s="1093"/>
      <c r="IC12" s="1093"/>
      <c r="ID12" s="1093"/>
      <c r="IE12" s="1093"/>
      <c r="IF12" s="1093"/>
      <c r="IG12" s="1093"/>
      <c r="IH12" s="1093"/>
      <c r="II12" s="1093"/>
      <c r="IJ12" s="1093"/>
      <c r="IK12" s="1093"/>
      <c r="IL12" s="1093"/>
      <c r="IM12" s="1093"/>
      <c r="IN12" s="1093"/>
      <c r="IO12" s="1093"/>
      <c r="IP12" s="1093"/>
      <c r="IQ12" s="1093"/>
      <c r="IR12" s="1093"/>
      <c r="IS12" s="1093"/>
      <c r="IT12" s="1093"/>
      <c r="IU12" s="1093"/>
      <c r="IV12" s="1093"/>
      <c r="IW12" s="1093"/>
    </row>
    <row r="13" customFormat="false" ht="12.75" hidden="false" customHeight="false" outlineLevel="0" collapsed="false">
      <c r="B13" s="1091" t="str">
        <f aca="false">Basis!B84</f>
        <v>Net Min Gain Adjustment</v>
      </c>
      <c r="C13" s="108"/>
      <c r="D13" s="1053" t="n">
        <f aca="false">Basis!D85</f>
        <v>0</v>
      </c>
      <c r="E13" s="1053" t="n">
        <f aca="false">Basis!E85</f>
        <v>0</v>
      </c>
      <c r="F13" s="1053" t="n">
        <f aca="false">Basis!F85</f>
        <v>0</v>
      </c>
      <c r="G13" s="1053" t="n">
        <f aca="false">Basis!G85</f>
        <v>0</v>
      </c>
      <c r="H13" s="1053" t="n">
        <f aca="false">Basis!H85</f>
        <v>0</v>
      </c>
      <c r="I13" s="1053" t="n">
        <f aca="false">Basis!I85</f>
        <v>0</v>
      </c>
      <c r="J13" s="1053" t="n">
        <f aca="false">Basis!J85</f>
        <v>0</v>
      </c>
      <c r="K13" s="1053" t="n">
        <f aca="false">Basis!K85</f>
        <v>0</v>
      </c>
      <c r="L13" s="1053" t="n">
        <f aca="false">Basis!L85</f>
        <v>0</v>
      </c>
      <c r="M13" s="1053" t="n">
        <f aca="false">Basis!M85</f>
        <v>0</v>
      </c>
      <c r="N13" s="1053" t="n">
        <f aca="false">Basis!N85</f>
        <v>0</v>
      </c>
      <c r="O13" s="1053" t="n">
        <f aca="false">Basis!O85</f>
        <v>0</v>
      </c>
      <c r="P13" s="1053" t="n">
        <f aca="false">Basis!P85</f>
        <v>0</v>
      </c>
      <c r="Q13" s="1053" t="n">
        <f aca="false">Basis!Q85</f>
        <v>0</v>
      </c>
      <c r="R13" s="1053" t="n">
        <f aca="false">Basis!R85</f>
        <v>0</v>
      </c>
      <c r="S13" s="1053" t="n">
        <f aca="false">Basis!S85</f>
        <v>0</v>
      </c>
      <c r="T13" s="1053" t="n">
        <f aca="false">Basis!T85</f>
        <v>0</v>
      </c>
      <c r="U13" s="1053" t="n">
        <f aca="false">Basis!U85</f>
        <v>0</v>
      </c>
      <c r="V13" s="1053" t="n">
        <f aca="false">Basis!V85</f>
        <v>0</v>
      </c>
      <c r="W13" s="1053" t="n">
        <f aca="false">Basis!W85</f>
        <v>0</v>
      </c>
      <c r="X13" s="1053" t="n">
        <f aca="false">Basis!X85</f>
        <v>0</v>
      </c>
      <c r="Y13" s="1053" t="n">
        <f aca="false">Basis!Y85</f>
        <v>0</v>
      </c>
      <c r="Z13" s="1053" t="n">
        <f aca="false">Basis!Z85</f>
        <v>0</v>
      </c>
      <c r="AA13" s="1053" t="n">
        <f aca="false">Basis!AA85</f>
        <v>0</v>
      </c>
      <c r="AB13" s="1053" t="n">
        <f aca="false">Basis!AB85</f>
        <v>0</v>
      </c>
      <c r="AC13" s="1053" t="n">
        <f aca="false">Basis!AC85</f>
        <v>0</v>
      </c>
      <c r="AD13" s="1053" t="n">
        <f aca="false">Basis!AD85</f>
        <v>0</v>
      </c>
      <c r="AE13" s="1053" t="n">
        <f aca="false">Basis!AE85</f>
        <v>0</v>
      </c>
      <c r="AF13" s="1053" t="n">
        <f aca="false">Basis!AF85</f>
        <v>0</v>
      </c>
      <c r="AG13" s="1053" t="n">
        <f aca="false">Basis!AG85</f>
        <v>0</v>
      </c>
      <c r="AH13" s="1053" t="n">
        <f aca="false">Basis!AH85</f>
        <v>0</v>
      </c>
      <c r="AI13" s="1053"/>
      <c r="AJ13" s="1053"/>
      <c r="AK13" s="1053"/>
      <c r="AL13" s="1053"/>
      <c r="AM13" s="1053"/>
      <c r="AN13" s="1093"/>
      <c r="AO13" s="1093"/>
      <c r="AP13" s="1093"/>
      <c r="AQ13" s="1093"/>
      <c r="AR13" s="1093"/>
      <c r="AS13" s="1093"/>
      <c r="AT13" s="1093"/>
      <c r="AU13" s="1093"/>
      <c r="AV13" s="1093"/>
      <c r="AW13" s="1093"/>
      <c r="AX13" s="1093"/>
      <c r="AY13" s="1093"/>
      <c r="AZ13" s="1093"/>
      <c r="BA13" s="1093"/>
      <c r="BB13" s="1093"/>
      <c r="BC13" s="1093"/>
      <c r="BD13" s="1093"/>
      <c r="BE13" s="1093"/>
      <c r="BF13" s="1093"/>
      <c r="BG13" s="1093"/>
      <c r="BH13" s="1093"/>
      <c r="BI13" s="1093"/>
      <c r="BJ13" s="1093"/>
      <c r="BK13" s="1093"/>
      <c r="BL13" s="1093"/>
      <c r="BM13" s="1093"/>
      <c r="BN13" s="1093"/>
      <c r="BO13" s="1093"/>
      <c r="BP13" s="1093"/>
      <c r="BQ13" s="1093"/>
      <c r="BR13" s="1093"/>
      <c r="BS13" s="1093"/>
      <c r="BT13" s="1093"/>
      <c r="BU13" s="1093"/>
      <c r="BV13" s="1093"/>
      <c r="BW13" s="1093"/>
      <c r="BX13" s="1093"/>
      <c r="BY13" s="1093"/>
      <c r="BZ13" s="1093"/>
      <c r="CA13" s="1093"/>
      <c r="CB13" s="1093"/>
      <c r="CC13" s="1093"/>
      <c r="CD13" s="1093"/>
      <c r="CE13" s="1093"/>
      <c r="CF13" s="1093"/>
      <c r="CG13" s="1093"/>
      <c r="CH13" s="1093"/>
      <c r="CI13" s="1093"/>
      <c r="CJ13" s="1093"/>
      <c r="CK13" s="1093"/>
      <c r="CL13" s="1093"/>
      <c r="CM13" s="1093"/>
      <c r="CN13" s="1093"/>
      <c r="CO13" s="1093"/>
      <c r="CP13" s="1093"/>
      <c r="CQ13" s="1093"/>
      <c r="CR13" s="1093"/>
      <c r="CS13" s="1093"/>
      <c r="CT13" s="1093"/>
      <c r="CU13" s="1093"/>
      <c r="CV13" s="1093"/>
      <c r="CW13" s="1093"/>
      <c r="CX13" s="1093"/>
      <c r="CY13" s="1093"/>
      <c r="CZ13" s="1093"/>
      <c r="DA13" s="1093"/>
      <c r="DB13" s="1093"/>
      <c r="DC13" s="1093"/>
      <c r="DD13" s="1093"/>
      <c r="DE13" s="1093"/>
      <c r="DF13" s="1093"/>
      <c r="DG13" s="1093"/>
      <c r="DH13" s="1093"/>
      <c r="DI13" s="1093"/>
      <c r="DJ13" s="1093"/>
      <c r="DK13" s="1093"/>
      <c r="DL13" s="1093"/>
      <c r="DM13" s="1093"/>
      <c r="DN13" s="1093"/>
      <c r="DO13" s="1093"/>
      <c r="DP13" s="1093"/>
      <c r="DQ13" s="1093"/>
      <c r="DR13" s="1093"/>
      <c r="DS13" s="1093"/>
      <c r="DT13" s="1093"/>
      <c r="DU13" s="1093"/>
      <c r="DV13" s="1093"/>
      <c r="DW13" s="1093"/>
      <c r="DX13" s="1093"/>
      <c r="DY13" s="1093"/>
      <c r="DZ13" s="1093"/>
      <c r="EA13" s="1093"/>
      <c r="EB13" s="1093"/>
      <c r="EC13" s="1093"/>
      <c r="ED13" s="1093"/>
      <c r="EE13" s="1093"/>
      <c r="EF13" s="1093"/>
      <c r="EG13" s="1093"/>
      <c r="EH13" s="1093"/>
      <c r="EI13" s="1093"/>
      <c r="EJ13" s="1093"/>
      <c r="EK13" s="1093"/>
      <c r="EL13" s="1093"/>
      <c r="EM13" s="1093"/>
      <c r="EN13" s="1093"/>
      <c r="EO13" s="1093"/>
      <c r="EP13" s="1093"/>
      <c r="EQ13" s="1093"/>
      <c r="ER13" s="1093"/>
      <c r="ES13" s="1093"/>
      <c r="ET13" s="1093"/>
      <c r="EU13" s="1093"/>
      <c r="EV13" s="1093"/>
      <c r="EW13" s="1093"/>
      <c r="EX13" s="1093"/>
      <c r="EY13" s="1093"/>
      <c r="EZ13" s="1093"/>
      <c r="FA13" s="1093"/>
      <c r="FB13" s="1093"/>
      <c r="FC13" s="1093"/>
      <c r="FD13" s="1093"/>
      <c r="FE13" s="1093"/>
      <c r="FF13" s="1093"/>
      <c r="FG13" s="1093"/>
      <c r="FH13" s="1093"/>
      <c r="FI13" s="1093"/>
      <c r="FJ13" s="1093"/>
      <c r="FK13" s="1093"/>
      <c r="FL13" s="1093"/>
      <c r="FM13" s="1093"/>
      <c r="FN13" s="1093"/>
      <c r="FO13" s="1093"/>
      <c r="FP13" s="1093"/>
      <c r="FQ13" s="1093"/>
      <c r="FR13" s="1093"/>
      <c r="FS13" s="1093"/>
      <c r="FT13" s="1093"/>
      <c r="FU13" s="1093"/>
      <c r="FV13" s="1093"/>
      <c r="FW13" s="1093"/>
      <c r="FX13" s="1093"/>
      <c r="FY13" s="1093"/>
      <c r="FZ13" s="1093"/>
      <c r="GA13" s="1093"/>
      <c r="GB13" s="1093"/>
      <c r="GC13" s="1093"/>
      <c r="GD13" s="1093"/>
      <c r="GE13" s="1093"/>
      <c r="GF13" s="1093"/>
      <c r="GG13" s="1093"/>
      <c r="GH13" s="1093"/>
      <c r="GI13" s="1093"/>
      <c r="GJ13" s="1093"/>
      <c r="GK13" s="1093"/>
      <c r="GL13" s="1093"/>
      <c r="GM13" s="1093"/>
      <c r="GN13" s="1093"/>
      <c r="GO13" s="1093"/>
      <c r="GP13" s="1093"/>
      <c r="GQ13" s="1093"/>
      <c r="GR13" s="1093"/>
      <c r="GS13" s="1093"/>
      <c r="GT13" s="1093"/>
      <c r="GU13" s="1093"/>
      <c r="GV13" s="1093"/>
      <c r="GW13" s="1093"/>
      <c r="GX13" s="1093"/>
      <c r="GY13" s="1093"/>
      <c r="GZ13" s="1093"/>
      <c r="HA13" s="1093"/>
      <c r="HB13" s="1093"/>
      <c r="HC13" s="1093"/>
      <c r="HD13" s="1093"/>
      <c r="HE13" s="1093"/>
      <c r="HF13" s="1093"/>
      <c r="HG13" s="1093"/>
      <c r="HH13" s="1093"/>
      <c r="HI13" s="1093"/>
      <c r="HJ13" s="1093"/>
      <c r="HK13" s="1093"/>
      <c r="HL13" s="1093"/>
      <c r="HM13" s="1093"/>
      <c r="HN13" s="1093"/>
      <c r="HO13" s="1093"/>
      <c r="HP13" s="1093"/>
      <c r="HQ13" s="1093"/>
      <c r="HR13" s="1093"/>
      <c r="HS13" s="1093"/>
      <c r="HT13" s="1093"/>
      <c r="HU13" s="1093"/>
      <c r="HV13" s="1093"/>
      <c r="HW13" s="1093"/>
      <c r="HX13" s="1093"/>
      <c r="HY13" s="1093"/>
      <c r="HZ13" s="1093"/>
      <c r="IA13" s="1093"/>
      <c r="IB13" s="1093"/>
      <c r="IC13" s="1093"/>
      <c r="ID13" s="1093"/>
      <c r="IE13" s="1093"/>
      <c r="IF13" s="1093"/>
      <c r="IG13" s="1093"/>
      <c r="IH13" s="1093"/>
      <c r="II13" s="1093"/>
      <c r="IJ13" s="1093"/>
      <c r="IK13" s="1093"/>
      <c r="IL13" s="1093"/>
      <c r="IM13" s="1093"/>
      <c r="IN13" s="1093"/>
      <c r="IO13" s="1093"/>
      <c r="IP13" s="1093"/>
      <c r="IQ13" s="1093"/>
      <c r="IR13" s="1093"/>
      <c r="IS13" s="1093"/>
      <c r="IT13" s="1093"/>
      <c r="IU13" s="1093"/>
      <c r="IV13" s="1093"/>
      <c r="IW13" s="1093"/>
    </row>
    <row r="14" customFormat="false" ht="12.75" hidden="false" customHeight="false" outlineLevel="0" collapsed="false">
      <c r="B14" s="1091" t="s">
        <v>691</v>
      </c>
      <c r="C14" s="108"/>
      <c r="D14" s="1053"/>
      <c r="E14" s="1053"/>
      <c r="F14" s="1053"/>
      <c r="G14" s="1053"/>
      <c r="H14" s="1053"/>
      <c r="I14" s="1053"/>
      <c r="J14" s="1053"/>
      <c r="K14" s="1053"/>
      <c r="L14" s="1053"/>
      <c r="M14" s="1053"/>
      <c r="N14" s="1053"/>
      <c r="O14" s="1053"/>
      <c r="P14" s="1053"/>
      <c r="Q14" s="1053"/>
      <c r="R14" s="1053"/>
      <c r="S14" s="1053"/>
      <c r="T14" s="1053"/>
      <c r="U14" s="1053"/>
      <c r="V14" s="1053"/>
      <c r="W14" s="1053"/>
      <c r="X14" s="1053"/>
      <c r="Y14" s="1053"/>
      <c r="Z14" s="1053"/>
      <c r="AA14" s="1053"/>
      <c r="AB14" s="1053"/>
      <c r="AC14" s="1053"/>
      <c r="AD14" s="1053"/>
      <c r="AE14" s="1053"/>
      <c r="AF14" s="1053"/>
      <c r="AG14" s="1053"/>
      <c r="AH14" s="1092"/>
      <c r="AI14" s="1053"/>
      <c r="AJ14" s="1053"/>
      <c r="AK14" s="1053"/>
      <c r="AL14" s="1053"/>
      <c r="AM14" s="1053"/>
      <c r="AN14" s="1093"/>
      <c r="AO14" s="1093"/>
      <c r="AP14" s="1093"/>
      <c r="AQ14" s="1093"/>
      <c r="AR14" s="1093"/>
      <c r="AS14" s="1093"/>
      <c r="AT14" s="1093"/>
      <c r="AU14" s="1093"/>
      <c r="AV14" s="1093"/>
      <c r="AW14" s="1093"/>
      <c r="AX14" s="1093"/>
      <c r="AY14" s="1093"/>
      <c r="AZ14" s="1093"/>
      <c r="BA14" s="1093"/>
      <c r="BB14" s="1093"/>
      <c r="BC14" s="1093"/>
      <c r="BD14" s="1093"/>
      <c r="BE14" s="1093"/>
      <c r="BF14" s="1093"/>
      <c r="BG14" s="1093"/>
      <c r="BH14" s="1093"/>
      <c r="BI14" s="1093"/>
      <c r="BJ14" s="1093"/>
      <c r="BK14" s="1093"/>
      <c r="BL14" s="1093"/>
      <c r="BM14" s="1093"/>
      <c r="BN14" s="1093"/>
      <c r="BO14" s="1093"/>
      <c r="BP14" s="1093"/>
      <c r="BQ14" s="1093"/>
      <c r="BR14" s="1093"/>
      <c r="BS14" s="1093"/>
      <c r="BT14" s="1093"/>
      <c r="BU14" s="1093"/>
      <c r="BV14" s="1093"/>
      <c r="BW14" s="1093"/>
      <c r="BX14" s="1093"/>
      <c r="BY14" s="1093"/>
      <c r="BZ14" s="1093"/>
      <c r="CA14" s="1093"/>
      <c r="CB14" s="1093"/>
      <c r="CC14" s="1093"/>
      <c r="CD14" s="1093"/>
      <c r="CE14" s="1093"/>
      <c r="CF14" s="1093"/>
      <c r="CG14" s="1093"/>
      <c r="CH14" s="1093"/>
      <c r="CI14" s="1093"/>
      <c r="CJ14" s="1093"/>
      <c r="CK14" s="1093"/>
      <c r="CL14" s="1093"/>
      <c r="CM14" s="1093"/>
      <c r="CN14" s="1093"/>
      <c r="CO14" s="1093"/>
      <c r="CP14" s="1093"/>
      <c r="CQ14" s="1093"/>
      <c r="CR14" s="1093"/>
      <c r="CS14" s="1093"/>
      <c r="CT14" s="1093"/>
      <c r="CU14" s="1093"/>
      <c r="CV14" s="1093"/>
      <c r="CW14" s="1093"/>
      <c r="CX14" s="1093"/>
      <c r="CY14" s="1093"/>
      <c r="CZ14" s="1093"/>
      <c r="DA14" s="1093"/>
      <c r="DB14" s="1093"/>
      <c r="DC14" s="1093"/>
      <c r="DD14" s="1093"/>
      <c r="DE14" s="1093"/>
      <c r="DF14" s="1093"/>
      <c r="DG14" s="1093"/>
      <c r="DH14" s="1093"/>
      <c r="DI14" s="1093"/>
      <c r="DJ14" s="1093"/>
      <c r="DK14" s="1093"/>
      <c r="DL14" s="1093"/>
      <c r="DM14" s="1093"/>
      <c r="DN14" s="1093"/>
      <c r="DO14" s="1093"/>
      <c r="DP14" s="1093"/>
      <c r="DQ14" s="1093"/>
      <c r="DR14" s="1093"/>
      <c r="DS14" s="1093"/>
      <c r="DT14" s="1093"/>
      <c r="DU14" s="1093"/>
      <c r="DV14" s="1093"/>
      <c r="DW14" s="1093"/>
      <c r="DX14" s="1093"/>
      <c r="DY14" s="1093"/>
      <c r="DZ14" s="1093"/>
      <c r="EA14" s="1093"/>
      <c r="EB14" s="1093"/>
      <c r="EC14" s="1093"/>
      <c r="ED14" s="1093"/>
      <c r="EE14" s="1093"/>
      <c r="EF14" s="1093"/>
      <c r="EG14" s="1093"/>
      <c r="EH14" s="1093"/>
      <c r="EI14" s="1093"/>
      <c r="EJ14" s="1093"/>
      <c r="EK14" s="1093"/>
      <c r="EL14" s="1093"/>
      <c r="EM14" s="1093"/>
      <c r="EN14" s="1093"/>
      <c r="EO14" s="1093"/>
      <c r="EP14" s="1093"/>
      <c r="EQ14" s="1093"/>
      <c r="ER14" s="1093"/>
      <c r="ES14" s="1093"/>
      <c r="ET14" s="1093"/>
      <c r="EU14" s="1093"/>
      <c r="EV14" s="1093"/>
      <c r="EW14" s="1093"/>
      <c r="EX14" s="1093"/>
      <c r="EY14" s="1093"/>
      <c r="EZ14" s="1093"/>
      <c r="FA14" s="1093"/>
      <c r="FB14" s="1093"/>
      <c r="FC14" s="1093"/>
      <c r="FD14" s="1093"/>
      <c r="FE14" s="1093"/>
      <c r="FF14" s="1093"/>
      <c r="FG14" s="1093"/>
      <c r="FH14" s="1093"/>
      <c r="FI14" s="1093"/>
      <c r="FJ14" s="1093"/>
      <c r="FK14" s="1093"/>
      <c r="FL14" s="1093"/>
      <c r="FM14" s="1093"/>
      <c r="FN14" s="1093"/>
      <c r="FO14" s="1093"/>
      <c r="FP14" s="1093"/>
      <c r="FQ14" s="1093"/>
      <c r="FR14" s="1093"/>
      <c r="FS14" s="1093"/>
      <c r="FT14" s="1093"/>
      <c r="FU14" s="1093"/>
      <c r="FV14" s="1093"/>
      <c r="FW14" s="1093"/>
      <c r="FX14" s="1093"/>
      <c r="FY14" s="1093"/>
      <c r="FZ14" s="1093"/>
      <c r="GA14" s="1093"/>
      <c r="GB14" s="1093"/>
      <c r="GC14" s="1093"/>
      <c r="GD14" s="1093"/>
      <c r="GE14" s="1093"/>
      <c r="GF14" s="1093"/>
      <c r="GG14" s="1093"/>
      <c r="GH14" s="1093"/>
      <c r="GI14" s="1093"/>
      <c r="GJ14" s="1093"/>
      <c r="GK14" s="1093"/>
      <c r="GL14" s="1093"/>
      <c r="GM14" s="1093"/>
      <c r="GN14" s="1093"/>
      <c r="GO14" s="1093"/>
      <c r="GP14" s="1093"/>
      <c r="GQ14" s="1093"/>
      <c r="GR14" s="1093"/>
      <c r="GS14" s="1093"/>
      <c r="GT14" s="1093"/>
      <c r="GU14" s="1093"/>
      <c r="GV14" s="1093"/>
      <c r="GW14" s="1093"/>
      <c r="GX14" s="1093"/>
      <c r="GY14" s="1093"/>
      <c r="GZ14" s="1093"/>
      <c r="HA14" s="1093"/>
      <c r="HB14" s="1093"/>
      <c r="HC14" s="1093"/>
      <c r="HD14" s="1093"/>
      <c r="HE14" s="1093"/>
      <c r="HF14" s="1093"/>
      <c r="HG14" s="1093"/>
      <c r="HH14" s="1093"/>
      <c r="HI14" s="1093"/>
      <c r="HJ14" s="1093"/>
      <c r="HK14" s="1093"/>
      <c r="HL14" s="1093"/>
      <c r="HM14" s="1093"/>
      <c r="HN14" s="1093"/>
      <c r="HO14" s="1093"/>
      <c r="HP14" s="1093"/>
      <c r="HQ14" s="1093"/>
      <c r="HR14" s="1093"/>
      <c r="HS14" s="1093"/>
      <c r="HT14" s="1093"/>
      <c r="HU14" s="1093"/>
      <c r="HV14" s="1093"/>
      <c r="HW14" s="1093"/>
      <c r="HX14" s="1093"/>
      <c r="HY14" s="1093"/>
      <c r="HZ14" s="1093"/>
      <c r="IA14" s="1093"/>
      <c r="IB14" s="1093"/>
      <c r="IC14" s="1093"/>
      <c r="ID14" s="1093"/>
      <c r="IE14" s="1093"/>
      <c r="IF14" s="1093"/>
      <c r="IG14" s="1093"/>
      <c r="IH14" s="1093"/>
      <c r="II14" s="1093"/>
      <c r="IJ14" s="1093"/>
      <c r="IK14" s="1093"/>
      <c r="IL14" s="1093"/>
      <c r="IM14" s="1093"/>
      <c r="IN14" s="1093"/>
      <c r="IO14" s="1093"/>
      <c r="IP14" s="1093"/>
      <c r="IQ14" s="1093"/>
      <c r="IR14" s="1093"/>
      <c r="IS14" s="1093"/>
      <c r="IT14" s="1093"/>
      <c r="IU14" s="1093"/>
      <c r="IV14" s="1093"/>
      <c r="IW14" s="1093"/>
    </row>
    <row r="15" customFormat="false" ht="12.75" hidden="false" customHeight="false" outlineLevel="0" collapsed="false">
      <c r="B15" s="1094" t="s">
        <v>692</v>
      </c>
      <c r="C15" s="108"/>
      <c r="D15" s="1053" t="n">
        <f aca="false">D66*D$7</f>
        <v>3666.92260553876</v>
      </c>
      <c r="E15" s="1053" t="n">
        <f aca="false">E66*E$7</f>
        <v>3666.92260553876</v>
      </c>
      <c r="F15" s="1053" t="n">
        <f aca="false">F66*F$7</f>
        <v>3666.92260553876</v>
      </c>
      <c r="G15" s="1053" t="n">
        <f aca="false">G66*G$7</f>
        <v>3666.92260553876</v>
      </c>
      <c r="H15" s="1053" t="n">
        <f aca="false">H66*H$7</f>
        <v>3666.92260553876</v>
      </c>
      <c r="I15" s="1053" t="n">
        <f aca="false">I66*I$7</f>
        <v>3666.92260553876</v>
      </c>
      <c r="J15" s="1053" t="n">
        <f aca="false">J66*J$7</f>
        <v>3666.92260553876</v>
      </c>
      <c r="K15" s="1053" t="n">
        <f aca="false">K66*K$7</f>
        <v>3666.92260553876</v>
      </c>
      <c r="L15" s="1053" t="n">
        <f aca="false">L66*L$7</f>
        <v>3666.92260553876</v>
      </c>
      <c r="M15" s="1053" t="n">
        <f aca="false">M66*M$7</f>
        <v>3666.92260553876</v>
      </c>
      <c r="N15" s="1053" t="n">
        <f aca="false">N66*N$7</f>
        <v>3666.92260553876</v>
      </c>
      <c r="O15" s="1053" t="n">
        <f aca="false">O66*O$7</f>
        <v>3666.92260553876</v>
      </c>
      <c r="P15" s="1053" t="n">
        <f aca="false">P66*P$7</f>
        <v>3666.92260553876</v>
      </c>
      <c r="Q15" s="1053" t="n">
        <f aca="false">Q66*Q$7</f>
        <v>3666.92260553876</v>
      </c>
      <c r="R15" s="1053" t="n">
        <f aca="false">R66*R$7</f>
        <v>3666.92260553876</v>
      </c>
      <c r="S15" s="1053" t="n">
        <f aca="false">S66*S$7</f>
        <v>3666.92260553876</v>
      </c>
      <c r="T15" s="1053" t="n">
        <f aca="false">T66*T$7</f>
        <v>3666.92260553876</v>
      </c>
      <c r="U15" s="1053" t="n">
        <f aca="false">U66*U$7</f>
        <v>3666.92260553876</v>
      </c>
      <c r="V15" s="1053" t="n">
        <f aca="false">V66*V$7</f>
        <v>3666.92260553876</v>
      </c>
      <c r="W15" s="1053" t="n">
        <f aca="false">W66*W$7</f>
        <v>3666.92260553876</v>
      </c>
      <c r="X15" s="1053" t="n">
        <f aca="false">X66*X$7</f>
        <v>0</v>
      </c>
      <c r="Y15" s="1053" t="n">
        <f aca="false">Y66*Y$7</f>
        <v>0</v>
      </c>
      <c r="Z15" s="1053" t="n">
        <f aca="false">Z66*Z$7</f>
        <v>0</v>
      </c>
      <c r="AA15" s="1053" t="n">
        <f aca="false">AA66*AA$7</f>
        <v>0</v>
      </c>
      <c r="AB15" s="1053" t="n">
        <f aca="false">AB66*AB$7</f>
        <v>0</v>
      </c>
      <c r="AC15" s="1053" t="n">
        <f aca="false">AC66*AC$7</f>
        <v>0</v>
      </c>
      <c r="AD15" s="1053" t="n">
        <f aca="false">AD66*AD$7</f>
        <v>0</v>
      </c>
      <c r="AE15" s="1053" t="n">
        <f aca="false">AE66*AE$7</f>
        <v>0</v>
      </c>
      <c r="AF15" s="1053" t="n">
        <f aca="false">AF66*AF$7</f>
        <v>0</v>
      </c>
      <c r="AG15" s="1053" t="n">
        <f aca="false">AG66*AG$7</f>
        <v>0</v>
      </c>
      <c r="AH15" s="1053" t="n">
        <f aca="false">AH66*AH$7</f>
        <v>0</v>
      </c>
      <c r="AI15" s="1053"/>
      <c r="AJ15" s="1053"/>
      <c r="AK15" s="1053"/>
      <c r="AL15" s="1053"/>
      <c r="AM15" s="1053"/>
      <c r="AN15" s="1093"/>
      <c r="AO15" s="1093"/>
      <c r="AP15" s="1093"/>
      <c r="AQ15" s="1093"/>
      <c r="AR15" s="1093"/>
      <c r="AS15" s="1093"/>
      <c r="AT15" s="1093"/>
      <c r="AU15" s="1093"/>
      <c r="AV15" s="1093"/>
      <c r="AW15" s="1093"/>
      <c r="AX15" s="1093"/>
      <c r="AY15" s="1093"/>
      <c r="AZ15" s="1093"/>
      <c r="BA15" s="1093"/>
      <c r="BB15" s="1093"/>
      <c r="BC15" s="1093"/>
      <c r="BD15" s="1093"/>
      <c r="BE15" s="1093"/>
      <c r="BF15" s="1093"/>
      <c r="BG15" s="1093"/>
      <c r="BH15" s="1093"/>
      <c r="BI15" s="1093"/>
      <c r="BJ15" s="1093"/>
      <c r="BK15" s="1093"/>
      <c r="BL15" s="1093"/>
      <c r="BM15" s="1093"/>
      <c r="BN15" s="1093"/>
      <c r="BO15" s="1093"/>
      <c r="BP15" s="1093"/>
      <c r="BQ15" s="1093"/>
      <c r="BR15" s="1093"/>
      <c r="BS15" s="1093"/>
      <c r="BT15" s="1093"/>
      <c r="BU15" s="1093"/>
      <c r="BV15" s="1093"/>
      <c r="BW15" s="1093"/>
      <c r="BX15" s="1093"/>
      <c r="BY15" s="1093"/>
      <c r="BZ15" s="1093"/>
      <c r="CA15" s="1093"/>
      <c r="CB15" s="1093"/>
      <c r="CC15" s="1093"/>
      <c r="CD15" s="1093"/>
      <c r="CE15" s="1093"/>
      <c r="CF15" s="1093"/>
      <c r="CG15" s="1093"/>
      <c r="CH15" s="1093"/>
      <c r="CI15" s="1093"/>
      <c r="CJ15" s="1093"/>
      <c r="CK15" s="1093"/>
      <c r="CL15" s="1093"/>
      <c r="CM15" s="1093"/>
      <c r="CN15" s="1093"/>
      <c r="CO15" s="1093"/>
      <c r="CP15" s="1093"/>
      <c r="CQ15" s="1093"/>
      <c r="CR15" s="1093"/>
      <c r="CS15" s="1093"/>
      <c r="CT15" s="1093"/>
      <c r="CU15" s="1093"/>
      <c r="CV15" s="1093"/>
      <c r="CW15" s="1093"/>
      <c r="CX15" s="1093"/>
      <c r="CY15" s="1093"/>
      <c r="CZ15" s="1093"/>
      <c r="DA15" s="1093"/>
      <c r="DB15" s="1093"/>
      <c r="DC15" s="1093"/>
      <c r="DD15" s="1093"/>
      <c r="DE15" s="1093"/>
      <c r="DF15" s="1093"/>
      <c r="DG15" s="1093"/>
      <c r="DH15" s="1093"/>
      <c r="DI15" s="1093"/>
      <c r="DJ15" s="1093"/>
      <c r="DK15" s="1093"/>
      <c r="DL15" s="1093"/>
      <c r="DM15" s="1093"/>
      <c r="DN15" s="1093"/>
      <c r="DO15" s="1093"/>
      <c r="DP15" s="1093"/>
      <c r="DQ15" s="1093"/>
      <c r="DR15" s="1093"/>
      <c r="DS15" s="1093"/>
      <c r="DT15" s="1093"/>
      <c r="DU15" s="1093"/>
      <c r="DV15" s="1093"/>
      <c r="DW15" s="1093"/>
      <c r="DX15" s="1093"/>
      <c r="DY15" s="1093"/>
      <c r="DZ15" s="1093"/>
      <c r="EA15" s="1093"/>
      <c r="EB15" s="1093"/>
      <c r="EC15" s="1093"/>
      <c r="ED15" s="1093"/>
      <c r="EE15" s="1093"/>
      <c r="EF15" s="1093"/>
      <c r="EG15" s="1093"/>
      <c r="EH15" s="1093"/>
      <c r="EI15" s="1093"/>
      <c r="EJ15" s="1093"/>
      <c r="EK15" s="1093"/>
      <c r="EL15" s="1093"/>
      <c r="EM15" s="1093"/>
      <c r="EN15" s="1093"/>
      <c r="EO15" s="1093"/>
      <c r="EP15" s="1093"/>
      <c r="EQ15" s="1093"/>
      <c r="ER15" s="1093"/>
      <c r="ES15" s="1093"/>
      <c r="ET15" s="1093"/>
      <c r="EU15" s="1093"/>
      <c r="EV15" s="1093"/>
      <c r="EW15" s="1093"/>
      <c r="EX15" s="1093"/>
      <c r="EY15" s="1093"/>
      <c r="EZ15" s="1093"/>
      <c r="FA15" s="1093"/>
      <c r="FB15" s="1093"/>
      <c r="FC15" s="1093"/>
      <c r="FD15" s="1093"/>
      <c r="FE15" s="1093"/>
      <c r="FF15" s="1093"/>
      <c r="FG15" s="1093"/>
      <c r="FH15" s="1093"/>
      <c r="FI15" s="1093"/>
      <c r="FJ15" s="1093"/>
      <c r="FK15" s="1093"/>
      <c r="FL15" s="1093"/>
      <c r="FM15" s="1093"/>
      <c r="FN15" s="1093"/>
      <c r="FO15" s="1093"/>
      <c r="FP15" s="1093"/>
      <c r="FQ15" s="1093"/>
      <c r="FR15" s="1093"/>
      <c r="FS15" s="1093"/>
      <c r="FT15" s="1093"/>
      <c r="FU15" s="1093"/>
      <c r="FV15" s="1093"/>
      <c r="FW15" s="1093"/>
      <c r="FX15" s="1093"/>
      <c r="FY15" s="1093"/>
      <c r="FZ15" s="1093"/>
      <c r="GA15" s="1093"/>
      <c r="GB15" s="1093"/>
      <c r="GC15" s="1093"/>
      <c r="GD15" s="1093"/>
      <c r="GE15" s="1093"/>
      <c r="GF15" s="1093"/>
      <c r="GG15" s="1093"/>
      <c r="GH15" s="1093"/>
      <c r="GI15" s="1093"/>
      <c r="GJ15" s="1093"/>
      <c r="GK15" s="1093"/>
      <c r="GL15" s="1093"/>
      <c r="GM15" s="1093"/>
      <c r="GN15" s="1093"/>
      <c r="GO15" s="1093"/>
      <c r="GP15" s="1093"/>
      <c r="GQ15" s="1093"/>
      <c r="GR15" s="1093"/>
      <c r="GS15" s="1093"/>
      <c r="GT15" s="1093"/>
      <c r="GU15" s="1093"/>
      <c r="GV15" s="1093"/>
      <c r="GW15" s="1093"/>
      <c r="GX15" s="1093"/>
      <c r="GY15" s="1093"/>
      <c r="GZ15" s="1093"/>
      <c r="HA15" s="1093"/>
      <c r="HB15" s="1093"/>
      <c r="HC15" s="1093"/>
      <c r="HD15" s="1093"/>
      <c r="HE15" s="1093"/>
      <c r="HF15" s="1093"/>
      <c r="HG15" s="1093"/>
      <c r="HH15" s="1093"/>
      <c r="HI15" s="1093"/>
      <c r="HJ15" s="1093"/>
      <c r="HK15" s="1093"/>
      <c r="HL15" s="1093"/>
      <c r="HM15" s="1093"/>
      <c r="HN15" s="1093"/>
      <c r="HO15" s="1093"/>
      <c r="HP15" s="1093"/>
      <c r="HQ15" s="1093"/>
      <c r="HR15" s="1093"/>
      <c r="HS15" s="1093"/>
      <c r="HT15" s="1093"/>
      <c r="HU15" s="1093"/>
      <c r="HV15" s="1093"/>
      <c r="HW15" s="1093"/>
      <c r="HX15" s="1093"/>
      <c r="HY15" s="1093"/>
      <c r="HZ15" s="1093"/>
      <c r="IA15" s="1093"/>
      <c r="IB15" s="1093"/>
      <c r="IC15" s="1093"/>
      <c r="ID15" s="1093"/>
      <c r="IE15" s="1093"/>
      <c r="IF15" s="1093"/>
      <c r="IG15" s="1093"/>
      <c r="IH15" s="1093"/>
      <c r="II15" s="1093"/>
      <c r="IJ15" s="1093"/>
      <c r="IK15" s="1093"/>
      <c r="IL15" s="1093"/>
      <c r="IM15" s="1093"/>
      <c r="IN15" s="1093"/>
      <c r="IO15" s="1093"/>
      <c r="IP15" s="1093"/>
      <c r="IQ15" s="1093"/>
      <c r="IR15" s="1093"/>
      <c r="IS15" s="1093"/>
      <c r="IT15" s="1093"/>
      <c r="IU15" s="1093"/>
      <c r="IV15" s="1093"/>
      <c r="IW15" s="1093"/>
    </row>
    <row r="16" customFormat="false" ht="12.75" hidden="false" customHeight="false" outlineLevel="0" collapsed="false">
      <c r="B16" s="1095" t="s">
        <v>693</v>
      </c>
      <c r="C16" s="1096"/>
      <c r="D16" s="242" t="n">
        <f aca="false">D67*D$7</f>
        <v>-1117.266876</v>
      </c>
      <c r="E16" s="242" t="n">
        <f aca="false">E67*E$7</f>
        <v>-1117.75949703</v>
      </c>
      <c r="F16" s="242" t="n">
        <f aca="false">F67*F$7</f>
        <v>-1118.8977679336</v>
      </c>
      <c r="G16" s="242" t="n">
        <f aca="false">G67*G$7</f>
        <v>-1120.82749176339</v>
      </c>
      <c r="H16" s="242" t="n">
        <f aca="false">H67*H$7</f>
        <v>-1123.42441781521</v>
      </c>
      <c r="I16" s="242" t="n">
        <f aca="false">I67*I$7</f>
        <v>-1468.15208961953</v>
      </c>
      <c r="J16" s="242" t="n">
        <f aca="false">J67*J$7</f>
        <v>-1480.94082080893</v>
      </c>
      <c r="K16" s="242" t="n">
        <f aca="false">K67*K$7</f>
        <v>-1494.47805216379</v>
      </c>
      <c r="L16" s="242" t="n">
        <f aca="false">L67*L$7</f>
        <v>-1508.76842656092</v>
      </c>
      <c r="M16" s="242" t="n">
        <f aca="false">M67*M$7</f>
        <v>-1523.91227500562</v>
      </c>
      <c r="N16" s="242" t="n">
        <f aca="false">N67*N$7</f>
        <v>-1495.42728745304</v>
      </c>
      <c r="O16" s="242" t="n">
        <f aca="false">O67*O$7</f>
        <v>-1512.75494559966</v>
      </c>
      <c r="P16" s="242" t="n">
        <f aca="false">P67*P$7</f>
        <v>-1531.67347469501</v>
      </c>
      <c r="Q16" s="242" t="n">
        <f aca="false">Q67*Q$7</f>
        <v>-1552.26438500795</v>
      </c>
      <c r="R16" s="242" t="n">
        <f aca="false">R67*R$7</f>
        <v>-1574.72154516328</v>
      </c>
      <c r="S16" s="242" t="n">
        <f aca="false">S67*S$7</f>
        <v>-1599.04386596267</v>
      </c>
      <c r="T16" s="242" t="n">
        <f aca="false">T67*T$7</f>
        <v>-1625.09418775839</v>
      </c>
      <c r="U16" s="242" t="n">
        <f aca="false">U67*U$7</f>
        <v>-1575.70662037067</v>
      </c>
      <c r="V16" s="242" t="n">
        <f aca="false">V67*V$7</f>
        <v>-1604.2076112649</v>
      </c>
      <c r="W16" s="242" t="n">
        <f aca="false">W67*W$7</f>
        <v>-1635.81513841995</v>
      </c>
      <c r="X16" s="242" t="n">
        <f aca="false">X67*X$7</f>
        <v>0</v>
      </c>
      <c r="Y16" s="242" t="n">
        <f aca="false">Y67*Y$7</f>
        <v>0</v>
      </c>
      <c r="Z16" s="242" t="n">
        <f aca="false">Z67*Z$7</f>
        <v>0</v>
      </c>
      <c r="AA16" s="242" t="n">
        <f aca="false">AA67*AA$7</f>
        <v>0</v>
      </c>
      <c r="AB16" s="242" t="n">
        <f aca="false">AB67*AB$7</f>
        <v>0</v>
      </c>
      <c r="AC16" s="242" t="n">
        <f aca="false">AC67*AC$7</f>
        <v>0</v>
      </c>
      <c r="AD16" s="242" t="n">
        <f aca="false">AD67*AD$7</f>
        <v>0</v>
      </c>
      <c r="AE16" s="242" t="n">
        <f aca="false">AE67*AE$7</f>
        <v>0</v>
      </c>
      <c r="AF16" s="242" t="n">
        <f aca="false">AF67*AF$7</f>
        <v>0</v>
      </c>
      <c r="AG16" s="242" t="n">
        <f aca="false">AG67*AG$7</f>
        <v>0</v>
      </c>
      <c r="AH16" s="242" t="n">
        <f aca="false">AH67*AH$7</f>
        <v>0</v>
      </c>
      <c r="AI16" s="242"/>
      <c r="AJ16" s="242"/>
      <c r="AK16" s="242"/>
      <c r="AL16" s="242"/>
      <c r="AM16" s="242"/>
      <c r="AN16" s="243"/>
      <c r="AO16" s="243"/>
      <c r="AP16" s="243"/>
      <c r="AQ16" s="243"/>
      <c r="AR16" s="243"/>
      <c r="AS16" s="243"/>
      <c r="AT16" s="243"/>
      <c r="AU16" s="243"/>
      <c r="AV16" s="243"/>
      <c r="AW16" s="243"/>
      <c r="AX16" s="243"/>
      <c r="AY16" s="243"/>
      <c r="AZ16" s="243"/>
      <c r="BA16" s="243"/>
      <c r="BB16" s="243"/>
      <c r="BC16" s="243"/>
      <c r="BD16" s="243"/>
      <c r="BE16" s="243"/>
      <c r="BF16" s="243"/>
      <c r="BG16" s="243"/>
      <c r="BH16" s="243"/>
      <c r="BI16" s="243"/>
      <c r="BJ16" s="243"/>
      <c r="BK16" s="243"/>
      <c r="BL16" s="243"/>
      <c r="BM16" s="243"/>
      <c r="BN16" s="243"/>
      <c r="BO16" s="243"/>
      <c r="BP16" s="243"/>
      <c r="BQ16" s="243"/>
      <c r="BR16" s="243"/>
      <c r="BS16" s="243"/>
      <c r="BT16" s="243"/>
      <c r="BU16" s="243"/>
      <c r="BV16" s="243"/>
      <c r="BW16" s="243"/>
      <c r="BX16" s="243"/>
      <c r="BY16" s="243"/>
      <c r="BZ16" s="243"/>
      <c r="CA16" s="243"/>
      <c r="CB16" s="243"/>
      <c r="CC16" s="243"/>
      <c r="CD16" s="243"/>
      <c r="CE16" s="243"/>
      <c r="CF16" s="243"/>
      <c r="CG16" s="243"/>
      <c r="CH16" s="243"/>
      <c r="CI16" s="243"/>
      <c r="CJ16" s="243"/>
      <c r="CK16" s="243"/>
      <c r="CL16" s="243"/>
      <c r="CM16" s="243"/>
      <c r="CN16" s="243"/>
      <c r="CO16" s="243"/>
      <c r="CP16" s="243"/>
      <c r="CQ16" s="243"/>
      <c r="CR16" s="243"/>
      <c r="CS16" s="243"/>
      <c r="CT16" s="243"/>
      <c r="CU16" s="243"/>
      <c r="CV16" s="243"/>
      <c r="CW16" s="243"/>
      <c r="CX16" s="243"/>
      <c r="CY16" s="243"/>
      <c r="CZ16" s="243"/>
      <c r="DA16" s="243"/>
      <c r="DB16" s="243"/>
      <c r="DC16" s="243"/>
      <c r="DD16" s="243"/>
      <c r="DE16" s="243"/>
      <c r="DF16" s="243"/>
      <c r="DG16" s="243"/>
      <c r="DH16" s="243"/>
      <c r="DI16" s="243"/>
      <c r="DJ16" s="243"/>
      <c r="DK16" s="243"/>
      <c r="DL16" s="243"/>
      <c r="DM16" s="243"/>
      <c r="DN16" s="243"/>
      <c r="DO16" s="243"/>
      <c r="DP16" s="243"/>
      <c r="DQ16" s="243"/>
      <c r="DR16" s="243"/>
      <c r="DS16" s="243"/>
      <c r="DT16" s="243"/>
      <c r="DU16" s="243"/>
      <c r="DV16" s="243"/>
      <c r="DW16" s="243"/>
      <c r="DX16" s="243"/>
      <c r="DY16" s="243"/>
      <c r="DZ16" s="243"/>
      <c r="EA16" s="243"/>
      <c r="EB16" s="243"/>
      <c r="EC16" s="243"/>
      <c r="ED16" s="243"/>
      <c r="EE16" s="243"/>
      <c r="EF16" s="243"/>
      <c r="EG16" s="243"/>
      <c r="EH16" s="243"/>
      <c r="EI16" s="243"/>
      <c r="EJ16" s="243"/>
      <c r="EK16" s="243"/>
      <c r="EL16" s="243"/>
      <c r="EM16" s="243"/>
      <c r="EN16" s="243"/>
      <c r="EO16" s="243"/>
      <c r="EP16" s="243"/>
      <c r="EQ16" s="243"/>
      <c r="ER16" s="243"/>
      <c r="ES16" s="243"/>
      <c r="ET16" s="243"/>
      <c r="EU16" s="243"/>
      <c r="EV16" s="243"/>
      <c r="EW16" s="243"/>
      <c r="EX16" s="243"/>
      <c r="EY16" s="243"/>
      <c r="EZ16" s="243"/>
      <c r="FA16" s="243"/>
      <c r="FB16" s="243"/>
      <c r="FC16" s="243"/>
      <c r="FD16" s="243"/>
      <c r="FE16" s="243"/>
      <c r="FF16" s="243"/>
      <c r="FG16" s="243"/>
      <c r="FH16" s="243"/>
      <c r="FI16" s="243"/>
      <c r="FJ16" s="243"/>
      <c r="FK16" s="243"/>
      <c r="FL16" s="243"/>
      <c r="FM16" s="243"/>
      <c r="FN16" s="243"/>
      <c r="FO16" s="243"/>
      <c r="FP16" s="243"/>
      <c r="FQ16" s="243"/>
      <c r="FR16" s="243"/>
      <c r="FS16" s="243"/>
      <c r="FT16" s="243"/>
      <c r="FU16" s="243"/>
      <c r="FV16" s="243"/>
      <c r="FW16" s="243"/>
      <c r="FX16" s="243"/>
      <c r="FY16" s="243"/>
      <c r="FZ16" s="243"/>
      <c r="GA16" s="243"/>
      <c r="GB16" s="243"/>
      <c r="GC16" s="243"/>
      <c r="GD16" s="243"/>
      <c r="GE16" s="243"/>
      <c r="GF16" s="243"/>
      <c r="GG16" s="243"/>
      <c r="GH16" s="243"/>
      <c r="GI16" s="243"/>
      <c r="GJ16" s="243"/>
      <c r="GK16" s="243"/>
      <c r="GL16" s="243"/>
      <c r="GM16" s="243"/>
      <c r="GN16" s="243"/>
      <c r="GO16" s="243"/>
      <c r="GP16" s="243"/>
      <c r="GQ16" s="243"/>
      <c r="GR16" s="243"/>
      <c r="GS16" s="243"/>
      <c r="GT16" s="243"/>
      <c r="GU16" s="243"/>
      <c r="GV16" s="243"/>
      <c r="GW16" s="243"/>
      <c r="GX16" s="243"/>
      <c r="GY16" s="243"/>
      <c r="GZ16" s="243"/>
      <c r="HA16" s="243"/>
      <c r="HB16" s="243"/>
      <c r="HC16" s="243"/>
      <c r="HD16" s="243"/>
      <c r="HE16" s="243"/>
      <c r="HF16" s="243"/>
      <c r="HG16" s="243"/>
      <c r="HH16" s="243"/>
      <c r="HI16" s="243"/>
      <c r="HJ16" s="243"/>
      <c r="HK16" s="243"/>
      <c r="HL16" s="243"/>
      <c r="HM16" s="243"/>
      <c r="HN16" s="243"/>
      <c r="HO16" s="243"/>
      <c r="HP16" s="243"/>
      <c r="HQ16" s="243"/>
      <c r="HR16" s="243"/>
      <c r="HS16" s="243"/>
      <c r="HT16" s="243"/>
      <c r="HU16" s="243"/>
      <c r="HV16" s="243"/>
      <c r="HW16" s="243"/>
      <c r="HX16" s="243"/>
      <c r="HY16" s="243"/>
      <c r="HZ16" s="243"/>
      <c r="IA16" s="243"/>
      <c r="IB16" s="243"/>
      <c r="IC16" s="243"/>
      <c r="ID16" s="243"/>
      <c r="IE16" s="243"/>
      <c r="IF16" s="243"/>
      <c r="IG16" s="243"/>
      <c r="IH16" s="243"/>
      <c r="II16" s="243"/>
      <c r="IJ16" s="243"/>
      <c r="IK16" s="243"/>
      <c r="IL16" s="243"/>
      <c r="IM16" s="243"/>
      <c r="IN16" s="243"/>
      <c r="IO16" s="243"/>
      <c r="IP16" s="243"/>
      <c r="IQ16" s="243"/>
      <c r="IR16" s="243"/>
      <c r="IS16" s="243"/>
      <c r="IT16" s="243"/>
      <c r="IU16" s="243"/>
      <c r="IV16" s="243"/>
      <c r="IW16" s="243"/>
    </row>
    <row r="17" customFormat="false" ht="12.75" hidden="false" customHeight="false" outlineLevel="0" collapsed="false">
      <c r="B17" s="1095" t="s">
        <v>694</v>
      </c>
      <c r="C17" s="1096"/>
      <c r="D17" s="242" t="n">
        <f aca="false">D68*D$7</f>
        <v>-404.869424089558</v>
      </c>
      <c r="E17" s="242" t="n">
        <f aca="false">E68*E$7</f>
        <v>-406.405124580595</v>
      </c>
      <c r="F17" s="242" t="n">
        <f aca="false">F68*F$7</f>
        <v>-407.93074403698</v>
      </c>
      <c r="G17" s="242" t="n">
        <f aca="false">G68*G$7</f>
        <v>-409.469357088858</v>
      </c>
      <c r="H17" s="242" t="n">
        <f aca="false">H68*H$7</f>
        <v>-411.020969859054</v>
      </c>
      <c r="I17" s="242" t="n">
        <f aca="false">I68*I$7</f>
        <v>-70.9694546843523</v>
      </c>
      <c r="J17" s="242" t="n">
        <f aca="false">J68*J$7</f>
        <v>-72.4770923784573</v>
      </c>
      <c r="K17" s="242" t="n">
        <f aca="false">K68*K$7</f>
        <v>-73.992647089273</v>
      </c>
      <c r="L17" s="242" t="n">
        <f aca="false">L68*L$7</f>
        <v>-75.5208026693724</v>
      </c>
      <c r="M17" s="242" t="n">
        <f aca="false">M68*M$7</f>
        <v>-77.2990430708335</v>
      </c>
      <c r="N17" s="242" t="n">
        <f aca="false">N68*N$7</f>
        <v>-78.8612524102672</v>
      </c>
      <c r="O17" s="242" t="n">
        <f aca="false">O68*O$7</f>
        <v>-80.4447389348208</v>
      </c>
      <c r="P17" s="242" t="n">
        <f aca="false">P68*P$7</f>
        <v>-82.0824005145986</v>
      </c>
      <c r="Q17" s="242" t="n">
        <f aca="false">Q68*Q$7</f>
        <v>-83.7831888672142</v>
      </c>
      <c r="R17" s="242" t="n">
        <f aca="false">R68*R$7</f>
        <v>-85.5498900296889</v>
      </c>
      <c r="S17" s="242" t="n">
        <f aca="false">S68*S$7</f>
        <v>-86.8018928744632</v>
      </c>
      <c r="T17" s="242" t="n">
        <f aca="false">T68*T$7</f>
        <v>-78.5377495869824</v>
      </c>
      <c r="U17" s="242" t="n">
        <f aca="false">U68*U$7</f>
        <v>-80.6945319179394</v>
      </c>
      <c r="V17" s="242" t="n">
        <f aca="false">V68*V$7</f>
        <v>-82.9772888075967</v>
      </c>
      <c r="W17" s="242" t="n">
        <f aca="false">W68*W$7</f>
        <v>-82.0774944310013</v>
      </c>
      <c r="X17" s="242" t="n">
        <f aca="false">X68*X$7</f>
        <v>0</v>
      </c>
      <c r="Y17" s="242" t="n">
        <f aca="false">Y68*Y$7</f>
        <v>0</v>
      </c>
      <c r="Z17" s="242" t="n">
        <f aca="false">Z68*Z$7</f>
        <v>0</v>
      </c>
      <c r="AA17" s="242" t="n">
        <f aca="false">AA68*AA$7</f>
        <v>0</v>
      </c>
      <c r="AB17" s="242" t="n">
        <f aca="false">AB68*AB$7</f>
        <v>0</v>
      </c>
      <c r="AC17" s="242" t="n">
        <f aca="false">AC68*AC$7</f>
        <v>0</v>
      </c>
      <c r="AD17" s="242" t="n">
        <f aca="false">AD68*AD$7</f>
        <v>0</v>
      </c>
      <c r="AE17" s="242" t="n">
        <f aca="false">AE68*AE$7</f>
        <v>0</v>
      </c>
      <c r="AF17" s="242" t="n">
        <f aca="false">AF68*AF$7</f>
        <v>0</v>
      </c>
      <c r="AG17" s="242" t="n">
        <f aca="false">AG68*AG$7</f>
        <v>0</v>
      </c>
      <c r="AH17" s="242" t="n">
        <f aca="false">AH68*AH$7</f>
        <v>0</v>
      </c>
      <c r="AI17" s="242"/>
      <c r="AJ17" s="242"/>
      <c r="AK17" s="242"/>
      <c r="AL17" s="242"/>
      <c r="AM17" s="242"/>
      <c r="AN17" s="243"/>
      <c r="AO17" s="243"/>
      <c r="AP17" s="243"/>
      <c r="AQ17" s="243"/>
      <c r="AR17" s="243"/>
      <c r="AS17" s="243"/>
      <c r="AT17" s="243"/>
      <c r="AU17" s="243"/>
      <c r="AV17" s="243"/>
      <c r="AW17" s="243"/>
      <c r="AX17" s="243"/>
      <c r="AY17" s="243"/>
      <c r="AZ17" s="243"/>
      <c r="BA17" s="243"/>
      <c r="BB17" s="243"/>
      <c r="BC17" s="243"/>
      <c r="BD17" s="243"/>
      <c r="BE17" s="243"/>
      <c r="BF17" s="243"/>
      <c r="BG17" s="243"/>
      <c r="BH17" s="243"/>
      <c r="BI17" s="243"/>
      <c r="BJ17" s="243"/>
      <c r="BK17" s="243"/>
      <c r="BL17" s="243"/>
      <c r="BM17" s="243"/>
      <c r="BN17" s="243"/>
      <c r="BO17" s="243"/>
      <c r="BP17" s="243"/>
      <c r="BQ17" s="243"/>
      <c r="BR17" s="243"/>
      <c r="BS17" s="243"/>
      <c r="BT17" s="243"/>
      <c r="BU17" s="243"/>
      <c r="BV17" s="243"/>
      <c r="BW17" s="243"/>
      <c r="BX17" s="243"/>
      <c r="BY17" s="243"/>
      <c r="BZ17" s="243"/>
      <c r="CA17" s="243"/>
      <c r="CB17" s="243"/>
      <c r="CC17" s="243"/>
      <c r="CD17" s="243"/>
      <c r="CE17" s="243"/>
      <c r="CF17" s="243"/>
      <c r="CG17" s="243"/>
      <c r="CH17" s="243"/>
      <c r="CI17" s="243"/>
      <c r="CJ17" s="243"/>
      <c r="CK17" s="243"/>
      <c r="CL17" s="243"/>
      <c r="CM17" s="243"/>
      <c r="CN17" s="243"/>
      <c r="CO17" s="243"/>
      <c r="CP17" s="243"/>
      <c r="CQ17" s="243"/>
      <c r="CR17" s="243"/>
      <c r="CS17" s="243"/>
      <c r="CT17" s="243"/>
      <c r="CU17" s="243"/>
      <c r="CV17" s="243"/>
      <c r="CW17" s="243"/>
      <c r="CX17" s="243"/>
      <c r="CY17" s="243"/>
      <c r="CZ17" s="243"/>
      <c r="DA17" s="243"/>
      <c r="DB17" s="243"/>
      <c r="DC17" s="243"/>
      <c r="DD17" s="243"/>
      <c r="DE17" s="243"/>
      <c r="DF17" s="243"/>
      <c r="DG17" s="243"/>
      <c r="DH17" s="243"/>
      <c r="DI17" s="243"/>
      <c r="DJ17" s="243"/>
      <c r="DK17" s="243"/>
      <c r="DL17" s="243"/>
      <c r="DM17" s="243"/>
      <c r="DN17" s="243"/>
      <c r="DO17" s="243"/>
      <c r="DP17" s="243"/>
      <c r="DQ17" s="243"/>
      <c r="DR17" s="243"/>
      <c r="DS17" s="243"/>
      <c r="DT17" s="243"/>
      <c r="DU17" s="243"/>
      <c r="DV17" s="243"/>
      <c r="DW17" s="243"/>
      <c r="DX17" s="243"/>
      <c r="DY17" s="243"/>
      <c r="DZ17" s="243"/>
      <c r="EA17" s="243"/>
      <c r="EB17" s="243"/>
      <c r="EC17" s="243"/>
      <c r="ED17" s="243"/>
      <c r="EE17" s="243"/>
      <c r="EF17" s="243"/>
      <c r="EG17" s="243"/>
      <c r="EH17" s="243"/>
      <c r="EI17" s="243"/>
      <c r="EJ17" s="243"/>
      <c r="EK17" s="243"/>
      <c r="EL17" s="243"/>
      <c r="EM17" s="243"/>
      <c r="EN17" s="243"/>
      <c r="EO17" s="243"/>
      <c r="EP17" s="243"/>
      <c r="EQ17" s="243"/>
      <c r="ER17" s="243"/>
      <c r="ES17" s="243"/>
      <c r="ET17" s="243"/>
      <c r="EU17" s="243"/>
      <c r="EV17" s="243"/>
      <c r="EW17" s="243"/>
      <c r="EX17" s="243"/>
      <c r="EY17" s="243"/>
      <c r="EZ17" s="243"/>
      <c r="FA17" s="243"/>
      <c r="FB17" s="243"/>
      <c r="FC17" s="243"/>
      <c r="FD17" s="243"/>
      <c r="FE17" s="243"/>
      <c r="FF17" s="243"/>
      <c r="FG17" s="243"/>
      <c r="FH17" s="243"/>
      <c r="FI17" s="243"/>
      <c r="FJ17" s="243"/>
      <c r="FK17" s="243"/>
      <c r="FL17" s="243"/>
      <c r="FM17" s="243"/>
      <c r="FN17" s="243"/>
      <c r="FO17" s="243"/>
      <c r="FP17" s="243"/>
      <c r="FQ17" s="243"/>
      <c r="FR17" s="243"/>
      <c r="FS17" s="243"/>
      <c r="FT17" s="243"/>
      <c r="FU17" s="243"/>
      <c r="FV17" s="243"/>
      <c r="FW17" s="243"/>
      <c r="FX17" s="243"/>
      <c r="FY17" s="243"/>
      <c r="FZ17" s="243"/>
      <c r="GA17" s="243"/>
      <c r="GB17" s="243"/>
      <c r="GC17" s="243"/>
      <c r="GD17" s="243"/>
      <c r="GE17" s="243"/>
      <c r="GF17" s="243"/>
      <c r="GG17" s="243"/>
      <c r="GH17" s="243"/>
      <c r="GI17" s="243"/>
      <c r="GJ17" s="243"/>
      <c r="GK17" s="243"/>
      <c r="GL17" s="243"/>
      <c r="GM17" s="243"/>
      <c r="GN17" s="243"/>
      <c r="GO17" s="243"/>
      <c r="GP17" s="243"/>
      <c r="GQ17" s="243"/>
      <c r="GR17" s="243"/>
      <c r="GS17" s="243"/>
      <c r="GT17" s="243"/>
      <c r="GU17" s="243"/>
      <c r="GV17" s="243"/>
      <c r="GW17" s="243"/>
      <c r="GX17" s="243"/>
      <c r="GY17" s="243"/>
      <c r="GZ17" s="243"/>
      <c r="HA17" s="243"/>
      <c r="HB17" s="243"/>
      <c r="HC17" s="243"/>
      <c r="HD17" s="243"/>
      <c r="HE17" s="243"/>
      <c r="HF17" s="243"/>
      <c r="HG17" s="243"/>
      <c r="HH17" s="243"/>
      <c r="HI17" s="243"/>
      <c r="HJ17" s="243"/>
      <c r="HK17" s="243"/>
      <c r="HL17" s="243"/>
      <c r="HM17" s="243"/>
      <c r="HN17" s="243"/>
      <c r="HO17" s="243"/>
      <c r="HP17" s="243"/>
      <c r="HQ17" s="243"/>
      <c r="HR17" s="243"/>
      <c r="HS17" s="243"/>
      <c r="HT17" s="243"/>
      <c r="HU17" s="243"/>
      <c r="HV17" s="243"/>
      <c r="HW17" s="243"/>
      <c r="HX17" s="243"/>
      <c r="HY17" s="243"/>
      <c r="HZ17" s="243"/>
      <c r="IA17" s="243"/>
      <c r="IB17" s="243"/>
      <c r="IC17" s="243"/>
      <c r="ID17" s="243"/>
      <c r="IE17" s="243"/>
      <c r="IF17" s="243"/>
      <c r="IG17" s="243"/>
      <c r="IH17" s="243"/>
      <c r="II17" s="243"/>
      <c r="IJ17" s="243"/>
      <c r="IK17" s="243"/>
      <c r="IL17" s="243"/>
      <c r="IM17" s="243"/>
      <c r="IN17" s="243"/>
      <c r="IO17" s="243"/>
      <c r="IP17" s="243"/>
      <c r="IQ17" s="243"/>
      <c r="IR17" s="243"/>
      <c r="IS17" s="243"/>
      <c r="IT17" s="243"/>
      <c r="IU17" s="243"/>
      <c r="IV17" s="243"/>
      <c r="IW17" s="243"/>
    </row>
    <row r="18" customFormat="false" ht="12.75" hidden="false" customHeight="false" outlineLevel="0" collapsed="false">
      <c r="B18" s="1095" t="s">
        <v>695</v>
      </c>
      <c r="C18" s="1096"/>
      <c r="D18" s="242" t="n">
        <f aca="false">D69*D$7</f>
        <v>-7419.59979721401</v>
      </c>
      <c r="E18" s="242" t="n">
        <f aca="false">E69*E$7</f>
        <v>-11807.5108155237</v>
      </c>
      <c r="F18" s="242" t="n">
        <f aca="false">F69*F$7</f>
        <v>-7127.07239599337</v>
      </c>
      <c r="G18" s="242" t="n">
        <f aca="false">G69*G$7</f>
        <v>-4318.80934427519</v>
      </c>
      <c r="H18" s="242" t="n">
        <f aca="false">H69*H$7</f>
        <v>-4318.80934427519</v>
      </c>
      <c r="I18" s="242" t="n">
        <f aca="false">I69*I$7</f>
        <v>-2212.61205548655</v>
      </c>
      <c r="J18" s="242" t="n">
        <f aca="false">J69*J$7</f>
        <v>-106.414766697912</v>
      </c>
      <c r="K18" s="242" t="n">
        <f aca="false">K69*K$7</f>
        <v>-106.414766697912</v>
      </c>
      <c r="L18" s="242" t="n">
        <f aca="false">L69*L$7</f>
        <v>-106.414766697912</v>
      </c>
      <c r="M18" s="242" t="n">
        <f aca="false">M69*M$7</f>
        <v>-106.414766697912</v>
      </c>
      <c r="N18" s="242" t="n">
        <f aca="false">N69*N$7</f>
        <v>-106.414766697912</v>
      </c>
      <c r="O18" s="242" t="n">
        <f aca="false">O69*O$7</f>
        <v>-106.414766697912</v>
      </c>
      <c r="P18" s="242" t="n">
        <f aca="false">P69*P$7</f>
        <v>-106.414766697912</v>
      </c>
      <c r="Q18" s="242" t="n">
        <f aca="false">Q69*Q$7</f>
        <v>-106.414766697912</v>
      </c>
      <c r="R18" s="242" t="n">
        <f aca="false">R69*R$7</f>
        <v>-106.414766697912</v>
      </c>
      <c r="S18" s="242" t="n">
        <f aca="false">S69*S$7</f>
        <v>-106.414766697912</v>
      </c>
      <c r="T18" s="242" t="n">
        <f aca="false">T69*T$7</f>
        <v>-106.414766697912</v>
      </c>
      <c r="U18" s="242" t="n">
        <f aca="false">U69*U$7</f>
        <v>-38.4904475290321</v>
      </c>
      <c r="V18" s="242" t="n">
        <f aca="false">V69*V$7</f>
        <v>-38.4904475290321</v>
      </c>
      <c r="W18" s="242" t="n">
        <f aca="false">W69*W$7</f>
        <v>-38.4904475290321</v>
      </c>
      <c r="X18" s="242" t="n">
        <f aca="false">X69*X$7</f>
        <v>0</v>
      </c>
      <c r="Y18" s="242" t="n">
        <f aca="false">Y69*Y$7</f>
        <v>0</v>
      </c>
      <c r="Z18" s="242" t="n">
        <f aca="false">Z69*Z$7</f>
        <v>0</v>
      </c>
      <c r="AA18" s="242" t="n">
        <f aca="false">AA69*AA$7</f>
        <v>0</v>
      </c>
      <c r="AB18" s="242" t="n">
        <f aca="false">AB69*AB$7</f>
        <v>0</v>
      </c>
      <c r="AC18" s="242" t="n">
        <f aca="false">AC69*AC$7</f>
        <v>0</v>
      </c>
      <c r="AD18" s="242" t="n">
        <f aca="false">AD69*AD$7</f>
        <v>0</v>
      </c>
      <c r="AE18" s="242" t="n">
        <f aca="false">AE69*AE$7</f>
        <v>0</v>
      </c>
      <c r="AF18" s="242" t="n">
        <f aca="false">AF69*AF$7</f>
        <v>0</v>
      </c>
      <c r="AG18" s="242" t="n">
        <f aca="false">AG69*AG$7</f>
        <v>0</v>
      </c>
      <c r="AH18" s="242" t="n">
        <f aca="false">AH69*AH$7</f>
        <v>0</v>
      </c>
      <c r="AI18" s="242"/>
      <c r="AJ18" s="242"/>
      <c r="AK18" s="242"/>
      <c r="AL18" s="242"/>
      <c r="AM18" s="242"/>
      <c r="AN18" s="243"/>
      <c r="AO18" s="243"/>
      <c r="AP18" s="243"/>
      <c r="AQ18" s="243"/>
      <c r="AR18" s="243"/>
      <c r="AS18" s="243"/>
      <c r="AT18" s="243"/>
      <c r="AU18" s="243"/>
      <c r="AV18" s="243"/>
      <c r="AW18" s="243"/>
      <c r="AX18" s="243"/>
      <c r="AY18" s="243"/>
      <c r="AZ18" s="243"/>
      <c r="BA18" s="243"/>
      <c r="BB18" s="243"/>
      <c r="BC18" s="243"/>
      <c r="BD18" s="243"/>
      <c r="BE18" s="243"/>
      <c r="BF18" s="243"/>
      <c r="BG18" s="243"/>
      <c r="BH18" s="243"/>
      <c r="BI18" s="243"/>
      <c r="BJ18" s="243"/>
      <c r="BK18" s="243"/>
      <c r="BL18" s="243"/>
      <c r="BM18" s="243"/>
      <c r="BN18" s="243"/>
      <c r="BO18" s="243"/>
      <c r="BP18" s="243"/>
      <c r="BQ18" s="243"/>
      <c r="BR18" s="243"/>
      <c r="BS18" s="243"/>
      <c r="BT18" s="243"/>
      <c r="BU18" s="243"/>
      <c r="BV18" s="243"/>
      <c r="BW18" s="243"/>
      <c r="BX18" s="243"/>
      <c r="BY18" s="243"/>
      <c r="BZ18" s="243"/>
      <c r="CA18" s="243"/>
      <c r="CB18" s="243"/>
      <c r="CC18" s="243"/>
      <c r="CD18" s="243"/>
      <c r="CE18" s="243"/>
      <c r="CF18" s="243"/>
      <c r="CG18" s="243"/>
      <c r="CH18" s="243"/>
      <c r="CI18" s="243"/>
      <c r="CJ18" s="243"/>
      <c r="CK18" s="243"/>
      <c r="CL18" s="243"/>
      <c r="CM18" s="243"/>
      <c r="CN18" s="243"/>
      <c r="CO18" s="243"/>
      <c r="CP18" s="243"/>
      <c r="CQ18" s="243"/>
      <c r="CR18" s="243"/>
      <c r="CS18" s="243"/>
      <c r="CT18" s="243"/>
      <c r="CU18" s="243"/>
      <c r="CV18" s="243"/>
      <c r="CW18" s="243"/>
      <c r="CX18" s="243"/>
      <c r="CY18" s="243"/>
      <c r="CZ18" s="243"/>
      <c r="DA18" s="243"/>
      <c r="DB18" s="243"/>
      <c r="DC18" s="243"/>
      <c r="DD18" s="243"/>
      <c r="DE18" s="243"/>
      <c r="DF18" s="243"/>
      <c r="DG18" s="243"/>
      <c r="DH18" s="243"/>
      <c r="DI18" s="243"/>
      <c r="DJ18" s="243"/>
      <c r="DK18" s="243"/>
      <c r="DL18" s="243"/>
      <c r="DM18" s="243"/>
      <c r="DN18" s="243"/>
      <c r="DO18" s="243"/>
      <c r="DP18" s="243"/>
      <c r="DQ18" s="243"/>
      <c r="DR18" s="243"/>
      <c r="DS18" s="243"/>
      <c r="DT18" s="243"/>
      <c r="DU18" s="243"/>
      <c r="DV18" s="243"/>
      <c r="DW18" s="243"/>
      <c r="DX18" s="243"/>
      <c r="DY18" s="243"/>
      <c r="DZ18" s="243"/>
      <c r="EA18" s="243"/>
      <c r="EB18" s="243"/>
      <c r="EC18" s="243"/>
      <c r="ED18" s="243"/>
      <c r="EE18" s="243"/>
      <c r="EF18" s="243"/>
      <c r="EG18" s="243"/>
      <c r="EH18" s="243"/>
      <c r="EI18" s="243"/>
      <c r="EJ18" s="243"/>
      <c r="EK18" s="243"/>
      <c r="EL18" s="243"/>
      <c r="EM18" s="243"/>
      <c r="EN18" s="243"/>
      <c r="EO18" s="243"/>
      <c r="EP18" s="243"/>
      <c r="EQ18" s="243"/>
      <c r="ER18" s="243"/>
      <c r="ES18" s="243"/>
      <c r="ET18" s="243"/>
      <c r="EU18" s="243"/>
      <c r="EV18" s="243"/>
      <c r="EW18" s="243"/>
      <c r="EX18" s="243"/>
      <c r="EY18" s="243"/>
      <c r="EZ18" s="243"/>
      <c r="FA18" s="243"/>
      <c r="FB18" s="243"/>
      <c r="FC18" s="243"/>
      <c r="FD18" s="243"/>
      <c r="FE18" s="243"/>
      <c r="FF18" s="243"/>
      <c r="FG18" s="243"/>
      <c r="FH18" s="243"/>
      <c r="FI18" s="243"/>
      <c r="FJ18" s="243"/>
      <c r="FK18" s="243"/>
      <c r="FL18" s="243"/>
      <c r="FM18" s="243"/>
      <c r="FN18" s="243"/>
      <c r="FO18" s="243"/>
      <c r="FP18" s="243"/>
      <c r="FQ18" s="243"/>
      <c r="FR18" s="243"/>
      <c r="FS18" s="243"/>
      <c r="FT18" s="243"/>
      <c r="FU18" s="243"/>
      <c r="FV18" s="243"/>
      <c r="FW18" s="243"/>
      <c r="FX18" s="243"/>
      <c r="FY18" s="243"/>
      <c r="FZ18" s="243"/>
      <c r="GA18" s="243"/>
      <c r="GB18" s="243"/>
      <c r="GC18" s="243"/>
      <c r="GD18" s="243"/>
      <c r="GE18" s="243"/>
      <c r="GF18" s="243"/>
      <c r="GG18" s="243"/>
      <c r="GH18" s="243"/>
      <c r="GI18" s="243"/>
      <c r="GJ18" s="243"/>
      <c r="GK18" s="243"/>
      <c r="GL18" s="243"/>
      <c r="GM18" s="243"/>
      <c r="GN18" s="243"/>
      <c r="GO18" s="243"/>
      <c r="GP18" s="243"/>
      <c r="GQ18" s="243"/>
      <c r="GR18" s="243"/>
      <c r="GS18" s="243"/>
      <c r="GT18" s="243"/>
      <c r="GU18" s="243"/>
      <c r="GV18" s="243"/>
      <c r="GW18" s="243"/>
      <c r="GX18" s="243"/>
      <c r="GY18" s="243"/>
      <c r="GZ18" s="243"/>
      <c r="HA18" s="243"/>
      <c r="HB18" s="243"/>
      <c r="HC18" s="243"/>
      <c r="HD18" s="243"/>
      <c r="HE18" s="243"/>
      <c r="HF18" s="243"/>
      <c r="HG18" s="243"/>
      <c r="HH18" s="243"/>
      <c r="HI18" s="243"/>
      <c r="HJ18" s="243"/>
      <c r="HK18" s="243"/>
      <c r="HL18" s="243"/>
      <c r="HM18" s="243"/>
      <c r="HN18" s="243"/>
      <c r="HO18" s="243"/>
      <c r="HP18" s="243"/>
      <c r="HQ18" s="243"/>
      <c r="HR18" s="243"/>
      <c r="HS18" s="243"/>
      <c r="HT18" s="243"/>
      <c r="HU18" s="243"/>
      <c r="HV18" s="243"/>
      <c r="HW18" s="243"/>
      <c r="HX18" s="243"/>
      <c r="HY18" s="243"/>
      <c r="HZ18" s="243"/>
      <c r="IA18" s="243"/>
      <c r="IB18" s="243"/>
      <c r="IC18" s="243"/>
      <c r="ID18" s="243"/>
      <c r="IE18" s="243"/>
      <c r="IF18" s="243"/>
      <c r="IG18" s="243"/>
      <c r="IH18" s="243"/>
      <c r="II18" s="243"/>
      <c r="IJ18" s="243"/>
      <c r="IK18" s="243"/>
      <c r="IL18" s="243"/>
      <c r="IM18" s="243"/>
      <c r="IN18" s="243"/>
      <c r="IO18" s="243"/>
      <c r="IP18" s="243"/>
      <c r="IQ18" s="243"/>
      <c r="IR18" s="243"/>
      <c r="IS18" s="243"/>
      <c r="IT18" s="243"/>
      <c r="IU18" s="243"/>
      <c r="IV18" s="243"/>
      <c r="IW18" s="243"/>
    </row>
    <row r="19" customFormat="false" ht="12.75" hidden="false" customHeight="false" outlineLevel="0" collapsed="false">
      <c r="B19" s="1095" t="s">
        <v>696</v>
      </c>
      <c r="C19" s="1096"/>
      <c r="D19" s="242" t="n">
        <f aca="false">D70*D$7</f>
        <v>-1249.97332454788</v>
      </c>
      <c r="E19" s="242" t="n">
        <f aca="false">E70*E$7</f>
        <v>-1223.18003159097</v>
      </c>
      <c r="F19" s="242" t="n">
        <f aca="false">F70*F$7</f>
        <v>-1189.80184493934</v>
      </c>
      <c r="G19" s="242" t="n">
        <f aca="false">G70*G$7</f>
        <v>-1146.15792255265</v>
      </c>
      <c r="H19" s="242" t="n">
        <f aca="false">H70*H$7</f>
        <v>-1101.56735928843</v>
      </c>
      <c r="I19" s="242" t="n">
        <f aca="false">I70*I$7</f>
        <v>-1052.53567368055</v>
      </c>
      <c r="J19" s="242" t="n">
        <f aca="false">J70*J$7</f>
        <v>-1001.7239820269</v>
      </c>
      <c r="K19" s="242" t="n">
        <f aca="false">K70*K$7</f>
        <v>-940.751978958632</v>
      </c>
      <c r="L19" s="242" t="n">
        <f aca="false">L70*L$7</f>
        <v>-877.365851744889</v>
      </c>
      <c r="M19" s="242" t="n">
        <f aca="false">M70*M$7</f>
        <v>-808.455725642369</v>
      </c>
      <c r="N19" s="242" t="n">
        <f aca="false">N70*N$7</f>
        <v>-734.868833870019</v>
      </c>
      <c r="O19" s="242" t="n">
        <f aca="false">O70*O$7</f>
        <v>-647.993830079961</v>
      </c>
      <c r="P19" s="242" t="n">
        <f aca="false">P70*P$7</f>
        <v>-555.555747756969</v>
      </c>
      <c r="Q19" s="242" t="n">
        <f aca="false">Q70*Q$7</f>
        <v>-454.926638284114</v>
      </c>
      <c r="R19" s="242" t="n">
        <f aca="false">R70*R$7</f>
        <v>-346.457900041567</v>
      </c>
      <c r="S19" s="242" t="n">
        <f aca="false">S70*S$7</f>
        <v>-226.241692608388</v>
      </c>
      <c r="T19" s="242" t="n">
        <f aca="false">T70*T$7</f>
        <v>-96.4206299740355</v>
      </c>
      <c r="U19" s="242" t="n">
        <f aca="false">U70*U$7</f>
        <v>-0</v>
      </c>
      <c r="V19" s="242" t="n">
        <f aca="false">V70*V$7</f>
        <v>-0</v>
      </c>
      <c r="W19" s="242" t="n">
        <f aca="false">W70*W$7</f>
        <v>-0</v>
      </c>
      <c r="X19" s="242" t="n">
        <f aca="false">X70*X$7</f>
        <v>-0</v>
      </c>
      <c r="Y19" s="242" t="n">
        <f aca="false">Y70*Y$7</f>
        <v>-0</v>
      </c>
      <c r="Z19" s="242" t="n">
        <f aca="false">Z70*Z$7</f>
        <v>-0</v>
      </c>
      <c r="AA19" s="242" t="n">
        <f aca="false">AA70*AA$7</f>
        <v>-0</v>
      </c>
      <c r="AB19" s="242" t="n">
        <f aca="false">AB70*AB$7</f>
        <v>-0</v>
      </c>
      <c r="AC19" s="242" t="n">
        <f aca="false">AC70*AC$7</f>
        <v>-0</v>
      </c>
      <c r="AD19" s="242" t="n">
        <f aca="false">AD70*AD$7</f>
        <v>-0</v>
      </c>
      <c r="AE19" s="242" t="n">
        <f aca="false">AE70*AE$7</f>
        <v>-0</v>
      </c>
      <c r="AF19" s="242" t="n">
        <f aca="false">AF70*AF$7</f>
        <v>-0</v>
      </c>
      <c r="AG19" s="242" t="n">
        <f aca="false">AG70*AG$7</f>
        <v>-0</v>
      </c>
      <c r="AH19" s="242" t="n">
        <f aca="false">AH70*AH$7</f>
        <v>-0</v>
      </c>
      <c r="AI19" s="242"/>
      <c r="AJ19" s="242"/>
      <c r="AK19" s="242"/>
      <c r="AL19" s="242"/>
      <c r="AM19" s="242"/>
      <c r="AN19" s="243"/>
      <c r="AO19" s="243"/>
      <c r="AP19" s="243"/>
      <c r="AQ19" s="243"/>
      <c r="AR19" s="243"/>
      <c r="AS19" s="243"/>
      <c r="AT19" s="243"/>
      <c r="AU19" s="243"/>
      <c r="AV19" s="243"/>
      <c r="AW19" s="243"/>
      <c r="AX19" s="243"/>
      <c r="AY19" s="243"/>
      <c r="AZ19" s="243"/>
      <c r="BA19" s="243"/>
      <c r="BB19" s="243"/>
      <c r="BC19" s="243"/>
      <c r="BD19" s="243"/>
      <c r="BE19" s="243"/>
      <c r="BF19" s="243"/>
      <c r="BG19" s="243"/>
      <c r="BH19" s="243"/>
      <c r="BI19" s="243"/>
      <c r="BJ19" s="243"/>
      <c r="BK19" s="243"/>
      <c r="BL19" s="243"/>
      <c r="BM19" s="243"/>
      <c r="BN19" s="243"/>
      <c r="BO19" s="243"/>
      <c r="BP19" s="243"/>
      <c r="BQ19" s="243"/>
      <c r="BR19" s="243"/>
      <c r="BS19" s="243"/>
      <c r="BT19" s="243"/>
      <c r="BU19" s="243"/>
      <c r="BV19" s="243"/>
      <c r="BW19" s="243"/>
      <c r="BX19" s="243"/>
      <c r="BY19" s="243"/>
      <c r="BZ19" s="243"/>
      <c r="CA19" s="243"/>
      <c r="CB19" s="243"/>
      <c r="CC19" s="243"/>
      <c r="CD19" s="243"/>
      <c r="CE19" s="243"/>
      <c r="CF19" s="243"/>
      <c r="CG19" s="243"/>
      <c r="CH19" s="243"/>
      <c r="CI19" s="243"/>
      <c r="CJ19" s="243"/>
      <c r="CK19" s="243"/>
      <c r="CL19" s="243"/>
      <c r="CM19" s="243"/>
      <c r="CN19" s="243"/>
      <c r="CO19" s="243"/>
      <c r="CP19" s="243"/>
      <c r="CQ19" s="243"/>
      <c r="CR19" s="243"/>
      <c r="CS19" s="243"/>
      <c r="CT19" s="243"/>
      <c r="CU19" s="243"/>
      <c r="CV19" s="243"/>
      <c r="CW19" s="243"/>
      <c r="CX19" s="243"/>
      <c r="CY19" s="243"/>
      <c r="CZ19" s="243"/>
      <c r="DA19" s="243"/>
      <c r="DB19" s="243"/>
      <c r="DC19" s="243"/>
      <c r="DD19" s="243"/>
      <c r="DE19" s="243"/>
      <c r="DF19" s="243"/>
      <c r="DG19" s="243"/>
      <c r="DH19" s="243"/>
      <c r="DI19" s="243"/>
      <c r="DJ19" s="243"/>
      <c r="DK19" s="243"/>
      <c r="DL19" s="243"/>
      <c r="DM19" s="243"/>
      <c r="DN19" s="243"/>
      <c r="DO19" s="243"/>
      <c r="DP19" s="243"/>
      <c r="DQ19" s="243"/>
      <c r="DR19" s="243"/>
      <c r="DS19" s="243"/>
      <c r="DT19" s="243"/>
      <c r="DU19" s="243"/>
      <c r="DV19" s="243"/>
      <c r="DW19" s="243"/>
      <c r="DX19" s="243"/>
      <c r="DY19" s="243"/>
      <c r="DZ19" s="243"/>
      <c r="EA19" s="243"/>
      <c r="EB19" s="243"/>
      <c r="EC19" s="243"/>
      <c r="ED19" s="243"/>
      <c r="EE19" s="243"/>
      <c r="EF19" s="243"/>
      <c r="EG19" s="243"/>
      <c r="EH19" s="243"/>
      <c r="EI19" s="243"/>
      <c r="EJ19" s="243"/>
      <c r="EK19" s="243"/>
      <c r="EL19" s="243"/>
      <c r="EM19" s="243"/>
      <c r="EN19" s="243"/>
      <c r="EO19" s="243"/>
      <c r="EP19" s="243"/>
      <c r="EQ19" s="243"/>
      <c r="ER19" s="243"/>
      <c r="ES19" s="243"/>
      <c r="ET19" s="243"/>
      <c r="EU19" s="243"/>
      <c r="EV19" s="243"/>
      <c r="EW19" s="243"/>
      <c r="EX19" s="243"/>
      <c r="EY19" s="243"/>
      <c r="EZ19" s="243"/>
      <c r="FA19" s="243"/>
      <c r="FB19" s="243"/>
      <c r="FC19" s="243"/>
      <c r="FD19" s="243"/>
      <c r="FE19" s="243"/>
      <c r="FF19" s="243"/>
      <c r="FG19" s="243"/>
      <c r="FH19" s="243"/>
      <c r="FI19" s="243"/>
      <c r="FJ19" s="243"/>
      <c r="FK19" s="243"/>
      <c r="FL19" s="243"/>
      <c r="FM19" s="243"/>
      <c r="FN19" s="243"/>
      <c r="FO19" s="243"/>
      <c r="FP19" s="243"/>
      <c r="FQ19" s="243"/>
      <c r="FR19" s="243"/>
      <c r="FS19" s="243"/>
      <c r="FT19" s="243"/>
      <c r="FU19" s="243"/>
      <c r="FV19" s="243"/>
      <c r="FW19" s="243"/>
      <c r="FX19" s="243"/>
      <c r="FY19" s="243"/>
      <c r="FZ19" s="243"/>
      <c r="GA19" s="243"/>
      <c r="GB19" s="243"/>
      <c r="GC19" s="243"/>
      <c r="GD19" s="243"/>
      <c r="GE19" s="243"/>
      <c r="GF19" s="243"/>
      <c r="GG19" s="243"/>
      <c r="GH19" s="243"/>
      <c r="GI19" s="243"/>
      <c r="GJ19" s="243"/>
      <c r="GK19" s="243"/>
      <c r="GL19" s="243"/>
      <c r="GM19" s="243"/>
      <c r="GN19" s="243"/>
      <c r="GO19" s="243"/>
      <c r="GP19" s="243"/>
      <c r="GQ19" s="243"/>
      <c r="GR19" s="243"/>
      <c r="GS19" s="243"/>
      <c r="GT19" s="243"/>
      <c r="GU19" s="243"/>
      <c r="GV19" s="243"/>
      <c r="GW19" s="243"/>
      <c r="GX19" s="243"/>
      <c r="GY19" s="243"/>
      <c r="GZ19" s="243"/>
      <c r="HA19" s="243"/>
      <c r="HB19" s="243"/>
      <c r="HC19" s="243"/>
      <c r="HD19" s="243"/>
      <c r="HE19" s="243"/>
      <c r="HF19" s="243"/>
      <c r="HG19" s="243"/>
      <c r="HH19" s="243"/>
      <c r="HI19" s="243"/>
      <c r="HJ19" s="243"/>
      <c r="HK19" s="243"/>
      <c r="HL19" s="243"/>
      <c r="HM19" s="243"/>
      <c r="HN19" s="243"/>
      <c r="HO19" s="243"/>
      <c r="HP19" s="243"/>
      <c r="HQ19" s="243"/>
      <c r="HR19" s="243"/>
      <c r="HS19" s="243"/>
      <c r="HT19" s="243"/>
      <c r="HU19" s="243"/>
      <c r="HV19" s="243"/>
      <c r="HW19" s="243"/>
      <c r="HX19" s="243"/>
      <c r="HY19" s="243"/>
      <c r="HZ19" s="243"/>
      <c r="IA19" s="243"/>
      <c r="IB19" s="243"/>
      <c r="IC19" s="243"/>
      <c r="ID19" s="243"/>
      <c r="IE19" s="243"/>
      <c r="IF19" s="243"/>
      <c r="IG19" s="243"/>
      <c r="IH19" s="243"/>
      <c r="II19" s="243"/>
      <c r="IJ19" s="243"/>
      <c r="IK19" s="243"/>
      <c r="IL19" s="243"/>
      <c r="IM19" s="243"/>
      <c r="IN19" s="243"/>
      <c r="IO19" s="243"/>
      <c r="IP19" s="243"/>
      <c r="IQ19" s="243"/>
      <c r="IR19" s="243"/>
      <c r="IS19" s="243"/>
      <c r="IT19" s="243"/>
      <c r="IU19" s="243"/>
      <c r="IV19" s="243"/>
      <c r="IW19" s="243"/>
    </row>
    <row r="20" customFormat="false" ht="12.75" hidden="false" customHeight="false" outlineLevel="0" collapsed="false">
      <c r="B20" s="1095" t="s">
        <v>697</v>
      </c>
      <c r="C20" s="1096"/>
      <c r="D20" s="242" t="n">
        <f aca="false">D71*D$7</f>
        <v>-0</v>
      </c>
      <c r="E20" s="242" t="n">
        <f aca="false">E71*E$7</f>
        <v>-0</v>
      </c>
      <c r="F20" s="242" t="n">
        <f aca="false">F71*F$7</f>
        <v>-0</v>
      </c>
      <c r="G20" s="242" t="n">
        <f aca="false">G71*G$7</f>
        <v>-0</v>
      </c>
      <c r="H20" s="242" t="n">
        <f aca="false">H71*H$7</f>
        <v>-0</v>
      </c>
      <c r="I20" s="242" t="n">
        <f aca="false">I71*I$7</f>
        <v>-0</v>
      </c>
      <c r="J20" s="242" t="n">
        <f aca="false">J71*J$7</f>
        <v>-0</v>
      </c>
      <c r="K20" s="242" t="n">
        <f aca="false">K71*K$7</f>
        <v>-0</v>
      </c>
      <c r="L20" s="242" t="n">
        <f aca="false">L71*L$7</f>
        <v>-0</v>
      </c>
      <c r="M20" s="242" t="n">
        <f aca="false">M71*M$7</f>
        <v>-0</v>
      </c>
      <c r="N20" s="242" t="n">
        <f aca="false">N71*N$7</f>
        <v>-0</v>
      </c>
      <c r="O20" s="242" t="n">
        <f aca="false">O71*O$7</f>
        <v>-0</v>
      </c>
      <c r="P20" s="242" t="n">
        <f aca="false">P71*P$7</f>
        <v>-0</v>
      </c>
      <c r="Q20" s="242" t="n">
        <f aca="false">Q71*Q$7</f>
        <v>-0</v>
      </c>
      <c r="R20" s="242" t="n">
        <f aca="false">R71*R$7</f>
        <v>-0</v>
      </c>
      <c r="S20" s="242" t="n">
        <f aca="false">S71*S$7</f>
        <v>-0</v>
      </c>
      <c r="T20" s="242" t="n">
        <f aca="false">T71*T$7</f>
        <v>-0</v>
      </c>
      <c r="U20" s="242" t="n">
        <f aca="false">U71*U$7</f>
        <v>-0</v>
      </c>
      <c r="V20" s="242" t="n">
        <f aca="false">V71*V$7</f>
        <v>-0</v>
      </c>
      <c r="W20" s="242" t="n">
        <f aca="false">W71*W$7</f>
        <v>-0</v>
      </c>
      <c r="X20" s="242" t="n">
        <f aca="false">X71*X$7</f>
        <v>-0</v>
      </c>
      <c r="Y20" s="242" t="n">
        <f aca="false">Y71*Y$7</f>
        <v>-0</v>
      </c>
      <c r="Z20" s="242" t="n">
        <f aca="false">Z71*Z$7</f>
        <v>-0</v>
      </c>
      <c r="AA20" s="242" t="n">
        <f aca="false">AA71*AA$7</f>
        <v>-0</v>
      </c>
      <c r="AB20" s="242" t="n">
        <f aca="false">AB71*AB$7</f>
        <v>-0</v>
      </c>
      <c r="AC20" s="242" t="n">
        <f aca="false">AC71*AC$7</f>
        <v>-0</v>
      </c>
      <c r="AD20" s="242" t="n">
        <f aca="false">AD71*AD$7</f>
        <v>-0</v>
      </c>
      <c r="AE20" s="242" t="n">
        <f aca="false">AE71*AE$7</f>
        <v>-0</v>
      </c>
      <c r="AF20" s="242" t="n">
        <f aca="false">AF71*AF$7</f>
        <v>-0</v>
      </c>
      <c r="AG20" s="242" t="n">
        <f aca="false">AG71*AG$7</f>
        <v>-0</v>
      </c>
      <c r="AH20" s="242" t="n">
        <f aca="false">AH71*AH$7</f>
        <v>-0</v>
      </c>
      <c r="AI20" s="242"/>
      <c r="AJ20" s="242"/>
      <c r="AK20" s="242"/>
      <c r="AL20" s="242"/>
      <c r="AM20" s="242"/>
      <c r="AN20" s="243"/>
      <c r="AO20" s="243"/>
      <c r="AP20" s="243"/>
      <c r="AQ20" s="243"/>
      <c r="AR20" s="243"/>
      <c r="AS20" s="243"/>
      <c r="AT20" s="243"/>
      <c r="AU20" s="243"/>
      <c r="AV20" s="243"/>
      <c r="AW20" s="243"/>
      <c r="AX20" s="243"/>
      <c r="AY20" s="243"/>
      <c r="AZ20" s="243"/>
      <c r="BA20" s="243"/>
      <c r="BB20" s="243"/>
      <c r="BC20" s="243"/>
      <c r="BD20" s="243"/>
      <c r="BE20" s="243"/>
      <c r="BF20" s="243"/>
      <c r="BG20" s="243"/>
      <c r="BH20" s="243"/>
      <c r="BI20" s="243"/>
      <c r="BJ20" s="243"/>
      <c r="BK20" s="243"/>
      <c r="BL20" s="243"/>
      <c r="BM20" s="243"/>
      <c r="BN20" s="243"/>
      <c r="BO20" s="243"/>
      <c r="BP20" s="243"/>
      <c r="BQ20" s="243"/>
      <c r="BR20" s="243"/>
      <c r="BS20" s="243"/>
      <c r="BT20" s="243"/>
      <c r="BU20" s="243"/>
      <c r="BV20" s="243"/>
      <c r="BW20" s="243"/>
      <c r="BX20" s="243"/>
      <c r="BY20" s="243"/>
      <c r="BZ20" s="243"/>
      <c r="CA20" s="243"/>
      <c r="CB20" s="243"/>
      <c r="CC20" s="243"/>
      <c r="CD20" s="243"/>
      <c r="CE20" s="243"/>
      <c r="CF20" s="243"/>
      <c r="CG20" s="243"/>
      <c r="CH20" s="243"/>
      <c r="CI20" s="243"/>
      <c r="CJ20" s="243"/>
      <c r="CK20" s="243"/>
      <c r="CL20" s="243"/>
      <c r="CM20" s="243"/>
      <c r="CN20" s="243"/>
      <c r="CO20" s="243"/>
      <c r="CP20" s="243"/>
      <c r="CQ20" s="243"/>
      <c r="CR20" s="243"/>
      <c r="CS20" s="243"/>
      <c r="CT20" s="243"/>
      <c r="CU20" s="243"/>
      <c r="CV20" s="243"/>
      <c r="CW20" s="243"/>
      <c r="CX20" s="243"/>
      <c r="CY20" s="243"/>
      <c r="CZ20" s="243"/>
      <c r="DA20" s="243"/>
      <c r="DB20" s="243"/>
      <c r="DC20" s="243"/>
      <c r="DD20" s="243"/>
      <c r="DE20" s="243"/>
      <c r="DF20" s="243"/>
      <c r="DG20" s="243"/>
      <c r="DH20" s="243"/>
      <c r="DI20" s="243"/>
      <c r="DJ20" s="243"/>
      <c r="DK20" s="243"/>
      <c r="DL20" s="243"/>
      <c r="DM20" s="243"/>
      <c r="DN20" s="243"/>
      <c r="DO20" s="243"/>
      <c r="DP20" s="243"/>
      <c r="DQ20" s="243"/>
      <c r="DR20" s="243"/>
      <c r="DS20" s="243"/>
      <c r="DT20" s="243"/>
      <c r="DU20" s="243"/>
      <c r="DV20" s="243"/>
      <c r="DW20" s="243"/>
      <c r="DX20" s="243"/>
      <c r="DY20" s="243"/>
      <c r="DZ20" s="243"/>
      <c r="EA20" s="243"/>
      <c r="EB20" s="243"/>
      <c r="EC20" s="243"/>
      <c r="ED20" s="243"/>
      <c r="EE20" s="243"/>
      <c r="EF20" s="243"/>
      <c r="EG20" s="243"/>
      <c r="EH20" s="243"/>
      <c r="EI20" s="243"/>
      <c r="EJ20" s="243"/>
      <c r="EK20" s="243"/>
      <c r="EL20" s="243"/>
      <c r="EM20" s="243"/>
      <c r="EN20" s="243"/>
      <c r="EO20" s="243"/>
      <c r="EP20" s="243"/>
      <c r="EQ20" s="243"/>
      <c r="ER20" s="243"/>
      <c r="ES20" s="243"/>
      <c r="ET20" s="243"/>
      <c r="EU20" s="243"/>
      <c r="EV20" s="243"/>
      <c r="EW20" s="243"/>
      <c r="EX20" s="243"/>
      <c r="EY20" s="243"/>
      <c r="EZ20" s="243"/>
      <c r="FA20" s="243"/>
      <c r="FB20" s="243"/>
      <c r="FC20" s="243"/>
      <c r="FD20" s="243"/>
      <c r="FE20" s="243"/>
      <c r="FF20" s="243"/>
      <c r="FG20" s="243"/>
      <c r="FH20" s="243"/>
      <c r="FI20" s="243"/>
      <c r="FJ20" s="243"/>
      <c r="FK20" s="243"/>
      <c r="FL20" s="243"/>
      <c r="FM20" s="243"/>
      <c r="FN20" s="243"/>
      <c r="FO20" s="243"/>
      <c r="FP20" s="243"/>
      <c r="FQ20" s="243"/>
      <c r="FR20" s="243"/>
      <c r="FS20" s="243"/>
      <c r="FT20" s="243"/>
      <c r="FU20" s="243"/>
      <c r="FV20" s="243"/>
      <c r="FW20" s="243"/>
      <c r="FX20" s="243"/>
      <c r="FY20" s="243"/>
      <c r="FZ20" s="243"/>
      <c r="GA20" s="243"/>
      <c r="GB20" s="243"/>
      <c r="GC20" s="243"/>
      <c r="GD20" s="243"/>
      <c r="GE20" s="243"/>
      <c r="GF20" s="243"/>
      <c r="GG20" s="243"/>
      <c r="GH20" s="243"/>
      <c r="GI20" s="243"/>
      <c r="GJ20" s="243"/>
      <c r="GK20" s="243"/>
      <c r="GL20" s="243"/>
      <c r="GM20" s="243"/>
      <c r="GN20" s="243"/>
      <c r="GO20" s="243"/>
      <c r="GP20" s="243"/>
      <c r="GQ20" s="243"/>
      <c r="GR20" s="243"/>
      <c r="GS20" s="243"/>
      <c r="GT20" s="243"/>
      <c r="GU20" s="243"/>
      <c r="GV20" s="243"/>
      <c r="GW20" s="243"/>
      <c r="GX20" s="243"/>
      <c r="GY20" s="243"/>
      <c r="GZ20" s="243"/>
      <c r="HA20" s="243"/>
      <c r="HB20" s="243"/>
      <c r="HC20" s="243"/>
      <c r="HD20" s="243"/>
      <c r="HE20" s="243"/>
      <c r="HF20" s="243"/>
      <c r="HG20" s="243"/>
      <c r="HH20" s="243"/>
      <c r="HI20" s="243"/>
      <c r="HJ20" s="243"/>
      <c r="HK20" s="243"/>
      <c r="HL20" s="243"/>
      <c r="HM20" s="243"/>
      <c r="HN20" s="243"/>
      <c r="HO20" s="243"/>
      <c r="HP20" s="243"/>
      <c r="HQ20" s="243"/>
      <c r="HR20" s="243"/>
      <c r="HS20" s="243"/>
      <c r="HT20" s="243"/>
      <c r="HU20" s="243"/>
      <c r="HV20" s="243"/>
      <c r="HW20" s="243"/>
      <c r="HX20" s="243"/>
      <c r="HY20" s="243"/>
      <c r="HZ20" s="243"/>
      <c r="IA20" s="243"/>
      <c r="IB20" s="243"/>
      <c r="IC20" s="243"/>
      <c r="ID20" s="243"/>
      <c r="IE20" s="243"/>
      <c r="IF20" s="243"/>
      <c r="IG20" s="243"/>
      <c r="IH20" s="243"/>
      <c r="II20" s="243"/>
      <c r="IJ20" s="243"/>
      <c r="IK20" s="243"/>
      <c r="IL20" s="243"/>
      <c r="IM20" s="243"/>
      <c r="IN20" s="243"/>
      <c r="IO20" s="243"/>
      <c r="IP20" s="243"/>
      <c r="IQ20" s="243"/>
      <c r="IR20" s="243"/>
      <c r="IS20" s="243"/>
      <c r="IT20" s="243"/>
      <c r="IU20" s="243"/>
      <c r="IV20" s="243"/>
      <c r="IW20" s="243"/>
    </row>
    <row r="21" customFormat="false" ht="12.75" hidden="false" customHeight="false" outlineLevel="0" collapsed="false">
      <c r="B21" s="1097" t="s">
        <v>698</v>
      </c>
      <c r="C21" s="1096"/>
      <c r="D21" s="242" t="n">
        <f aca="false">D72*D$7</f>
        <v>-0</v>
      </c>
      <c r="E21" s="242" t="n">
        <f aca="false">E72*E$7</f>
        <v>-0</v>
      </c>
      <c r="F21" s="242" t="n">
        <f aca="false">F72*F$7</f>
        <v>-0</v>
      </c>
      <c r="G21" s="242" t="n">
        <f aca="false">G72*G$7</f>
        <v>-0</v>
      </c>
      <c r="H21" s="242" t="n">
        <f aca="false">H72*H$7</f>
        <v>-0</v>
      </c>
      <c r="I21" s="242" t="n">
        <f aca="false">I72*I$7</f>
        <v>-0</v>
      </c>
      <c r="J21" s="242" t="n">
        <f aca="false">J72*J$7</f>
        <v>-0</v>
      </c>
      <c r="K21" s="242" t="n">
        <f aca="false">K72*K$7</f>
        <v>-0</v>
      </c>
      <c r="L21" s="242" t="n">
        <f aca="false">L72*L$7</f>
        <v>-0</v>
      </c>
      <c r="M21" s="242" t="n">
        <f aca="false">M72*M$7</f>
        <v>-0</v>
      </c>
      <c r="N21" s="242" t="n">
        <f aca="false">N72*N$7</f>
        <v>-0</v>
      </c>
      <c r="O21" s="242" t="n">
        <f aca="false">O72*O$7</f>
        <v>-0</v>
      </c>
      <c r="P21" s="242" t="n">
        <f aca="false">P72*P$7</f>
        <v>-0</v>
      </c>
      <c r="Q21" s="242" t="n">
        <f aca="false">Q72*Q$7</f>
        <v>-0</v>
      </c>
      <c r="R21" s="242" t="n">
        <f aca="false">R72*R$7</f>
        <v>-0</v>
      </c>
      <c r="S21" s="242" t="n">
        <f aca="false">S72*S$7</f>
        <v>-0</v>
      </c>
      <c r="T21" s="242" t="n">
        <f aca="false">T72*T$7</f>
        <v>-0</v>
      </c>
      <c r="U21" s="242" t="n">
        <f aca="false">U72*U$7</f>
        <v>-0</v>
      </c>
      <c r="V21" s="242" t="n">
        <f aca="false">V72*V$7</f>
        <v>-0</v>
      </c>
      <c r="W21" s="242" t="n">
        <f aca="false">W72*W$7</f>
        <v>-0</v>
      </c>
      <c r="X21" s="242" t="n">
        <f aca="false">X72*X$7</f>
        <v>-0</v>
      </c>
      <c r="Y21" s="242" t="n">
        <f aca="false">Y72*Y$7</f>
        <v>-0</v>
      </c>
      <c r="Z21" s="242" t="n">
        <f aca="false">Z72*Z$7</f>
        <v>-0</v>
      </c>
      <c r="AA21" s="242" t="n">
        <f aca="false">AA72*AA$7</f>
        <v>-0</v>
      </c>
      <c r="AB21" s="242" t="n">
        <f aca="false">AB72*AB$7</f>
        <v>-0</v>
      </c>
      <c r="AC21" s="242" t="n">
        <f aca="false">AC72*AC$7</f>
        <v>-0</v>
      </c>
      <c r="AD21" s="242" t="n">
        <f aca="false">AD72*AD$7</f>
        <v>-0</v>
      </c>
      <c r="AE21" s="242" t="n">
        <f aca="false">AE72*AE$7</f>
        <v>-0</v>
      </c>
      <c r="AF21" s="242" t="n">
        <f aca="false">AF72*AF$7</f>
        <v>-0</v>
      </c>
      <c r="AG21" s="242" t="n">
        <f aca="false">AG72*AG$7</f>
        <v>-0</v>
      </c>
      <c r="AH21" s="242" t="n">
        <f aca="false">AH72*AH$7</f>
        <v>-0</v>
      </c>
      <c r="AI21" s="242"/>
      <c r="AJ21" s="242"/>
      <c r="AK21" s="242"/>
      <c r="AL21" s="242"/>
      <c r="AM21" s="242"/>
      <c r="AN21" s="243"/>
      <c r="AO21" s="243"/>
      <c r="AP21" s="243"/>
      <c r="AQ21" s="243"/>
      <c r="AR21" s="243"/>
      <c r="AS21" s="243"/>
      <c r="AT21" s="243"/>
      <c r="AU21" s="243"/>
      <c r="AV21" s="243"/>
      <c r="AW21" s="243"/>
      <c r="AX21" s="243"/>
      <c r="AY21" s="243"/>
      <c r="AZ21" s="243"/>
      <c r="BA21" s="243"/>
      <c r="BB21" s="243"/>
      <c r="BC21" s="243"/>
      <c r="BD21" s="243"/>
      <c r="BE21" s="243"/>
      <c r="BF21" s="243"/>
      <c r="BG21" s="243"/>
      <c r="BH21" s="243"/>
      <c r="BI21" s="243"/>
      <c r="BJ21" s="243"/>
      <c r="BK21" s="243"/>
      <c r="BL21" s="243"/>
      <c r="BM21" s="243"/>
      <c r="BN21" s="243"/>
      <c r="BO21" s="243"/>
      <c r="BP21" s="243"/>
      <c r="BQ21" s="243"/>
      <c r="BR21" s="243"/>
      <c r="BS21" s="243"/>
      <c r="BT21" s="243"/>
      <c r="BU21" s="243"/>
      <c r="BV21" s="243"/>
      <c r="BW21" s="243"/>
      <c r="BX21" s="243"/>
      <c r="BY21" s="243"/>
      <c r="BZ21" s="243"/>
      <c r="CA21" s="243"/>
      <c r="CB21" s="243"/>
      <c r="CC21" s="243"/>
      <c r="CD21" s="243"/>
      <c r="CE21" s="243"/>
      <c r="CF21" s="243"/>
      <c r="CG21" s="243"/>
      <c r="CH21" s="243"/>
      <c r="CI21" s="243"/>
      <c r="CJ21" s="243"/>
      <c r="CK21" s="243"/>
      <c r="CL21" s="243"/>
      <c r="CM21" s="243"/>
      <c r="CN21" s="243"/>
      <c r="CO21" s="243"/>
      <c r="CP21" s="243"/>
      <c r="CQ21" s="243"/>
      <c r="CR21" s="243"/>
      <c r="CS21" s="243"/>
      <c r="CT21" s="243"/>
      <c r="CU21" s="243"/>
      <c r="CV21" s="243"/>
      <c r="CW21" s="243"/>
      <c r="CX21" s="243"/>
      <c r="CY21" s="243"/>
      <c r="CZ21" s="243"/>
      <c r="DA21" s="243"/>
      <c r="DB21" s="243"/>
      <c r="DC21" s="243"/>
      <c r="DD21" s="243"/>
      <c r="DE21" s="243"/>
      <c r="DF21" s="243"/>
      <c r="DG21" s="243"/>
      <c r="DH21" s="243"/>
      <c r="DI21" s="243"/>
      <c r="DJ21" s="243"/>
      <c r="DK21" s="243"/>
      <c r="DL21" s="243"/>
      <c r="DM21" s="243"/>
      <c r="DN21" s="243"/>
      <c r="DO21" s="243"/>
      <c r="DP21" s="243"/>
      <c r="DQ21" s="243"/>
      <c r="DR21" s="243"/>
      <c r="DS21" s="243"/>
      <c r="DT21" s="243"/>
      <c r="DU21" s="243"/>
      <c r="DV21" s="243"/>
      <c r="DW21" s="243"/>
      <c r="DX21" s="243"/>
      <c r="DY21" s="243"/>
      <c r="DZ21" s="243"/>
      <c r="EA21" s="243"/>
      <c r="EB21" s="243"/>
      <c r="EC21" s="243"/>
      <c r="ED21" s="243"/>
      <c r="EE21" s="243"/>
      <c r="EF21" s="243"/>
      <c r="EG21" s="243"/>
      <c r="EH21" s="243"/>
      <c r="EI21" s="243"/>
      <c r="EJ21" s="243"/>
      <c r="EK21" s="243"/>
      <c r="EL21" s="243"/>
      <c r="EM21" s="243"/>
      <c r="EN21" s="243"/>
      <c r="EO21" s="243"/>
      <c r="EP21" s="243"/>
      <c r="EQ21" s="243"/>
      <c r="ER21" s="243"/>
      <c r="ES21" s="243"/>
      <c r="ET21" s="243"/>
      <c r="EU21" s="243"/>
      <c r="EV21" s="243"/>
      <c r="EW21" s="243"/>
      <c r="EX21" s="243"/>
      <c r="EY21" s="243"/>
      <c r="EZ21" s="243"/>
      <c r="FA21" s="243"/>
      <c r="FB21" s="243"/>
      <c r="FC21" s="243"/>
      <c r="FD21" s="243"/>
      <c r="FE21" s="243"/>
      <c r="FF21" s="243"/>
      <c r="FG21" s="243"/>
      <c r="FH21" s="243"/>
      <c r="FI21" s="243"/>
      <c r="FJ21" s="243"/>
      <c r="FK21" s="243"/>
      <c r="FL21" s="243"/>
      <c r="FM21" s="243"/>
      <c r="FN21" s="243"/>
      <c r="FO21" s="243"/>
      <c r="FP21" s="243"/>
      <c r="FQ21" s="243"/>
      <c r="FR21" s="243"/>
      <c r="FS21" s="243"/>
      <c r="FT21" s="243"/>
      <c r="FU21" s="243"/>
      <c r="FV21" s="243"/>
      <c r="FW21" s="243"/>
      <c r="FX21" s="243"/>
      <c r="FY21" s="243"/>
      <c r="FZ21" s="243"/>
      <c r="GA21" s="243"/>
      <c r="GB21" s="243"/>
      <c r="GC21" s="243"/>
      <c r="GD21" s="243"/>
      <c r="GE21" s="243"/>
      <c r="GF21" s="243"/>
      <c r="GG21" s="243"/>
      <c r="GH21" s="243"/>
      <c r="GI21" s="243"/>
      <c r="GJ21" s="243"/>
      <c r="GK21" s="243"/>
      <c r="GL21" s="243"/>
      <c r="GM21" s="243"/>
      <c r="GN21" s="243"/>
      <c r="GO21" s="243"/>
      <c r="GP21" s="243"/>
      <c r="GQ21" s="243"/>
      <c r="GR21" s="243"/>
      <c r="GS21" s="243"/>
      <c r="GT21" s="243"/>
      <c r="GU21" s="243"/>
      <c r="GV21" s="243"/>
      <c r="GW21" s="243"/>
      <c r="GX21" s="243"/>
      <c r="GY21" s="243"/>
      <c r="GZ21" s="243"/>
      <c r="HA21" s="243"/>
      <c r="HB21" s="243"/>
      <c r="HC21" s="243"/>
      <c r="HD21" s="243"/>
      <c r="HE21" s="243"/>
      <c r="HF21" s="243"/>
      <c r="HG21" s="243"/>
      <c r="HH21" s="243"/>
      <c r="HI21" s="243"/>
      <c r="HJ21" s="243"/>
      <c r="HK21" s="243"/>
      <c r="HL21" s="243"/>
      <c r="HM21" s="243"/>
      <c r="HN21" s="243"/>
      <c r="HO21" s="243"/>
      <c r="HP21" s="243"/>
      <c r="HQ21" s="243"/>
      <c r="HR21" s="243"/>
      <c r="HS21" s="243"/>
      <c r="HT21" s="243"/>
      <c r="HU21" s="243"/>
      <c r="HV21" s="243"/>
      <c r="HW21" s="243"/>
      <c r="HX21" s="243"/>
      <c r="HY21" s="243"/>
      <c r="HZ21" s="243"/>
      <c r="IA21" s="243"/>
      <c r="IB21" s="243"/>
      <c r="IC21" s="243"/>
      <c r="ID21" s="243"/>
      <c r="IE21" s="243"/>
      <c r="IF21" s="243"/>
      <c r="IG21" s="243"/>
      <c r="IH21" s="243"/>
      <c r="II21" s="243"/>
      <c r="IJ21" s="243"/>
      <c r="IK21" s="243"/>
      <c r="IL21" s="243"/>
      <c r="IM21" s="243"/>
      <c r="IN21" s="243"/>
      <c r="IO21" s="243"/>
      <c r="IP21" s="243"/>
      <c r="IQ21" s="243"/>
      <c r="IR21" s="243"/>
      <c r="IS21" s="243"/>
      <c r="IT21" s="243"/>
      <c r="IU21" s="243"/>
      <c r="IV21" s="243"/>
      <c r="IW21" s="243"/>
    </row>
    <row r="22" customFormat="false" ht="12.75" hidden="false" customHeight="false" outlineLevel="0" collapsed="false">
      <c r="B22" s="1095" t="s">
        <v>699</v>
      </c>
      <c r="C22" s="242"/>
      <c r="D22" s="242"/>
      <c r="E22" s="242"/>
      <c r="F22" s="242"/>
      <c r="G22" s="242"/>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1098"/>
      <c r="AI22" s="242"/>
      <c r="AJ22" s="242"/>
      <c r="AK22" s="242"/>
      <c r="AL22" s="242"/>
      <c r="AM22" s="242"/>
      <c r="AN22" s="243"/>
      <c r="AO22" s="243"/>
      <c r="AP22" s="243"/>
      <c r="AQ22" s="243"/>
      <c r="AR22" s="243"/>
      <c r="AS22" s="243"/>
      <c r="AT22" s="243"/>
      <c r="AU22" s="243"/>
      <c r="AV22" s="243"/>
      <c r="AW22" s="243"/>
      <c r="AX22" s="243"/>
      <c r="AY22" s="243"/>
      <c r="AZ22" s="243"/>
      <c r="BA22" s="243"/>
      <c r="BB22" s="243"/>
      <c r="BC22" s="243"/>
      <c r="BD22" s="243"/>
      <c r="BE22" s="243"/>
      <c r="BF22" s="243"/>
      <c r="BG22" s="243"/>
      <c r="BH22" s="243"/>
      <c r="BI22" s="243"/>
      <c r="BJ22" s="243"/>
      <c r="BK22" s="243"/>
      <c r="BL22" s="243"/>
      <c r="BM22" s="243"/>
      <c r="BN22" s="243"/>
      <c r="BO22" s="243"/>
      <c r="BP22" s="243"/>
      <c r="BQ22" s="243"/>
      <c r="BR22" s="243"/>
      <c r="BS22" s="243"/>
      <c r="BT22" s="243"/>
      <c r="BU22" s="243"/>
      <c r="BV22" s="243"/>
      <c r="BW22" s="243"/>
      <c r="BX22" s="243"/>
      <c r="BY22" s="243"/>
      <c r="BZ22" s="243"/>
      <c r="CA22" s="243"/>
      <c r="CB22" s="243"/>
      <c r="CC22" s="243"/>
      <c r="CD22" s="243"/>
      <c r="CE22" s="243"/>
      <c r="CF22" s="243"/>
      <c r="CG22" s="243"/>
      <c r="CH22" s="243"/>
      <c r="CI22" s="243"/>
      <c r="CJ22" s="243"/>
      <c r="CK22" s="243"/>
      <c r="CL22" s="243"/>
      <c r="CM22" s="243"/>
      <c r="CN22" s="243"/>
      <c r="CO22" s="243"/>
      <c r="CP22" s="243"/>
      <c r="CQ22" s="243"/>
      <c r="CR22" s="243"/>
      <c r="CS22" s="243"/>
      <c r="CT22" s="243"/>
      <c r="CU22" s="243"/>
      <c r="CV22" s="243"/>
      <c r="CW22" s="243"/>
      <c r="CX22" s="243"/>
      <c r="CY22" s="243"/>
      <c r="CZ22" s="243"/>
      <c r="DA22" s="243"/>
      <c r="DB22" s="243"/>
      <c r="DC22" s="243"/>
      <c r="DD22" s="243"/>
      <c r="DE22" s="243"/>
      <c r="DF22" s="243"/>
      <c r="DG22" s="243"/>
      <c r="DH22" s="243"/>
      <c r="DI22" s="243"/>
      <c r="DJ22" s="243"/>
      <c r="DK22" s="243"/>
      <c r="DL22" s="243"/>
      <c r="DM22" s="243"/>
      <c r="DN22" s="243"/>
      <c r="DO22" s="243"/>
      <c r="DP22" s="243"/>
      <c r="DQ22" s="243"/>
      <c r="DR22" s="243"/>
      <c r="DS22" s="243"/>
      <c r="DT22" s="243"/>
      <c r="DU22" s="243"/>
      <c r="DV22" s="243"/>
      <c r="DW22" s="243"/>
      <c r="DX22" s="243"/>
      <c r="DY22" s="243"/>
      <c r="DZ22" s="243"/>
      <c r="EA22" s="243"/>
      <c r="EB22" s="243"/>
      <c r="EC22" s="243"/>
      <c r="ED22" s="243"/>
      <c r="EE22" s="243"/>
      <c r="EF22" s="243"/>
      <c r="EG22" s="243"/>
      <c r="EH22" s="243"/>
      <c r="EI22" s="243"/>
      <c r="EJ22" s="243"/>
      <c r="EK22" s="243"/>
      <c r="EL22" s="243"/>
      <c r="EM22" s="243"/>
      <c r="EN22" s="243"/>
      <c r="EO22" s="243"/>
      <c r="EP22" s="243"/>
      <c r="EQ22" s="243"/>
      <c r="ER22" s="243"/>
      <c r="ES22" s="243"/>
      <c r="ET22" s="243"/>
      <c r="EU22" s="243"/>
      <c r="EV22" s="243"/>
      <c r="EW22" s="243"/>
      <c r="EX22" s="243"/>
      <c r="EY22" s="243"/>
      <c r="EZ22" s="243"/>
      <c r="FA22" s="243"/>
      <c r="FB22" s="243"/>
      <c r="FC22" s="243"/>
      <c r="FD22" s="243"/>
      <c r="FE22" s="243"/>
      <c r="FF22" s="243"/>
      <c r="FG22" s="243"/>
      <c r="FH22" s="243"/>
      <c r="FI22" s="243"/>
      <c r="FJ22" s="243"/>
      <c r="FK22" s="243"/>
      <c r="FL22" s="243"/>
      <c r="FM22" s="243"/>
      <c r="FN22" s="243"/>
      <c r="FO22" s="243"/>
      <c r="FP22" s="243"/>
      <c r="FQ22" s="243"/>
      <c r="FR22" s="243"/>
      <c r="FS22" s="243"/>
      <c r="FT22" s="243"/>
      <c r="FU22" s="243"/>
      <c r="FV22" s="243"/>
      <c r="FW22" s="243"/>
      <c r="FX22" s="243"/>
      <c r="FY22" s="243"/>
      <c r="FZ22" s="243"/>
      <c r="GA22" s="243"/>
      <c r="GB22" s="243"/>
      <c r="GC22" s="243"/>
      <c r="GD22" s="243"/>
      <c r="GE22" s="243"/>
      <c r="GF22" s="243"/>
      <c r="GG22" s="243"/>
      <c r="GH22" s="243"/>
      <c r="GI22" s="243"/>
      <c r="GJ22" s="243"/>
      <c r="GK22" s="243"/>
      <c r="GL22" s="243"/>
      <c r="GM22" s="243"/>
      <c r="GN22" s="243"/>
      <c r="GO22" s="243"/>
      <c r="GP22" s="243"/>
      <c r="GQ22" s="243"/>
      <c r="GR22" s="243"/>
      <c r="GS22" s="243"/>
      <c r="GT22" s="243"/>
      <c r="GU22" s="243"/>
      <c r="GV22" s="243"/>
      <c r="GW22" s="243"/>
      <c r="GX22" s="243"/>
      <c r="GY22" s="243"/>
      <c r="GZ22" s="243"/>
      <c r="HA22" s="243"/>
      <c r="HB22" s="243"/>
      <c r="HC22" s="243"/>
      <c r="HD22" s="243"/>
      <c r="HE22" s="243"/>
      <c r="HF22" s="243"/>
      <c r="HG22" s="243"/>
      <c r="HH22" s="243"/>
      <c r="HI22" s="243"/>
      <c r="HJ22" s="243"/>
      <c r="HK22" s="243"/>
      <c r="HL22" s="243"/>
      <c r="HM22" s="243"/>
      <c r="HN22" s="243"/>
      <c r="HO22" s="243"/>
      <c r="HP22" s="243"/>
      <c r="HQ22" s="243"/>
      <c r="HR22" s="243"/>
      <c r="HS22" s="243"/>
      <c r="HT22" s="243"/>
      <c r="HU22" s="243"/>
      <c r="HV22" s="243"/>
      <c r="HW22" s="243"/>
      <c r="HX22" s="243"/>
      <c r="HY22" s="243"/>
      <c r="HZ22" s="243"/>
      <c r="IA22" s="243"/>
      <c r="IB22" s="243"/>
      <c r="IC22" s="243"/>
      <c r="ID22" s="243"/>
      <c r="IE22" s="243"/>
      <c r="IF22" s="243"/>
      <c r="IG22" s="243"/>
      <c r="IH22" s="243"/>
      <c r="II22" s="243"/>
      <c r="IJ22" s="243"/>
      <c r="IK22" s="243"/>
      <c r="IL22" s="243"/>
      <c r="IM22" s="243"/>
      <c r="IN22" s="243"/>
      <c r="IO22" s="243"/>
      <c r="IP22" s="243"/>
      <c r="IQ22" s="243"/>
      <c r="IR22" s="243"/>
      <c r="IS22" s="243"/>
      <c r="IT22" s="243"/>
      <c r="IU22" s="243"/>
      <c r="IV22" s="243"/>
      <c r="IW22" s="243"/>
    </row>
    <row r="23" customFormat="false" ht="12.75" hidden="false" customHeight="false" outlineLevel="0" collapsed="false">
      <c r="B23" s="1095" t="s">
        <v>700</v>
      </c>
      <c r="C23" s="1096"/>
      <c r="D23" s="242" t="n">
        <f aca="false">CashFlow!E58*D6</f>
        <v>-567.567927207231</v>
      </c>
      <c r="E23" s="242" t="n">
        <f aca="false">CashFlow!F58*E6</f>
        <v>-565.891477850479</v>
      </c>
      <c r="F23" s="242" t="n">
        <f aca="false">CashFlow!G58*F6</f>
        <v>-564.040638135921</v>
      </c>
      <c r="G23" s="242" t="n">
        <f aca="false">CashFlow!H58*G6</f>
        <v>-561.950675418391</v>
      </c>
      <c r="H23" s="242" t="n">
        <f aca="false">CashFlow!I58*H6</f>
        <v>-559.657083776247</v>
      </c>
      <c r="I23" s="242" t="n">
        <f aca="false">CashFlow!J58*I6</f>
        <v>-557.250692721143</v>
      </c>
      <c r="J23" s="242" t="n">
        <f aca="false">CashFlow!K58*J6</f>
        <v>-552.089131830064</v>
      </c>
      <c r="K23" s="242" t="n">
        <f aca="false">CashFlow!L58*K6</f>
        <v>-546.705796732148</v>
      </c>
      <c r="L23" s="242" t="n">
        <f aca="false">CashFlow!M58*L6</f>
        <v>-541.094677038582</v>
      </c>
      <c r="M23" s="242" t="n">
        <f aca="false">CashFlow!N58*M6</f>
        <v>-534.989622795779</v>
      </c>
      <c r="N23" s="242" t="n">
        <f aca="false">CashFlow!O58*N6</f>
        <v>-541.56598132851</v>
      </c>
      <c r="O23" s="242" t="n">
        <f aca="false">CashFlow!P58*O6</f>
        <v>-535.031735333494</v>
      </c>
      <c r="P23" s="242" t="n">
        <f aca="false">CashFlow!Q58*P6</f>
        <v>-527.988779726472</v>
      </c>
      <c r="Q23" s="242" t="n">
        <f aca="false">CashFlow!R58*Q6</f>
        <v>-520.40487414159</v>
      </c>
      <c r="R23" s="242" t="n">
        <f aca="false">CashFlow!S58*R6</f>
        <v>-512.221841506162</v>
      </c>
      <c r="S23" s="242" t="n">
        <f aca="false">CashFlow!T58*S6</f>
        <v>-504.020604147278</v>
      </c>
      <c r="T23" s="242" t="n">
        <f aca="false">CashFlow!U58*T6</f>
        <v>-584.688627956806</v>
      </c>
      <c r="U23" s="242" t="n">
        <f aca="false">CashFlow!V58*U6</f>
        <v>-2010.52145325015</v>
      </c>
      <c r="V23" s="242" t="n">
        <f aca="false">CashFlow!W58*V6</f>
        <v>-1979.73770546626</v>
      </c>
      <c r="W23" s="242" t="n">
        <f aca="false">CashFlow!X58*W6</f>
        <v>-2144.55497268781</v>
      </c>
      <c r="X23" s="242" t="n">
        <f aca="false">CashFlow!Y58*X6</f>
        <v>-0</v>
      </c>
      <c r="Y23" s="242" t="n">
        <f aca="false">CashFlow!Z58*Y6</f>
        <v>-0</v>
      </c>
      <c r="Z23" s="242" t="n">
        <f aca="false">CashFlow!AA58*Z6</f>
        <v>-0</v>
      </c>
      <c r="AA23" s="242" t="n">
        <f aca="false">CashFlow!AB58*AA6</f>
        <v>-0</v>
      </c>
      <c r="AB23" s="242" t="n">
        <f aca="false">CashFlow!AC58*AB6</f>
        <v>-0</v>
      </c>
      <c r="AC23" s="242" t="n">
        <f aca="false">CashFlow!AD58*AC6</f>
        <v>-0</v>
      </c>
      <c r="AD23" s="242" t="n">
        <f aca="false">CashFlow!AE58*AD6</f>
        <v>-0</v>
      </c>
      <c r="AE23" s="242" t="n">
        <f aca="false">CashFlow!AF58*AE6</f>
        <v>-0</v>
      </c>
      <c r="AF23" s="242" t="n">
        <f aca="false">CashFlow!AG58*AF6</f>
        <v>-0</v>
      </c>
      <c r="AG23" s="242" t="n">
        <f aca="false">CashFlow!AH58*AG6</f>
        <v>-0</v>
      </c>
      <c r="AH23" s="242" t="n">
        <f aca="false">CashFlow!AI58*AH6</f>
        <v>-0</v>
      </c>
      <c r="AI23" s="242"/>
      <c r="AJ23" s="242"/>
      <c r="AK23" s="242"/>
      <c r="AL23" s="242"/>
      <c r="AM23" s="242"/>
      <c r="AN23" s="243"/>
      <c r="AO23" s="243"/>
      <c r="AP23" s="243"/>
      <c r="AQ23" s="243"/>
      <c r="AR23" s="243"/>
      <c r="AS23" s="243"/>
      <c r="AT23" s="243"/>
      <c r="AU23" s="243"/>
      <c r="AV23" s="243"/>
      <c r="AW23" s="243"/>
      <c r="AX23" s="243"/>
      <c r="AY23" s="243"/>
      <c r="AZ23" s="243"/>
      <c r="BA23" s="243"/>
      <c r="BB23" s="243"/>
      <c r="BC23" s="243"/>
      <c r="BD23" s="243"/>
      <c r="BE23" s="243"/>
      <c r="BF23" s="243"/>
      <c r="BG23" s="243"/>
      <c r="BH23" s="243"/>
      <c r="BI23" s="243"/>
      <c r="BJ23" s="243"/>
      <c r="BK23" s="243"/>
      <c r="BL23" s="243"/>
      <c r="BM23" s="243"/>
      <c r="BN23" s="243"/>
      <c r="BO23" s="243"/>
      <c r="BP23" s="243"/>
      <c r="BQ23" s="243"/>
      <c r="BR23" s="243"/>
      <c r="BS23" s="243"/>
      <c r="BT23" s="243"/>
      <c r="BU23" s="243"/>
      <c r="BV23" s="243"/>
      <c r="BW23" s="243"/>
      <c r="BX23" s="243"/>
      <c r="BY23" s="243"/>
      <c r="BZ23" s="243"/>
      <c r="CA23" s="243"/>
      <c r="CB23" s="243"/>
      <c r="CC23" s="243"/>
      <c r="CD23" s="243"/>
      <c r="CE23" s="243"/>
      <c r="CF23" s="243"/>
      <c r="CG23" s="243"/>
      <c r="CH23" s="243"/>
      <c r="CI23" s="243"/>
      <c r="CJ23" s="243"/>
      <c r="CK23" s="243"/>
      <c r="CL23" s="243"/>
      <c r="CM23" s="243"/>
      <c r="CN23" s="243"/>
      <c r="CO23" s="243"/>
      <c r="CP23" s="243"/>
      <c r="CQ23" s="243"/>
      <c r="CR23" s="243"/>
      <c r="CS23" s="243"/>
      <c r="CT23" s="243"/>
      <c r="CU23" s="243"/>
      <c r="CV23" s="243"/>
      <c r="CW23" s="243"/>
      <c r="CX23" s="243"/>
      <c r="CY23" s="243"/>
      <c r="CZ23" s="243"/>
      <c r="DA23" s="243"/>
      <c r="DB23" s="243"/>
      <c r="DC23" s="243"/>
      <c r="DD23" s="243"/>
      <c r="DE23" s="243"/>
      <c r="DF23" s="243"/>
      <c r="DG23" s="243"/>
      <c r="DH23" s="243"/>
      <c r="DI23" s="243"/>
      <c r="DJ23" s="243"/>
      <c r="DK23" s="243"/>
      <c r="DL23" s="243"/>
      <c r="DM23" s="243"/>
      <c r="DN23" s="243"/>
      <c r="DO23" s="243"/>
      <c r="DP23" s="243"/>
      <c r="DQ23" s="243"/>
      <c r="DR23" s="243"/>
      <c r="DS23" s="243"/>
      <c r="DT23" s="243"/>
      <c r="DU23" s="243"/>
      <c r="DV23" s="243"/>
      <c r="DW23" s="243"/>
      <c r="DX23" s="243"/>
      <c r="DY23" s="243"/>
      <c r="DZ23" s="243"/>
      <c r="EA23" s="243"/>
      <c r="EB23" s="243"/>
      <c r="EC23" s="243"/>
      <c r="ED23" s="243"/>
      <c r="EE23" s="243"/>
      <c r="EF23" s="243"/>
      <c r="EG23" s="243"/>
      <c r="EH23" s="243"/>
      <c r="EI23" s="243"/>
      <c r="EJ23" s="243"/>
      <c r="EK23" s="243"/>
      <c r="EL23" s="243"/>
      <c r="EM23" s="243"/>
      <c r="EN23" s="243"/>
      <c r="EO23" s="243"/>
      <c r="EP23" s="243"/>
      <c r="EQ23" s="243"/>
      <c r="ER23" s="243"/>
      <c r="ES23" s="243"/>
      <c r="ET23" s="243"/>
      <c r="EU23" s="243"/>
      <c r="EV23" s="243"/>
      <c r="EW23" s="243"/>
      <c r="EX23" s="243"/>
      <c r="EY23" s="243"/>
      <c r="EZ23" s="243"/>
      <c r="FA23" s="243"/>
      <c r="FB23" s="243"/>
      <c r="FC23" s="243"/>
      <c r="FD23" s="243"/>
      <c r="FE23" s="243"/>
      <c r="FF23" s="243"/>
      <c r="FG23" s="243"/>
      <c r="FH23" s="243"/>
      <c r="FI23" s="243"/>
      <c r="FJ23" s="243"/>
      <c r="FK23" s="243"/>
      <c r="FL23" s="243"/>
      <c r="FM23" s="243"/>
      <c r="FN23" s="243"/>
      <c r="FO23" s="243"/>
      <c r="FP23" s="243"/>
      <c r="FQ23" s="243"/>
      <c r="FR23" s="243"/>
      <c r="FS23" s="243"/>
      <c r="FT23" s="243"/>
      <c r="FU23" s="243"/>
      <c r="FV23" s="243"/>
      <c r="FW23" s="243"/>
      <c r="FX23" s="243"/>
      <c r="FY23" s="243"/>
      <c r="FZ23" s="243"/>
      <c r="GA23" s="243"/>
      <c r="GB23" s="243"/>
      <c r="GC23" s="243"/>
      <c r="GD23" s="243"/>
      <c r="GE23" s="243"/>
      <c r="GF23" s="243"/>
      <c r="GG23" s="243"/>
      <c r="GH23" s="243"/>
      <c r="GI23" s="243"/>
      <c r="GJ23" s="243"/>
      <c r="GK23" s="243"/>
      <c r="GL23" s="243"/>
      <c r="GM23" s="243"/>
      <c r="GN23" s="243"/>
      <c r="GO23" s="243"/>
      <c r="GP23" s="243"/>
      <c r="GQ23" s="243"/>
      <c r="GR23" s="243"/>
      <c r="GS23" s="243"/>
      <c r="GT23" s="243"/>
      <c r="GU23" s="243"/>
      <c r="GV23" s="243"/>
      <c r="GW23" s="243"/>
      <c r="GX23" s="243"/>
      <c r="GY23" s="243"/>
      <c r="GZ23" s="243"/>
      <c r="HA23" s="243"/>
      <c r="HB23" s="243"/>
      <c r="HC23" s="243"/>
      <c r="HD23" s="243"/>
      <c r="HE23" s="243"/>
      <c r="HF23" s="243"/>
      <c r="HG23" s="243"/>
      <c r="HH23" s="243"/>
      <c r="HI23" s="243"/>
      <c r="HJ23" s="243"/>
      <c r="HK23" s="243"/>
      <c r="HL23" s="243"/>
      <c r="HM23" s="243"/>
      <c r="HN23" s="243"/>
      <c r="HO23" s="243"/>
      <c r="HP23" s="243"/>
      <c r="HQ23" s="243"/>
      <c r="HR23" s="243"/>
      <c r="HS23" s="243"/>
      <c r="HT23" s="243"/>
      <c r="HU23" s="243"/>
      <c r="HV23" s="243"/>
      <c r="HW23" s="243"/>
      <c r="HX23" s="243"/>
      <c r="HY23" s="243"/>
      <c r="HZ23" s="243"/>
      <c r="IA23" s="243"/>
      <c r="IB23" s="243"/>
      <c r="IC23" s="243"/>
      <c r="ID23" s="243"/>
      <c r="IE23" s="243"/>
      <c r="IF23" s="243"/>
      <c r="IG23" s="243"/>
      <c r="IH23" s="243"/>
      <c r="II23" s="243"/>
      <c r="IJ23" s="243"/>
      <c r="IK23" s="243"/>
      <c r="IL23" s="243"/>
      <c r="IM23" s="243"/>
      <c r="IN23" s="243"/>
      <c r="IO23" s="243"/>
      <c r="IP23" s="243"/>
      <c r="IQ23" s="243"/>
      <c r="IR23" s="243"/>
      <c r="IS23" s="243"/>
      <c r="IT23" s="243"/>
      <c r="IU23" s="243"/>
      <c r="IV23" s="243"/>
      <c r="IW23" s="243"/>
    </row>
    <row r="24" customFormat="false" ht="12.75" hidden="false" customHeight="false" outlineLevel="0" collapsed="false">
      <c r="B24" s="1095"/>
      <c r="C24" s="1096"/>
      <c r="D24" s="242"/>
      <c r="E24" s="242"/>
      <c r="F24" s="242"/>
      <c r="G24" s="242"/>
      <c r="H24" s="242"/>
      <c r="I24" s="242"/>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1098"/>
      <c r="AI24" s="242"/>
      <c r="AJ24" s="242"/>
      <c r="AK24" s="242"/>
      <c r="AL24" s="242"/>
      <c r="AM24" s="242"/>
      <c r="AN24" s="243"/>
      <c r="AO24" s="243"/>
      <c r="AP24" s="243"/>
      <c r="AQ24" s="243"/>
      <c r="AR24" s="243"/>
      <c r="AS24" s="243"/>
      <c r="AT24" s="243"/>
      <c r="AU24" s="243"/>
      <c r="AV24" s="243"/>
      <c r="AW24" s="243"/>
      <c r="AX24" s="243"/>
      <c r="AY24" s="243"/>
      <c r="AZ24" s="243"/>
      <c r="BA24" s="243"/>
      <c r="BB24" s="243"/>
      <c r="BC24" s="243"/>
      <c r="BD24" s="243"/>
      <c r="BE24" s="243"/>
      <c r="BF24" s="243"/>
      <c r="BG24" s="243"/>
      <c r="BH24" s="243"/>
      <c r="BI24" s="243"/>
      <c r="BJ24" s="243"/>
      <c r="BK24" s="243"/>
      <c r="BL24" s="243"/>
      <c r="BM24" s="243"/>
      <c r="BN24" s="243"/>
      <c r="BO24" s="243"/>
      <c r="BP24" s="243"/>
      <c r="BQ24" s="243"/>
      <c r="BR24" s="243"/>
      <c r="BS24" s="243"/>
      <c r="BT24" s="243"/>
      <c r="BU24" s="243"/>
      <c r="BV24" s="243"/>
      <c r="BW24" s="243"/>
      <c r="BX24" s="243"/>
      <c r="BY24" s="243"/>
      <c r="BZ24" s="243"/>
      <c r="CA24" s="243"/>
      <c r="CB24" s="243"/>
      <c r="CC24" s="243"/>
      <c r="CD24" s="243"/>
      <c r="CE24" s="243"/>
      <c r="CF24" s="243"/>
      <c r="CG24" s="243"/>
      <c r="CH24" s="243"/>
      <c r="CI24" s="243"/>
      <c r="CJ24" s="243"/>
      <c r="CK24" s="243"/>
      <c r="CL24" s="243"/>
      <c r="CM24" s="243"/>
      <c r="CN24" s="243"/>
      <c r="CO24" s="243"/>
      <c r="CP24" s="243"/>
      <c r="CQ24" s="243"/>
      <c r="CR24" s="243"/>
      <c r="CS24" s="243"/>
      <c r="CT24" s="243"/>
      <c r="CU24" s="243"/>
      <c r="CV24" s="243"/>
      <c r="CW24" s="243"/>
      <c r="CX24" s="243"/>
      <c r="CY24" s="243"/>
      <c r="CZ24" s="243"/>
      <c r="DA24" s="243"/>
      <c r="DB24" s="243"/>
      <c r="DC24" s="243"/>
      <c r="DD24" s="243"/>
      <c r="DE24" s="243"/>
      <c r="DF24" s="243"/>
      <c r="DG24" s="243"/>
      <c r="DH24" s="243"/>
      <c r="DI24" s="243"/>
      <c r="DJ24" s="243"/>
      <c r="DK24" s="243"/>
      <c r="DL24" s="243"/>
      <c r="DM24" s="243"/>
      <c r="DN24" s="243"/>
      <c r="DO24" s="243"/>
      <c r="DP24" s="243"/>
      <c r="DQ24" s="243"/>
      <c r="DR24" s="243"/>
      <c r="DS24" s="243"/>
      <c r="DT24" s="243"/>
      <c r="DU24" s="243"/>
      <c r="DV24" s="243"/>
      <c r="DW24" s="243"/>
      <c r="DX24" s="243"/>
      <c r="DY24" s="243"/>
      <c r="DZ24" s="243"/>
      <c r="EA24" s="243"/>
      <c r="EB24" s="243"/>
      <c r="EC24" s="243"/>
      <c r="ED24" s="243"/>
      <c r="EE24" s="243"/>
      <c r="EF24" s="243"/>
      <c r="EG24" s="243"/>
      <c r="EH24" s="243"/>
      <c r="EI24" s="243"/>
      <c r="EJ24" s="243"/>
      <c r="EK24" s="243"/>
      <c r="EL24" s="243"/>
      <c r="EM24" s="243"/>
      <c r="EN24" s="243"/>
      <c r="EO24" s="243"/>
      <c r="EP24" s="243"/>
      <c r="EQ24" s="243"/>
      <c r="ER24" s="243"/>
      <c r="ES24" s="243"/>
      <c r="ET24" s="243"/>
      <c r="EU24" s="243"/>
      <c r="EV24" s="243"/>
      <c r="EW24" s="243"/>
      <c r="EX24" s="243"/>
      <c r="EY24" s="243"/>
      <c r="EZ24" s="243"/>
      <c r="FA24" s="243"/>
      <c r="FB24" s="243"/>
      <c r="FC24" s="243"/>
      <c r="FD24" s="243"/>
      <c r="FE24" s="243"/>
      <c r="FF24" s="243"/>
      <c r="FG24" s="243"/>
      <c r="FH24" s="243"/>
      <c r="FI24" s="243"/>
      <c r="FJ24" s="243"/>
      <c r="FK24" s="243"/>
      <c r="FL24" s="243"/>
      <c r="FM24" s="243"/>
      <c r="FN24" s="243"/>
      <c r="FO24" s="243"/>
      <c r="FP24" s="243"/>
      <c r="FQ24" s="243"/>
      <c r="FR24" s="243"/>
      <c r="FS24" s="243"/>
      <c r="FT24" s="243"/>
      <c r="FU24" s="243"/>
      <c r="FV24" s="243"/>
      <c r="FW24" s="243"/>
      <c r="FX24" s="243"/>
      <c r="FY24" s="243"/>
      <c r="FZ24" s="243"/>
      <c r="GA24" s="243"/>
      <c r="GB24" s="243"/>
      <c r="GC24" s="243"/>
      <c r="GD24" s="243"/>
      <c r="GE24" s="243"/>
      <c r="GF24" s="243"/>
      <c r="GG24" s="243"/>
      <c r="GH24" s="243"/>
      <c r="GI24" s="243"/>
      <c r="GJ24" s="243"/>
      <c r="GK24" s="243"/>
      <c r="GL24" s="243"/>
      <c r="GM24" s="243"/>
      <c r="GN24" s="243"/>
      <c r="GO24" s="243"/>
      <c r="GP24" s="243"/>
      <c r="GQ24" s="243"/>
      <c r="GR24" s="243"/>
      <c r="GS24" s="243"/>
      <c r="GT24" s="243"/>
      <c r="GU24" s="243"/>
      <c r="GV24" s="243"/>
      <c r="GW24" s="243"/>
      <c r="GX24" s="243"/>
      <c r="GY24" s="243"/>
      <c r="GZ24" s="243"/>
      <c r="HA24" s="243"/>
      <c r="HB24" s="243"/>
      <c r="HC24" s="243"/>
      <c r="HD24" s="243"/>
      <c r="HE24" s="243"/>
      <c r="HF24" s="243"/>
      <c r="HG24" s="243"/>
      <c r="HH24" s="243"/>
      <c r="HI24" s="243"/>
      <c r="HJ24" s="243"/>
      <c r="HK24" s="243"/>
      <c r="HL24" s="243"/>
      <c r="HM24" s="243"/>
      <c r="HN24" s="243"/>
      <c r="HO24" s="243"/>
      <c r="HP24" s="243"/>
      <c r="HQ24" s="243"/>
      <c r="HR24" s="243"/>
      <c r="HS24" s="243"/>
      <c r="HT24" s="243"/>
      <c r="HU24" s="243"/>
      <c r="HV24" s="243"/>
      <c r="HW24" s="243"/>
      <c r="HX24" s="243"/>
      <c r="HY24" s="243"/>
      <c r="HZ24" s="243"/>
      <c r="IA24" s="243"/>
      <c r="IB24" s="243"/>
      <c r="IC24" s="243"/>
      <c r="ID24" s="243"/>
      <c r="IE24" s="243"/>
      <c r="IF24" s="243"/>
      <c r="IG24" s="243"/>
      <c r="IH24" s="243"/>
      <c r="II24" s="243"/>
      <c r="IJ24" s="243"/>
      <c r="IK24" s="243"/>
      <c r="IL24" s="243"/>
      <c r="IM24" s="243"/>
      <c r="IN24" s="243"/>
      <c r="IO24" s="243"/>
      <c r="IP24" s="243"/>
      <c r="IQ24" s="243"/>
      <c r="IR24" s="243"/>
      <c r="IS24" s="243"/>
      <c r="IT24" s="243"/>
      <c r="IU24" s="243"/>
      <c r="IV24" s="243"/>
      <c r="IW24" s="243"/>
    </row>
    <row r="25" customFormat="false" ht="12.75" hidden="false" customHeight="false" outlineLevel="0" collapsed="false">
      <c r="B25" s="1083" t="s">
        <v>701</v>
      </c>
      <c r="C25" s="1085"/>
      <c r="D25" s="1085" t="n">
        <f aca="false">SUM(D9:D23)</f>
        <v>19138.4958056936</v>
      </c>
      <c r="E25" s="1085" t="n">
        <f aca="false">SUM(E9:E23)</f>
        <v>7684.67146465663</v>
      </c>
      <c r="F25" s="1085" t="n">
        <f aca="false">SUM(F9:F23)</f>
        <v>943.850679156177</v>
      </c>
      <c r="G25" s="1085" t="n">
        <f aca="false">SUM(G9:G23)</f>
        <v>-2946.44150640354</v>
      </c>
      <c r="H25" s="1085" t="n">
        <f aca="false">SUM(H9:H23)</f>
        <v>-6793.99807587891</v>
      </c>
      <c r="I25" s="1085" t="n">
        <f aca="false">SUM(I9:I23)</f>
        <v>-8488.59543653227</v>
      </c>
      <c r="J25" s="1085" t="n">
        <f aca="false">SUM(J9:J23)</f>
        <v>-8035.31862473577</v>
      </c>
      <c r="K25" s="1085" t="n">
        <f aca="false">SUM(K9:K23)</f>
        <v>-7530.73926083877</v>
      </c>
      <c r="L25" s="1085" t="n">
        <f aca="false">SUM(L9:L23)</f>
        <v>-6972.98118001168</v>
      </c>
      <c r="M25" s="1085" t="n">
        <f aca="false">SUM(M9:M23)</f>
        <v>-6357.13000768543</v>
      </c>
      <c r="N25" s="1085" t="n">
        <f aca="false">SUM(N9:N23)</f>
        <v>-5647.34552390642</v>
      </c>
      <c r="O25" s="1085" t="n">
        <f aca="false">SUM(O9:O23)</f>
        <v>-4863.06293501351</v>
      </c>
      <c r="P25" s="1085" t="n">
        <f aca="false">SUM(P9:P23)</f>
        <v>-3999.85549886571</v>
      </c>
      <c r="Q25" s="1085" t="n">
        <f aca="false">SUM(Q9:Q23)</f>
        <v>-3050.72674632573</v>
      </c>
      <c r="R25" s="1085" t="n">
        <f aca="false">SUM(R9:R23)</f>
        <v>-2009.17008422558</v>
      </c>
      <c r="S25" s="1085" t="n">
        <f aca="false">SUM(S9:S23)</f>
        <v>-864.770300977524</v>
      </c>
      <c r="T25" s="1085" t="n">
        <f aca="false">SUM(T9:T23)</f>
        <v>310.996342587108</v>
      </c>
      <c r="U25" s="1085" t="n">
        <f aca="false">SUM(U9:U23)</f>
        <v>272.505895058076</v>
      </c>
      <c r="V25" s="1085" t="n">
        <f aca="false">SUM(V9:V23)</f>
        <v>234.015447529044</v>
      </c>
      <c r="W25" s="1045" t="n">
        <f aca="false">SUM(W9:W23)</f>
        <v>1.18234311230481E-011</v>
      </c>
      <c r="X25" s="1085" t="n">
        <f aca="false">SUM(X9:X23)</f>
        <v>1.18234311230481E-011</v>
      </c>
      <c r="Y25" s="1085" t="n">
        <f aca="false">SUM(Y9:Y23)</f>
        <v>1.18234311230481E-011</v>
      </c>
      <c r="Z25" s="1085" t="n">
        <f aca="false">SUM(Z9:Z23)</f>
        <v>1.18234311230481E-011</v>
      </c>
      <c r="AA25" s="1085" t="n">
        <f aca="false">SUM(AA9:AA23)</f>
        <v>1.18234311230481E-011</v>
      </c>
      <c r="AB25" s="1085" t="n">
        <f aca="false">SUM(AB9:AB23)</f>
        <v>1.18234311230481E-011</v>
      </c>
      <c r="AC25" s="1085" t="n">
        <f aca="false">SUM(AC9:AC23)</f>
        <v>1.18234311230481E-011</v>
      </c>
      <c r="AD25" s="1085" t="n">
        <f aca="false">SUM(AD9:AD23)</f>
        <v>1.18234311230481E-011</v>
      </c>
      <c r="AE25" s="1085" t="n">
        <f aca="false">SUM(AE9:AE23)</f>
        <v>1.18234311230481E-011</v>
      </c>
      <c r="AF25" s="1085" t="n">
        <f aca="false">SUM(AF9:AF23)</f>
        <v>1.18234311230481E-011</v>
      </c>
      <c r="AG25" s="1085" t="n">
        <f aca="false">SUM(AG9:AG23)</f>
        <v>1.18234311230481E-011</v>
      </c>
      <c r="AH25" s="1086" t="n">
        <f aca="false">SUM(AH9:AH23)</f>
        <v>1.18234311230481E-011</v>
      </c>
      <c r="AI25" s="100"/>
      <c r="AJ25" s="100"/>
      <c r="AK25" s="100"/>
      <c r="AL25" s="100"/>
      <c r="AM25" s="100"/>
    </row>
    <row r="26" customFormat="false" ht="12.75" hidden="false" customHeight="false" outlineLevel="0" collapsed="false">
      <c r="B26" s="1099"/>
      <c r="C26" s="108" t="s">
        <v>702</v>
      </c>
      <c r="D26" s="451" t="n">
        <f aca="false">D25/(D25+D51)</f>
        <v>0.99</v>
      </c>
      <c r="E26" s="451" t="n">
        <f aca="false">E25/(E25+E51)</f>
        <v>0.99</v>
      </c>
      <c r="F26" s="451" t="n">
        <f aca="false">F25/(F25+F51)</f>
        <v>0.99</v>
      </c>
      <c r="G26" s="451" t="n">
        <f aca="false">G25/(G25+G51)</f>
        <v>0.99</v>
      </c>
      <c r="H26" s="451" t="n">
        <f aca="false">H25/(H25+H51)</f>
        <v>0.99</v>
      </c>
      <c r="I26" s="451" t="n">
        <f aca="false">I25/(I25+I51)</f>
        <v>0.99</v>
      </c>
      <c r="J26" s="451" t="n">
        <f aca="false">J25/(J25+J51)</f>
        <v>0.99</v>
      </c>
      <c r="K26" s="451" t="n">
        <f aca="false">K25/(K25+K51)</f>
        <v>0.99</v>
      </c>
      <c r="L26" s="451" t="n">
        <f aca="false">L25/(L25+L51)</f>
        <v>0.99</v>
      </c>
      <c r="M26" s="451" t="n">
        <f aca="false">M25/(M25+M51)</f>
        <v>0.99</v>
      </c>
      <c r="N26" s="451" t="n">
        <f aca="false">N25/(N25+N51)</f>
        <v>0.99</v>
      </c>
      <c r="O26" s="451" t="n">
        <f aca="false">O25/(O25+O51)</f>
        <v>0.99</v>
      </c>
      <c r="P26" s="451" t="n">
        <f aca="false">P25/(P25+P51)</f>
        <v>0.99</v>
      </c>
      <c r="Q26" s="451" t="n">
        <f aca="false">Q25/(Q25+Q51)</f>
        <v>0.99</v>
      </c>
      <c r="R26" s="451" t="n">
        <f aca="false">R25/(R25+R51)</f>
        <v>0.99</v>
      </c>
      <c r="S26" s="451" t="n">
        <f aca="false">S25/(S25+S51)</f>
        <v>0.99</v>
      </c>
      <c r="T26" s="451" t="n">
        <f aca="false">T25/(T25+T51)</f>
        <v>0.99</v>
      </c>
      <c r="U26" s="451" t="n">
        <f aca="false">U25/(U25+U51)</f>
        <v>0.99</v>
      </c>
      <c r="V26" s="451" t="n">
        <f aca="false">V25/(V25+V51)</f>
        <v>0.99</v>
      </c>
      <c r="W26" s="451" t="n">
        <f aca="false">W25/(W25+W51)</f>
        <v>0.987830216681508</v>
      </c>
      <c r="X26" s="451" t="n">
        <f aca="false">X25/(X25+X51)</f>
        <v>0.987830216681508</v>
      </c>
      <c r="Y26" s="451" t="n">
        <f aca="false">Y25/(Y25+Y51)</f>
        <v>0.987830216681508</v>
      </c>
      <c r="Z26" s="451" t="n">
        <f aca="false">Z25/(Z25+Z51)</f>
        <v>0.987830216681508</v>
      </c>
      <c r="AA26" s="451" t="n">
        <f aca="false">AA25/(AA25+AA51)</f>
        <v>0.987830216681508</v>
      </c>
      <c r="AB26" s="451" t="n">
        <f aca="false">AB25/(AB25+AB51)</f>
        <v>0.987830216681508</v>
      </c>
      <c r="AC26" s="451" t="n">
        <f aca="false">AC25/(AC25+AC51)</f>
        <v>0.987830216681508</v>
      </c>
      <c r="AD26" s="451" t="n">
        <f aca="false">AD25/(AD25+AD51)</f>
        <v>0.987830216681508</v>
      </c>
      <c r="AE26" s="451" t="n">
        <f aca="false">AE25/(AE25+AE51)</f>
        <v>0.987830216681508</v>
      </c>
      <c r="AF26" s="451" t="n">
        <f aca="false">AF25/(AF25+AF51)</f>
        <v>0.987830216681508</v>
      </c>
      <c r="AG26" s="451" t="n">
        <f aca="false">AG25/(AG25+AG51)</f>
        <v>0.987830216681508</v>
      </c>
      <c r="AH26" s="947" t="n">
        <f aca="false">AH25/(AH25+AH51)</f>
        <v>0.987830216681508</v>
      </c>
      <c r="AI26" s="100"/>
      <c r="AJ26" s="100"/>
      <c r="AK26" s="100"/>
      <c r="AL26" s="100"/>
      <c r="AM26" s="100"/>
    </row>
    <row r="27" customFormat="false" ht="12.75" hidden="false" customHeight="false" outlineLevel="0" collapsed="false">
      <c r="B27" s="1099"/>
      <c r="C27" s="108"/>
      <c r="D27" s="451"/>
      <c r="E27" s="451"/>
      <c r="F27" s="451"/>
      <c r="G27" s="451"/>
      <c r="H27" s="451"/>
      <c r="I27" s="451"/>
      <c r="J27" s="451"/>
      <c r="K27" s="451"/>
      <c r="L27" s="451"/>
      <c r="M27" s="451"/>
      <c r="N27" s="451"/>
      <c r="O27" s="451"/>
      <c r="P27" s="451"/>
      <c r="Q27" s="451"/>
      <c r="R27" s="451"/>
      <c r="S27" s="451"/>
      <c r="T27" s="451"/>
      <c r="U27" s="451"/>
      <c r="V27" s="451"/>
      <c r="W27" s="451"/>
      <c r="X27" s="451"/>
      <c r="Y27" s="451"/>
      <c r="Z27" s="451"/>
      <c r="AA27" s="451"/>
      <c r="AB27" s="451"/>
      <c r="AC27" s="451"/>
      <c r="AD27" s="451"/>
      <c r="AE27" s="451"/>
      <c r="AF27" s="451"/>
      <c r="AG27" s="451"/>
      <c r="AH27" s="947"/>
      <c r="AI27" s="100"/>
      <c r="AJ27" s="100"/>
      <c r="AK27" s="100"/>
      <c r="AL27" s="100"/>
      <c r="AM27" s="100"/>
    </row>
    <row r="28" customFormat="false" ht="12.75" hidden="false" customHeight="false" outlineLevel="0" collapsed="false">
      <c r="B28" s="1100" t="s">
        <v>703</v>
      </c>
      <c r="C28" s="1101"/>
      <c r="D28" s="1102" t="n">
        <f aca="false">SUM(D12:D22)</f>
        <v>-6524.78681631269</v>
      </c>
      <c r="E28" s="1102" t="n">
        <f aca="false">SUM(E12:E22)</f>
        <v>-10887.9328631865</v>
      </c>
      <c r="F28" s="1102" t="n">
        <f aca="false">SUM(F12:F22)</f>
        <v>-6176.78014736453</v>
      </c>
      <c r="G28" s="1102" t="n">
        <f aca="false">SUM(G12:G22)</f>
        <v>-3328.34151014132</v>
      </c>
      <c r="H28" s="1102" t="n">
        <f aca="false">SUM(H12:H22)</f>
        <v>-3287.89948569912</v>
      </c>
      <c r="I28" s="1102" t="n">
        <f aca="false">SUM(I12:I22)</f>
        <v>-1137.34666793222</v>
      </c>
      <c r="J28" s="1102" t="n">
        <f aca="false">SUM(J12:J22)</f>
        <v>1005.36594362656</v>
      </c>
      <c r="K28" s="1102" t="n">
        <f aca="false">SUM(K12:K22)</f>
        <v>1051.28516062916</v>
      </c>
      <c r="L28" s="1102" t="n">
        <f aca="false">SUM(L12:L22)</f>
        <v>1098.85275786567</v>
      </c>
      <c r="M28" s="1102" t="n">
        <f aca="false">SUM(M12:M22)</f>
        <v>1150.84079512203</v>
      </c>
      <c r="N28" s="1102" t="n">
        <f aca="false">SUM(N12:N22)</f>
        <v>1251.35046510752</v>
      </c>
      <c r="O28" s="1102" t="n">
        <f aca="false">SUM(O12:O22)</f>
        <v>1319.31432422641</v>
      </c>
      <c r="P28" s="1102" t="n">
        <f aca="false">SUM(P12:P22)</f>
        <v>1391.19621587427</v>
      </c>
      <c r="Q28" s="1102" t="n">
        <f aca="false">SUM(Q12:Q22)</f>
        <v>1469.53362668157</v>
      </c>
      <c r="R28" s="1102" t="n">
        <f aca="false">SUM(R12:R22)</f>
        <v>1553.77850360631</v>
      </c>
      <c r="S28" s="1102" t="n">
        <f aca="false">SUM(S12:S22)</f>
        <v>1648.42038739533</v>
      </c>
      <c r="T28" s="1102" t="n">
        <f aca="false">SUM(T12:T22)</f>
        <v>1760.45527152144</v>
      </c>
      <c r="U28" s="1102" t="n">
        <f aca="false">SUM(U12:U22)</f>
        <v>1972.03100572112</v>
      </c>
      <c r="V28" s="1102" t="n">
        <f aca="false">SUM(V12:V22)</f>
        <v>1941.24725793723</v>
      </c>
      <c r="W28" s="1102" t="n">
        <f aca="false">SUM(W12:W22)</f>
        <v>1910.53952515877</v>
      </c>
      <c r="X28" s="1102" t="n">
        <f aca="false">SUM(X12:X22)</f>
        <v>0</v>
      </c>
      <c r="Y28" s="1102" t="n">
        <f aca="false">SUM(Y12:Y22)</f>
        <v>0</v>
      </c>
      <c r="Z28" s="1102" t="n">
        <f aca="false">SUM(Z12:Z22)</f>
        <v>0</v>
      </c>
      <c r="AA28" s="1102" t="n">
        <f aca="false">SUM(AA12:AA22)</f>
        <v>0</v>
      </c>
      <c r="AB28" s="1102" t="n">
        <f aca="false">SUM(AB12:AB22)</f>
        <v>0</v>
      </c>
      <c r="AC28" s="1102" t="n">
        <f aca="false">SUM(AC12:AC22)</f>
        <v>0</v>
      </c>
      <c r="AD28" s="1102" t="n">
        <f aca="false">SUM(AD12:AD22)</f>
        <v>0</v>
      </c>
      <c r="AE28" s="1102" t="n">
        <f aca="false">SUM(AE12:AE22)</f>
        <v>0</v>
      </c>
      <c r="AF28" s="1102" t="n">
        <f aca="false">SUM(AF12:AF22)</f>
        <v>0</v>
      </c>
      <c r="AG28" s="1102" t="n">
        <f aca="false">SUM(AG12:AG22)</f>
        <v>0</v>
      </c>
      <c r="AH28" s="1103" t="n">
        <f aca="false">SUM(AH12:AH22)</f>
        <v>0</v>
      </c>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c r="FG28" s="15"/>
      <c r="FH28" s="15"/>
      <c r="FI28" s="15"/>
      <c r="FJ28" s="15"/>
      <c r="FK28" s="15"/>
      <c r="FL28" s="15"/>
      <c r="FM28" s="15"/>
      <c r="FN28" s="15"/>
      <c r="FO28" s="15"/>
      <c r="FP28" s="15"/>
      <c r="FQ28" s="15"/>
      <c r="FR28" s="15"/>
      <c r="FS28" s="15"/>
      <c r="FT28" s="15"/>
      <c r="FU28" s="15"/>
      <c r="FV28" s="15"/>
      <c r="FW28" s="15"/>
      <c r="FX28" s="15"/>
      <c r="FY28" s="15"/>
      <c r="FZ28" s="15"/>
      <c r="GA28" s="15"/>
      <c r="GB28" s="15"/>
      <c r="GC28" s="15"/>
      <c r="GD28" s="15"/>
      <c r="GE28" s="15"/>
      <c r="GF28" s="15"/>
      <c r="GG28" s="15"/>
      <c r="GH28" s="15"/>
      <c r="GI28" s="15"/>
      <c r="GJ28" s="15"/>
      <c r="GK28" s="15"/>
      <c r="GL28" s="15"/>
      <c r="GM28" s="15"/>
      <c r="GN28" s="15"/>
      <c r="GO28" s="15"/>
      <c r="GP28" s="15"/>
      <c r="GQ28" s="15"/>
      <c r="GR28" s="15"/>
      <c r="GS28" s="15"/>
      <c r="GT28" s="15"/>
      <c r="GU28" s="15"/>
      <c r="GV28" s="15"/>
      <c r="GW28" s="15"/>
      <c r="GX28" s="15"/>
      <c r="GY28" s="15"/>
      <c r="GZ28" s="15"/>
      <c r="HA28" s="15"/>
      <c r="HB28" s="15"/>
      <c r="HC28" s="15"/>
      <c r="HD28" s="15"/>
      <c r="HE28" s="15"/>
      <c r="HF28" s="15"/>
      <c r="HG28" s="15"/>
      <c r="HH28" s="15"/>
      <c r="HI28" s="15"/>
      <c r="HJ28" s="15"/>
      <c r="HK28" s="15"/>
      <c r="HL28" s="15"/>
      <c r="HM28" s="15"/>
      <c r="HN28" s="15"/>
      <c r="HO28" s="15"/>
      <c r="HP28" s="15"/>
      <c r="HQ28" s="15"/>
      <c r="HR28" s="15"/>
      <c r="HS28" s="15"/>
      <c r="HT28" s="15"/>
      <c r="HU28" s="15"/>
      <c r="HV28" s="15"/>
      <c r="HW28" s="15"/>
      <c r="HX28" s="15"/>
      <c r="HY28" s="15"/>
      <c r="HZ28" s="15"/>
      <c r="IA28" s="15"/>
      <c r="IB28" s="15"/>
      <c r="IC28" s="15"/>
      <c r="ID28" s="15"/>
      <c r="IE28" s="15"/>
      <c r="IF28" s="15"/>
      <c r="IG28" s="15"/>
      <c r="IH28" s="15"/>
      <c r="II28" s="15"/>
      <c r="IJ28" s="15"/>
      <c r="IK28" s="15"/>
      <c r="IL28" s="15"/>
      <c r="IM28" s="15"/>
      <c r="IN28" s="15"/>
      <c r="IO28" s="15"/>
      <c r="IP28" s="15"/>
      <c r="IQ28" s="15"/>
      <c r="IR28" s="15"/>
      <c r="IS28" s="15"/>
      <c r="IT28" s="15"/>
      <c r="IU28" s="15"/>
      <c r="IV28" s="15"/>
      <c r="IW28" s="15"/>
    </row>
    <row r="29" customFormat="false" ht="12.75" hidden="false" customHeight="false" outlineLevel="0" collapsed="false">
      <c r="B29" s="108"/>
      <c r="C29" s="108"/>
      <c r="D29" s="242"/>
      <c r="E29" s="242"/>
      <c r="F29" s="242"/>
      <c r="G29" s="242"/>
      <c r="H29" s="242"/>
      <c r="I29" s="242"/>
      <c r="J29" s="242"/>
      <c r="K29" s="242"/>
      <c r="L29" s="242"/>
      <c r="M29" s="242"/>
      <c r="N29" s="242"/>
      <c r="O29" s="242"/>
      <c r="P29" s="242"/>
      <c r="Q29" s="242"/>
      <c r="R29" s="242"/>
      <c r="S29" s="242"/>
      <c r="T29" s="242"/>
      <c r="U29" s="242"/>
      <c r="V29" s="242"/>
      <c r="W29" s="242"/>
      <c r="X29" s="242"/>
      <c r="Y29" s="451"/>
      <c r="Z29" s="451"/>
      <c r="AA29" s="451"/>
      <c r="AB29" s="451"/>
      <c r="AC29" s="451"/>
      <c r="AD29" s="451"/>
      <c r="AE29" s="451"/>
      <c r="AF29" s="451"/>
      <c r="AG29" s="451"/>
      <c r="AH29" s="451"/>
      <c r="AI29" s="100"/>
      <c r="AJ29" s="100"/>
      <c r="AK29" s="100"/>
      <c r="AL29" s="100"/>
      <c r="AM29" s="100"/>
    </row>
    <row r="30" customFormat="false" ht="12.75" hidden="false" customHeight="false" outlineLevel="0" collapsed="false">
      <c r="B30" s="108"/>
      <c r="C30" s="1104"/>
      <c r="D30" s="242"/>
      <c r="E30" s="242"/>
      <c r="F30" s="242"/>
      <c r="G30" s="242"/>
      <c r="H30" s="242"/>
      <c r="I30" s="242"/>
      <c r="J30" s="242"/>
      <c r="K30" s="242"/>
      <c r="L30" s="242"/>
      <c r="M30" s="242"/>
      <c r="N30" s="242"/>
      <c r="O30" s="242"/>
      <c r="P30" s="242"/>
      <c r="Q30" s="242"/>
      <c r="R30" s="242"/>
      <c r="S30" s="242"/>
      <c r="T30" s="242"/>
      <c r="U30" s="242"/>
      <c r="V30" s="242"/>
      <c r="W30" s="242"/>
      <c r="X30" s="242"/>
      <c r="Y30" s="451"/>
      <c r="Z30" s="451"/>
      <c r="AA30" s="451"/>
      <c r="AB30" s="451"/>
      <c r="AC30" s="451"/>
      <c r="AD30" s="451"/>
      <c r="AE30" s="451"/>
      <c r="AF30" s="451"/>
      <c r="AG30" s="451"/>
      <c r="AH30" s="451"/>
      <c r="AI30" s="100"/>
      <c r="AJ30" s="100"/>
      <c r="AK30" s="100"/>
      <c r="AL30" s="100"/>
      <c r="AM30" s="100"/>
    </row>
    <row r="31" customFormat="false" ht="12.75" hidden="false" customHeight="false" outlineLevel="0" collapsed="false">
      <c r="B31" s="428" t="s">
        <v>334</v>
      </c>
      <c r="C31" s="21"/>
      <c r="D31" s="1105"/>
      <c r="E31" s="1105"/>
      <c r="F31" s="1105"/>
      <c r="G31" s="1105"/>
      <c r="H31" s="1105"/>
      <c r="I31" s="1105"/>
      <c r="J31" s="1105"/>
      <c r="K31" s="1105"/>
      <c r="L31" s="1105"/>
      <c r="M31" s="1105"/>
      <c r="N31" s="1105"/>
      <c r="O31" s="1105"/>
      <c r="P31" s="1105"/>
      <c r="Q31" s="1105"/>
      <c r="R31" s="1105"/>
      <c r="S31" s="1105"/>
      <c r="T31" s="1105"/>
      <c r="U31" s="1105"/>
      <c r="V31" s="1105"/>
      <c r="W31" s="1105"/>
      <c r="X31" s="1105"/>
      <c r="Y31" s="1105"/>
      <c r="Z31" s="1105"/>
      <c r="AA31" s="1105"/>
      <c r="AB31" s="1105"/>
      <c r="AC31" s="1105"/>
      <c r="AD31" s="1105"/>
      <c r="AE31" s="1105"/>
      <c r="AF31" s="1105"/>
      <c r="AG31" s="1105"/>
      <c r="AH31" s="1105"/>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c r="HH31" s="21"/>
      <c r="HI31" s="21"/>
      <c r="HJ31" s="21"/>
      <c r="HK31" s="21"/>
      <c r="HL31" s="21"/>
      <c r="HM31" s="21"/>
      <c r="HN31" s="21"/>
      <c r="HO31" s="21"/>
      <c r="HP31" s="21"/>
      <c r="HQ31" s="21"/>
      <c r="HR31" s="21"/>
      <c r="HS31" s="21"/>
      <c r="HT31" s="21"/>
      <c r="HU31" s="21"/>
      <c r="HV31" s="21"/>
      <c r="HW31" s="21"/>
      <c r="HX31" s="21"/>
      <c r="HY31" s="21"/>
      <c r="HZ31" s="21"/>
      <c r="IA31" s="21"/>
      <c r="IB31" s="21"/>
      <c r="IC31" s="21"/>
      <c r="ID31" s="21"/>
      <c r="IE31" s="21"/>
      <c r="IF31" s="21"/>
      <c r="IG31" s="21"/>
      <c r="IH31" s="21"/>
      <c r="II31" s="21"/>
      <c r="IJ31" s="21"/>
      <c r="IK31" s="21"/>
      <c r="IL31" s="21"/>
      <c r="IM31" s="21"/>
      <c r="IN31" s="21"/>
      <c r="IO31" s="21"/>
      <c r="IP31" s="21"/>
      <c r="IQ31" s="21"/>
      <c r="IR31" s="21"/>
      <c r="IS31" s="21"/>
      <c r="IT31" s="21"/>
      <c r="IU31" s="21"/>
      <c r="IV31" s="21"/>
      <c r="IW31" s="21"/>
    </row>
    <row r="32" customFormat="false" ht="12.75" hidden="false" customHeight="false" outlineLevel="0" collapsed="false">
      <c r="B32" s="4" t="s">
        <v>686</v>
      </c>
      <c r="C32" s="5"/>
      <c r="D32" s="1074" t="n">
        <f aca="false">Assum!E338</f>
        <v>0.01</v>
      </c>
      <c r="E32" s="1074" t="n">
        <f aca="false">Assum!F338</f>
        <v>0.01</v>
      </c>
      <c r="F32" s="1074" t="n">
        <f aca="false">Assum!G338</f>
        <v>0.01</v>
      </c>
      <c r="G32" s="1074" t="n">
        <f aca="false">Assum!H338</f>
        <v>0.01</v>
      </c>
      <c r="H32" s="1074" t="n">
        <f aca="false">Assum!I338</f>
        <v>0.01</v>
      </c>
      <c r="I32" s="1074" t="n">
        <f aca="false">Assum!J338</f>
        <v>0.01</v>
      </c>
      <c r="J32" s="1074" t="n">
        <f aca="false">Assum!K338</f>
        <v>0.01</v>
      </c>
      <c r="K32" s="1074" t="n">
        <f aca="false">Assum!L338</f>
        <v>0.01</v>
      </c>
      <c r="L32" s="1074" t="n">
        <f aca="false">Assum!M338</f>
        <v>0.01</v>
      </c>
      <c r="M32" s="1074" t="n">
        <f aca="false">Assum!N338</f>
        <v>0.01</v>
      </c>
      <c r="N32" s="1074" t="n">
        <f aca="false">Assum!O338</f>
        <v>0.01</v>
      </c>
      <c r="O32" s="1074" t="n">
        <f aca="false">Assum!P338</f>
        <v>0.01</v>
      </c>
      <c r="P32" s="1074" t="n">
        <f aca="false">Assum!Q338</f>
        <v>0.01</v>
      </c>
      <c r="Q32" s="1074" t="n">
        <f aca="false">Assum!R338</f>
        <v>0.01</v>
      </c>
      <c r="R32" s="1074" t="n">
        <f aca="false">Assum!S338</f>
        <v>0.01</v>
      </c>
      <c r="S32" s="1074" t="n">
        <f aca="false">Assum!T338</f>
        <v>0.01</v>
      </c>
      <c r="T32" s="1074" t="n">
        <f aca="false">Assum!U338</f>
        <v>0.01</v>
      </c>
      <c r="U32" s="1074" t="n">
        <f aca="false">Assum!V338</f>
        <v>0.01</v>
      </c>
      <c r="V32" s="1074" t="n">
        <f aca="false">Assum!W338</f>
        <v>0.01</v>
      </c>
      <c r="W32" s="1074" t="n">
        <f aca="false">Assum!X338</f>
        <v>0.01</v>
      </c>
      <c r="X32" s="1074" t="n">
        <f aca="false">Assum!Y338</f>
        <v>0.01</v>
      </c>
      <c r="Y32" s="1074" t="n">
        <f aca="false">Assum!Z338</f>
        <v>0.01</v>
      </c>
      <c r="Z32" s="1074" t="n">
        <f aca="false">Assum!AA338</f>
        <v>0.01</v>
      </c>
      <c r="AA32" s="1074" t="n">
        <f aca="false">Assum!AB338</f>
        <v>0.01</v>
      </c>
      <c r="AB32" s="1074" t="n">
        <f aca="false">Assum!AC338</f>
        <v>0.01</v>
      </c>
      <c r="AC32" s="1074" t="n">
        <f aca="false">Assum!AD338</f>
        <v>0.01</v>
      </c>
      <c r="AD32" s="1074" t="n">
        <f aca="false">Assum!AE338</f>
        <v>0.01</v>
      </c>
      <c r="AE32" s="1074" t="n">
        <f aca="false">Assum!AF338</f>
        <v>0.01</v>
      </c>
      <c r="AF32" s="1074" t="n">
        <f aca="false">Assum!AG338</f>
        <v>0.01</v>
      </c>
      <c r="AG32" s="1074" t="n">
        <f aca="false">Assum!AH338</f>
        <v>0.01</v>
      </c>
      <c r="AH32" s="1075" t="n">
        <f aca="false">Assum!AI338</f>
        <v>0</v>
      </c>
    </row>
    <row r="33" customFormat="false" ht="12.75" hidden="false" customHeight="false" outlineLevel="0" collapsed="false">
      <c r="B33" s="1076" t="s">
        <v>687</v>
      </c>
      <c r="C33" s="1037"/>
      <c r="D33" s="1077" t="n">
        <f aca="false">Assum!E342</f>
        <v>0.01</v>
      </c>
      <c r="E33" s="1077" t="n">
        <f aca="false">Assum!F342</f>
        <v>0.01</v>
      </c>
      <c r="F33" s="1077" t="n">
        <f aca="false">Assum!G342</f>
        <v>0.01</v>
      </c>
      <c r="G33" s="1077" t="n">
        <f aca="false">Assum!H342</f>
        <v>0.01</v>
      </c>
      <c r="H33" s="1077" t="n">
        <f aca="false">Assum!I342</f>
        <v>0.01</v>
      </c>
      <c r="I33" s="1077" t="n">
        <f aca="false">Assum!J342</f>
        <v>0.01</v>
      </c>
      <c r="J33" s="1077" t="n">
        <f aca="false">Assum!K342</f>
        <v>0.01</v>
      </c>
      <c r="K33" s="1077" t="n">
        <f aca="false">Assum!L342</f>
        <v>0.01</v>
      </c>
      <c r="L33" s="1077" t="n">
        <f aca="false">Assum!M342</f>
        <v>0.01</v>
      </c>
      <c r="M33" s="1077" t="n">
        <f aca="false">Assum!N342</f>
        <v>0.01</v>
      </c>
      <c r="N33" s="1077" t="n">
        <f aca="false">Assum!O342</f>
        <v>0.01</v>
      </c>
      <c r="O33" s="1077" t="n">
        <f aca="false">Assum!P342</f>
        <v>0.01</v>
      </c>
      <c r="P33" s="1077" t="n">
        <f aca="false">Assum!Q342</f>
        <v>0.01</v>
      </c>
      <c r="Q33" s="1077" t="n">
        <f aca="false">Assum!R342</f>
        <v>0.01</v>
      </c>
      <c r="R33" s="1077" t="n">
        <f aca="false">Assum!S342</f>
        <v>0.01</v>
      </c>
      <c r="S33" s="1077" t="n">
        <f aca="false">Assum!T342</f>
        <v>0.01</v>
      </c>
      <c r="T33" s="1077" t="n">
        <f aca="false">Assum!U342</f>
        <v>0.01</v>
      </c>
      <c r="U33" s="1077" t="n">
        <f aca="false">Assum!V342</f>
        <v>0.01</v>
      </c>
      <c r="V33" s="1077" t="n">
        <f aca="false">Assum!W342</f>
        <v>0.01</v>
      </c>
      <c r="W33" s="1077" t="n">
        <f aca="false">Assum!X342</f>
        <v>0.01</v>
      </c>
      <c r="X33" s="1077" t="n">
        <f aca="false">Assum!Y342</f>
        <v>0.01</v>
      </c>
      <c r="Y33" s="1077" t="n">
        <f aca="false">Assum!Z342</f>
        <v>0.01</v>
      </c>
      <c r="Z33" s="1077" t="n">
        <f aca="false">Assum!AA342</f>
        <v>0.01</v>
      </c>
      <c r="AA33" s="1077" t="n">
        <f aca="false">Assum!AB342</f>
        <v>0.01</v>
      </c>
      <c r="AB33" s="1077" t="n">
        <f aca="false">Assum!AC342</f>
        <v>0.01</v>
      </c>
      <c r="AC33" s="1077" t="n">
        <f aca="false">Assum!AD342</f>
        <v>0.01</v>
      </c>
      <c r="AD33" s="1077" t="n">
        <f aca="false">Assum!AE342</f>
        <v>0.01</v>
      </c>
      <c r="AE33" s="1077" t="n">
        <f aca="false">Assum!AF342</f>
        <v>0.01</v>
      </c>
      <c r="AF33" s="1077" t="n">
        <f aca="false">Assum!AG342</f>
        <v>0.01</v>
      </c>
      <c r="AG33" s="1077" t="n">
        <f aca="false">Assum!AH342</f>
        <v>0.01</v>
      </c>
      <c r="AH33" s="1078" t="n">
        <f aca="false">Assum!AI342</f>
        <v>0</v>
      </c>
    </row>
    <row r="34" customFormat="false" ht="12.75" hidden="false" customHeight="false" outlineLevel="0" collapsed="false">
      <c r="B34" s="1079"/>
      <c r="C34" s="1080"/>
      <c r="D34" s="1080"/>
      <c r="E34" s="1081"/>
      <c r="F34" s="1080"/>
      <c r="G34" s="1080"/>
      <c r="H34" s="1080"/>
      <c r="I34" s="1080"/>
      <c r="J34" s="1080"/>
      <c r="K34" s="1080"/>
      <c r="L34" s="1080"/>
      <c r="M34" s="1080"/>
      <c r="N34" s="1080"/>
      <c r="O34" s="1080"/>
      <c r="P34" s="1080"/>
      <c r="Q34" s="1080"/>
      <c r="R34" s="1080"/>
      <c r="S34" s="1080"/>
      <c r="T34" s="1080"/>
      <c r="U34" s="1080"/>
      <c r="V34" s="1080"/>
      <c r="W34" s="1080"/>
      <c r="X34" s="1080"/>
      <c r="Y34" s="1080"/>
      <c r="Z34" s="1080"/>
      <c r="AA34" s="1080"/>
      <c r="AB34" s="1080"/>
      <c r="AC34" s="1080"/>
      <c r="AD34" s="1080"/>
      <c r="AE34" s="1080"/>
      <c r="AF34" s="1080"/>
      <c r="AG34" s="1080"/>
      <c r="AH34" s="1082"/>
    </row>
    <row r="35" customFormat="false" ht="12.75" hidden="false" customHeight="false" outlineLevel="0" collapsed="false">
      <c r="B35" s="1083" t="s">
        <v>688</v>
      </c>
      <c r="C35" s="1084"/>
      <c r="D35" s="1085" t="n">
        <v>0</v>
      </c>
      <c r="E35" s="1085" t="n">
        <f aca="false">D51</f>
        <v>193.31813945145</v>
      </c>
      <c r="F35" s="1085" t="n">
        <f aca="false">E51</f>
        <v>77.6229440874407</v>
      </c>
      <c r="G35" s="1085" t="n">
        <f aca="false">F51</f>
        <v>9.5338452440018</v>
      </c>
      <c r="H35" s="1085" t="n">
        <f aca="false">G51</f>
        <v>-29.7620354182176</v>
      </c>
      <c r="I35" s="1085" t="n">
        <f aca="false">H51</f>
        <v>-68.626243190696</v>
      </c>
      <c r="J35" s="1085" t="n">
        <f aca="false">I51</f>
        <v>-85.7433882478007</v>
      </c>
      <c r="K35" s="1085" t="n">
        <f aca="false">J51</f>
        <v>-81.1648345932906</v>
      </c>
      <c r="L35" s="1085" t="n">
        <f aca="false">K51</f>
        <v>-76.0680733418057</v>
      </c>
      <c r="M35" s="1085" t="n">
        <f aca="false">L51</f>
        <v>-70.4341533334513</v>
      </c>
      <c r="N35" s="1085" t="n">
        <f aca="false">M51</f>
        <v>-64.213434421065</v>
      </c>
      <c r="O35" s="1085" t="n">
        <f aca="false">N51</f>
        <v>-57.0438941808729</v>
      </c>
      <c r="P35" s="1085" t="n">
        <f aca="false">O51</f>
        <v>-49.1218478284192</v>
      </c>
      <c r="Q35" s="1085" t="n">
        <f aca="false">P51</f>
        <v>-40.4025807966233</v>
      </c>
      <c r="R35" s="1085" t="n">
        <f aca="false">Q51</f>
        <v>-30.8154216800578</v>
      </c>
      <c r="S35" s="1085" t="n">
        <f aca="false">R51</f>
        <v>-20.2946473154098</v>
      </c>
      <c r="T35" s="1085" t="n">
        <f aca="false">S51</f>
        <v>-8.73505354522749</v>
      </c>
      <c r="U35" s="1085" t="n">
        <f aca="false">T51</f>
        <v>3.1413771978496</v>
      </c>
      <c r="V35" s="1085" t="n">
        <f aca="false">U51</f>
        <v>2.75258479856645</v>
      </c>
      <c r="W35" s="1085" t="n">
        <f aca="false">V51</f>
        <v>2.36379239928329</v>
      </c>
      <c r="X35" s="1085" t="n">
        <f aca="false">W51</f>
        <v>1.45661260830821E-013</v>
      </c>
      <c r="Y35" s="1085" t="n">
        <f aca="false">X51</f>
        <v>1.45661260830821E-013</v>
      </c>
      <c r="Z35" s="1085" t="n">
        <f aca="false">Y51</f>
        <v>1.45661260830821E-013</v>
      </c>
      <c r="AA35" s="1085" t="n">
        <f aca="false">Z51</f>
        <v>1.45661260830821E-013</v>
      </c>
      <c r="AB35" s="1085" t="n">
        <f aca="false">AA51</f>
        <v>1.45661260830821E-013</v>
      </c>
      <c r="AC35" s="1085" t="n">
        <f aca="false">AB51</f>
        <v>1.45661260830821E-013</v>
      </c>
      <c r="AD35" s="1085" t="n">
        <f aca="false">AC51</f>
        <v>1.45661260830821E-013</v>
      </c>
      <c r="AE35" s="1085" t="n">
        <f aca="false">AD51</f>
        <v>1.45661260830821E-013</v>
      </c>
      <c r="AF35" s="1085" t="n">
        <f aca="false">AE51</f>
        <v>1.45661260830821E-013</v>
      </c>
      <c r="AG35" s="1085" t="n">
        <f aca="false">AF51</f>
        <v>1.45661260830821E-013</v>
      </c>
      <c r="AH35" s="1086" t="n">
        <f aca="false">AG51</f>
        <v>1.45661260830821E-013</v>
      </c>
      <c r="AI35" s="1106"/>
      <c r="AJ35" s="1106"/>
      <c r="AK35" s="1106"/>
      <c r="AL35" s="1106"/>
      <c r="AM35" s="1106"/>
      <c r="AN35" s="1106"/>
      <c r="AO35" s="1106"/>
      <c r="AP35" s="1106"/>
      <c r="AQ35" s="1106"/>
      <c r="AR35" s="1106"/>
      <c r="AS35" s="1106"/>
      <c r="AT35" s="1106"/>
      <c r="AU35" s="1106"/>
      <c r="AV35" s="1106"/>
      <c r="AW35" s="1106"/>
      <c r="AX35" s="1106"/>
      <c r="AY35" s="1106"/>
      <c r="AZ35" s="1106"/>
      <c r="BA35" s="1106"/>
      <c r="BB35" s="1106"/>
      <c r="BC35" s="1106"/>
      <c r="BD35" s="1106"/>
      <c r="BE35" s="1106"/>
      <c r="BF35" s="1106"/>
      <c r="BG35" s="1106"/>
      <c r="BH35" s="1106"/>
      <c r="BI35" s="1106"/>
      <c r="BJ35" s="1106"/>
      <c r="BK35" s="1106"/>
      <c r="BL35" s="1106"/>
      <c r="BM35" s="1106"/>
      <c r="BN35" s="1106"/>
      <c r="BO35" s="1106"/>
      <c r="BP35" s="1106"/>
      <c r="BQ35" s="1106"/>
      <c r="BR35" s="1106"/>
      <c r="BS35" s="1106"/>
      <c r="BT35" s="1106"/>
      <c r="BU35" s="1106"/>
      <c r="BV35" s="1106"/>
      <c r="BW35" s="1106"/>
      <c r="BX35" s="1106"/>
      <c r="BY35" s="1106"/>
      <c r="BZ35" s="1106"/>
      <c r="CA35" s="1106"/>
      <c r="CB35" s="1106"/>
      <c r="CC35" s="1106"/>
      <c r="CD35" s="1106"/>
      <c r="CE35" s="1106"/>
      <c r="CF35" s="1106"/>
      <c r="CG35" s="1106"/>
      <c r="CH35" s="1106"/>
      <c r="CI35" s="1106"/>
      <c r="CJ35" s="1106"/>
      <c r="CK35" s="1106"/>
      <c r="CL35" s="1106"/>
      <c r="CM35" s="1106"/>
      <c r="CN35" s="1106"/>
      <c r="CO35" s="1106"/>
      <c r="CP35" s="1106"/>
      <c r="CQ35" s="1106"/>
      <c r="CR35" s="1106"/>
      <c r="CS35" s="1106"/>
      <c r="CT35" s="1106"/>
      <c r="CU35" s="1106"/>
      <c r="CV35" s="1106"/>
      <c r="CW35" s="1106"/>
      <c r="CX35" s="1106"/>
      <c r="CY35" s="1106"/>
      <c r="CZ35" s="1106"/>
      <c r="DA35" s="1106"/>
      <c r="DB35" s="1106"/>
      <c r="DC35" s="1106"/>
      <c r="DD35" s="1106"/>
      <c r="DE35" s="1106"/>
      <c r="DF35" s="1106"/>
      <c r="DG35" s="1106"/>
      <c r="DH35" s="1106"/>
      <c r="DI35" s="1106"/>
      <c r="DJ35" s="1106"/>
      <c r="DK35" s="1106"/>
      <c r="DL35" s="1106"/>
      <c r="DM35" s="1106"/>
      <c r="DN35" s="1106"/>
      <c r="DO35" s="1106"/>
      <c r="DP35" s="1106"/>
      <c r="DQ35" s="1106"/>
      <c r="DR35" s="1106"/>
      <c r="DS35" s="1106"/>
      <c r="DT35" s="1106"/>
      <c r="DU35" s="1106"/>
      <c r="DV35" s="1106"/>
      <c r="DW35" s="1106"/>
      <c r="DX35" s="1106"/>
      <c r="DY35" s="1106"/>
      <c r="DZ35" s="1106"/>
      <c r="EA35" s="1106"/>
      <c r="EB35" s="1106"/>
      <c r="EC35" s="1106"/>
      <c r="ED35" s="1106"/>
      <c r="EE35" s="1106"/>
      <c r="EF35" s="1106"/>
      <c r="EG35" s="1106"/>
      <c r="EH35" s="1106"/>
      <c r="EI35" s="1106"/>
      <c r="EJ35" s="1106"/>
      <c r="EK35" s="1106"/>
      <c r="EL35" s="1106"/>
      <c r="EM35" s="1106"/>
      <c r="EN35" s="1106"/>
      <c r="EO35" s="1106"/>
      <c r="EP35" s="1106"/>
      <c r="EQ35" s="1106"/>
      <c r="ER35" s="1106"/>
      <c r="ES35" s="1106"/>
      <c r="ET35" s="1106"/>
      <c r="EU35" s="1106"/>
      <c r="EV35" s="1106"/>
      <c r="EW35" s="1106"/>
      <c r="EX35" s="1106"/>
      <c r="EY35" s="1106"/>
      <c r="EZ35" s="1106"/>
      <c r="FA35" s="1106"/>
      <c r="FB35" s="1106"/>
      <c r="FC35" s="1106"/>
      <c r="FD35" s="1106"/>
      <c r="FE35" s="1106"/>
      <c r="FF35" s="1106"/>
      <c r="FG35" s="1106"/>
      <c r="FH35" s="1106"/>
      <c r="FI35" s="1106"/>
      <c r="FJ35" s="1106"/>
      <c r="FK35" s="1106"/>
      <c r="FL35" s="1106"/>
      <c r="FM35" s="1106"/>
      <c r="FN35" s="1106"/>
      <c r="FO35" s="1106"/>
      <c r="FP35" s="1106"/>
      <c r="FQ35" s="1106"/>
      <c r="FR35" s="1106"/>
      <c r="FS35" s="1106"/>
      <c r="FT35" s="1106"/>
      <c r="FU35" s="1106"/>
      <c r="FV35" s="1106"/>
      <c r="FW35" s="1106"/>
      <c r="FX35" s="1106"/>
      <c r="FY35" s="1106"/>
      <c r="FZ35" s="1106"/>
      <c r="GA35" s="1106"/>
      <c r="GB35" s="1106"/>
      <c r="GC35" s="1106"/>
      <c r="GD35" s="1106"/>
      <c r="GE35" s="1106"/>
      <c r="GF35" s="1106"/>
      <c r="GG35" s="1106"/>
      <c r="GH35" s="1106"/>
      <c r="GI35" s="1106"/>
      <c r="GJ35" s="1106"/>
      <c r="GK35" s="1106"/>
      <c r="GL35" s="1106"/>
      <c r="GM35" s="1106"/>
      <c r="GN35" s="1106"/>
      <c r="GO35" s="1106"/>
      <c r="GP35" s="1106"/>
      <c r="GQ35" s="1106"/>
      <c r="GR35" s="1106"/>
      <c r="GS35" s="1106"/>
      <c r="GT35" s="1106"/>
      <c r="GU35" s="1106"/>
      <c r="GV35" s="1106"/>
      <c r="GW35" s="1106"/>
      <c r="GX35" s="1106"/>
      <c r="GY35" s="1106"/>
      <c r="GZ35" s="1106"/>
      <c r="HA35" s="1106"/>
      <c r="HB35" s="1106"/>
      <c r="HC35" s="1106"/>
      <c r="HD35" s="1106"/>
      <c r="HE35" s="1106"/>
      <c r="HF35" s="1106"/>
      <c r="HG35" s="1106"/>
      <c r="HH35" s="1106"/>
      <c r="HI35" s="1106"/>
      <c r="HJ35" s="1106"/>
      <c r="HK35" s="1106"/>
      <c r="HL35" s="1106"/>
      <c r="HM35" s="1106"/>
      <c r="HN35" s="1106"/>
      <c r="HO35" s="1106"/>
      <c r="HP35" s="1106"/>
      <c r="HQ35" s="1106"/>
      <c r="HR35" s="1106"/>
      <c r="HS35" s="1106"/>
      <c r="HT35" s="1106"/>
      <c r="HU35" s="1106"/>
      <c r="HV35" s="1106"/>
      <c r="HW35" s="1106"/>
      <c r="HX35" s="1106"/>
      <c r="HY35" s="1106"/>
      <c r="HZ35" s="1106"/>
      <c r="IA35" s="1106"/>
      <c r="IB35" s="1106"/>
      <c r="IC35" s="1106"/>
      <c r="ID35" s="1106"/>
      <c r="IE35" s="1106"/>
      <c r="IF35" s="1106"/>
      <c r="IG35" s="1106"/>
      <c r="IH35" s="1106"/>
      <c r="II35" s="1106"/>
      <c r="IJ35" s="1106"/>
      <c r="IK35" s="1106"/>
      <c r="IL35" s="1106"/>
      <c r="IM35" s="1106"/>
      <c r="IN35" s="1106"/>
      <c r="IO35" s="1106"/>
      <c r="IP35" s="1106"/>
      <c r="IQ35" s="1106"/>
      <c r="IR35" s="1106"/>
      <c r="IS35" s="1106"/>
      <c r="IT35" s="1106"/>
      <c r="IU35" s="1106"/>
      <c r="IV35" s="1106"/>
      <c r="IW35" s="1106"/>
    </row>
    <row r="36" customFormat="false" ht="12.75" hidden="false" customHeight="false" outlineLevel="0" collapsed="false">
      <c r="B36" s="1087" t="s">
        <v>689</v>
      </c>
      <c r="C36" s="1107"/>
      <c r="D36" s="100" t="n">
        <f aca="false">Srcs_Uses!E7</f>
        <v>264.958086355692</v>
      </c>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1088"/>
      <c r="AI36" s="1108"/>
      <c r="AJ36" s="1108"/>
      <c r="AK36" s="1108"/>
      <c r="AL36" s="1108"/>
      <c r="AM36" s="1108"/>
      <c r="AN36" s="1108"/>
      <c r="AO36" s="1108"/>
      <c r="AP36" s="1108"/>
      <c r="AQ36" s="1108"/>
      <c r="AR36" s="1108"/>
      <c r="AS36" s="1108"/>
      <c r="AT36" s="1108"/>
      <c r="AU36" s="1108"/>
      <c r="AV36" s="1108"/>
      <c r="AW36" s="1108"/>
      <c r="AX36" s="1108"/>
      <c r="AY36" s="1108"/>
      <c r="AZ36" s="1108"/>
      <c r="BA36" s="1108"/>
      <c r="BB36" s="1108"/>
      <c r="BC36" s="1108"/>
      <c r="BD36" s="1108"/>
      <c r="BE36" s="1108"/>
      <c r="BF36" s="1108"/>
      <c r="BG36" s="1108"/>
      <c r="BH36" s="1108"/>
      <c r="BI36" s="1108"/>
      <c r="BJ36" s="1108"/>
      <c r="BK36" s="1108"/>
      <c r="BL36" s="1108"/>
      <c r="BM36" s="1108"/>
      <c r="BN36" s="1108"/>
      <c r="BO36" s="1108"/>
      <c r="BP36" s="1108"/>
      <c r="BQ36" s="1108"/>
      <c r="BR36" s="1108"/>
      <c r="BS36" s="1108"/>
      <c r="BT36" s="1108"/>
      <c r="BU36" s="1108"/>
      <c r="BV36" s="1108"/>
      <c r="BW36" s="1108"/>
      <c r="BX36" s="1108"/>
      <c r="BY36" s="1108"/>
      <c r="BZ36" s="1108"/>
      <c r="CA36" s="1108"/>
      <c r="CB36" s="1108"/>
      <c r="CC36" s="1108"/>
      <c r="CD36" s="1108"/>
      <c r="CE36" s="1108"/>
      <c r="CF36" s="1108"/>
      <c r="CG36" s="1108"/>
      <c r="CH36" s="1108"/>
      <c r="CI36" s="1108"/>
      <c r="CJ36" s="1108"/>
      <c r="CK36" s="1108"/>
      <c r="CL36" s="1108"/>
      <c r="CM36" s="1108"/>
      <c r="CN36" s="1108"/>
      <c r="CO36" s="1108"/>
      <c r="CP36" s="1108"/>
      <c r="CQ36" s="1108"/>
      <c r="CR36" s="1108"/>
      <c r="CS36" s="1108"/>
      <c r="CT36" s="1108"/>
      <c r="CU36" s="1108"/>
      <c r="CV36" s="1108"/>
      <c r="CW36" s="1108"/>
      <c r="CX36" s="1108"/>
      <c r="CY36" s="1108"/>
      <c r="CZ36" s="1108"/>
      <c r="DA36" s="1108"/>
      <c r="DB36" s="1108"/>
      <c r="DC36" s="1108"/>
      <c r="DD36" s="1108"/>
      <c r="DE36" s="1108"/>
      <c r="DF36" s="1108"/>
      <c r="DG36" s="1108"/>
      <c r="DH36" s="1108"/>
      <c r="DI36" s="1108"/>
      <c r="DJ36" s="1108"/>
      <c r="DK36" s="1108"/>
      <c r="DL36" s="1108"/>
      <c r="DM36" s="1108"/>
      <c r="DN36" s="1108"/>
      <c r="DO36" s="1108"/>
      <c r="DP36" s="1108"/>
      <c r="DQ36" s="1108"/>
      <c r="DR36" s="1108"/>
      <c r="DS36" s="1108"/>
      <c r="DT36" s="1108"/>
      <c r="DU36" s="1108"/>
      <c r="DV36" s="1108"/>
      <c r="DW36" s="1108"/>
      <c r="DX36" s="1108"/>
      <c r="DY36" s="1108"/>
      <c r="DZ36" s="1108"/>
      <c r="EA36" s="1108"/>
      <c r="EB36" s="1108"/>
      <c r="EC36" s="1108"/>
      <c r="ED36" s="1108"/>
      <c r="EE36" s="1108"/>
      <c r="EF36" s="1108"/>
      <c r="EG36" s="1108"/>
      <c r="EH36" s="1108"/>
      <c r="EI36" s="1108"/>
      <c r="EJ36" s="1108"/>
      <c r="EK36" s="1108"/>
      <c r="EL36" s="1108"/>
      <c r="EM36" s="1108"/>
      <c r="EN36" s="1108"/>
      <c r="EO36" s="1108"/>
      <c r="EP36" s="1108"/>
      <c r="EQ36" s="1108"/>
      <c r="ER36" s="1108"/>
      <c r="ES36" s="1108"/>
      <c r="ET36" s="1108"/>
      <c r="EU36" s="1108"/>
      <c r="EV36" s="1108"/>
      <c r="EW36" s="1108"/>
      <c r="EX36" s="1108"/>
      <c r="EY36" s="1108"/>
      <c r="EZ36" s="1108"/>
      <c r="FA36" s="1108"/>
      <c r="FB36" s="1108"/>
      <c r="FC36" s="1108"/>
      <c r="FD36" s="1108"/>
      <c r="FE36" s="1108"/>
      <c r="FF36" s="1108"/>
      <c r="FG36" s="1108"/>
      <c r="FH36" s="1108"/>
      <c r="FI36" s="1108"/>
      <c r="FJ36" s="1108"/>
      <c r="FK36" s="1108"/>
      <c r="FL36" s="1108"/>
      <c r="FM36" s="1108"/>
      <c r="FN36" s="1108"/>
      <c r="FO36" s="1108"/>
      <c r="FP36" s="1108"/>
      <c r="FQ36" s="1108"/>
      <c r="FR36" s="1108"/>
      <c r="FS36" s="1108"/>
      <c r="FT36" s="1108"/>
      <c r="FU36" s="1108"/>
      <c r="FV36" s="1108"/>
      <c r="FW36" s="1108"/>
      <c r="FX36" s="1108"/>
      <c r="FY36" s="1108"/>
      <c r="FZ36" s="1108"/>
      <c r="GA36" s="1108"/>
      <c r="GB36" s="1108"/>
      <c r="GC36" s="1108"/>
      <c r="GD36" s="1108"/>
      <c r="GE36" s="1108"/>
      <c r="GF36" s="1108"/>
      <c r="GG36" s="1108"/>
      <c r="GH36" s="1108"/>
      <c r="GI36" s="1108"/>
      <c r="GJ36" s="1108"/>
      <c r="GK36" s="1108"/>
      <c r="GL36" s="1108"/>
      <c r="GM36" s="1108"/>
      <c r="GN36" s="1108"/>
      <c r="GO36" s="1108"/>
      <c r="GP36" s="1108"/>
      <c r="GQ36" s="1108"/>
      <c r="GR36" s="1108"/>
      <c r="GS36" s="1108"/>
      <c r="GT36" s="1108"/>
      <c r="GU36" s="1108"/>
      <c r="GV36" s="1108"/>
      <c r="GW36" s="1108"/>
      <c r="GX36" s="1108"/>
      <c r="GY36" s="1108"/>
      <c r="GZ36" s="1108"/>
      <c r="HA36" s="1108"/>
      <c r="HB36" s="1108"/>
      <c r="HC36" s="1108"/>
      <c r="HD36" s="1108"/>
      <c r="HE36" s="1108"/>
      <c r="HF36" s="1108"/>
      <c r="HG36" s="1108"/>
      <c r="HH36" s="1108"/>
      <c r="HI36" s="1108"/>
      <c r="HJ36" s="1108"/>
      <c r="HK36" s="1108"/>
      <c r="HL36" s="1108"/>
      <c r="HM36" s="1108"/>
      <c r="HN36" s="1108"/>
      <c r="HO36" s="1108"/>
      <c r="HP36" s="1108"/>
      <c r="HQ36" s="1108"/>
      <c r="HR36" s="1108"/>
      <c r="HS36" s="1108"/>
      <c r="HT36" s="1108"/>
      <c r="HU36" s="1108"/>
      <c r="HV36" s="1108"/>
      <c r="HW36" s="1108"/>
      <c r="HX36" s="1108"/>
      <c r="HY36" s="1108"/>
      <c r="HZ36" s="1108"/>
      <c r="IA36" s="1108"/>
      <c r="IB36" s="1108"/>
      <c r="IC36" s="1108"/>
      <c r="ID36" s="1108"/>
      <c r="IE36" s="1108"/>
      <c r="IF36" s="1108"/>
      <c r="IG36" s="1108"/>
      <c r="IH36" s="1108"/>
      <c r="II36" s="1108"/>
      <c r="IJ36" s="1108"/>
      <c r="IK36" s="1108"/>
      <c r="IL36" s="1108"/>
      <c r="IM36" s="1108"/>
      <c r="IN36" s="1108"/>
      <c r="IO36" s="1108"/>
      <c r="IP36" s="1108"/>
      <c r="IQ36" s="1108"/>
      <c r="IR36" s="1108"/>
      <c r="IS36" s="1108"/>
      <c r="IT36" s="1108"/>
      <c r="IU36" s="1108"/>
      <c r="IV36" s="1108"/>
      <c r="IW36" s="1108"/>
    </row>
    <row r="37" customFormat="false" ht="12.75" hidden="false" customHeight="false" outlineLevel="0" collapsed="false">
      <c r="B37" s="1089" t="s">
        <v>551</v>
      </c>
      <c r="C37" s="1057"/>
      <c r="D37" s="130" t="n">
        <f aca="false">CashFlow!E43</f>
        <v>0</v>
      </c>
      <c r="E37" s="130" t="n">
        <f aca="false">CashFlow!F43</f>
        <v>0</v>
      </c>
      <c r="F37" s="130" t="n">
        <f aca="false">CashFlow!G43</f>
        <v>0</v>
      </c>
      <c r="G37" s="130" t="n">
        <f aca="false">CashFlow!H43</f>
        <v>0</v>
      </c>
      <c r="H37" s="130" t="n">
        <f aca="false">CashFlow!I43</f>
        <v>0</v>
      </c>
      <c r="I37" s="130" t="n">
        <f aca="false">CashFlow!J43</f>
        <v>0</v>
      </c>
      <c r="J37" s="130" t="n">
        <f aca="false">CashFlow!K43</f>
        <v>0</v>
      </c>
      <c r="K37" s="130" t="n">
        <f aca="false">CashFlow!L43</f>
        <v>0</v>
      </c>
      <c r="L37" s="130" t="n">
        <f aca="false">CashFlow!M43</f>
        <v>0</v>
      </c>
      <c r="M37" s="130" t="n">
        <f aca="false">CashFlow!N43</f>
        <v>0</v>
      </c>
      <c r="N37" s="130" t="n">
        <f aca="false">CashFlow!O43</f>
        <v>0</v>
      </c>
      <c r="O37" s="130" t="n">
        <f aca="false">CashFlow!P43</f>
        <v>0</v>
      </c>
      <c r="P37" s="130" t="n">
        <f aca="false">CashFlow!Q43</f>
        <v>0</v>
      </c>
      <c r="Q37" s="130" t="n">
        <f aca="false">CashFlow!R43</f>
        <v>0</v>
      </c>
      <c r="R37" s="130" t="n">
        <f aca="false">CashFlow!S43</f>
        <v>0</v>
      </c>
      <c r="S37" s="130" t="n">
        <f aca="false">CashFlow!T43</f>
        <v>0</v>
      </c>
      <c r="T37" s="130" t="n">
        <f aca="false">CashFlow!U43</f>
        <v>0</v>
      </c>
      <c r="U37" s="130" t="n">
        <f aca="false">CashFlow!V43</f>
        <v>0</v>
      </c>
      <c r="V37" s="130" t="n">
        <f aca="false">CashFlow!W43</f>
        <v>0</v>
      </c>
      <c r="W37" s="130" t="n">
        <f aca="false">CashFlow!X43</f>
        <v>0</v>
      </c>
      <c r="X37" s="130" t="n">
        <f aca="false">CashFlow!Y43</f>
        <v>0</v>
      </c>
      <c r="Y37" s="130" t="n">
        <f aca="false">CashFlow!Z43</f>
        <v>0</v>
      </c>
      <c r="Z37" s="130" t="n">
        <f aca="false">CashFlow!AA43</f>
        <v>0</v>
      </c>
      <c r="AA37" s="130" t="n">
        <f aca="false">CashFlow!AB43</f>
        <v>0</v>
      </c>
      <c r="AB37" s="130" t="n">
        <f aca="false">CashFlow!AC43</f>
        <v>0</v>
      </c>
      <c r="AC37" s="130" t="n">
        <f aca="false">CashFlow!AD43</f>
        <v>0</v>
      </c>
      <c r="AD37" s="130" t="n">
        <f aca="false">CashFlow!AE43</f>
        <v>0</v>
      </c>
      <c r="AE37" s="130" t="n">
        <f aca="false">CashFlow!AF43</f>
        <v>0</v>
      </c>
      <c r="AF37" s="130" t="n">
        <f aca="false">CashFlow!AG43</f>
        <v>0</v>
      </c>
      <c r="AG37" s="130" t="n">
        <f aca="false">CashFlow!AH43</f>
        <v>0</v>
      </c>
      <c r="AH37" s="1090" t="n">
        <f aca="false">CashFlow!AI43</f>
        <v>0</v>
      </c>
      <c r="AI37" s="130"/>
      <c r="AJ37" s="130"/>
      <c r="AK37" s="130"/>
      <c r="AL37" s="130"/>
      <c r="AM37" s="130"/>
      <c r="AN37" s="130"/>
      <c r="AO37" s="130"/>
      <c r="AP37" s="130"/>
      <c r="AQ37" s="130"/>
      <c r="AR37" s="130"/>
      <c r="AS37" s="130"/>
      <c r="AT37" s="130"/>
      <c r="AU37" s="130"/>
      <c r="AV37" s="130"/>
      <c r="AW37" s="130"/>
      <c r="AX37" s="130"/>
      <c r="AY37" s="130"/>
      <c r="AZ37" s="130"/>
      <c r="BA37" s="130"/>
      <c r="BB37" s="130"/>
      <c r="BC37" s="130"/>
      <c r="BD37" s="130"/>
      <c r="BE37" s="130"/>
      <c r="BF37" s="130"/>
      <c r="BG37" s="130"/>
      <c r="BH37" s="130"/>
      <c r="BI37" s="130"/>
      <c r="BJ37" s="130"/>
      <c r="BK37" s="130"/>
      <c r="BL37" s="130"/>
      <c r="BM37" s="130"/>
      <c r="BN37" s="130"/>
      <c r="BO37" s="130"/>
      <c r="BP37" s="130"/>
      <c r="BQ37" s="130"/>
      <c r="BR37" s="130"/>
      <c r="BS37" s="130"/>
      <c r="BT37" s="130"/>
      <c r="BU37" s="130"/>
      <c r="BV37" s="130"/>
      <c r="BW37" s="130"/>
      <c r="BX37" s="130"/>
      <c r="BY37" s="130"/>
      <c r="BZ37" s="130"/>
      <c r="CA37" s="130"/>
      <c r="CB37" s="130"/>
      <c r="CC37" s="130"/>
      <c r="CD37" s="130"/>
      <c r="CE37" s="130"/>
      <c r="CF37" s="130"/>
      <c r="CG37" s="130"/>
      <c r="CH37" s="130"/>
      <c r="CI37" s="130"/>
      <c r="CJ37" s="130"/>
      <c r="CK37" s="130"/>
      <c r="CL37" s="130"/>
      <c r="CM37" s="130"/>
      <c r="CN37" s="130"/>
      <c r="CO37" s="130"/>
      <c r="CP37" s="130"/>
      <c r="CQ37" s="130"/>
      <c r="CR37" s="130"/>
      <c r="CS37" s="130"/>
      <c r="CT37" s="130"/>
      <c r="CU37" s="130"/>
      <c r="CV37" s="130"/>
      <c r="CW37" s="130"/>
      <c r="CX37" s="130"/>
      <c r="CY37" s="130"/>
      <c r="CZ37" s="130"/>
      <c r="DA37" s="130"/>
      <c r="DB37" s="130"/>
      <c r="DC37" s="130"/>
      <c r="DD37" s="130"/>
      <c r="DE37" s="130"/>
      <c r="DF37" s="130"/>
      <c r="DG37" s="130"/>
      <c r="DH37" s="130"/>
      <c r="DI37" s="130"/>
      <c r="DJ37" s="130"/>
      <c r="DK37" s="130"/>
      <c r="DL37" s="130"/>
      <c r="DM37" s="130"/>
      <c r="DN37" s="130"/>
      <c r="DO37" s="130"/>
      <c r="DP37" s="130"/>
      <c r="DQ37" s="130"/>
      <c r="DR37" s="130"/>
      <c r="DS37" s="130"/>
      <c r="DT37" s="130"/>
      <c r="DU37" s="130"/>
      <c r="DV37" s="130"/>
      <c r="DW37" s="130"/>
      <c r="DX37" s="130"/>
      <c r="DY37" s="130"/>
      <c r="DZ37" s="130"/>
      <c r="EA37" s="130"/>
      <c r="EB37" s="130"/>
      <c r="EC37" s="130"/>
      <c r="ED37" s="130"/>
      <c r="EE37" s="130"/>
      <c r="EF37" s="130"/>
      <c r="EG37" s="130"/>
      <c r="EH37" s="130"/>
      <c r="EI37" s="130"/>
      <c r="EJ37" s="130"/>
      <c r="EK37" s="130"/>
      <c r="EL37" s="130"/>
      <c r="EM37" s="130"/>
      <c r="EN37" s="130"/>
      <c r="EO37" s="130"/>
      <c r="EP37" s="130"/>
      <c r="EQ37" s="130"/>
      <c r="ER37" s="130"/>
      <c r="ES37" s="130"/>
      <c r="ET37" s="130"/>
      <c r="EU37" s="130"/>
      <c r="EV37" s="130"/>
      <c r="EW37" s="130"/>
      <c r="EX37" s="130"/>
      <c r="EY37" s="130"/>
      <c r="EZ37" s="130"/>
      <c r="FA37" s="130"/>
      <c r="FB37" s="130"/>
      <c r="FC37" s="130"/>
      <c r="FD37" s="130"/>
      <c r="FE37" s="130"/>
      <c r="FF37" s="130"/>
      <c r="FG37" s="130"/>
      <c r="FH37" s="130"/>
      <c r="FI37" s="130"/>
      <c r="FJ37" s="130"/>
      <c r="FK37" s="130"/>
      <c r="FL37" s="130"/>
      <c r="FM37" s="130"/>
      <c r="FN37" s="130"/>
      <c r="FO37" s="130"/>
      <c r="FP37" s="130"/>
      <c r="FQ37" s="130"/>
      <c r="FR37" s="130"/>
      <c r="FS37" s="130"/>
      <c r="FT37" s="130"/>
      <c r="FU37" s="130"/>
      <c r="FV37" s="130"/>
      <c r="FW37" s="130"/>
      <c r="FX37" s="130"/>
      <c r="FY37" s="130"/>
      <c r="FZ37" s="130"/>
      <c r="GA37" s="130"/>
      <c r="GB37" s="130"/>
      <c r="GC37" s="130"/>
      <c r="GD37" s="130"/>
      <c r="GE37" s="130"/>
      <c r="GF37" s="130"/>
      <c r="GG37" s="130"/>
      <c r="GH37" s="130"/>
      <c r="GI37" s="130"/>
      <c r="GJ37" s="130"/>
      <c r="GK37" s="130"/>
      <c r="GL37" s="130"/>
      <c r="GM37" s="130"/>
      <c r="GN37" s="130"/>
      <c r="GO37" s="130"/>
      <c r="GP37" s="130"/>
      <c r="GQ37" s="130"/>
      <c r="GR37" s="130"/>
      <c r="GS37" s="130"/>
      <c r="GT37" s="130"/>
      <c r="GU37" s="130"/>
      <c r="GV37" s="130"/>
      <c r="GW37" s="130"/>
      <c r="GX37" s="130"/>
      <c r="GY37" s="130"/>
      <c r="GZ37" s="130"/>
      <c r="HA37" s="130"/>
      <c r="HB37" s="130"/>
      <c r="HC37" s="130"/>
      <c r="HD37" s="130"/>
      <c r="HE37" s="130"/>
      <c r="HF37" s="130"/>
      <c r="HG37" s="130"/>
      <c r="HH37" s="130"/>
      <c r="HI37" s="130"/>
      <c r="HJ37" s="130"/>
      <c r="HK37" s="130"/>
      <c r="HL37" s="130"/>
      <c r="HM37" s="130"/>
      <c r="HN37" s="130"/>
      <c r="HO37" s="130"/>
      <c r="HP37" s="130"/>
      <c r="HQ37" s="130"/>
      <c r="HR37" s="130"/>
      <c r="HS37" s="130"/>
      <c r="HT37" s="130"/>
      <c r="HU37" s="130"/>
      <c r="HV37" s="130"/>
      <c r="HW37" s="130"/>
      <c r="HX37" s="130"/>
      <c r="HY37" s="130"/>
      <c r="HZ37" s="130"/>
      <c r="IA37" s="130"/>
      <c r="IB37" s="130"/>
      <c r="IC37" s="130"/>
      <c r="ID37" s="130"/>
      <c r="IE37" s="130"/>
      <c r="IF37" s="130"/>
      <c r="IG37" s="130"/>
      <c r="IH37" s="130"/>
      <c r="II37" s="130"/>
      <c r="IJ37" s="130"/>
      <c r="IK37" s="130"/>
      <c r="IL37" s="130"/>
      <c r="IM37" s="130"/>
      <c r="IN37" s="130"/>
      <c r="IO37" s="130"/>
      <c r="IP37" s="130"/>
      <c r="IQ37" s="130"/>
      <c r="IR37" s="130"/>
      <c r="IS37" s="130"/>
      <c r="IT37" s="130"/>
      <c r="IU37" s="130"/>
      <c r="IV37" s="130"/>
      <c r="IW37" s="130"/>
    </row>
    <row r="38" customFormat="false" ht="12.75" hidden="false" customHeight="false" outlineLevel="0" collapsed="false">
      <c r="B38" s="1091" t="s">
        <v>690</v>
      </c>
      <c r="C38" s="1109"/>
      <c r="D38" s="1053"/>
      <c r="E38" s="1053"/>
      <c r="F38" s="1053"/>
      <c r="G38" s="1053"/>
      <c r="H38" s="1053"/>
      <c r="I38" s="1053"/>
      <c r="J38" s="1053"/>
      <c r="K38" s="1053"/>
      <c r="L38" s="1053"/>
      <c r="M38" s="1053"/>
      <c r="N38" s="1053"/>
      <c r="O38" s="1053"/>
      <c r="P38" s="1053"/>
      <c r="Q38" s="1053"/>
      <c r="R38" s="1053"/>
      <c r="S38" s="1053"/>
      <c r="T38" s="1053"/>
      <c r="U38" s="1053"/>
      <c r="V38" s="1053"/>
      <c r="W38" s="1053"/>
      <c r="X38" s="1053"/>
      <c r="Y38" s="1053"/>
      <c r="Z38" s="1053"/>
      <c r="AA38" s="1053"/>
      <c r="AB38" s="1053"/>
      <c r="AC38" s="1053"/>
      <c r="AD38" s="1053"/>
      <c r="AE38" s="1053"/>
      <c r="AF38" s="1053"/>
      <c r="AG38" s="1053"/>
      <c r="AH38" s="1092"/>
      <c r="AI38" s="1053"/>
      <c r="AJ38" s="1053"/>
      <c r="AK38" s="1053"/>
      <c r="AL38" s="1053"/>
      <c r="AM38" s="1053"/>
      <c r="AN38" s="1053"/>
      <c r="AO38" s="1053"/>
      <c r="AP38" s="1053"/>
      <c r="AQ38" s="1053"/>
      <c r="AR38" s="1053"/>
      <c r="AS38" s="1053"/>
      <c r="AT38" s="1053"/>
      <c r="AU38" s="1053"/>
      <c r="AV38" s="1053"/>
      <c r="AW38" s="1053"/>
      <c r="AX38" s="1053"/>
      <c r="AY38" s="1053"/>
      <c r="AZ38" s="1053"/>
      <c r="BA38" s="1053"/>
      <c r="BB38" s="1053"/>
      <c r="BC38" s="1053"/>
      <c r="BD38" s="1053"/>
      <c r="BE38" s="1053"/>
      <c r="BF38" s="1053"/>
      <c r="BG38" s="1053"/>
      <c r="BH38" s="1053"/>
      <c r="BI38" s="1053"/>
      <c r="BJ38" s="1053"/>
      <c r="BK38" s="1053"/>
      <c r="BL38" s="1053"/>
      <c r="BM38" s="1053"/>
      <c r="BN38" s="1053"/>
      <c r="BO38" s="1053"/>
      <c r="BP38" s="1053"/>
      <c r="BQ38" s="1053"/>
      <c r="BR38" s="1053"/>
      <c r="BS38" s="1053"/>
      <c r="BT38" s="1053"/>
      <c r="BU38" s="1053"/>
      <c r="BV38" s="1053"/>
      <c r="BW38" s="1053"/>
      <c r="BX38" s="1053"/>
      <c r="BY38" s="1053"/>
      <c r="BZ38" s="1053"/>
      <c r="CA38" s="1053"/>
      <c r="CB38" s="1053"/>
      <c r="CC38" s="1053"/>
      <c r="CD38" s="1053"/>
      <c r="CE38" s="1053"/>
      <c r="CF38" s="1053"/>
      <c r="CG38" s="1053"/>
      <c r="CH38" s="1053"/>
      <c r="CI38" s="1053"/>
      <c r="CJ38" s="1053"/>
      <c r="CK38" s="1053"/>
      <c r="CL38" s="1053"/>
      <c r="CM38" s="1053"/>
      <c r="CN38" s="1053"/>
      <c r="CO38" s="1053"/>
      <c r="CP38" s="1053"/>
      <c r="CQ38" s="1053"/>
      <c r="CR38" s="1053"/>
      <c r="CS38" s="1053"/>
      <c r="CT38" s="1053"/>
      <c r="CU38" s="1053"/>
      <c r="CV38" s="1053"/>
      <c r="CW38" s="1053"/>
      <c r="CX38" s="1053"/>
      <c r="CY38" s="1053"/>
      <c r="CZ38" s="1053"/>
      <c r="DA38" s="1053"/>
      <c r="DB38" s="1053"/>
      <c r="DC38" s="1053"/>
      <c r="DD38" s="1053"/>
      <c r="DE38" s="1053"/>
      <c r="DF38" s="1053"/>
      <c r="DG38" s="1053"/>
      <c r="DH38" s="1053"/>
      <c r="DI38" s="1053"/>
      <c r="DJ38" s="1053"/>
      <c r="DK38" s="1053"/>
      <c r="DL38" s="1053"/>
      <c r="DM38" s="1053"/>
      <c r="DN38" s="1053"/>
      <c r="DO38" s="1053"/>
      <c r="DP38" s="1053"/>
      <c r="DQ38" s="1053"/>
      <c r="DR38" s="1053"/>
      <c r="DS38" s="1053"/>
      <c r="DT38" s="1053"/>
      <c r="DU38" s="1053"/>
      <c r="DV38" s="1053"/>
      <c r="DW38" s="1053"/>
      <c r="DX38" s="1053"/>
      <c r="DY38" s="1053"/>
      <c r="DZ38" s="1053"/>
      <c r="EA38" s="1053"/>
      <c r="EB38" s="1053"/>
      <c r="EC38" s="1053"/>
      <c r="ED38" s="1053"/>
      <c r="EE38" s="1053"/>
      <c r="EF38" s="1053"/>
      <c r="EG38" s="1053"/>
      <c r="EH38" s="1053"/>
      <c r="EI38" s="1053"/>
      <c r="EJ38" s="1053"/>
      <c r="EK38" s="1053"/>
      <c r="EL38" s="1053"/>
      <c r="EM38" s="1053"/>
      <c r="EN38" s="1053"/>
      <c r="EO38" s="1053"/>
      <c r="EP38" s="1053"/>
      <c r="EQ38" s="1053"/>
      <c r="ER38" s="1053"/>
      <c r="ES38" s="1053"/>
      <c r="ET38" s="1053"/>
      <c r="EU38" s="1053"/>
      <c r="EV38" s="1053"/>
      <c r="EW38" s="1053"/>
      <c r="EX38" s="1053"/>
      <c r="EY38" s="1053"/>
      <c r="EZ38" s="1053"/>
      <c r="FA38" s="1053"/>
      <c r="FB38" s="1053"/>
      <c r="FC38" s="1053"/>
      <c r="FD38" s="1053"/>
      <c r="FE38" s="1053"/>
      <c r="FF38" s="1053"/>
      <c r="FG38" s="1053"/>
      <c r="FH38" s="1053"/>
      <c r="FI38" s="1053"/>
      <c r="FJ38" s="1053"/>
      <c r="FK38" s="1053"/>
      <c r="FL38" s="1053"/>
      <c r="FM38" s="1053"/>
      <c r="FN38" s="1053"/>
      <c r="FO38" s="1053"/>
      <c r="FP38" s="1053"/>
      <c r="FQ38" s="1053"/>
      <c r="FR38" s="1053"/>
      <c r="FS38" s="1053"/>
      <c r="FT38" s="1053"/>
      <c r="FU38" s="1053"/>
      <c r="FV38" s="1053"/>
      <c r="FW38" s="1053"/>
      <c r="FX38" s="1053"/>
      <c r="FY38" s="1053"/>
      <c r="FZ38" s="1053"/>
      <c r="GA38" s="1053"/>
      <c r="GB38" s="1053"/>
      <c r="GC38" s="1053"/>
      <c r="GD38" s="1053"/>
      <c r="GE38" s="1053"/>
      <c r="GF38" s="1053"/>
      <c r="GG38" s="1053"/>
      <c r="GH38" s="1053"/>
      <c r="GI38" s="1053"/>
      <c r="GJ38" s="1053"/>
      <c r="GK38" s="1053"/>
      <c r="GL38" s="1053"/>
      <c r="GM38" s="1053"/>
      <c r="GN38" s="1053"/>
      <c r="GO38" s="1053"/>
      <c r="GP38" s="1053"/>
      <c r="GQ38" s="1053"/>
      <c r="GR38" s="1053"/>
      <c r="GS38" s="1053"/>
      <c r="GT38" s="1053"/>
      <c r="GU38" s="1053"/>
      <c r="GV38" s="1053"/>
      <c r="GW38" s="1053"/>
      <c r="GX38" s="1053"/>
      <c r="GY38" s="1053"/>
      <c r="GZ38" s="1053"/>
      <c r="HA38" s="1053"/>
      <c r="HB38" s="1053"/>
      <c r="HC38" s="1053"/>
      <c r="HD38" s="1053"/>
      <c r="HE38" s="1053"/>
      <c r="HF38" s="1053"/>
      <c r="HG38" s="1053"/>
      <c r="HH38" s="1053"/>
      <c r="HI38" s="1053"/>
      <c r="HJ38" s="1053"/>
      <c r="HK38" s="1053"/>
      <c r="HL38" s="1053"/>
      <c r="HM38" s="1053"/>
      <c r="HN38" s="1053"/>
      <c r="HO38" s="1053"/>
      <c r="HP38" s="1053"/>
      <c r="HQ38" s="1053"/>
      <c r="HR38" s="1053"/>
      <c r="HS38" s="1053"/>
      <c r="HT38" s="1053"/>
      <c r="HU38" s="1053"/>
      <c r="HV38" s="1053"/>
      <c r="HW38" s="1053"/>
      <c r="HX38" s="1053"/>
      <c r="HY38" s="1053"/>
      <c r="HZ38" s="1053"/>
      <c r="IA38" s="1053"/>
      <c r="IB38" s="1053"/>
      <c r="IC38" s="1053"/>
      <c r="ID38" s="1053"/>
      <c r="IE38" s="1053"/>
      <c r="IF38" s="1053"/>
      <c r="IG38" s="1053"/>
      <c r="IH38" s="1053"/>
      <c r="II38" s="1053"/>
      <c r="IJ38" s="1053"/>
      <c r="IK38" s="1053"/>
      <c r="IL38" s="1053"/>
      <c r="IM38" s="1053"/>
      <c r="IN38" s="1053"/>
      <c r="IO38" s="1053"/>
      <c r="IP38" s="1053"/>
      <c r="IQ38" s="1053"/>
      <c r="IR38" s="1053"/>
      <c r="IS38" s="1053"/>
      <c r="IT38" s="1053"/>
      <c r="IU38" s="1053"/>
      <c r="IV38" s="1053"/>
      <c r="IW38" s="1053"/>
    </row>
    <row r="39" customFormat="false" ht="12.75" hidden="false" customHeight="false" outlineLevel="0" collapsed="false">
      <c r="B39" s="1091" t="str">
        <f aca="false">Basis!B84</f>
        <v>Net Min Gain Adjustment</v>
      </c>
      <c r="C39" s="1109"/>
      <c r="D39" s="1053" t="n">
        <f aca="false">Basis!D86</f>
        <v>0</v>
      </c>
      <c r="E39" s="1053" t="n">
        <f aca="false">Basis!E86</f>
        <v>0</v>
      </c>
      <c r="F39" s="1053" t="n">
        <f aca="false">Basis!F86</f>
        <v>0</v>
      </c>
      <c r="G39" s="1053" t="n">
        <f aca="false">Basis!G86</f>
        <v>0</v>
      </c>
      <c r="H39" s="1053" t="n">
        <f aca="false">Basis!H86</f>
        <v>0</v>
      </c>
      <c r="I39" s="1053" t="n">
        <f aca="false">Basis!I86</f>
        <v>0</v>
      </c>
      <c r="J39" s="1053" t="n">
        <f aca="false">Basis!J86</f>
        <v>0</v>
      </c>
      <c r="K39" s="1053" t="n">
        <f aca="false">Basis!K86</f>
        <v>0</v>
      </c>
      <c r="L39" s="1053" t="n">
        <f aca="false">Basis!L86</f>
        <v>0</v>
      </c>
      <c r="M39" s="1053" t="n">
        <f aca="false">Basis!M86</f>
        <v>0</v>
      </c>
      <c r="N39" s="1053" t="n">
        <f aca="false">Basis!N86</f>
        <v>0</v>
      </c>
      <c r="O39" s="1053" t="n">
        <f aca="false">Basis!O86</f>
        <v>0</v>
      </c>
      <c r="P39" s="1053" t="n">
        <f aca="false">Basis!P86</f>
        <v>0</v>
      </c>
      <c r="Q39" s="1053" t="n">
        <f aca="false">Basis!Q86</f>
        <v>0</v>
      </c>
      <c r="R39" s="1053" t="n">
        <f aca="false">Basis!R86</f>
        <v>0</v>
      </c>
      <c r="S39" s="1053" t="n">
        <f aca="false">Basis!S86</f>
        <v>0</v>
      </c>
      <c r="T39" s="1053" t="n">
        <f aca="false">Basis!T86</f>
        <v>0</v>
      </c>
      <c r="U39" s="1053" t="n">
        <f aca="false">Basis!U86</f>
        <v>0</v>
      </c>
      <c r="V39" s="1053" t="n">
        <f aca="false">Basis!V86</f>
        <v>0</v>
      </c>
      <c r="W39" s="1053" t="n">
        <f aca="false">Basis!W86</f>
        <v>0</v>
      </c>
      <c r="X39" s="1053" t="n">
        <f aca="false">Basis!X86</f>
        <v>0</v>
      </c>
      <c r="Y39" s="1053" t="n">
        <f aca="false">Basis!Y86</f>
        <v>0</v>
      </c>
      <c r="Z39" s="1053" t="n">
        <f aca="false">Basis!Z86</f>
        <v>0</v>
      </c>
      <c r="AA39" s="1053" t="n">
        <f aca="false">Basis!AA86</f>
        <v>0</v>
      </c>
      <c r="AB39" s="1053" t="n">
        <f aca="false">Basis!AB86</f>
        <v>0</v>
      </c>
      <c r="AC39" s="1053" t="n">
        <f aca="false">Basis!AC86</f>
        <v>0</v>
      </c>
      <c r="AD39" s="1053" t="n">
        <f aca="false">Basis!AD86</f>
        <v>0</v>
      </c>
      <c r="AE39" s="1053" t="n">
        <f aca="false">Basis!AE86</f>
        <v>0</v>
      </c>
      <c r="AF39" s="1053" t="n">
        <f aca="false">Basis!AF86</f>
        <v>0</v>
      </c>
      <c r="AG39" s="1053" t="n">
        <f aca="false">Basis!AG86</f>
        <v>0</v>
      </c>
      <c r="AH39" s="1092" t="n">
        <f aca="false">Basis!AH86</f>
        <v>0</v>
      </c>
      <c r="AI39" s="1053"/>
      <c r="AJ39" s="1053"/>
      <c r="AK39" s="1053"/>
      <c r="AL39" s="1053"/>
      <c r="AM39" s="1053"/>
      <c r="AN39" s="1053"/>
      <c r="AO39" s="1053"/>
      <c r="AP39" s="1053"/>
      <c r="AQ39" s="1053"/>
      <c r="AR39" s="1053"/>
      <c r="AS39" s="1053"/>
      <c r="AT39" s="1053"/>
      <c r="AU39" s="1053"/>
      <c r="AV39" s="1053"/>
      <c r="AW39" s="1053"/>
      <c r="AX39" s="1053"/>
      <c r="AY39" s="1053"/>
      <c r="AZ39" s="1053"/>
      <c r="BA39" s="1053"/>
      <c r="BB39" s="1053"/>
      <c r="BC39" s="1053"/>
      <c r="BD39" s="1053"/>
      <c r="BE39" s="1053"/>
      <c r="BF39" s="1053"/>
      <c r="BG39" s="1053"/>
      <c r="BH39" s="1053"/>
      <c r="BI39" s="1053"/>
      <c r="BJ39" s="1053"/>
      <c r="BK39" s="1053"/>
      <c r="BL39" s="1053"/>
      <c r="BM39" s="1053"/>
      <c r="BN39" s="1053"/>
      <c r="BO39" s="1053"/>
      <c r="BP39" s="1053"/>
      <c r="BQ39" s="1053"/>
      <c r="BR39" s="1053"/>
      <c r="BS39" s="1053"/>
      <c r="BT39" s="1053"/>
      <c r="BU39" s="1053"/>
      <c r="BV39" s="1053"/>
      <c r="BW39" s="1053"/>
      <c r="BX39" s="1053"/>
      <c r="BY39" s="1053"/>
      <c r="BZ39" s="1053"/>
      <c r="CA39" s="1053"/>
      <c r="CB39" s="1053"/>
      <c r="CC39" s="1053"/>
      <c r="CD39" s="1053"/>
      <c r="CE39" s="1053"/>
      <c r="CF39" s="1053"/>
      <c r="CG39" s="1053"/>
      <c r="CH39" s="1053"/>
      <c r="CI39" s="1053"/>
      <c r="CJ39" s="1053"/>
      <c r="CK39" s="1053"/>
      <c r="CL39" s="1053"/>
      <c r="CM39" s="1053"/>
      <c r="CN39" s="1053"/>
      <c r="CO39" s="1053"/>
      <c r="CP39" s="1053"/>
      <c r="CQ39" s="1053"/>
      <c r="CR39" s="1053"/>
      <c r="CS39" s="1053"/>
      <c r="CT39" s="1053"/>
      <c r="CU39" s="1053"/>
      <c r="CV39" s="1053"/>
      <c r="CW39" s="1053"/>
      <c r="CX39" s="1053"/>
      <c r="CY39" s="1053"/>
      <c r="CZ39" s="1053"/>
      <c r="DA39" s="1053"/>
      <c r="DB39" s="1053"/>
      <c r="DC39" s="1053"/>
      <c r="DD39" s="1053"/>
      <c r="DE39" s="1053"/>
      <c r="DF39" s="1053"/>
      <c r="DG39" s="1053"/>
      <c r="DH39" s="1053"/>
      <c r="DI39" s="1053"/>
      <c r="DJ39" s="1053"/>
      <c r="DK39" s="1053"/>
      <c r="DL39" s="1053"/>
      <c r="DM39" s="1053"/>
      <c r="DN39" s="1053"/>
      <c r="DO39" s="1053"/>
      <c r="DP39" s="1053"/>
      <c r="DQ39" s="1053"/>
      <c r="DR39" s="1053"/>
      <c r="DS39" s="1053"/>
      <c r="DT39" s="1053"/>
      <c r="DU39" s="1053"/>
      <c r="DV39" s="1053"/>
      <c r="DW39" s="1053"/>
      <c r="DX39" s="1053"/>
      <c r="DY39" s="1053"/>
      <c r="DZ39" s="1053"/>
      <c r="EA39" s="1053"/>
      <c r="EB39" s="1053"/>
      <c r="EC39" s="1053"/>
      <c r="ED39" s="1053"/>
      <c r="EE39" s="1053"/>
      <c r="EF39" s="1053"/>
      <c r="EG39" s="1053"/>
      <c r="EH39" s="1053"/>
      <c r="EI39" s="1053"/>
      <c r="EJ39" s="1053"/>
      <c r="EK39" s="1053"/>
      <c r="EL39" s="1053"/>
      <c r="EM39" s="1053"/>
      <c r="EN39" s="1053"/>
      <c r="EO39" s="1053"/>
      <c r="EP39" s="1053"/>
      <c r="EQ39" s="1053"/>
      <c r="ER39" s="1053"/>
      <c r="ES39" s="1053"/>
      <c r="ET39" s="1053"/>
      <c r="EU39" s="1053"/>
      <c r="EV39" s="1053"/>
      <c r="EW39" s="1053"/>
      <c r="EX39" s="1053"/>
      <c r="EY39" s="1053"/>
      <c r="EZ39" s="1053"/>
      <c r="FA39" s="1053"/>
      <c r="FB39" s="1053"/>
      <c r="FC39" s="1053"/>
      <c r="FD39" s="1053"/>
      <c r="FE39" s="1053"/>
      <c r="FF39" s="1053"/>
      <c r="FG39" s="1053"/>
      <c r="FH39" s="1053"/>
      <c r="FI39" s="1053"/>
      <c r="FJ39" s="1053"/>
      <c r="FK39" s="1053"/>
      <c r="FL39" s="1053"/>
      <c r="FM39" s="1053"/>
      <c r="FN39" s="1053"/>
      <c r="FO39" s="1053"/>
      <c r="FP39" s="1053"/>
      <c r="FQ39" s="1053"/>
      <c r="FR39" s="1053"/>
      <c r="FS39" s="1053"/>
      <c r="FT39" s="1053"/>
      <c r="FU39" s="1053"/>
      <c r="FV39" s="1053"/>
      <c r="FW39" s="1053"/>
      <c r="FX39" s="1053"/>
      <c r="FY39" s="1053"/>
      <c r="FZ39" s="1053"/>
      <c r="GA39" s="1053"/>
      <c r="GB39" s="1053"/>
      <c r="GC39" s="1053"/>
      <c r="GD39" s="1053"/>
      <c r="GE39" s="1053"/>
      <c r="GF39" s="1053"/>
      <c r="GG39" s="1053"/>
      <c r="GH39" s="1053"/>
      <c r="GI39" s="1053"/>
      <c r="GJ39" s="1053"/>
      <c r="GK39" s="1053"/>
      <c r="GL39" s="1053"/>
      <c r="GM39" s="1053"/>
      <c r="GN39" s="1053"/>
      <c r="GO39" s="1053"/>
      <c r="GP39" s="1053"/>
      <c r="GQ39" s="1053"/>
      <c r="GR39" s="1053"/>
      <c r="GS39" s="1053"/>
      <c r="GT39" s="1053"/>
      <c r="GU39" s="1053"/>
      <c r="GV39" s="1053"/>
      <c r="GW39" s="1053"/>
      <c r="GX39" s="1053"/>
      <c r="GY39" s="1053"/>
      <c r="GZ39" s="1053"/>
      <c r="HA39" s="1053"/>
      <c r="HB39" s="1053"/>
      <c r="HC39" s="1053"/>
      <c r="HD39" s="1053"/>
      <c r="HE39" s="1053"/>
      <c r="HF39" s="1053"/>
      <c r="HG39" s="1053"/>
      <c r="HH39" s="1053"/>
      <c r="HI39" s="1053"/>
      <c r="HJ39" s="1053"/>
      <c r="HK39" s="1053"/>
      <c r="HL39" s="1053"/>
      <c r="HM39" s="1053"/>
      <c r="HN39" s="1053"/>
      <c r="HO39" s="1053"/>
      <c r="HP39" s="1053"/>
      <c r="HQ39" s="1053"/>
      <c r="HR39" s="1053"/>
      <c r="HS39" s="1053"/>
      <c r="HT39" s="1053"/>
      <c r="HU39" s="1053"/>
      <c r="HV39" s="1053"/>
      <c r="HW39" s="1053"/>
      <c r="HX39" s="1053"/>
      <c r="HY39" s="1053"/>
      <c r="HZ39" s="1053"/>
      <c r="IA39" s="1053"/>
      <c r="IB39" s="1053"/>
      <c r="IC39" s="1053"/>
      <c r="ID39" s="1053"/>
      <c r="IE39" s="1053"/>
      <c r="IF39" s="1053"/>
      <c r="IG39" s="1053"/>
      <c r="IH39" s="1053"/>
      <c r="II39" s="1053"/>
      <c r="IJ39" s="1053"/>
      <c r="IK39" s="1053"/>
      <c r="IL39" s="1053"/>
      <c r="IM39" s="1053"/>
      <c r="IN39" s="1053"/>
      <c r="IO39" s="1053"/>
      <c r="IP39" s="1053"/>
      <c r="IQ39" s="1053"/>
      <c r="IR39" s="1053"/>
      <c r="IS39" s="1053"/>
      <c r="IT39" s="1053"/>
      <c r="IU39" s="1053"/>
      <c r="IV39" s="1053"/>
      <c r="IW39" s="1053"/>
    </row>
    <row r="40" customFormat="false" ht="12.75" hidden="false" customHeight="false" outlineLevel="0" collapsed="false">
      <c r="B40" s="1091" t="s">
        <v>691</v>
      </c>
      <c r="C40" s="1109"/>
      <c r="D40" s="1053"/>
      <c r="E40" s="1053"/>
      <c r="F40" s="1053"/>
      <c r="G40" s="1053"/>
      <c r="H40" s="1053"/>
      <c r="I40" s="1053"/>
      <c r="J40" s="1053"/>
      <c r="K40" s="1053"/>
      <c r="L40" s="1053"/>
      <c r="M40" s="1053"/>
      <c r="N40" s="1053"/>
      <c r="O40" s="1053"/>
      <c r="P40" s="1053"/>
      <c r="Q40" s="1053"/>
      <c r="R40" s="1053"/>
      <c r="S40" s="1053"/>
      <c r="T40" s="1053"/>
      <c r="U40" s="1053"/>
      <c r="V40" s="1053"/>
      <c r="W40" s="1053"/>
      <c r="X40" s="1053"/>
      <c r="Y40" s="1053"/>
      <c r="Z40" s="1053"/>
      <c r="AA40" s="1053"/>
      <c r="AB40" s="1053"/>
      <c r="AC40" s="1053"/>
      <c r="AD40" s="1053"/>
      <c r="AE40" s="1053"/>
      <c r="AF40" s="1053"/>
      <c r="AG40" s="1053"/>
      <c r="AH40" s="1092"/>
      <c r="AI40" s="1053"/>
      <c r="AJ40" s="1053"/>
      <c r="AK40" s="1053"/>
      <c r="AL40" s="1053"/>
      <c r="AM40" s="1053"/>
      <c r="AN40" s="1053"/>
      <c r="AO40" s="1053"/>
      <c r="AP40" s="1053"/>
      <c r="AQ40" s="1053"/>
      <c r="AR40" s="1053"/>
      <c r="AS40" s="1053"/>
      <c r="AT40" s="1053"/>
      <c r="AU40" s="1053"/>
      <c r="AV40" s="1053"/>
      <c r="AW40" s="1053"/>
      <c r="AX40" s="1053"/>
      <c r="AY40" s="1053"/>
      <c r="AZ40" s="1053"/>
      <c r="BA40" s="1053"/>
      <c r="BB40" s="1053"/>
      <c r="BC40" s="1053"/>
      <c r="BD40" s="1053"/>
      <c r="BE40" s="1053"/>
      <c r="BF40" s="1053"/>
      <c r="BG40" s="1053"/>
      <c r="BH40" s="1053"/>
      <c r="BI40" s="1053"/>
      <c r="BJ40" s="1053"/>
      <c r="BK40" s="1053"/>
      <c r="BL40" s="1053"/>
      <c r="BM40" s="1053"/>
      <c r="BN40" s="1053"/>
      <c r="BO40" s="1053"/>
      <c r="BP40" s="1053"/>
      <c r="BQ40" s="1053"/>
      <c r="BR40" s="1053"/>
      <c r="BS40" s="1053"/>
      <c r="BT40" s="1053"/>
      <c r="BU40" s="1053"/>
      <c r="BV40" s="1053"/>
      <c r="BW40" s="1053"/>
      <c r="BX40" s="1053"/>
      <c r="BY40" s="1053"/>
      <c r="BZ40" s="1053"/>
      <c r="CA40" s="1053"/>
      <c r="CB40" s="1053"/>
      <c r="CC40" s="1053"/>
      <c r="CD40" s="1053"/>
      <c r="CE40" s="1053"/>
      <c r="CF40" s="1053"/>
      <c r="CG40" s="1053"/>
      <c r="CH40" s="1053"/>
      <c r="CI40" s="1053"/>
      <c r="CJ40" s="1053"/>
      <c r="CK40" s="1053"/>
      <c r="CL40" s="1053"/>
      <c r="CM40" s="1053"/>
      <c r="CN40" s="1053"/>
      <c r="CO40" s="1053"/>
      <c r="CP40" s="1053"/>
      <c r="CQ40" s="1053"/>
      <c r="CR40" s="1053"/>
      <c r="CS40" s="1053"/>
      <c r="CT40" s="1053"/>
      <c r="CU40" s="1053"/>
      <c r="CV40" s="1053"/>
      <c r="CW40" s="1053"/>
      <c r="CX40" s="1053"/>
      <c r="CY40" s="1053"/>
      <c r="CZ40" s="1053"/>
      <c r="DA40" s="1053"/>
      <c r="DB40" s="1053"/>
      <c r="DC40" s="1053"/>
      <c r="DD40" s="1053"/>
      <c r="DE40" s="1053"/>
      <c r="DF40" s="1053"/>
      <c r="DG40" s="1053"/>
      <c r="DH40" s="1053"/>
      <c r="DI40" s="1053"/>
      <c r="DJ40" s="1053"/>
      <c r="DK40" s="1053"/>
      <c r="DL40" s="1053"/>
      <c r="DM40" s="1053"/>
      <c r="DN40" s="1053"/>
      <c r="DO40" s="1053"/>
      <c r="DP40" s="1053"/>
      <c r="DQ40" s="1053"/>
      <c r="DR40" s="1053"/>
      <c r="DS40" s="1053"/>
      <c r="DT40" s="1053"/>
      <c r="DU40" s="1053"/>
      <c r="DV40" s="1053"/>
      <c r="DW40" s="1053"/>
      <c r="DX40" s="1053"/>
      <c r="DY40" s="1053"/>
      <c r="DZ40" s="1053"/>
      <c r="EA40" s="1053"/>
      <c r="EB40" s="1053"/>
      <c r="EC40" s="1053"/>
      <c r="ED40" s="1053"/>
      <c r="EE40" s="1053"/>
      <c r="EF40" s="1053"/>
      <c r="EG40" s="1053"/>
      <c r="EH40" s="1053"/>
      <c r="EI40" s="1053"/>
      <c r="EJ40" s="1053"/>
      <c r="EK40" s="1053"/>
      <c r="EL40" s="1053"/>
      <c r="EM40" s="1053"/>
      <c r="EN40" s="1053"/>
      <c r="EO40" s="1053"/>
      <c r="EP40" s="1053"/>
      <c r="EQ40" s="1053"/>
      <c r="ER40" s="1053"/>
      <c r="ES40" s="1053"/>
      <c r="ET40" s="1053"/>
      <c r="EU40" s="1053"/>
      <c r="EV40" s="1053"/>
      <c r="EW40" s="1053"/>
      <c r="EX40" s="1053"/>
      <c r="EY40" s="1053"/>
      <c r="EZ40" s="1053"/>
      <c r="FA40" s="1053"/>
      <c r="FB40" s="1053"/>
      <c r="FC40" s="1053"/>
      <c r="FD40" s="1053"/>
      <c r="FE40" s="1053"/>
      <c r="FF40" s="1053"/>
      <c r="FG40" s="1053"/>
      <c r="FH40" s="1053"/>
      <c r="FI40" s="1053"/>
      <c r="FJ40" s="1053"/>
      <c r="FK40" s="1053"/>
      <c r="FL40" s="1053"/>
      <c r="FM40" s="1053"/>
      <c r="FN40" s="1053"/>
      <c r="FO40" s="1053"/>
      <c r="FP40" s="1053"/>
      <c r="FQ40" s="1053"/>
      <c r="FR40" s="1053"/>
      <c r="FS40" s="1053"/>
      <c r="FT40" s="1053"/>
      <c r="FU40" s="1053"/>
      <c r="FV40" s="1053"/>
      <c r="FW40" s="1053"/>
      <c r="FX40" s="1053"/>
      <c r="FY40" s="1053"/>
      <c r="FZ40" s="1053"/>
      <c r="GA40" s="1053"/>
      <c r="GB40" s="1053"/>
      <c r="GC40" s="1053"/>
      <c r="GD40" s="1053"/>
      <c r="GE40" s="1053"/>
      <c r="GF40" s="1053"/>
      <c r="GG40" s="1053"/>
      <c r="GH40" s="1053"/>
      <c r="GI40" s="1053"/>
      <c r="GJ40" s="1053"/>
      <c r="GK40" s="1053"/>
      <c r="GL40" s="1053"/>
      <c r="GM40" s="1053"/>
      <c r="GN40" s="1053"/>
      <c r="GO40" s="1053"/>
      <c r="GP40" s="1053"/>
      <c r="GQ40" s="1053"/>
      <c r="GR40" s="1053"/>
      <c r="GS40" s="1053"/>
      <c r="GT40" s="1053"/>
      <c r="GU40" s="1053"/>
      <c r="GV40" s="1053"/>
      <c r="GW40" s="1053"/>
      <c r="GX40" s="1053"/>
      <c r="GY40" s="1053"/>
      <c r="GZ40" s="1053"/>
      <c r="HA40" s="1053"/>
      <c r="HB40" s="1053"/>
      <c r="HC40" s="1053"/>
      <c r="HD40" s="1053"/>
      <c r="HE40" s="1053"/>
      <c r="HF40" s="1053"/>
      <c r="HG40" s="1053"/>
      <c r="HH40" s="1053"/>
      <c r="HI40" s="1053"/>
      <c r="HJ40" s="1053"/>
      <c r="HK40" s="1053"/>
      <c r="HL40" s="1053"/>
      <c r="HM40" s="1053"/>
      <c r="HN40" s="1053"/>
      <c r="HO40" s="1053"/>
      <c r="HP40" s="1053"/>
      <c r="HQ40" s="1053"/>
      <c r="HR40" s="1053"/>
      <c r="HS40" s="1053"/>
      <c r="HT40" s="1053"/>
      <c r="HU40" s="1053"/>
      <c r="HV40" s="1053"/>
      <c r="HW40" s="1053"/>
      <c r="HX40" s="1053"/>
      <c r="HY40" s="1053"/>
      <c r="HZ40" s="1053"/>
      <c r="IA40" s="1053"/>
      <c r="IB40" s="1053"/>
      <c r="IC40" s="1053"/>
      <c r="ID40" s="1053"/>
      <c r="IE40" s="1053"/>
      <c r="IF40" s="1053"/>
      <c r="IG40" s="1053"/>
      <c r="IH40" s="1053"/>
      <c r="II40" s="1053"/>
      <c r="IJ40" s="1053"/>
      <c r="IK40" s="1053"/>
      <c r="IL40" s="1053"/>
      <c r="IM40" s="1053"/>
      <c r="IN40" s="1053"/>
      <c r="IO40" s="1053"/>
      <c r="IP40" s="1053"/>
      <c r="IQ40" s="1053"/>
      <c r="IR40" s="1053"/>
      <c r="IS40" s="1053"/>
      <c r="IT40" s="1053"/>
      <c r="IU40" s="1053"/>
      <c r="IV40" s="1053"/>
      <c r="IW40" s="1053"/>
    </row>
    <row r="41" customFormat="false" ht="12.75" hidden="false" customHeight="false" outlineLevel="0" collapsed="false">
      <c r="B41" s="1094" t="s">
        <v>692</v>
      </c>
      <c r="C41" s="1110"/>
      <c r="D41" s="1053" t="n">
        <f aca="false">D66*D$33</f>
        <v>37.0396222781693</v>
      </c>
      <c r="E41" s="1053" t="n">
        <f aca="false">E66*E$33</f>
        <v>37.0396222781693</v>
      </c>
      <c r="F41" s="1053" t="n">
        <f aca="false">F66*F$33</f>
        <v>37.0396222781693</v>
      </c>
      <c r="G41" s="1053" t="n">
        <f aca="false">G66*G$33</f>
        <v>37.0396222781693</v>
      </c>
      <c r="H41" s="1053" t="n">
        <f aca="false">H66*H$33</f>
        <v>37.0396222781693</v>
      </c>
      <c r="I41" s="1053" t="n">
        <f aca="false">I66*I$33</f>
        <v>37.0396222781693</v>
      </c>
      <c r="J41" s="1053" t="n">
        <f aca="false">J66*J$33</f>
        <v>37.0396222781693</v>
      </c>
      <c r="K41" s="1053" t="n">
        <f aca="false">K66*K$33</f>
        <v>37.0396222781693</v>
      </c>
      <c r="L41" s="1053" t="n">
        <f aca="false">L66*L$33</f>
        <v>37.0396222781693</v>
      </c>
      <c r="M41" s="1053" t="n">
        <f aca="false">M66*M$33</f>
        <v>37.0396222781693</v>
      </c>
      <c r="N41" s="1053" t="n">
        <f aca="false">N66*N$33</f>
        <v>37.0396222781693</v>
      </c>
      <c r="O41" s="1053" t="n">
        <f aca="false">O66*O$33</f>
        <v>37.0396222781693</v>
      </c>
      <c r="P41" s="1053" t="n">
        <f aca="false">P66*P$33</f>
        <v>37.0396222781693</v>
      </c>
      <c r="Q41" s="1053" t="n">
        <f aca="false">Q66*Q$33</f>
        <v>37.0396222781693</v>
      </c>
      <c r="R41" s="1053" t="n">
        <f aca="false">R66*R$33</f>
        <v>37.0396222781693</v>
      </c>
      <c r="S41" s="1053" t="n">
        <f aca="false">S66*S$33</f>
        <v>37.0396222781693</v>
      </c>
      <c r="T41" s="1053" t="n">
        <f aca="false">T66*T$33</f>
        <v>37.0396222781693</v>
      </c>
      <c r="U41" s="1053" t="n">
        <f aca="false">U66*U$33</f>
        <v>37.0396222781693</v>
      </c>
      <c r="V41" s="1053" t="n">
        <f aca="false">V66*V$33</f>
        <v>37.0396222781693</v>
      </c>
      <c r="W41" s="1053" t="n">
        <f aca="false">W66*W$33</f>
        <v>37.0396222781693</v>
      </c>
      <c r="X41" s="1053" t="n">
        <f aca="false">X66*X$33</f>
        <v>0</v>
      </c>
      <c r="Y41" s="1053" t="n">
        <f aca="false">Y66*Y$33</f>
        <v>0</v>
      </c>
      <c r="Z41" s="1053" t="n">
        <f aca="false">Z66*Z$33</f>
        <v>0</v>
      </c>
      <c r="AA41" s="1053" t="n">
        <f aca="false">AA66*AA$33</f>
        <v>0</v>
      </c>
      <c r="AB41" s="1053" t="n">
        <f aca="false">AB66*AB$33</f>
        <v>0</v>
      </c>
      <c r="AC41" s="1053" t="n">
        <f aca="false">AC66*AC$33</f>
        <v>0</v>
      </c>
      <c r="AD41" s="1053" t="n">
        <f aca="false">AD66*AD$33</f>
        <v>0</v>
      </c>
      <c r="AE41" s="1053" t="n">
        <f aca="false">AE66*AE$33</f>
        <v>0</v>
      </c>
      <c r="AF41" s="1053" t="n">
        <f aca="false">AF66*AF$33</f>
        <v>0</v>
      </c>
      <c r="AG41" s="1053" t="n">
        <f aca="false">AG66*AG$33</f>
        <v>0</v>
      </c>
      <c r="AH41" s="1092" t="n">
        <f aca="false">AH66*AH$33</f>
        <v>0</v>
      </c>
      <c r="AI41" s="1111"/>
      <c r="AJ41" s="1111"/>
      <c r="AK41" s="1111"/>
      <c r="AL41" s="1111"/>
      <c r="AM41" s="1111"/>
      <c r="AN41" s="1111"/>
      <c r="AO41" s="1111"/>
      <c r="AP41" s="1111"/>
      <c r="AQ41" s="1111"/>
      <c r="AR41" s="1111"/>
      <c r="AS41" s="1111"/>
      <c r="AT41" s="1111"/>
      <c r="AU41" s="1111"/>
      <c r="AV41" s="1111"/>
      <c r="AW41" s="1111"/>
      <c r="AX41" s="1111"/>
      <c r="AY41" s="1111"/>
      <c r="AZ41" s="1111"/>
      <c r="BA41" s="1111"/>
      <c r="BB41" s="1111"/>
      <c r="BC41" s="1111"/>
      <c r="BD41" s="1111"/>
      <c r="BE41" s="1111"/>
      <c r="BF41" s="1111"/>
      <c r="BG41" s="1111"/>
      <c r="BH41" s="1111"/>
      <c r="BI41" s="1111"/>
      <c r="BJ41" s="1111"/>
      <c r="BK41" s="1111"/>
      <c r="BL41" s="1111"/>
      <c r="BM41" s="1111"/>
      <c r="BN41" s="1111"/>
      <c r="BO41" s="1111"/>
      <c r="BP41" s="1111"/>
      <c r="BQ41" s="1111"/>
      <c r="BR41" s="1111"/>
      <c r="BS41" s="1111"/>
      <c r="BT41" s="1111"/>
      <c r="BU41" s="1111"/>
      <c r="BV41" s="1111"/>
      <c r="BW41" s="1111"/>
      <c r="BX41" s="1111"/>
      <c r="BY41" s="1111"/>
      <c r="BZ41" s="1111"/>
      <c r="CA41" s="1111"/>
      <c r="CB41" s="1111"/>
      <c r="CC41" s="1111"/>
      <c r="CD41" s="1111"/>
      <c r="CE41" s="1111"/>
      <c r="CF41" s="1111"/>
      <c r="CG41" s="1111"/>
      <c r="CH41" s="1111"/>
      <c r="CI41" s="1111"/>
      <c r="CJ41" s="1111"/>
      <c r="CK41" s="1111"/>
      <c r="CL41" s="1111"/>
      <c r="CM41" s="1111"/>
      <c r="CN41" s="1111"/>
      <c r="CO41" s="1111"/>
      <c r="CP41" s="1111"/>
      <c r="CQ41" s="1111"/>
      <c r="CR41" s="1111"/>
      <c r="CS41" s="1111"/>
      <c r="CT41" s="1111"/>
      <c r="CU41" s="1111"/>
      <c r="CV41" s="1111"/>
      <c r="CW41" s="1111"/>
      <c r="CX41" s="1111"/>
      <c r="CY41" s="1111"/>
      <c r="CZ41" s="1111"/>
      <c r="DA41" s="1111"/>
      <c r="DB41" s="1111"/>
      <c r="DC41" s="1111"/>
      <c r="DD41" s="1111"/>
      <c r="DE41" s="1111"/>
      <c r="DF41" s="1111"/>
      <c r="DG41" s="1111"/>
      <c r="DH41" s="1111"/>
      <c r="DI41" s="1111"/>
      <c r="DJ41" s="1111"/>
      <c r="DK41" s="1111"/>
      <c r="DL41" s="1111"/>
      <c r="DM41" s="1111"/>
      <c r="DN41" s="1111"/>
      <c r="DO41" s="1111"/>
      <c r="DP41" s="1111"/>
      <c r="DQ41" s="1111"/>
      <c r="DR41" s="1111"/>
      <c r="DS41" s="1111"/>
      <c r="DT41" s="1111"/>
      <c r="DU41" s="1111"/>
      <c r="DV41" s="1111"/>
      <c r="DW41" s="1111"/>
      <c r="DX41" s="1111"/>
      <c r="DY41" s="1111"/>
      <c r="DZ41" s="1111"/>
      <c r="EA41" s="1111"/>
      <c r="EB41" s="1111"/>
      <c r="EC41" s="1111"/>
      <c r="ED41" s="1111"/>
      <c r="EE41" s="1111"/>
      <c r="EF41" s="1111"/>
      <c r="EG41" s="1111"/>
      <c r="EH41" s="1111"/>
      <c r="EI41" s="1111"/>
      <c r="EJ41" s="1111"/>
      <c r="EK41" s="1111"/>
      <c r="EL41" s="1111"/>
      <c r="EM41" s="1111"/>
      <c r="EN41" s="1111"/>
      <c r="EO41" s="1111"/>
      <c r="EP41" s="1111"/>
      <c r="EQ41" s="1111"/>
      <c r="ER41" s="1111"/>
      <c r="ES41" s="1111"/>
      <c r="ET41" s="1111"/>
      <c r="EU41" s="1111"/>
      <c r="EV41" s="1111"/>
      <c r="EW41" s="1111"/>
      <c r="EX41" s="1111"/>
      <c r="EY41" s="1111"/>
      <c r="EZ41" s="1111"/>
      <c r="FA41" s="1111"/>
      <c r="FB41" s="1111"/>
      <c r="FC41" s="1111"/>
      <c r="FD41" s="1111"/>
      <c r="FE41" s="1111"/>
      <c r="FF41" s="1111"/>
      <c r="FG41" s="1111"/>
      <c r="FH41" s="1111"/>
      <c r="FI41" s="1111"/>
      <c r="FJ41" s="1111"/>
      <c r="FK41" s="1111"/>
      <c r="FL41" s="1111"/>
      <c r="FM41" s="1111"/>
      <c r="FN41" s="1111"/>
      <c r="FO41" s="1111"/>
      <c r="FP41" s="1111"/>
      <c r="FQ41" s="1111"/>
      <c r="FR41" s="1111"/>
      <c r="FS41" s="1111"/>
      <c r="FT41" s="1111"/>
      <c r="FU41" s="1111"/>
      <c r="FV41" s="1111"/>
      <c r="FW41" s="1111"/>
      <c r="FX41" s="1111"/>
      <c r="FY41" s="1111"/>
      <c r="FZ41" s="1111"/>
      <c r="GA41" s="1111"/>
      <c r="GB41" s="1111"/>
      <c r="GC41" s="1111"/>
      <c r="GD41" s="1111"/>
      <c r="GE41" s="1111"/>
      <c r="GF41" s="1111"/>
      <c r="GG41" s="1111"/>
      <c r="GH41" s="1111"/>
      <c r="GI41" s="1111"/>
      <c r="GJ41" s="1111"/>
      <c r="GK41" s="1111"/>
      <c r="GL41" s="1111"/>
      <c r="GM41" s="1111"/>
      <c r="GN41" s="1111"/>
      <c r="GO41" s="1111"/>
      <c r="GP41" s="1111"/>
      <c r="GQ41" s="1111"/>
      <c r="GR41" s="1111"/>
      <c r="GS41" s="1111"/>
      <c r="GT41" s="1111"/>
      <c r="GU41" s="1111"/>
      <c r="GV41" s="1111"/>
      <c r="GW41" s="1111"/>
      <c r="GX41" s="1111"/>
      <c r="GY41" s="1111"/>
      <c r="GZ41" s="1111"/>
      <c r="HA41" s="1111"/>
      <c r="HB41" s="1111"/>
      <c r="HC41" s="1111"/>
      <c r="HD41" s="1111"/>
      <c r="HE41" s="1111"/>
      <c r="HF41" s="1111"/>
      <c r="HG41" s="1111"/>
      <c r="HH41" s="1111"/>
      <c r="HI41" s="1111"/>
      <c r="HJ41" s="1111"/>
      <c r="HK41" s="1111"/>
      <c r="HL41" s="1111"/>
      <c r="HM41" s="1111"/>
      <c r="HN41" s="1111"/>
      <c r="HO41" s="1111"/>
      <c r="HP41" s="1111"/>
      <c r="HQ41" s="1111"/>
      <c r="HR41" s="1111"/>
      <c r="HS41" s="1111"/>
      <c r="HT41" s="1111"/>
      <c r="HU41" s="1111"/>
      <c r="HV41" s="1111"/>
      <c r="HW41" s="1111"/>
      <c r="HX41" s="1111"/>
      <c r="HY41" s="1111"/>
      <c r="HZ41" s="1111"/>
      <c r="IA41" s="1111"/>
      <c r="IB41" s="1111"/>
      <c r="IC41" s="1111"/>
      <c r="ID41" s="1111"/>
      <c r="IE41" s="1111"/>
      <c r="IF41" s="1111"/>
      <c r="IG41" s="1111"/>
      <c r="IH41" s="1111"/>
      <c r="II41" s="1111"/>
      <c r="IJ41" s="1111"/>
      <c r="IK41" s="1111"/>
      <c r="IL41" s="1111"/>
      <c r="IM41" s="1111"/>
      <c r="IN41" s="1111"/>
      <c r="IO41" s="1111"/>
      <c r="IP41" s="1111"/>
      <c r="IQ41" s="1111"/>
      <c r="IR41" s="1111"/>
      <c r="IS41" s="1111"/>
      <c r="IT41" s="1111"/>
      <c r="IU41" s="1111"/>
      <c r="IV41" s="1111"/>
      <c r="IW41" s="1111"/>
    </row>
    <row r="42" customFormat="false" ht="12.75" hidden="false" customHeight="false" outlineLevel="0" collapsed="false">
      <c r="A42" s="1112"/>
      <c r="B42" s="1095" t="s">
        <v>693</v>
      </c>
      <c r="C42" s="1110"/>
      <c r="D42" s="242" t="n">
        <f aca="false">D67*D$33</f>
        <v>-11.285524</v>
      </c>
      <c r="E42" s="242" t="n">
        <f aca="false">E67*E$33</f>
        <v>-11.29049997</v>
      </c>
      <c r="F42" s="242" t="n">
        <f aca="false">F67*F$33</f>
        <v>-11.301997655895</v>
      </c>
      <c r="G42" s="242" t="n">
        <f aca="false">G67*G$33</f>
        <v>-11.3214898157918</v>
      </c>
      <c r="H42" s="242" t="n">
        <f aca="false">H67*H$33</f>
        <v>-11.3477213920728</v>
      </c>
      <c r="I42" s="242" t="n">
        <f aca="false">I67*I$33</f>
        <v>-14.8298190870659</v>
      </c>
      <c r="J42" s="242" t="n">
        <f aca="false">J67*J$33</f>
        <v>-14.9589981899892</v>
      </c>
      <c r="K42" s="242" t="n">
        <f aca="false">K67*K$33</f>
        <v>-15.0957379006443</v>
      </c>
      <c r="L42" s="242" t="n">
        <f aca="false">L67*L$33</f>
        <v>-15.240085116777</v>
      </c>
      <c r="M42" s="242" t="n">
        <f aca="false">M67*M$33</f>
        <v>-15.393053282885</v>
      </c>
      <c r="N42" s="242" t="n">
        <f aca="false">N67*N$33</f>
        <v>-15.1053261358893</v>
      </c>
      <c r="O42" s="242" t="n">
        <f aca="false">O67*O$33</f>
        <v>-15.2803529858551</v>
      </c>
      <c r="P42" s="242" t="n">
        <f aca="false">P67*P$33</f>
        <v>-15.4714492393436</v>
      </c>
      <c r="Q42" s="242" t="n">
        <f aca="false">Q67*Q$33</f>
        <v>-15.6794382324035</v>
      </c>
      <c r="R42" s="242" t="n">
        <f aca="false">R67*R$33</f>
        <v>-15.9062782339725</v>
      </c>
      <c r="S42" s="242" t="n">
        <f aca="false">S67*S$33</f>
        <v>-16.1519582420471</v>
      </c>
      <c r="T42" s="242" t="n">
        <f aca="false">T67*T$33</f>
        <v>-16.4150928056403</v>
      </c>
      <c r="U42" s="242" t="n">
        <f aca="false">U67*U$33</f>
        <v>-15.9162284885926</v>
      </c>
      <c r="V42" s="242" t="n">
        <f aca="false">V67*V$33</f>
        <v>-16.2041172855041</v>
      </c>
      <c r="W42" s="242" t="n">
        <f aca="false">W67*W$33</f>
        <v>-16.5233852365652</v>
      </c>
      <c r="X42" s="242" t="n">
        <f aca="false">X67*X$33</f>
        <v>0</v>
      </c>
      <c r="Y42" s="242" t="n">
        <f aca="false">Y67*Y$33</f>
        <v>0</v>
      </c>
      <c r="Z42" s="242" t="n">
        <f aca="false">Z67*Z$33</f>
        <v>0</v>
      </c>
      <c r="AA42" s="242" t="n">
        <f aca="false">AA67*AA$33</f>
        <v>0</v>
      </c>
      <c r="AB42" s="242" t="n">
        <f aca="false">AB67*AB$33</f>
        <v>0</v>
      </c>
      <c r="AC42" s="242" t="n">
        <f aca="false">AC67*AC$33</f>
        <v>0</v>
      </c>
      <c r="AD42" s="242" t="n">
        <f aca="false">AD67*AD$33</f>
        <v>0</v>
      </c>
      <c r="AE42" s="242" t="n">
        <f aca="false">AE67*AE$33</f>
        <v>0</v>
      </c>
      <c r="AF42" s="242" t="n">
        <f aca="false">AF67*AF$33</f>
        <v>0</v>
      </c>
      <c r="AG42" s="242" t="n">
        <f aca="false">AG67*AG$33</f>
        <v>0</v>
      </c>
      <c r="AH42" s="1098" t="n">
        <f aca="false">AH67*AH$33</f>
        <v>0</v>
      </c>
      <c r="AI42" s="1113"/>
      <c r="AJ42" s="1113"/>
      <c r="AK42" s="1113"/>
      <c r="AL42" s="1113"/>
      <c r="AM42" s="1113"/>
      <c r="AN42" s="1113"/>
      <c r="AO42" s="1113"/>
      <c r="AP42" s="1113"/>
      <c r="AQ42" s="1113"/>
      <c r="AR42" s="1113"/>
      <c r="AS42" s="1113"/>
      <c r="AT42" s="1113"/>
      <c r="AU42" s="1113"/>
      <c r="AV42" s="1113"/>
      <c r="AW42" s="1113"/>
      <c r="AX42" s="1113"/>
      <c r="AY42" s="1113"/>
      <c r="AZ42" s="1113"/>
      <c r="BA42" s="1113"/>
      <c r="BB42" s="1113"/>
      <c r="BC42" s="1113"/>
      <c r="BD42" s="1113"/>
      <c r="BE42" s="1113"/>
      <c r="BF42" s="1113"/>
      <c r="BG42" s="1113"/>
      <c r="BH42" s="1113"/>
      <c r="BI42" s="1113"/>
      <c r="BJ42" s="1113"/>
      <c r="BK42" s="1113"/>
      <c r="BL42" s="1113"/>
      <c r="BM42" s="1113"/>
      <c r="BN42" s="1113"/>
      <c r="BO42" s="1113"/>
      <c r="BP42" s="1113"/>
      <c r="BQ42" s="1113"/>
      <c r="BR42" s="1113"/>
      <c r="BS42" s="1113"/>
      <c r="BT42" s="1113"/>
      <c r="BU42" s="1113"/>
      <c r="BV42" s="1113"/>
      <c r="BW42" s="1113"/>
      <c r="BX42" s="1113"/>
      <c r="BY42" s="1113"/>
      <c r="BZ42" s="1113"/>
      <c r="CA42" s="1113"/>
      <c r="CB42" s="1113"/>
      <c r="CC42" s="1113"/>
      <c r="CD42" s="1113"/>
      <c r="CE42" s="1113"/>
      <c r="CF42" s="1113"/>
      <c r="CG42" s="1113"/>
      <c r="CH42" s="1113"/>
      <c r="CI42" s="1113"/>
      <c r="CJ42" s="1113"/>
      <c r="CK42" s="1113"/>
      <c r="CL42" s="1113"/>
      <c r="CM42" s="1113"/>
      <c r="CN42" s="1113"/>
      <c r="CO42" s="1113"/>
      <c r="CP42" s="1113"/>
      <c r="CQ42" s="1113"/>
      <c r="CR42" s="1113"/>
      <c r="CS42" s="1113"/>
      <c r="CT42" s="1113"/>
      <c r="CU42" s="1113"/>
      <c r="CV42" s="1113"/>
      <c r="CW42" s="1113"/>
      <c r="CX42" s="1113"/>
      <c r="CY42" s="1113"/>
      <c r="CZ42" s="1113"/>
      <c r="DA42" s="1113"/>
      <c r="DB42" s="1113"/>
      <c r="DC42" s="1113"/>
      <c r="DD42" s="1113"/>
      <c r="DE42" s="1113"/>
      <c r="DF42" s="1113"/>
      <c r="DG42" s="1113"/>
      <c r="DH42" s="1113"/>
      <c r="DI42" s="1113"/>
      <c r="DJ42" s="1113"/>
      <c r="DK42" s="1113"/>
      <c r="DL42" s="1113"/>
      <c r="DM42" s="1113"/>
      <c r="DN42" s="1113"/>
      <c r="DO42" s="1113"/>
      <c r="DP42" s="1113"/>
      <c r="DQ42" s="1113"/>
      <c r="DR42" s="1113"/>
      <c r="DS42" s="1113"/>
      <c r="DT42" s="1113"/>
      <c r="DU42" s="1113"/>
      <c r="DV42" s="1113"/>
      <c r="DW42" s="1113"/>
      <c r="DX42" s="1113"/>
      <c r="DY42" s="1113"/>
      <c r="DZ42" s="1113"/>
      <c r="EA42" s="1113"/>
      <c r="EB42" s="1113"/>
      <c r="EC42" s="1113"/>
      <c r="ED42" s="1113"/>
      <c r="EE42" s="1113"/>
      <c r="EF42" s="1113"/>
      <c r="EG42" s="1113"/>
      <c r="EH42" s="1113"/>
      <c r="EI42" s="1113"/>
      <c r="EJ42" s="1113"/>
      <c r="EK42" s="1113"/>
      <c r="EL42" s="1113"/>
      <c r="EM42" s="1113"/>
      <c r="EN42" s="1113"/>
      <c r="EO42" s="1113"/>
      <c r="EP42" s="1113"/>
      <c r="EQ42" s="1113"/>
      <c r="ER42" s="1113"/>
      <c r="ES42" s="1113"/>
      <c r="ET42" s="1113"/>
      <c r="EU42" s="1113"/>
      <c r="EV42" s="1113"/>
      <c r="EW42" s="1113"/>
      <c r="EX42" s="1113"/>
      <c r="EY42" s="1113"/>
      <c r="EZ42" s="1113"/>
      <c r="FA42" s="1113"/>
      <c r="FB42" s="1113"/>
      <c r="FC42" s="1113"/>
      <c r="FD42" s="1113"/>
      <c r="FE42" s="1113"/>
      <c r="FF42" s="1113"/>
      <c r="FG42" s="1113"/>
      <c r="FH42" s="1113"/>
      <c r="FI42" s="1113"/>
      <c r="FJ42" s="1113"/>
      <c r="FK42" s="1113"/>
      <c r="FL42" s="1113"/>
      <c r="FM42" s="1113"/>
      <c r="FN42" s="1113"/>
      <c r="FO42" s="1113"/>
      <c r="FP42" s="1113"/>
      <c r="FQ42" s="1113"/>
      <c r="FR42" s="1113"/>
      <c r="FS42" s="1113"/>
      <c r="FT42" s="1113"/>
      <c r="FU42" s="1113"/>
      <c r="FV42" s="1113"/>
      <c r="FW42" s="1113"/>
      <c r="FX42" s="1113"/>
      <c r="FY42" s="1113"/>
      <c r="FZ42" s="1113"/>
      <c r="GA42" s="1113"/>
      <c r="GB42" s="1113"/>
      <c r="GC42" s="1113"/>
      <c r="GD42" s="1113"/>
      <c r="GE42" s="1113"/>
      <c r="GF42" s="1113"/>
      <c r="GG42" s="1113"/>
      <c r="GH42" s="1113"/>
      <c r="GI42" s="1113"/>
      <c r="GJ42" s="1113"/>
      <c r="GK42" s="1113"/>
      <c r="GL42" s="1113"/>
      <c r="GM42" s="1113"/>
      <c r="GN42" s="1113"/>
      <c r="GO42" s="1113"/>
      <c r="GP42" s="1113"/>
      <c r="GQ42" s="1113"/>
      <c r="GR42" s="1113"/>
      <c r="GS42" s="1113"/>
      <c r="GT42" s="1113"/>
      <c r="GU42" s="1113"/>
      <c r="GV42" s="1113"/>
      <c r="GW42" s="1113"/>
      <c r="GX42" s="1113"/>
      <c r="GY42" s="1113"/>
      <c r="GZ42" s="1113"/>
      <c r="HA42" s="1113"/>
      <c r="HB42" s="1113"/>
      <c r="HC42" s="1113"/>
      <c r="HD42" s="1113"/>
      <c r="HE42" s="1113"/>
      <c r="HF42" s="1113"/>
      <c r="HG42" s="1113"/>
      <c r="HH42" s="1113"/>
      <c r="HI42" s="1113"/>
      <c r="HJ42" s="1113"/>
      <c r="HK42" s="1113"/>
      <c r="HL42" s="1113"/>
      <c r="HM42" s="1113"/>
      <c r="HN42" s="1113"/>
      <c r="HO42" s="1113"/>
      <c r="HP42" s="1113"/>
      <c r="HQ42" s="1113"/>
      <c r="HR42" s="1113"/>
      <c r="HS42" s="1113"/>
      <c r="HT42" s="1113"/>
      <c r="HU42" s="1113"/>
      <c r="HV42" s="1113"/>
      <c r="HW42" s="1113"/>
      <c r="HX42" s="1113"/>
      <c r="HY42" s="1113"/>
      <c r="HZ42" s="1113"/>
      <c r="IA42" s="1113"/>
      <c r="IB42" s="1113"/>
      <c r="IC42" s="1113"/>
      <c r="ID42" s="1113"/>
      <c r="IE42" s="1113"/>
      <c r="IF42" s="1113"/>
      <c r="IG42" s="1113"/>
      <c r="IH42" s="1113"/>
      <c r="II42" s="1113"/>
      <c r="IJ42" s="1113"/>
      <c r="IK42" s="1113"/>
      <c r="IL42" s="1113"/>
      <c r="IM42" s="1113"/>
      <c r="IN42" s="1113"/>
      <c r="IO42" s="1113"/>
      <c r="IP42" s="1113"/>
      <c r="IQ42" s="1113"/>
      <c r="IR42" s="1113"/>
      <c r="IS42" s="1113"/>
      <c r="IT42" s="1113"/>
      <c r="IU42" s="1113"/>
      <c r="IV42" s="1113"/>
      <c r="IW42" s="1113"/>
    </row>
    <row r="43" customFormat="false" ht="12.75" hidden="false" customHeight="false" outlineLevel="0" collapsed="false">
      <c r="A43" s="1112"/>
      <c r="B43" s="1095" t="s">
        <v>694</v>
      </c>
      <c r="C43" s="1110"/>
      <c r="D43" s="242" t="n">
        <f aca="false">D68*D$33</f>
        <v>-4.08959014231876</v>
      </c>
      <c r="E43" s="242" t="n">
        <f aca="false">E68*E$33</f>
        <v>-4.10510226849086</v>
      </c>
      <c r="F43" s="242" t="n">
        <f aca="false">F68*F$33</f>
        <v>-4.1205125660301</v>
      </c>
      <c r="G43" s="242" t="n">
        <f aca="false">G68*G$33</f>
        <v>-4.13605411200867</v>
      </c>
      <c r="H43" s="242" t="n">
        <f aca="false">H68*H$33</f>
        <v>-4.15172696827327</v>
      </c>
      <c r="I43" s="242" t="n">
        <f aca="false">I68*I$33</f>
        <v>-0.716863178629822</v>
      </c>
      <c r="J43" s="242" t="n">
        <f aca="false">J68*J$33</f>
        <v>-0.73209184220664</v>
      </c>
      <c r="K43" s="242" t="n">
        <f aca="false">K68*K$33</f>
        <v>-0.747400475649222</v>
      </c>
      <c r="L43" s="242" t="n">
        <f aca="false">L68*L$33</f>
        <v>-0.762836390599721</v>
      </c>
      <c r="M43" s="242" t="n">
        <f aca="false">M68*M$33</f>
        <v>-0.780798414856904</v>
      </c>
      <c r="N43" s="242" t="n">
        <f aca="false">N68*N$33</f>
        <v>-0.796578307174416</v>
      </c>
      <c r="O43" s="242" t="n">
        <f aca="false">O68*O$33</f>
        <v>-0.812573120553746</v>
      </c>
      <c r="P43" s="242" t="n">
        <f aca="false">P68*P$33</f>
        <v>-0.829115156713117</v>
      </c>
      <c r="Q43" s="242" t="n">
        <f aca="false">Q68*Q$33</f>
        <v>-0.846294837042567</v>
      </c>
      <c r="R43" s="242" t="n">
        <f aca="false">R68*R$33</f>
        <v>-0.864140303330191</v>
      </c>
      <c r="S43" s="242" t="n">
        <f aca="false">S68*S$33</f>
        <v>-0.876786796711749</v>
      </c>
      <c r="T43" s="242" t="n">
        <f aca="false">T68*T$33</f>
        <v>-0.793310601888711</v>
      </c>
      <c r="U43" s="242" t="n">
        <f aca="false">U68*U$33</f>
        <v>-0.815096281999388</v>
      </c>
      <c r="V43" s="242" t="n">
        <f aca="false">V68*V$33</f>
        <v>-0.838154432399967</v>
      </c>
      <c r="W43" s="242" t="n">
        <f aca="false">W68*W$33</f>
        <v>-0.829065600313145</v>
      </c>
      <c r="X43" s="242" t="n">
        <f aca="false">X68*X$33</f>
        <v>0</v>
      </c>
      <c r="Y43" s="242" t="n">
        <f aca="false">Y68*Y$33</f>
        <v>0</v>
      </c>
      <c r="Z43" s="242" t="n">
        <f aca="false">Z68*Z$33</f>
        <v>0</v>
      </c>
      <c r="AA43" s="242" t="n">
        <f aca="false">AA68*AA$33</f>
        <v>0</v>
      </c>
      <c r="AB43" s="242" t="n">
        <f aca="false">AB68*AB$33</f>
        <v>0</v>
      </c>
      <c r="AC43" s="242" t="n">
        <f aca="false">AC68*AC$33</f>
        <v>0</v>
      </c>
      <c r="AD43" s="242" t="n">
        <f aca="false">AD68*AD$33</f>
        <v>0</v>
      </c>
      <c r="AE43" s="242" t="n">
        <f aca="false">AE68*AE$33</f>
        <v>0</v>
      </c>
      <c r="AF43" s="242" t="n">
        <f aca="false">AF68*AF$33</f>
        <v>0</v>
      </c>
      <c r="AG43" s="242" t="n">
        <f aca="false">AG68*AG$33</f>
        <v>0</v>
      </c>
      <c r="AH43" s="1098" t="n">
        <f aca="false">AH68*AH$33</f>
        <v>0</v>
      </c>
      <c r="AI43" s="1113"/>
      <c r="AJ43" s="1113"/>
      <c r="AK43" s="1113"/>
      <c r="AL43" s="1113"/>
      <c r="AM43" s="1113"/>
      <c r="AN43" s="1113"/>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3"/>
      <c r="DD43" s="1113"/>
      <c r="DE43" s="1113"/>
      <c r="DF43" s="1113"/>
      <c r="DG43" s="1113"/>
      <c r="DH43" s="1113"/>
      <c r="DI43" s="1113"/>
      <c r="DJ43" s="1113"/>
      <c r="DK43" s="1113"/>
      <c r="DL43" s="1113"/>
      <c r="DM43" s="1113"/>
      <c r="DN43" s="1113"/>
      <c r="DO43" s="1113"/>
      <c r="DP43" s="1113"/>
      <c r="DQ43" s="1113"/>
      <c r="DR43" s="1113"/>
      <c r="DS43" s="1113"/>
      <c r="DT43" s="1113"/>
      <c r="DU43" s="1113"/>
      <c r="DV43" s="1113"/>
      <c r="DW43" s="1113"/>
      <c r="DX43" s="1113"/>
      <c r="DY43" s="1113"/>
      <c r="DZ43" s="1113"/>
      <c r="EA43" s="1113"/>
      <c r="EB43" s="1113"/>
      <c r="EC43" s="1113"/>
      <c r="ED43" s="1113"/>
      <c r="EE43" s="1113"/>
      <c r="EF43" s="1113"/>
      <c r="EG43" s="1113"/>
      <c r="EH43" s="1113"/>
      <c r="EI43" s="1113"/>
      <c r="EJ43" s="1113"/>
      <c r="EK43" s="1113"/>
      <c r="EL43" s="1113"/>
      <c r="EM43" s="1113"/>
      <c r="EN43" s="1113"/>
      <c r="EO43" s="1113"/>
      <c r="EP43" s="1113"/>
      <c r="EQ43" s="1113"/>
      <c r="ER43" s="1113"/>
      <c r="ES43" s="1113"/>
      <c r="ET43" s="1113"/>
      <c r="EU43" s="1113"/>
      <c r="EV43" s="1113"/>
      <c r="EW43" s="1113"/>
      <c r="EX43" s="1113"/>
      <c r="EY43" s="1113"/>
      <c r="EZ43" s="1113"/>
      <c r="FA43" s="1113"/>
      <c r="FB43" s="1113"/>
      <c r="FC43" s="1113"/>
      <c r="FD43" s="1113"/>
      <c r="FE43" s="1113"/>
      <c r="FF43" s="1113"/>
      <c r="FG43" s="1113"/>
      <c r="FH43" s="1113"/>
      <c r="FI43" s="1113"/>
      <c r="FJ43" s="1113"/>
      <c r="FK43" s="1113"/>
      <c r="FL43" s="1113"/>
      <c r="FM43" s="1113"/>
      <c r="FN43" s="1113"/>
      <c r="FO43" s="1113"/>
      <c r="FP43" s="1113"/>
      <c r="FQ43" s="1113"/>
      <c r="FR43" s="1113"/>
      <c r="FS43" s="1113"/>
      <c r="FT43" s="1113"/>
      <c r="FU43" s="1113"/>
      <c r="FV43" s="1113"/>
      <c r="FW43" s="1113"/>
      <c r="FX43" s="1113"/>
      <c r="FY43" s="1113"/>
      <c r="FZ43" s="1113"/>
      <c r="GA43" s="1113"/>
      <c r="GB43" s="1113"/>
      <c r="GC43" s="1113"/>
      <c r="GD43" s="1113"/>
      <c r="GE43" s="1113"/>
      <c r="GF43" s="1113"/>
      <c r="GG43" s="1113"/>
      <c r="GH43" s="1113"/>
      <c r="GI43" s="1113"/>
      <c r="GJ43" s="1113"/>
      <c r="GK43" s="1113"/>
      <c r="GL43" s="1113"/>
      <c r="GM43" s="1113"/>
      <c r="GN43" s="1113"/>
      <c r="GO43" s="1113"/>
      <c r="GP43" s="1113"/>
      <c r="GQ43" s="1113"/>
      <c r="GR43" s="1113"/>
      <c r="GS43" s="1113"/>
      <c r="GT43" s="1113"/>
      <c r="GU43" s="1113"/>
      <c r="GV43" s="1113"/>
      <c r="GW43" s="1113"/>
      <c r="GX43" s="1113"/>
      <c r="GY43" s="1113"/>
      <c r="GZ43" s="1113"/>
      <c r="HA43" s="1113"/>
      <c r="HB43" s="1113"/>
      <c r="HC43" s="1113"/>
      <c r="HD43" s="1113"/>
      <c r="HE43" s="1113"/>
      <c r="HF43" s="1113"/>
      <c r="HG43" s="1113"/>
      <c r="HH43" s="1113"/>
      <c r="HI43" s="1113"/>
      <c r="HJ43" s="1113"/>
      <c r="HK43" s="1113"/>
      <c r="HL43" s="1113"/>
      <c r="HM43" s="1113"/>
      <c r="HN43" s="1113"/>
      <c r="HO43" s="1113"/>
      <c r="HP43" s="1113"/>
      <c r="HQ43" s="1113"/>
      <c r="HR43" s="1113"/>
      <c r="HS43" s="1113"/>
      <c r="HT43" s="1113"/>
      <c r="HU43" s="1113"/>
      <c r="HV43" s="1113"/>
      <c r="HW43" s="1113"/>
      <c r="HX43" s="1113"/>
      <c r="HY43" s="1113"/>
      <c r="HZ43" s="1113"/>
      <c r="IA43" s="1113"/>
      <c r="IB43" s="1113"/>
      <c r="IC43" s="1113"/>
      <c r="ID43" s="1113"/>
      <c r="IE43" s="1113"/>
      <c r="IF43" s="1113"/>
      <c r="IG43" s="1113"/>
      <c r="IH43" s="1113"/>
      <c r="II43" s="1113"/>
      <c r="IJ43" s="1113"/>
      <c r="IK43" s="1113"/>
      <c r="IL43" s="1113"/>
      <c r="IM43" s="1113"/>
      <c r="IN43" s="1113"/>
      <c r="IO43" s="1113"/>
      <c r="IP43" s="1113"/>
      <c r="IQ43" s="1113"/>
      <c r="IR43" s="1113"/>
      <c r="IS43" s="1113"/>
      <c r="IT43" s="1113"/>
      <c r="IU43" s="1113"/>
      <c r="IV43" s="1113"/>
      <c r="IW43" s="1113"/>
    </row>
    <row r="44" customFormat="false" ht="12.75" hidden="false" customHeight="false" outlineLevel="0" collapsed="false">
      <c r="A44" s="1112"/>
      <c r="B44" s="1095" t="s">
        <v>695</v>
      </c>
      <c r="C44" s="1110"/>
      <c r="D44" s="242" t="n">
        <f aca="false">D69*D$33</f>
        <v>-74.9454524971112</v>
      </c>
      <c r="E44" s="242" t="n">
        <f aca="false">E69*E$33</f>
        <v>-119.267786015391</v>
      </c>
      <c r="F44" s="242" t="n">
        <f aca="false">F69*F$33</f>
        <v>-71.9906302625593</v>
      </c>
      <c r="G44" s="242" t="n">
        <f aca="false">G69*G$33</f>
        <v>-43.6243368108605</v>
      </c>
      <c r="H44" s="242" t="n">
        <f aca="false">H69*H$33</f>
        <v>-43.6243368108605</v>
      </c>
      <c r="I44" s="242" t="n">
        <f aca="false">I69*I$33</f>
        <v>-22.3496167220864</v>
      </c>
      <c r="J44" s="242" t="n">
        <f aca="false">J69*J$33</f>
        <v>-1.07489663331225</v>
      </c>
      <c r="K44" s="242" t="n">
        <f aca="false">K69*K$33</f>
        <v>-1.07489663331225</v>
      </c>
      <c r="L44" s="242" t="n">
        <f aca="false">L69*L$33</f>
        <v>-1.07489663331225</v>
      </c>
      <c r="M44" s="242" t="n">
        <f aca="false">M69*M$33</f>
        <v>-1.07489663331225</v>
      </c>
      <c r="N44" s="242" t="n">
        <f aca="false">N69*N$33</f>
        <v>-1.07489663331225</v>
      </c>
      <c r="O44" s="242" t="n">
        <f aca="false">O69*O$33</f>
        <v>-1.07489663331225</v>
      </c>
      <c r="P44" s="242" t="n">
        <f aca="false">P69*P$33</f>
        <v>-1.07489663331225</v>
      </c>
      <c r="Q44" s="242" t="n">
        <f aca="false">Q69*Q$33</f>
        <v>-1.07489663331225</v>
      </c>
      <c r="R44" s="242" t="n">
        <f aca="false">R69*R$33</f>
        <v>-1.07489663331225</v>
      </c>
      <c r="S44" s="242" t="n">
        <f aca="false">S69*S$33</f>
        <v>-1.07489663331225</v>
      </c>
      <c r="T44" s="242" t="n">
        <f aca="false">T69*T$33</f>
        <v>-1.07489663331225</v>
      </c>
      <c r="U44" s="242" t="n">
        <f aca="false">U69*U$33</f>
        <v>-0.388792399283153</v>
      </c>
      <c r="V44" s="242" t="n">
        <f aca="false">V69*V$33</f>
        <v>-0.388792399283153</v>
      </c>
      <c r="W44" s="242" t="n">
        <f aca="false">W69*W$33</f>
        <v>-0.388792399283153</v>
      </c>
      <c r="X44" s="242" t="n">
        <f aca="false">X69*X$33</f>
        <v>0</v>
      </c>
      <c r="Y44" s="242" t="n">
        <f aca="false">Y69*Y$33</f>
        <v>0</v>
      </c>
      <c r="Z44" s="242" t="n">
        <f aca="false">Z69*Z$33</f>
        <v>0</v>
      </c>
      <c r="AA44" s="242" t="n">
        <f aca="false">AA69*AA$33</f>
        <v>0</v>
      </c>
      <c r="AB44" s="242" t="n">
        <f aca="false">AB69*AB$33</f>
        <v>0</v>
      </c>
      <c r="AC44" s="242" t="n">
        <f aca="false">AC69*AC$33</f>
        <v>0</v>
      </c>
      <c r="AD44" s="242" t="n">
        <f aca="false">AD69*AD$33</f>
        <v>0</v>
      </c>
      <c r="AE44" s="242" t="n">
        <f aca="false">AE69*AE$33</f>
        <v>0</v>
      </c>
      <c r="AF44" s="242" t="n">
        <f aca="false">AF69*AF$33</f>
        <v>0</v>
      </c>
      <c r="AG44" s="242" t="n">
        <f aca="false">AG69*AG$33</f>
        <v>0</v>
      </c>
      <c r="AH44" s="1098" t="n">
        <f aca="false">AH69*AH$33</f>
        <v>0</v>
      </c>
      <c r="AI44" s="242"/>
      <c r="AJ44" s="1113"/>
      <c r="AK44" s="1113"/>
      <c r="AL44" s="1113"/>
      <c r="AM44" s="1113"/>
      <c r="AN44" s="1113"/>
      <c r="AO44" s="1113"/>
      <c r="AP44" s="1113"/>
      <c r="AQ44" s="1113"/>
      <c r="AR44" s="1113"/>
      <c r="AS44" s="1113"/>
      <c r="AT44" s="1113"/>
      <c r="AU44" s="1113"/>
      <c r="AV44" s="1113"/>
      <c r="AW44" s="1113"/>
      <c r="AX44" s="1113"/>
      <c r="AY44" s="1113"/>
      <c r="AZ44" s="1113"/>
      <c r="BA44" s="1113"/>
      <c r="BB44" s="1113"/>
      <c r="BC44" s="1113"/>
      <c r="BD44" s="1113"/>
      <c r="BE44" s="1113"/>
      <c r="BF44" s="1113"/>
      <c r="BG44" s="1113"/>
      <c r="BH44" s="1113"/>
      <c r="BI44" s="1113"/>
      <c r="BJ44" s="1113"/>
      <c r="BK44" s="1113"/>
      <c r="BL44" s="1113"/>
      <c r="BM44" s="1113"/>
      <c r="BN44" s="1113"/>
      <c r="BO44" s="1113"/>
      <c r="BP44" s="1113"/>
      <c r="BQ44" s="1113"/>
      <c r="BR44" s="1113"/>
      <c r="BS44" s="1113"/>
      <c r="BT44" s="1113"/>
      <c r="BU44" s="1113"/>
      <c r="BV44" s="1113"/>
      <c r="BW44" s="1113"/>
      <c r="BX44" s="1113"/>
      <c r="BY44" s="1113"/>
      <c r="BZ44" s="1113"/>
      <c r="CA44" s="1113"/>
      <c r="CB44" s="1113"/>
      <c r="CC44" s="1113"/>
      <c r="CD44" s="1113"/>
      <c r="CE44" s="1113"/>
      <c r="CF44" s="1113"/>
      <c r="CG44" s="1113"/>
      <c r="CH44" s="1113"/>
      <c r="CI44" s="1113"/>
      <c r="CJ44" s="1113"/>
      <c r="CK44" s="1113"/>
      <c r="CL44" s="1113"/>
      <c r="CM44" s="1113"/>
      <c r="CN44" s="1113"/>
      <c r="CO44" s="1113"/>
      <c r="CP44" s="1113"/>
      <c r="CQ44" s="1113"/>
      <c r="CR44" s="1113"/>
      <c r="CS44" s="1113"/>
      <c r="CT44" s="1113"/>
      <c r="CU44" s="1113"/>
      <c r="CV44" s="1113"/>
      <c r="CW44" s="1113"/>
      <c r="CX44" s="1113"/>
      <c r="CY44" s="1113"/>
      <c r="CZ44" s="1113"/>
      <c r="DA44" s="1113"/>
      <c r="DB44" s="1113"/>
      <c r="DC44" s="1113"/>
      <c r="DD44" s="1113"/>
      <c r="DE44" s="1113"/>
      <c r="DF44" s="1113"/>
      <c r="DG44" s="1113"/>
      <c r="DH44" s="1113"/>
      <c r="DI44" s="1113"/>
      <c r="DJ44" s="1113"/>
      <c r="DK44" s="1113"/>
      <c r="DL44" s="1113"/>
      <c r="DM44" s="1113"/>
      <c r="DN44" s="1113"/>
      <c r="DO44" s="1113"/>
      <c r="DP44" s="1113"/>
      <c r="DQ44" s="1113"/>
      <c r="DR44" s="1113"/>
      <c r="DS44" s="1113"/>
      <c r="DT44" s="1113"/>
      <c r="DU44" s="1113"/>
      <c r="DV44" s="1113"/>
      <c r="DW44" s="1113"/>
      <c r="DX44" s="1113"/>
      <c r="DY44" s="1113"/>
      <c r="DZ44" s="1113"/>
      <c r="EA44" s="1113"/>
      <c r="EB44" s="1113"/>
      <c r="EC44" s="1113"/>
      <c r="ED44" s="1113"/>
      <c r="EE44" s="1113"/>
      <c r="EF44" s="1113"/>
      <c r="EG44" s="1113"/>
      <c r="EH44" s="1113"/>
      <c r="EI44" s="1113"/>
      <c r="EJ44" s="1113"/>
      <c r="EK44" s="1113"/>
      <c r="EL44" s="1113"/>
      <c r="EM44" s="1113"/>
      <c r="EN44" s="1113"/>
      <c r="EO44" s="1113"/>
      <c r="EP44" s="1113"/>
      <c r="EQ44" s="1113"/>
      <c r="ER44" s="1113"/>
      <c r="ES44" s="1113"/>
      <c r="ET44" s="1113"/>
      <c r="EU44" s="1113"/>
      <c r="EV44" s="1113"/>
      <c r="EW44" s="1113"/>
      <c r="EX44" s="1113"/>
      <c r="EY44" s="1113"/>
      <c r="EZ44" s="1113"/>
      <c r="FA44" s="1113"/>
      <c r="FB44" s="1113"/>
      <c r="FC44" s="1113"/>
      <c r="FD44" s="1113"/>
      <c r="FE44" s="1113"/>
      <c r="FF44" s="1113"/>
      <c r="FG44" s="1113"/>
      <c r="FH44" s="1113"/>
      <c r="FI44" s="1113"/>
      <c r="FJ44" s="1113"/>
      <c r="FK44" s="1113"/>
      <c r="FL44" s="1113"/>
      <c r="FM44" s="1113"/>
      <c r="FN44" s="1113"/>
      <c r="FO44" s="1113"/>
      <c r="FP44" s="1113"/>
      <c r="FQ44" s="1113"/>
      <c r="FR44" s="1113"/>
      <c r="FS44" s="1113"/>
      <c r="FT44" s="1113"/>
      <c r="FU44" s="1113"/>
      <c r="FV44" s="1113"/>
      <c r="FW44" s="1113"/>
      <c r="FX44" s="1113"/>
      <c r="FY44" s="1113"/>
      <c r="FZ44" s="1113"/>
      <c r="GA44" s="1113"/>
      <c r="GB44" s="1113"/>
      <c r="GC44" s="1113"/>
      <c r="GD44" s="1113"/>
      <c r="GE44" s="1113"/>
      <c r="GF44" s="1113"/>
      <c r="GG44" s="1113"/>
      <c r="GH44" s="1113"/>
      <c r="GI44" s="1113"/>
      <c r="GJ44" s="1113"/>
      <c r="GK44" s="1113"/>
      <c r="GL44" s="1113"/>
      <c r="GM44" s="1113"/>
      <c r="GN44" s="1113"/>
      <c r="GO44" s="1113"/>
      <c r="GP44" s="1113"/>
      <c r="GQ44" s="1113"/>
      <c r="GR44" s="1113"/>
      <c r="GS44" s="1113"/>
      <c r="GT44" s="1113"/>
      <c r="GU44" s="1113"/>
      <c r="GV44" s="1113"/>
      <c r="GW44" s="1113"/>
      <c r="GX44" s="1113"/>
      <c r="GY44" s="1113"/>
      <c r="GZ44" s="1113"/>
      <c r="HA44" s="1113"/>
      <c r="HB44" s="1113"/>
      <c r="HC44" s="1113"/>
      <c r="HD44" s="1113"/>
      <c r="HE44" s="1113"/>
      <c r="HF44" s="1113"/>
      <c r="HG44" s="1113"/>
      <c r="HH44" s="1113"/>
      <c r="HI44" s="1113"/>
      <c r="HJ44" s="1113"/>
      <c r="HK44" s="1113"/>
      <c r="HL44" s="1113"/>
      <c r="HM44" s="1113"/>
      <c r="HN44" s="1113"/>
      <c r="HO44" s="1113"/>
      <c r="HP44" s="1113"/>
      <c r="HQ44" s="1113"/>
      <c r="HR44" s="1113"/>
      <c r="HS44" s="1113"/>
      <c r="HT44" s="1113"/>
      <c r="HU44" s="1113"/>
      <c r="HV44" s="1113"/>
      <c r="HW44" s="1113"/>
      <c r="HX44" s="1113"/>
      <c r="HY44" s="1113"/>
      <c r="HZ44" s="1113"/>
      <c r="IA44" s="1113"/>
      <c r="IB44" s="1113"/>
      <c r="IC44" s="1113"/>
      <c r="ID44" s="1113"/>
      <c r="IE44" s="1113"/>
      <c r="IF44" s="1113"/>
      <c r="IG44" s="1113"/>
      <c r="IH44" s="1113"/>
      <c r="II44" s="1113"/>
      <c r="IJ44" s="1113"/>
      <c r="IK44" s="1113"/>
      <c r="IL44" s="1113"/>
      <c r="IM44" s="1113"/>
      <c r="IN44" s="1113"/>
      <c r="IO44" s="1113"/>
      <c r="IP44" s="1113"/>
      <c r="IQ44" s="1113"/>
      <c r="IR44" s="1113"/>
      <c r="IS44" s="1113"/>
      <c r="IT44" s="1113"/>
      <c r="IU44" s="1113"/>
      <c r="IV44" s="1113"/>
      <c r="IW44" s="1113"/>
    </row>
    <row r="45" customFormat="false" ht="12.75" hidden="false" customHeight="false" outlineLevel="0" collapsed="false">
      <c r="A45" s="1112"/>
      <c r="B45" s="1095" t="s">
        <v>704</v>
      </c>
      <c r="C45" s="1110"/>
      <c r="D45" s="242" t="n">
        <f aca="false">D70*D$33</f>
        <v>-12.6259931772513</v>
      </c>
      <c r="E45" s="242" t="n">
        <f aca="false">E70*E$33</f>
        <v>-12.3553538544543</v>
      </c>
      <c r="F45" s="242" t="n">
        <f aca="false">F70*F$33</f>
        <v>-12.0182004539327</v>
      </c>
      <c r="G45" s="242" t="n">
        <f aca="false">G70*G$33</f>
        <v>-11.5773527530571</v>
      </c>
      <c r="H45" s="242" t="n">
        <f aca="false">H70*H$33</f>
        <v>-11.1269430231155</v>
      </c>
      <c r="I45" s="242" t="n">
        <f aca="false">I70*I$33</f>
        <v>-10.6316734715207</v>
      </c>
      <c r="J45" s="242" t="n">
        <f aca="false">J70*J$33</f>
        <v>-10.1184240608777</v>
      </c>
      <c r="K45" s="242" t="n">
        <f aca="false">K70*K$33</f>
        <v>-9.50254524200638</v>
      </c>
      <c r="L45" s="242" t="n">
        <f aca="false">L70*L$33</f>
        <v>-8.86228133075645</v>
      </c>
      <c r="M45" s="242" t="n">
        <f aca="false">M70*M$33</f>
        <v>-8.16621945093302</v>
      </c>
      <c r="N45" s="242" t="n">
        <f aca="false">N70*N$33</f>
        <v>-7.42291751383858</v>
      </c>
      <c r="O45" s="242" t="n">
        <f aca="false">O70*O$33</f>
        <v>-6.5453922230299</v>
      </c>
      <c r="P45" s="242" t="n">
        <f aca="false">P70*P$33</f>
        <v>-5.61167421976736</v>
      </c>
      <c r="Q45" s="242" t="n">
        <f aca="false">Q70*Q$33</f>
        <v>-4.5952185685264</v>
      </c>
      <c r="R45" s="242" t="n">
        <f aca="false">R70*R$33</f>
        <v>-3.49957474789461</v>
      </c>
      <c r="S45" s="242" t="n">
        <f aca="false">S70*S$33</f>
        <v>-2.28526962230695</v>
      </c>
      <c r="T45" s="242" t="n">
        <f aca="false">T70*T$33</f>
        <v>-0.97394575731349</v>
      </c>
      <c r="U45" s="242" t="n">
        <f aca="false">U70*U$33</f>
        <v>-0</v>
      </c>
      <c r="V45" s="242" t="n">
        <f aca="false">V70*V$33</f>
        <v>-0</v>
      </c>
      <c r="W45" s="242" t="n">
        <f aca="false">W70*W$33</f>
        <v>-0</v>
      </c>
      <c r="X45" s="242" t="n">
        <f aca="false">X70*X$33</f>
        <v>-0</v>
      </c>
      <c r="Y45" s="242" t="n">
        <f aca="false">Y70*Y$33</f>
        <v>-0</v>
      </c>
      <c r="Z45" s="242" t="n">
        <f aca="false">Z70*Z$33</f>
        <v>-0</v>
      </c>
      <c r="AA45" s="242" t="n">
        <f aca="false">AA70*AA$33</f>
        <v>-0</v>
      </c>
      <c r="AB45" s="242" t="n">
        <f aca="false">AB70*AB$33</f>
        <v>-0</v>
      </c>
      <c r="AC45" s="242" t="n">
        <f aca="false">AC70*AC$33</f>
        <v>-0</v>
      </c>
      <c r="AD45" s="242" t="n">
        <f aca="false">AD70*AD$33</f>
        <v>-0</v>
      </c>
      <c r="AE45" s="242" t="n">
        <f aca="false">AE70*AE$33</f>
        <v>-0</v>
      </c>
      <c r="AF45" s="242" t="n">
        <f aca="false">AF70*AF$33</f>
        <v>-0</v>
      </c>
      <c r="AG45" s="242" t="n">
        <f aca="false">AG70*AG$33</f>
        <v>-0</v>
      </c>
      <c r="AH45" s="1098" t="n">
        <f aca="false">AH70*AH$33</f>
        <v>-0</v>
      </c>
      <c r="AI45" s="1113"/>
      <c r="AJ45" s="1113"/>
      <c r="AK45" s="1113"/>
      <c r="AL45" s="1113"/>
      <c r="AM45" s="1113"/>
      <c r="AN45" s="1113"/>
      <c r="AO45" s="1113"/>
      <c r="AP45" s="1113"/>
      <c r="AQ45" s="1113"/>
      <c r="AR45" s="1113"/>
      <c r="AS45" s="1113"/>
      <c r="AT45" s="1113"/>
      <c r="AU45" s="1113"/>
      <c r="AV45" s="1113"/>
      <c r="AW45" s="1113"/>
      <c r="AX45" s="1113"/>
      <c r="AY45" s="1113"/>
      <c r="AZ45" s="1113"/>
      <c r="BA45" s="1113"/>
      <c r="BB45" s="1113"/>
      <c r="BC45" s="1113"/>
      <c r="BD45" s="1113"/>
      <c r="BE45" s="1113"/>
      <c r="BF45" s="1113"/>
      <c r="BG45" s="1113"/>
      <c r="BH45" s="1113"/>
      <c r="BI45" s="1113"/>
      <c r="BJ45" s="1113"/>
      <c r="BK45" s="1113"/>
      <c r="BL45" s="1113"/>
      <c r="BM45" s="1113"/>
      <c r="BN45" s="1113"/>
      <c r="BO45" s="1113"/>
      <c r="BP45" s="1113"/>
      <c r="BQ45" s="1113"/>
      <c r="BR45" s="1113"/>
      <c r="BS45" s="1113"/>
      <c r="BT45" s="1113"/>
      <c r="BU45" s="1113"/>
      <c r="BV45" s="1113"/>
      <c r="BW45" s="1113"/>
      <c r="BX45" s="1113"/>
      <c r="BY45" s="1113"/>
      <c r="BZ45" s="1113"/>
      <c r="CA45" s="1113"/>
      <c r="CB45" s="1113"/>
      <c r="CC45" s="1113"/>
      <c r="CD45" s="1113"/>
      <c r="CE45" s="1113"/>
      <c r="CF45" s="1113"/>
      <c r="CG45" s="1113"/>
      <c r="CH45" s="1113"/>
      <c r="CI45" s="1113"/>
      <c r="CJ45" s="1113"/>
      <c r="CK45" s="1113"/>
      <c r="CL45" s="1113"/>
      <c r="CM45" s="1113"/>
      <c r="CN45" s="1113"/>
      <c r="CO45" s="1113"/>
      <c r="CP45" s="1113"/>
      <c r="CQ45" s="1113"/>
      <c r="CR45" s="1113"/>
      <c r="CS45" s="1113"/>
      <c r="CT45" s="1113"/>
      <c r="CU45" s="1113"/>
      <c r="CV45" s="1113"/>
      <c r="CW45" s="1113"/>
      <c r="CX45" s="1113"/>
      <c r="CY45" s="1113"/>
      <c r="CZ45" s="1113"/>
      <c r="DA45" s="1113"/>
      <c r="DB45" s="1113"/>
      <c r="DC45" s="1113"/>
      <c r="DD45" s="1113"/>
      <c r="DE45" s="1113"/>
      <c r="DF45" s="1113"/>
      <c r="DG45" s="1113"/>
      <c r="DH45" s="1113"/>
      <c r="DI45" s="1113"/>
      <c r="DJ45" s="1113"/>
      <c r="DK45" s="1113"/>
      <c r="DL45" s="1113"/>
      <c r="DM45" s="1113"/>
      <c r="DN45" s="1113"/>
      <c r="DO45" s="1113"/>
      <c r="DP45" s="1113"/>
      <c r="DQ45" s="1113"/>
      <c r="DR45" s="1113"/>
      <c r="DS45" s="1113"/>
      <c r="DT45" s="1113"/>
      <c r="DU45" s="1113"/>
      <c r="DV45" s="1113"/>
      <c r="DW45" s="1113"/>
      <c r="DX45" s="1113"/>
      <c r="DY45" s="1113"/>
      <c r="DZ45" s="1113"/>
      <c r="EA45" s="1113"/>
      <c r="EB45" s="1113"/>
      <c r="EC45" s="1113"/>
      <c r="ED45" s="1113"/>
      <c r="EE45" s="1113"/>
      <c r="EF45" s="1113"/>
      <c r="EG45" s="1113"/>
      <c r="EH45" s="1113"/>
      <c r="EI45" s="1113"/>
      <c r="EJ45" s="1113"/>
      <c r="EK45" s="1113"/>
      <c r="EL45" s="1113"/>
      <c r="EM45" s="1113"/>
      <c r="EN45" s="1113"/>
      <c r="EO45" s="1113"/>
      <c r="EP45" s="1113"/>
      <c r="EQ45" s="1113"/>
      <c r="ER45" s="1113"/>
      <c r="ES45" s="1113"/>
      <c r="ET45" s="1113"/>
      <c r="EU45" s="1113"/>
      <c r="EV45" s="1113"/>
      <c r="EW45" s="1113"/>
      <c r="EX45" s="1113"/>
      <c r="EY45" s="1113"/>
      <c r="EZ45" s="1113"/>
      <c r="FA45" s="1113"/>
      <c r="FB45" s="1113"/>
      <c r="FC45" s="1113"/>
      <c r="FD45" s="1113"/>
      <c r="FE45" s="1113"/>
      <c r="FF45" s="1113"/>
      <c r="FG45" s="1113"/>
      <c r="FH45" s="1113"/>
      <c r="FI45" s="1113"/>
      <c r="FJ45" s="1113"/>
      <c r="FK45" s="1113"/>
      <c r="FL45" s="1113"/>
      <c r="FM45" s="1113"/>
      <c r="FN45" s="1113"/>
      <c r="FO45" s="1113"/>
      <c r="FP45" s="1113"/>
      <c r="FQ45" s="1113"/>
      <c r="FR45" s="1113"/>
      <c r="FS45" s="1113"/>
      <c r="FT45" s="1113"/>
      <c r="FU45" s="1113"/>
      <c r="FV45" s="1113"/>
      <c r="FW45" s="1113"/>
      <c r="FX45" s="1113"/>
      <c r="FY45" s="1113"/>
      <c r="FZ45" s="1113"/>
      <c r="GA45" s="1113"/>
      <c r="GB45" s="1113"/>
      <c r="GC45" s="1113"/>
      <c r="GD45" s="1113"/>
      <c r="GE45" s="1113"/>
      <c r="GF45" s="1113"/>
      <c r="GG45" s="1113"/>
      <c r="GH45" s="1113"/>
      <c r="GI45" s="1113"/>
      <c r="GJ45" s="1113"/>
      <c r="GK45" s="1113"/>
      <c r="GL45" s="1113"/>
      <c r="GM45" s="1113"/>
      <c r="GN45" s="1113"/>
      <c r="GO45" s="1113"/>
      <c r="GP45" s="1113"/>
      <c r="GQ45" s="1113"/>
      <c r="GR45" s="1113"/>
      <c r="GS45" s="1113"/>
      <c r="GT45" s="1113"/>
      <c r="GU45" s="1113"/>
      <c r="GV45" s="1113"/>
      <c r="GW45" s="1113"/>
      <c r="GX45" s="1113"/>
      <c r="GY45" s="1113"/>
      <c r="GZ45" s="1113"/>
      <c r="HA45" s="1113"/>
      <c r="HB45" s="1113"/>
      <c r="HC45" s="1113"/>
      <c r="HD45" s="1113"/>
      <c r="HE45" s="1113"/>
      <c r="HF45" s="1113"/>
      <c r="HG45" s="1113"/>
      <c r="HH45" s="1113"/>
      <c r="HI45" s="1113"/>
      <c r="HJ45" s="1113"/>
      <c r="HK45" s="1113"/>
      <c r="HL45" s="1113"/>
      <c r="HM45" s="1113"/>
      <c r="HN45" s="1113"/>
      <c r="HO45" s="1113"/>
      <c r="HP45" s="1113"/>
      <c r="HQ45" s="1113"/>
      <c r="HR45" s="1113"/>
      <c r="HS45" s="1113"/>
      <c r="HT45" s="1113"/>
      <c r="HU45" s="1113"/>
      <c r="HV45" s="1113"/>
      <c r="HW45" s="1113"/>
      <c r="HX45" s="1113"/>
      <c r="HY45" s="1113"/>
      <c r="HZ45" s="1113"/>
      <c r="IA45" s="1113"/>
      <c r="IB45" s="1113"/>
      <c r="IC45" s="1113"/>
      <c r="ID45" s="1113"/>
      <c r="IE45" s="1113"/>
      <c r="IF45" s="1113"/>
      <c r="IG45" s="1113"/>
      <c r="IH45" s="1113"/>
      <c r="II45" s="1113"/>
      <c r="IJ45" s="1113"/>
      <c r="IK45" s="1113"/>
      <c r="IL45" s="1113"/>
      <c r="IM45" s="1113"/>
      <c r="IN45" s="1113"/>
      <c r="IO45" s="1113"/>
      <c r="IP45" s="1113"/>
      <c r="IQ45" s="1113"/>
      <c r="IR45" s="1113"/>
      <c r="IS45" s="1113"/>
      <c r="IT45" s="1113"/>
      <c r="IU45" s="1113"/>
      <c r="IV45" s="1113"/>
      <c r="IW45" s="1113"/>
    </row>
    <row r="46" customFormat="false" ht="12.75" hidden="false" customHeight="false" outlineLevel="0" collapsed="false">
      <c r="A46" s="1112"/>
      <c r="B46" s="1095" t="s">
        <v>697</v>
      </c>
      <c r="C46" s="1110"/>
      <c r="D46" s="242" t="n">
        <f aca="false">D71*D$33</f>
        <v>-0</v>
      </c>
      <c r="E46" s="242" t="n">
        <f aca="false">E71*E$33</f>
        <v>-0</v>
      </c>
      <c r="F46" s="242" t="n">
        <f aca="false">F71*F$33</f>
        <v>-0</v>
      </c>
      <c r="G46" s="242" t="n">
        <f aca="false">G71*G$33</f>
        <v>-0</v>
      </c>
      <c r="H46" s="242" t="n">
        <f aca="false">H71*H$33</f>
        <v>-0</v>
      </c>
      <c r="I46" s="242" t="n">
        <f aca="false">I71*I$33</f>
        <v>-0</v>
      </c>
      <c r="J46" s="242" t="n">
        <f aca="false">J71*J$33</f>
        <v>-0</v>
      </c>
      <c r="K46" s="242" t="n">
        <f aca="false">K71*K$33</f>
        <v>-0</v>
      </c>
      <c r="L46" s="242" t="n">
        <f aca="false">L71*L$33</f>
        <v>-0</v>
      </c>
      <c r="M46" s="242" t="n">
        <f aca="false">M71*M$33</f>
        <v>-0</v>
      </c>
      <c r="N46" s="242" t="n">
        <f aca="false">N71*N$33</f>
        <v>-0</v>
      </c>
      <c r="O46" s="242" t="n">
        <f aca="false">O71*O$33</f>
        <v>-0</v>
      </c>
      <c r="P46" s="242" t="n">
        <f aca="false">P71*P$33</f>
        <v>-0</v>
      </c>
      <c r="Q46" s="242" t="n">
        <f aca="false">Q71*Q$33</f>
        <v>-0</v>
      </c>
      <c r="R46" s="242" t="n">
        <f aca="false">R71*R$33</f>
        <v>-0</v>
      </c>
      <c r="S46" s="242" t="n">
        <f aca="false">S71*S$33</f>
        <v>-0</v>
      </c>
      <c r="T46" s="242" t="n">
        <f aca="false">T71*T$33</f>
        <v>-0</v>
      </c>
      <c r="U46" s="242" t="n">
        <f aca="false">U71*U$33</f>
        <v>-0</v>
      </c>
      <c r="V46" s="242" t="n">
        <f aca="false">V71*V$33</f>
        <v>-0</v>
      </c>
      <c r="W46" s="242" t="n">
        <f aca="false">W71*W$33</f>
        <v>-0</v>
      </c>
      <c r="X46" s="242" t="n">
        <f aca="false">X71*X$33</f>
        <v>-0</v>
      </c>
      <c r="Y46" s="242" t="n">
        <f aca="false">Y71*Y$33</f>
        <v>-0</v>
      </c>
      <c r="Z46" s="242" t="n">
        <f aca="false">Z71*Z$33</f>
        <v>-0</v>
      </c>
      <c r="AA46" s="242" t="n">
        <f aca="false">AA71*AA$33</f>
        <v>-0</v>
      </c>
      <c r="AB46" s="242" t="n">
        <f aca="false">AB71*AB$33</f>
        <v>-0</v>
      </c>
      <c r="AC46" s="242" t="n">
        <f aca="false">AC71*AC$33</f>
        <v>-0</v>
      </c>
      <c r="AD46" s="242" t="n">
        <f aca="false">AD71*AD$33</f>
        <v>-0</v>
      </c>
      <c r="AE46" s="242" t="n">
        <f aca="false">AE71*AE$33</f>
        <v>-0</v>
      </c>
      <c r="AF46" s="242" t="n">
        <f aca="false">AF71*AF$33</f>
        <v>-0</v>
      </c>
      <c r="AG46" s="242" t="n">
        <f aca="false">AG71*AG$33</f>
        <v>-0</v>
      </c>
      <c r="AH46" s="1098" t="n">
        <f aca="false">AH71*AH$33</f>
        <v>-0</v>
      </c>
      <c r="AI46" s="1113"/>
      <c r="AJ46" s="1113"/>
      <c r="AK46" s="1113"/>
      <c r="AL46" s="1113"/>
      <c r="AM46" s="1113"/>
      <c r="AN46" s="1113"/>
      <c r="AO46" s="1113"/>
      <c r="AP46" s="1113"/>
      <c r="AQ46" s="1113"/>
      <c r="AR46" s="1113"/>
      <c r="AS46" s="1113"/>
      <c r="AT46" s="1113"/>
      <c r="AU46" s="1113"/>
      <c r="AV46" s="1113"/>
      <c r="AW46" s="1113"/>
      <c r="AX46" s="1113"/>
      <c r="AY46" s="1113"/>
      <c r="AZ46" s="1113"/>
      <c r="BA46" s="1113"/>
      <c r="BB46" s="1113"/>
      <c r="BC46" s="1113"/>
      <c r="BD46" s="1113"/>
      <c r="BE46" s="1113"/>
      <c r="BF46" s="1113"/>
      <c r="BG46" s="1113"/>
      <c r="BH46" s="1113"/>
      <c r="BI46" s="1113"/>
      <c r="BJ46" s="1113"/>
      <c r="BK46" s="1113"/>
      <c r="BL46" s="1113"/>
      <c r="BM46" s="1113"/>
      <c r="BN46" s="1113"/>
      <c r="BO46" s="1113"/>
      <c r="BP46" s="1113"/>
      <c r="BQ46" s="1113"/>
      <c r="BR46" s="1113"/>
      <c r="BS46" s="1113"/>
      <c r="BT46" s="1113"/>
      <c r="BU46" s="1113"/>
      <c r="BV46" s="1113"/>
      <c r="BW46" s="1113"/>
      <c r="BX46" s="1113"/>
      <c r="BY46" s="1113"/>
      <c r="BZ46" s="1113"/>
      <c r="CA46" s="1113"/>
      <c r="CB46" s="1113"/>
      <c r="CC46" s="1113"/>
      <c r="CD46" s="1113"/>
      <c r="CE46" s="1113"/>
      <c r="CF46" s="1113"/>
      <c r="CG46" s="1113"/>
      <c r="CH46" s="1113"/>
      <c r="CI46" s="1113"/>
      <c r="CJ46" s="1113"/>
      <c r="CK46" s="1113"/>
      <c r="CL46" s="1113"/>
      <c r="CM46" s="1113"/>
      <c r="CN46" s="1113"/>
      <c r="CO46" s="1113"/>
      <c r="CP46" s="1113"/>
      <c r="CQ46" s="1113"/>
      <c r="CR46" s="1113"/>
      <c r="CS46" s="1113"/>
      <c r="CT46" s="1113"/>
      <c r="CU46" s="1113"/>
      <c r="CV46" s="1113"/>
      <c r="CW46" s="1113"/>
      <c r="CX46" s="1113"/>
      <c r="CY46" s="1113"/>
      <c r="CZ46" s="1113"/>
      <c r="DA46" s="1113"/>
      <c r="DB46" s="1113"/>
      <c r="DC46" s="1113"/>
      <c r="DD46" s="1113"/>
      <c r="DE46" s="1113"/>
      <c r="DF46" s="1113"/>
      <c r="DG46" s="1113"/>
      <c r="DH46" s="1113"/>
      <c r="DI46" s="1113"/>
      <c r="DJ46" s="1113"/>
      <c r="DK46" s="1113"/>
      <c r="DL46" s="1113"/>
      <c r="DM46" s="1113"/>
      <c r="DN46" s="1113"/>
      <c r="DO46" s="1113"/>
      <c r="DP46" s="1113"/>
      <c r="DQ46" s="1113"/>
      <c r="DR46" s="1113"/>
      <c r="DS46" s="1113"/>
      <c r="DT46" s="1113"/>
      <c r="DU46" s="1113"/>
      <c r="DV46" s="1113"/>
      <c r="DW46" s="1113"/>
      <c r="DX46" s="1113"/>
      <c r="DY46" s="1113"/>
      <c r="DZ46" s="1113"/>
      <c r="EA46" s="1113"/>
      <c r="EB46" s="1113"/>
      <c r="EC46" s="1113"/>
      <c r="ED46" s="1113"/>
      <c r="EE46" s="1113"/>
      <c r="EF46" s="1113"/>
      <c r="EG46" s="1113"/>
      <c r="EH46" s="1113"/>
      <c r="EI46" s="1113"/>
      <c r="EJ46" s="1113"/>
      <c r="EK46" s="1113"/>
      <c r="EL46" s="1113"/>
      <c r="EM46" s="1113"/>
      <c r="EN46" s="1113"/>
      <c r="EO46" s="1113"/>
      <c r="EP46" s="1113"/>
      <c r="EQ46" s="1113"/>
      <c r="ER46" s="1113"/>
      <c r="ES46" s="1113"/>
      <c r="ET46" s="1113"/>
      <c r="EU46" s="1113"/>
      <c r="EV46" s="1113"/>
      <c r="EW46" s="1113"/>
      <c r="EX46" s="1113"/>
      <c r="EY46" s="1113"/>
      <c r="EZ46" s="1113"/>
      <c r="FA46" s="1113"/>
      <c r="FB46" s="1113"/>
      <c r="FC46" s="1113"/>
      <c r="FD46" s="1113"/>
      <c r="FE46" s="1113"/>
      <c r="FF46" s="1113"/>
      <c r="FG46" s="1113"/>
      <c r="FH46" s="1113"/>
      <c r="FI46" s="1113"/>
      <c r="FJ46" s="1113"/>
      <c r="FK46" s="1113"/>
      <c r="FL46" s="1113"/>
      <c r="FM46" s="1113"/>
      <c r="FN46" s="1113"/>
      <c r="FO46" s="1113"/>
      <c r="FP46" s="1113"/>
      <c r="FQ46" s="1113"/>
      <c r="FR46" s="1113"/>
      <c r="FS46" s="1113"/>
      <c r="FT46" s="1113"/>
      <c r="FU46" s="1113"/>
      <c r="FV46" s="1113"/>
      <c r="FW46" s="1113"/>
      <c r="FX46" s="1113"/>
      <c r="FY46" s="1113"/>
      <c r="FZ46" s="1113"/>
      <c r="GA46" s="1113"/>
      <c r="GB46" s="1113"/>
      <c r="GC46" s="1113"/>
      <c r="GD46" s="1113"/>
      <c r="GE46" s="1113"/>
      <c r="GF46" s="1113"/>
      <c r="GG46" s="1113"/>
      <c r="GH46" s="1113"/>
      <c r="GI46" s="1113"/>
      <c r="GJ46" s="1113"/>
      <c r="GK46" s="1113"/>
      <c r="GL46" s="1113"/>
      <c r="GM46" s="1113"/>
      <c r="GN46" s="1113"/>
      <c r="GO46" s="1113"/>
      <c r="GP46" s="1113"/>
      <c r="GQ46" s="1113"/>
      <c r="GR46" s="1113"/>
      <c r="GS46" s="1113"/>
      <c r="GT46" s="1113"/>
      <c r="GU46" s="1113"/>
      <c r="GV46" s="1113"/>
      <c r="GW46" s="1113"/>
      <c r="GX46" s="1113"/>
      <c r="GY46" s="1113"/>
      <c r="GZ46" s="1113"/>
      <c r="HA46" s="1113"/>
      <c r="HB46" s="1113"/>
      <c r="HC46" s="1113"/>
      <c r="HD46" s="1113"/>
      <c r="HE46" s="1113"/>
      <c r="HF46" s="1113"/>
      <c r="HG46" s="1113"/>
      <c r="HH46" s="1113"/>
      <c r="HI46" s="1113"/>
      <c r="HJ46" s="1113"/>
      <c r="HK46" s="1113"/>
      <c r="HL46" s="1113"/>
      <c r="HM46" s="1113"/>
      <c r="HN46" s="1113"/>
      <c r="HO46" s="1113"/>
      <c r="HP46" s="1113"/>
      <c r="HQ46" s="1113"/>
      <c r="HR46" s="1113"/>
      <c r="HS46" s="1113"/>
      <c r="HT46" s="1113"/>
      <c r="HU46" s="1113"/>
      <c r="HV46" s="1113"/>
      <c r="HW46" s="1113"/>
      <c r="HX46" s="1113"/>
      <c r="HY46" s="1113"/>
      <c r="HZ46" s="1113"/>
      <c r="IA46" s="1113"/>
      <c r="IB46" s="1113"/>
      <c r="IC46" s="1113"/>
      <c r="ID46" s="1113"/>
      <c r="IE46" s="1113"/>
      <c r="IF46" s="1113"/>
      <c r="IG46" s="1113"/>
      <c r="IH46" s="1113"/>
      <c r="II46" s="1113"/>
      <c r="IJ46" s="1113"/>
      <c r="IK46" s="1113"/>
      <c r="IL46" s="1113"/>
      <c r="IM46" s="1113"/>
      <c r="IN46" s="1113"/>
      <c r="IO46" s="1113"/>
      <c r="IP46" s="1113"/>
      <c r="IQ46" s="1113"/>
      <c r="IR46" s="1113"/>
      <c r="IS46" s="1113"/>
      <c r="IT46" s="1113"/>
      <c r="IU46" s="1113"/>
      <c r="IV46" s="1113"/>
      <c r="IW46" s="1113"/>
    </row>
    <row r="47" customFormat="false" ht="12.75" hidden="false" customHeight="false" outlineLevel="0" collapsed="false">
      <c r="A47" s="1112"/>
      <c r="B47" s="1097" t="s">
        <v>698</v>
      </c>
      <c r="C47" s="1110"/>
      <c r="D47" s="242" t="n">
        <f aca="false">D72*D$33</f>
        <v>-0</v>
      </c>
      <c r="E47" s="242" t="n">
        <f aca="false">E72*E$33</f>
        <v>-0</v>
      </c>
      <c r="F47" s="242" t="n">
        <f aca="false">F72*F$33</f>
        <v>-0</v>
      </c>
      <c r="G47" s="242" t="n">
        <f aca="false">G72*G$33</f>
        <v>-0</v>
      </c>
      <c r="H47" s="242" t="n">
        <f aca="false">H72*H$33</f>
        <v>-0</v>
      </c>
      <c r="I47" s="242" t="n">
        <f aca="false">I72*I$33</f>
        <v>-0</v>
      </c>
      <c r="J47" s="242" t="n">
        <f aca="false">J72*J$33</f>
        <v>-0</v>
      </c>
      <c r="K47" s="242" t="n">
        <f aca="false">K72*K$33</f>
        <v>-0</v>
      </c>
      <c r="L47" s="242" t="n">
        <f aca="false">L72*L$33</f>
        <v>-0</v>
      </c>
      <c r="M47" s="242" t="n">
        <f aca="false">M72*M$33</f>
        <v>-0</v>
      </c>
      <c r="N47" s="242" t="n">
        <f aca="false">N72*N$33</f>
        <v>-0</v>
      </c>
      <c r="O47" s="242" t="n">
        <f aca="false">O72*O$33</f>
        <v>-0</v>
      </c>
      <c r="P47" s="242" t="n">
        <f aca="false">P72*P$33</f>
        <v>-0</v>
      </c>
      <c r="Q47" s="242" t="n">
        <f aca="false">Q72*Q$33</f>
        <v>-0</v>
      </c>
      <c r="R47" s="242" t="n">
        <f aca="false">R72*R$33</f>
        <v>-0</v>
      </c>
      <c r="S47" s="242" t="n">
        <f aca="false">S72*S$33</f>
        <v>-0</v>
      </c>
      <c r="T47" s="242" t="n">
        <f aca="false">T72*T$33</f>
        <v>-0</v>
      </c>
      <c r="U47" s="242" t="n">
        <f aca="false">U72*U$33</f>
        <v>-0</v>
      </c>
      <c r="V47" s="242" t="n">
        <f aca="false">V72*V$33</f>
        <v>-0</v>
      </c>
      <c r="W47" s="242" t="n">
        <f aca="false">W72*W$33</f>
        <v>-0</v>
      </c>
      <c r="X47" s="242" t="n">
        <f aca="false">X72*X$33</f>
        <v>-0</v>
      </c>
      <c r="Y47" s="242" t="n">
        <f aca="false">Y72*Y$33</f>
        <v>-0</v>
      </c>
      <c r="Z47" s="242" t="n">
        <f aca="false">Z72*Z$33</f>
        <v>-0</v>
      </c>
      <c r="AA47" s="242" t="n">
        <f aca="false">AA72*AA$33</f>
        <v>-0</v>
      </c>
      <c r="AB47" s="242" t="n">
        <f aca="false">AB72*AB$33</f>
        <v>-0</v>
      </c>
      <c r="AC47" s="242" t="n">
        <f aca="false">AC72*AC$33</f>
        <v>-0</v>
      </c>
      <c r="AD47" s="242" t="n">
        <f aca="false">AD72*AD$33</f>
        <v>-0</v>
      </c>
      <c r="AE47" s="242" t="n">
        <f aca="false">AE72*AE$33</f>
        <v>-0</v>
      </c>
      <c r="AF47" s="242" t="n">
        <f aca="false">AF72*AF$33</f>
        <v>-0</v>
      </c>
      <c r="AG47" s="242" t="n">
        <f aca="false">AG72*AG$33</f>
        <v>-0</v>
      </c>
      <c r="AH47" s="242" t="n">
        <f aca="false">AH72*AH$33</f>
        <v>-0</v>
      </c>
      <c r="AI47" s="1113"/>
      <c r="AJ47" s="1113"/>
      <c r="AK47" s="1113"/>
      <c r="AL47" s="1113"/>
      <c r="AM47" s="1113"/>
      <c r="AN47" s="1113"/>
      <c r="AO47" s="1113"/>
      <c r="AP47" s="1113"/>
      <c r="AQ47" s="1113"/>
      <c r="AR47" s="1113"/>
      <c r="AS47" s="1113"/>
      <c r="AT47" s="1113"/>
      <c r="AU47" s="1113"/>
      <c r="AV47" s="1113"/>
      <c r="AW47" s="1113"/>
      <c r="AX47" s="1113"/>
      <c r="AY47" s="1113"/>
      <c r="AZ47" s="1113"/>
      <c r="BA47" s="1113"/>
      <c r="BB47" s="1113"/>
      <c r="BC47" s="1113"/>
      <c r="BD47" s="1113"/>
      <c r="BE47" s="1113"/>
      <c r="BF47" s="1113"/>
      <c r="BG47" s="1113"/>
      <c r="BH47" s="1113"/>
      <c r="BI47" s="1113"/>
      <c r="BJ47" s="1113"/>
      <c r="BK47" s="1113"/>
      <c r="BL47" s="1113"/>
      <c r="BM47" s="1113"/>
      <c r="BN47" s="1113"/>
      <c r="BO47" s="1113"/>
      <c r="BP47" s="1113"/>
      <c r="BQ47" s="1113"/>
      <c r="BR47" s="1113"/>
      <c r="BS47" s="1113"/>
      <c r="BT47" s="1113"/>
      <c r="BU47" s="1113"/>
      <c r="BV47" s="1113"/>
      <c r="BW47" s="1113"/>
      <c r="BX47" s="1113"/>
      <c r="BY47" s="1113"/>
      <c r="BZ47" s="1113"/>
      <c r="CA47" s="1113"/>
      <c r="CB47" s="1113"/>
      <c r="CC47" s="1113"/>
      <c r="CD47" s="1113"/>
      <c r="CE47" s="1113"/>
      <c r="CF47" s="1113"/>
      <c r="CG47" s="1113"/>
      <c r="CH47" s="1113"/>
      <c r="CI47" s="1113"/>
      <c r="CJ47" s="1113"/>
      <c r="CK47" s="1113"/>
      <c r="CL47" s="1113"/>
      <c r="CM47" s="1113"/>
      <c r="CN47" s="1113"/>
      <c r="CO47" s="1113"/>
      <c r="CP47" s="1113"/>
      <c r="CQ47" s="1113"/>
      <c r="CR47" s="1113"/>
      <c r="CS47" s="1113"/>
      <c r="CT47" s="1113"/>
      <c r="CU47" s="1113"/>
      <c r="CV47" s="1113"/>
      <c r="CW47" s="1113"/>
      <c r="CX47" s="1113"/>
      <c r="CY47" s="1113"/>
      <c r="CZ47" s="1113"/>
      <c r="DA47" s="1113"/>
      <c r="DB47" s="1113"/>
      <c r="DC47" s="1113"/>
      <c r="DD47" s="1113"/>
      <c r="DE47" s="1113"/>
      <c r="DF47" s="1113"/>
      <c r="DG47" s="1113"/>
      <c r="DH47" s="1113"/>
      <c r="DI47" s="1113"/>
      <c r="DJ47" s="1113"/>
      <c r="DK47" s="1113"/>
      <c r="DL47" s="1113"/>
      <c r="DM47" s="1113"/>
      <c r="DN47" s="1113"/>
      <c r="DO47" s="1113"/>
      <c r="DP47" s="1113"/>
      <c r="DQ47" s="1113"/>
      <c r="DR47" s="1113"/>
      <c r="DS47" s="1113"/>
      <c r="DT47" s="1113"/>
      <c r="DU47" s="1113"/>
      <c r="DV47" s="1113"/>
      <c r="DW47" s="1113"/>
      <c r="DX47" s="1113"/>
      <c r="DY47" s="1113"/>
      <c r="DZ47" s="1113"/>
      <c r="EA47" s="1113"/>
      <c r="EB47" s="1113"/>
      <c r="EC47" s="1113"/>
      <c r="ED47" s="1113"/>
      <c r="EE47" s="1113"/>
      <c r="EF47" s="1113"/>
      <c r="EG47" s="1113"/>
      <c r="EH47" s="1113"/>
      <c r="EI47" s="1113"/>
      <c r="EJ47" s="1113"/>
      <c r="EK47" s="1113"/>
      <c r="EL47" s="1113"/>
      <c r="EM47" s="1113"/>
      <c r="EN47" s="1113"/>
      <c r="EO47" s="1113"/>
      <c r="EP47" s="1113"/>
      <c r="EQ47" s="1113"/>
      <c r="ER47" s="1113"/>
      <c r="ES47" s="1113"/>
      <c r="ET47" s="1113"/>
      <c r="EU47" s="1113"/>
      <c r="EV47" s="1113"/>
      <c r="EW47" s="1113"/>
      <c r="EX47" s="1113"/>
      <c r="EY47" s="1113"/>
      <c r="EZ47" s="1113"/>
      <c r="FA47" s="1113"/>
      <c r="FB47" s="1113"/>
      <c r="FC47" s="1113"/>
      <c r="FD47" s="1113"/>
      <c r="FE47" s="1113"/>
      <c r="FF47" s="1113"/>
      <c r="FG47" s="1113"/>
      <c r="FH47" s="1113"/>
      <c r="FI47" s="1113"/>
      <c r="FJ47" s="1113"/>
      <c r="FK47" s="1113"/>
      <c r="FL47" s="1113"/>
      <c r="FM47" s="1113"/>
      <c r="FN47" s="1113"/>
      <c r="FO47" s="1113"/>
      <c r="FP47" s="1113"/>
      <c r="FQ47" s="1113"/>
      <c r="FR47" s="1113"/>
      <c r="FS47" s="1113"/>
      <c r="FT47" s="1113"/>
      <c r="FU47" s="1113"/>
      <c r="FV47" s="1113"/>
      <c r="FW47" s="1113"/>
      <c r="FX47" s="1113"/>
      <c r="FY47" s="1113"/>
      <c r="FZ47" s="1113"/>
      <c r="GA47" s="1113"/>
      <c r="GB47" s="1113"/>
      <c r="GC47" s="1113"/>
      <c r="GD47" s="1113"/>
      <c r="GE47" s="1113"/>
      <c r="GF47" s="1113"/>
      <c r="GG47" s="1113"/>
      <c r="GH47" s="1113"/>
      <c r="GI47" s="1113"/>
      <c r="GJ47" s="1113"/>
      <c r="GK47" s="1113"/>
      <c r="GL47" s="1113"/>
      <c r="GM47" s="1113"/>
      <c r="GN47" s="1113"/>
      <c r="GO47" s="1113"/>
      <c r="GP47" s="1113"/>
      <c r="GQ47" s="1113"/>
      <c r="GR47" s="1113"/>
      <c r="GS47" s="1113"/>
      <c r="GT47" s="1113"/>
      <c r="GU47" s="1113"/>
      <c r="GV47" s="1113"/>
      <c r="GW47" s="1113"/>
      <c r="GX47" s="1113"/>
      <c r="GY47" s="1113"/>
      <c r="GZ47" s="1113"/>
      <c r="HA47" s="1113"/>
      <c r="HB47" s="1113"/>
      <c r="HC47" s="1113"/>
      <c r="HD47" s="1113"/>
      <c r="HE47" s="1113"/>
      <c r="HF47" s="1113"/>
      <c r="HG47" s="1113"/>
      <c r="HH47" s="1113"/>
      <c r="HI47" s="1113"/>
      <c r="HJ47" s="1113"/>
      <c r="HK47" s="1113"/>
      <c r="HL47" s="1113"/>
      <c r="HM47" s="1113"/>
      <c r="HN47" s="1113"/>
      <c r="HO47" s="1113"/>
      <c r="HP47" s="1113"/>
      <c r="HQ47" s="1113"/>
      <c r="HR47" s="1113"/>
      <c r="HS47" s="1113"/>
      <c r="HT47" s="1113"/>
      <c r="HU47" s="1113"/>
      <c r="HV47" s="1113"/>
      <c r="HW47" s="1113"/>
      <c r="HX47" s="1113"/>
      <c r="HY47" s="1113"/>
      <c r="HZ47" s="1113"/>
      <c r="IA47" s="1113"/>
      <c r="IB47" s="1113"/>
      <c r="IC47" s="1113"/>
      <c r="ID47" s="1113"/>
      <c r="IE47" s="1113"/>
      <c r="IF47" s="1113"/>
      <c r="IG47" s="1113"/>
      <c r="IH47" s="1113"/>
      <c r="II47" s="1113"/>
      <c r="IJ47" s="1113"/>
      <c r="IK47" s="1113"/>
      <c r="IL47" s="1113"/>
      <c r="IM47" s="1113"/>
      <c r="IN47" s="1113"/>
      <c r="IO47" s="1113"/>
      <c r="IP47" s="1113"/>
      <c r="IQ47" s="1113"/>
      <c r="IR47" s="1113"/>
      <c r="IS47" s="1113"/>
      <c r="IT47" s="1113"/>
      <c r="IU47" s="1113"/>
      <c r="IV47" s="1113"/>
      <c r="IW47" s="1113"/>
    </row>
    <row r="48" customFormat="false" ht="12.75" hidden="false" customHeight="false" outlineLevel="0" collapsed="false">
      <c r="A48" s="1112"/>
      <c r="B48" s="1095" t="s">
        <v>699</v>
      </c>
      <c r="C48" s="1110"/>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1098"/>
      <c r="AI48" s="1113"/>
      <c r="AJ48" s="1113"/>
      <c r="AK48" s="1113"/>
      <c r="AL48" s="1113"/>
      <c r="AM48" s="1113"/>
      <c r="AN48" s="1113"/>
      <c r="AO48" s="1113"/>
      <c r="AP48" s="1113"/>
      <c r="AQ48" s="1113"/>
      <c r="AR48" s="1113"/>
      <c r="AS48" s="1113"/>
      <c r="AT48" s="1113"/>
      <c r="AU48" s="1113"/>
      <c r="AV48" s="1113"/>
      <c r="AW48" s="1113"/>
      <c r="AX48" s="1113"/>
      <c r="AY48" s="1113"/>
      <c r="AZ48" s="1113"/>
      <c r="BA48" s="1113"/>
      <c r="BB48" s="1113"/>
      <c r="BC48" s="1113"/>
      <c r="BD48" s="1113"/>
      <c r="BE48" s="1113"/>
      <c r="BF48" s="1113"/>
      <c r="BG48" s="1113"/>
      <c r="BH48" s="1113"/>
      <c r="BI48" s="1113"/>
      <c r="BJ48" s="1113"/>
      <c r="BK48" s="1113"/>
      <c r="BL48" s="1113"/>
      <c r="BM48" s="1113"/>
      <c r="BN48" s="1113"/>
      <c r="BO48" s="1113"/>
      <c r="BP48" s="1113"/>
      <c r="BQ48" s="1113"/>
      <c r="BR48" s="1113"/>
      <c r="BS48" s="1113"/>
      <c r="BT48" s="1113"/>
      <c r="BU48" s="1113"/>
      <c r="BV48" s="1113"/>
      <c r="BW48" s="1113"/>
      <c r="BX48" s="1113"/>
      <c r="BY48" s="1113"/>
      <c r="BZ48" s="1113"/>
      <c r="CA48" s="1113"/>
      <c r="CB48" s="1113"/>
      <c r="CC48" s="1113"/>
      <c r="CD48" s="1113"/>
      <c r="CE48" s="1113"/>
      <c r="CF48" s="1113"/>
      <c r="CG48" s="1113"/>
      <c r="CH48" s="1113"/>
      <c r="CI48" s="1113"/>
      <c r="CJ48" s="1113"/>
      <c r="CK48" s="1113"/>
      <c r="CL48" s="1113"/>
      <c r="CM48" s="1113"/>
      <c r="CN48" s="1113"/>
      <c r="CO48" s="1113"/>
      <c r="CP48" s="1113"/>
      <c r="CQ48" s="1113"/>
      <c r="CR48" s="1113"/>
      <c r="CS48" s="1113"/>
      <c r="CT48" s="1113"/>
      <c r="CU48" s="1113"/>
      <c r="CV48" s="1113"/>
      <c r="CW48" s="1113"/>
      <c r="CX48" s="1113"/>
      <c r="CY48" s="1113"/>
      <c r="CZ48" s="1113"/>
      <c r="DA48" s="1113"/>
      <c r="DB48" s="1113"/>
      <c r="DC48" s="1113"/>
      <c r="DD48" s="1113"/>
      <c r="DE48" s="1113"/>
      <c r="DF48" s="1113"/>
      <c r="DG48" s="1113"/>
      <c r="DH48" s="1113"/>
      <c r="DI48" s="1113"/>
      <c r="DJ48" s="1113"/>
      <c r="DK48" s="1113"/>
      <c r="DL48" s="1113"/>
      <c r="DM48" s="1113"/>
      <c r="DN48" s="1113"/>
      <c r="DO48" s="1113"/>
      <c r="DP48" s="1113"/>
      <c r="DQ48" s="1113"/>
      <c r="DR48" s="1113"/>
      <c r="DS48" s="1113"/>
      <c r="DT48" s="1113"/>
      <c r="DU48" s="1113"/>
      <c r="DV48" s="1113"/>
      <c r="DW48" s="1113"/>
      <c r="DX48" s="1113"/>
      <c r="DY48" s="1113"/>
      <c r="DZ48" s="1113"/>
      <c r="EA48" s="1113"/>
      <c r="EB48" s="1113"/>
      <c r="EC48" s="1113"/>
      <c r="ED48" s="1113"/>
      <c r="EE48" s="1113"/>
      <c r="EF48" s="1113"/>
      <c r="EG48" s="1113"/>
      <c r="EH48" s="1113"/>
      <c r="EI48" s="1113"/>
      <c r="EJ48" s="1113"/>
      <c r="EK48" s="1113"/>
      <c r="EL48" s="1113"/>
      <c r="EM48" s="1113"/>
      <c r="EN48" s="1113"/>
      <c r="EO48" s="1113"/>
      <c r="EP48" s="1113"/>
      <c r="EQ48" s="1113"/>
      <c r="ER48" s="1113"/>
      <c r="ES48" s="1113"/>
      <c r="ET48" s="1113"/>
      <c r="EU48" s="1113"/>
      <c r="EV48" s="1113"/>
      <c r="EW48" s="1113"/>
      <c r="EX48" s="1113"/>
      <c r="EY48" s="1113"/>
      <c r="EZ48" s="1113"/>
      <c r="FA48" s="1113"/>
      <c r="FB48" s="1113"/>
      <c r="FC48" s="1113"/>
      <c r="FD48" s="1113"/>
      <c r="FE48" s="1113"/>
      <c r="FF48" s="1113"/>
      <c r="FG48" s="1113"/>
      <c r="FH48" s="1113"/>
      <c r="FI48" s="1113"/>
      <c r="FJ48" s="1113"/>
      <c r="FK48" s="1113"/>
      <c r="FL48" s="1113"/>
      <c r="FM48" s="1113"/>
      <c r="FN48" s="1113"/>
      <c r="FO48" s="1113"/>
      <c r="FP48" s="1113"/>
      <c r="FQ48" s="1113"/>
      <c r="FR48" s="1113"/>
      <c r="FS48" s="1113"/>
      <c r="FT48" s="1113"/>
      <c r="FU48" s="1113"/>
      <c r="FV48" s="1113"/>
      <c r="FW48" s="1113"/>
      <c r="FX48" s="1113"/>
      <c r="FY48" s="1113"/>
      <c r="FZ48" s="1113"/>
      <c r="GA48" s="1113"/>
      <c r="GB48" s="1113"/>
      <c r="GC48" s="1113"/>
      <c r="GD48" s="1113"/>
      <c r="GE48" s="1113"/>
      <c r="GF48" s="1113"/>
      <c r="GG48" s="1113"/>
      <c r="GH48" s="1113"/>
      <c r="GI48" s="1113"/>
      <c r="GJ48" s="1113"/>
      <c r="GK48" s="1113"/>
      <c r="GL48" s="1113"/>
      <c r="GM48" s="1113"/>
      <c r="GN48" s="1113"/>
      <c r="GO48" s="1113"/>
      <c r="GP48" s="1113"/>
      <c r="GQ48" s="1113"/>
      <c r="GR48" s="1113"/>
      <c r="GS48" s="1113"/>
      <c r="GT48" s="1113"/>
      <c r="GU48" s="1113"/>
      <c r="GV48" s="1113"/>
      <c r="GW48" s="1113"/>
      <c r="GX48" s="1113"/>
      <c r="GY48" s="1113"/>
      <c r="GZ48" s="1113"/>
      <c r="HA48" s="1113"/>
      <c r="HB48" s="1113"/>
      <c r="HC48" s="1113"/>
      <c r="HD48" s="1113"/>
      <c r="HE48" s="1113"/>
      <c r="HF48" s="1113"/>
      <c r="HG48" s="1113"/>
      <c r="HH48" s="1113"/>
      <c r="HI48" s="1113"/>
      <c r="HJ48" s="1113"/>
      <c r="HK48" s="1113"/>
      <c r="HL48" s="1113"/>
      <c r="HM48" s="1113"/>
      <c r="HN48" s="1113"/>
      <c r="HO48" s="1113"/>
      <c r="HP48" s="1113"/>
      <c r="HQ48" s="1113"/>
      <c r="HR48" s="1113"/>
      <c r="HS48" s="1113"/>
      <c r="HT48" s="1113"/>
      <c r="HU48" s="1113"/>
      <c r="HV48" s="1113"/>
      <c r="HW48" s="1113"/>
      <c r="HX48" s="1113"/>
      <c r="HY48" s="1113"/>
      <c r="HZ48" s="1113"/>
      <c r="IA48" s="1113"/>
      <c r="IB48" s="1113"/>
      <c r="IC48" s="1113"/>
      <c r="ID48" s="1113"/>
      <c r="IE48" s="1113"/>
      <c r="IF48" s="1113"/>
      <c r="IG48" s="1113"/>
      <c r="IH48" s="1113"/>
      <c r="II48" s="1113"/>
      <c r="IJ48" s="1113"/>
      <c r="IK48" s="1113"/>
      <c r="IL48" s="1113"/>
      <c r="IM48" s="1113"/>
      <c r="IN48" s="1113"/>
      <c r="IO48" s="1113"/>
      <c r="IP48" s="1113"/>
      <c r="IQ48" s="1113"/>
      <c r="IR48" s="1113"/>
      <c r="IS48" s="1113"/>
      <c r="IT48" s="1113"/>
      <c r="IU48" s="1113"/>
      <c r="IV48" s="1113"/>
      <c r="IW48" s="1113"/>
    </row>
    <row r="49" customFormat="false" ht="12.75" hidden="false" customHeight="false" outlineLevel="0" collapsed="false">
      <c r="A49" s="1112"/>
      <c r="B49" s="1095" t="s">
        <v>700</v>
      </c>
      <c r="C49" s="1110"/>
      <c r="D49" s="242" t="n">
        <f aca="false">D74*D32</f>
        <v>-5.73300936572961</v>
      </c>
      <c r="E49" s="242" t="n">
        <f aca="false">E74*E32</f>
        <v>-5.71607553384322</v>
      </c>
      <c r="F49" s="242" t="n">
        <f aca="false">F74*F32</f>
        <v>-5.69738018319113</v>
      </c>
      <c r="G49" s="242" t="n">
        <f aca="false">G74*G32</f>
        <v>-5.67626944867061</v>
      </c>
      <c r="H49" s="242" t="n">
        <f aca="false">H74*H32</f>
        <v>-5.65310185632573</v>
      </c>
      <c r="I49" s="242" t="n">
        <f aca="false">I74*I32</f>
        <v>-5.62879487597114</v>
      </c>
      <c r="J49" s="242" t="n">
        <f aca="false">J74*J32</f>
        <v>-5.57665789727338</v>
      </c>
      <c r="K49" s="242" t="n">
        <f aca="false">K74*K32</f>
        <v>-5.5222807750722</v>
      </c>
      <c r="L49" s="242" t="n">
        <f aca="false">L74*L32</f>
        <v>-5.46560279836952</v>
      </c>
      <c r="M49" s="242" t="n">
        <f aca="false">M74*M32</f>
        <v>-5.40393558379574</v>
      </c>
      <c r="N49" s="242" t="n">
        <f aca="false">N74*N32</f>
        <v>-5.47036344776272</v>
      </c>
      <c r="O49" s="242" t="n">
        <f aca="false">O74*O32</f>
        <v>-5.40436096296459</v>
      </c>
      <c r="P49" s="242" t="n">
        <f aca="false">P74*P32</f>
        <v>-5.33321999723709</v>
      </c>
      <c r="Q49" s="242" t="n">
        <f aca="false">Q74*Q32</f>
        <v>-5.25661489031909</v>
      </c>
      <c r="R49" s="242" t="n">
        <f aca="false">R74*R32</f>
        <v>-5.17395799501174</v>
      </c>
      <c r="S49" s="242" t="n">
        <f aca="false">S74*S32</f>
        <v>-5.09111721360887</v>
      </c>
      <c r="T49" s="242" t="n">
        <f aca="false">T74*T32</f>
        <v>-5.90594573693744</v>
      </c>
      <c r="U49" s="242" t="n">
        <f aca="false">U74*U32</f>
        <v>-20.3082975075773</v>
      </c>
      <c r="V49" s="242" t="n">
        <f aca="false">V74*V32</f>
        <v>-19.9973505602653</v>
      </c>
      <c r="W49" s="242" t="n">
        <f aca="false">W74*W32</f>
        <v>-21.662171441291</v>
      </c>
      <c r="X49" s="242" t="n">
        <f aca="false">X74*X32</f>
        <v>-0</v>
      </c>
      <c r="Y49" s="242" t="n">
        <f aca="false">Y74*Y32</f>
        <v>-0</v>
      </c>
      <c r="Z49" s="242" t="n">
        <f aca="false">Z74*Z32</f>
        <v>-0</v>
      </c>
      <c r="AA49" s="242" t="n">
        <f aca="false">AA74*AA32</f>
        <v>-0</v>
      </c>
      <c r="AB49" s="242" t="n">
        <f aca="false">AB74*AB32</f>
        <v>-0</v>
      </c>
      <c r="AC49" s="242" t="n">
        <f aca="false">AC74*AC32</f>
        <v>-0</v>
      </c>
      <c r="AD49" s="242" t="n">
        <f aca="false">AD74*AD32</f>
        <v>-0</v>
      </c>
      <c r="AE49" s="242" t="n">
        <f aca="false">AE74*AE32</f>
        <v>-0</v>
      </c>
      <c r="AF49" s="242" t="n">
        <f aca="false">AF74*AF32</f>
        <v>-0</v>
      </c>
      <c r="AG49" s="242" t="n">
        <f aca="false">AG74*AG32</f>
        <v>-0</v>
      </c>
      <c r="AH49" s="242" t="n">
        <f aca="false">AH74*AH32</f>
        <v>-0</v>
      </c>
      <c r="AI49" s="1113"/>
      <c r="AJ49" s="1113"/>
      <c r="AK49" s="1113"/>
      <c r="AL49" s="1113"/>
      <c r="AM49" s="1113"/>
      <c r="AN49" s="1113"/>
      <c r="AO49" s="1113"/>
      <c r="AP49" s="1113"/>
      <c r="AQ49" s="1113"/>
      <c r="AR49" s="1113"/>
      <c r="AS49" s="1113"/>
      <c r="AT49" s="1113"/>
      <c r="AU49" s="1113"/>
      <c r="AV49" s="1113"/>
      <c r="AW49" s="1113"/>
      <c r="AX49" s="1113"/>
      <c r="AY49" s="1113"/>
      <c r="AZ49" s="1113"/>
      <c r="BA49" s="1113"/>
      <c r="BB49" s="1113"/>
      <c r="BC49" s="1113"/>
      <c r="BD49" s="1113"/>
      <c r="BE49" s="1113"/>
      <c r="BF49" s="1113"/>
      <c r="BG49" s="1113"/>
      <c r="BH49" s="1113"/>
      <c r="BI49" s="1113"/>
      <c r="BJ49" s="1113"/>
      <c r="BK49" s="1113"/>
      <c r="BL49" s="1113"/>
      <c r="BM49" s="1113"/>
      <c r="BN49" s="1113"/>
      <c r="BO49" s="1113"/>
      <c r="BP49" s="1113"/>
      <c r="BQ49" s="1113"/>
      <c r="BR49" s="1113"/>
      <c r="BS49" s="1113"/>
      <c r="BT49" s="1113"/>
      <c r="BU49" s="1113"/>
      <c r="BV49" s="1113"/>
      <c r="BW49" s="1113"/>
      <c r="BX49" s="1113"/>
      <c r="BY49" s="1113"/>
      <c r="BZ49" s="1113"/>
      <c r="CA49" s="1113"/>
      <c r="CB49" s="1113"/>
      <c r="CC49" s="1113"/>
      <c r="CD49" s="1113"/>
      <c r="CE49" s="1113"/>
      <c r="CF49" s="1113"/>
      <c r="CG49" s="1113"/>
      <c r="CH49" s="1113"/>
      <c r="CI49" s="1113"/>
      <c r="CJ49" s="1113"/>
      <c r="CK49" s="1113"/>
      <c r="CL49" s="1113"/>
      <c r="CM49" s="1113"/>
      <c r="CN49" s="1113"/>
      <c r="CO49" s="1113"/>
      <c r="CP49" s="1113"/>
      <c r="CQ49" s="1113"/>
      <c r="CR49" s="1113"/>
      <c r="CS49" s="1113"/>
      <c r="CT49" s="1113"/>
      <c r="CU49" s="1113"/>
      <c r="CV49" s="1113"/>
      <c r="CW49" s="1113"/>
      <c r="CX49" s="1113"/>
      <c r="CY49" s="1113"/>
      <c r="CZ49" s="1113"/>
      <c r="DA49" s="1113"/>
      <c r="DB49" s="1113"/>
      <c r="DC49" s="1113"/>
      <c r="DD49" s="1113"/>
      <c r="DE49" s="1113"/>
      <c r="DF49" s="1113"/>
      <c r="DG49" s="1113"/>
      <c r="DH49" s="1113"/>
      <c r="DI49" s="1113"/>
      <c r="DJ49" s="1113"/>
      <c r="DK49" s="1113"/>
      <c r="DL49" s="1113"/>
      <c r="DM49" s="1113"/>
      <c r="DN49" s="1113"/>
      <c r="DO49" s="1113"/>
      <c r="DP49" s="1113"/>
      <c r="DQ49" s="1113"/>
      <c r="DR49" s="1113"/>
      <c r="DS49" s="1113"/>
      <c r="DT49" s="1113"/>
      <c r="DU49" s="1113"/>
      <c r="DV49" s="1113"/>
      <c r="DW49" s="1113"/>
      <c r="DX49" s="1113"/>
      <c r="DY49" s="1113"/>
      <c r="DZ49" s="1113"/>
      <c r="EA49" s="1113"/>
      <c r="EB49" s="1113"/>
      <c r="EC49" s="1113"/>
      <c r="ED49" s="1113"/>
      <c r="EE49" s="1113"/>
      <c r="EF49" s="1113"/>
      <c r="EG49" s="1113"/>
      <c r="EH49" s="1113"/>
      <c r="EI49" s="1113"/>
      <c r="EJ49" s="1113"/>
      <c r="EK49" s="1113"/>
      <c r="EL49" s="1113"/>
      <c r="EM49" s="1113"/>
      <c r="EN49" s="1113"/>
      <c r="EO49" s="1113"/>
      <c r="EP49" s="1113"/>
      <c r="EQ49" s="1113"/>
      <c r="ER49" s="1113"/>
      <c r="ES49" s="1113"/>
      <c r="ET49" s="1113"/>
      <c r="EU49" s="1113"/>
      <c r="EV49" s="1113"/>
      <c r="EW49" s="1113"/>
      <c r="EX49" s="1113"/>
      <c r="EY49" s="1113"/>
      <c r="EZ49" s="1113"/>
      <c r="FA49" s="1113"/>
      <c r="FB49" s="1113"/>
      <c r="FC49" s="1113"/>
      <c r="FD49" s="1113"/>
      <c r="FE49" s="1113"/>
      <c r="FF49" s="1113"/>
      <c r="FG49" s="1113"/>
      <c r="FH49" s="1113"/>
      <c r="FI49" s="1113"/>
      <c r="FJ49" s="1113"/>
      <c r="FK49" s="1113"/>
      <c r="FL49" s="1113"/>
      <c r="FM49" s="1113"/>
      <c r="FN49" s="1113"/>
      <c r="FO49" s="1113"/>
      <c r="FP49" s="1113"/>
      <c r="FQ49" s="1113"/>
      <c r="FR49" s="1113"/>
      <c r="FS49" s="1113"/>
      <c r="FT49" s="1113"/>
      <c r="FU49" s="1113"/>
      <c r="FV49" s="1113"/>
      <c r="FW49" s="1113"/>
      <c r="FX49" s="1113"/>
      <c r="FY49" s="1113"/>
      <c r="FZ49" s="1113"/>
      <c r="GA49" s="1113"/>
      <c r="GB49" s="1113"/>
      <c r="GC49" s="1113"/>
      <c r="GD49" s="1113"/>
      <c r="GE49" s="1113"/>
      <c r="GF49" s="1113"/>
      <c r="GG49" s="1113"/>
      <c r="GH49" s="1113"/>
      <c r="GI49" s="1113"/>
      <c r="GJ49" s="1113"/>
      <c r="GK49" s="1113"/>
      <c r="GL49" s="1113"/>
      <c r="GM49" s="1113"/>
      <c r="GN49" s="1113"/>
      <c r="GO49" s="1113"/>
      <c r="GP49" s="1113"/>
      <c r="GQ49" s="1113"/>
      <c r="GR49" s="1113"/>
      <c r="GS49" s="1113"/>
      <c r="GT49" s="1113"/>
      <c r="GU49" s="1113"/>
      <c r="GV49" s="1113"/>
      <c r="GW49" s="1113"/>
      <c r="GX49" s="1113"/>
      <c r="GY49" s="1113"/>
      <c r="GZ49" s="1113"/>
      <c r="HA49" s="1113"/>
      <c r="HB49" s="1113"/>
      <c r="HC49" s="1113"/>
      <c r="HD49" s="1113"/>
      <c r="HE49" s="1113"/>
      <c r="HF49" s="1113"/>
      <c r="HG49" s="1113"/>
      <c r="HH49" s="1113"/>
      <c r="HI49" s="1113"/>
      <c r="HJ49" s="1113"/>
      <c r="HK49" s="1113"/>
      <c r="HL49" s="1113"/>
      <c r="HM49" s="1113"/>
      <c r="HN49" s="1113"/>
      <c r="HO49" s="1113"/>
      <c r="HP49" s="1113"/>
      <c r="HQ49" s="1113"/>
      <c r="HR49" s="1113"/>
      <c r="HS49" s="1113"/>
      <c r="HT49" s="1113"/>
      <c r="HU49" s="1113"/>
      <c r="HV49" s="1113"/>
      <c r="HW49" s="1113"/>
      <c r="HX49" s="1113"/>
      <c r="HY49" s="1113"/>
      <c r="HZ49" s="1113"/>
      <c r="IA49" s="1113"/>
      <c r="IB49" s="1113"/>
      <c r="IC49" s="1113"/>
      <c r="ID49" s="1113"/>
      <c r="IE49" s="1113"/>
      <c r="IF49" s="1113"/>
      <c r="IG49" s="1113"/>
      <c r="IH49" s="1113"/>
      <c r="II49" s="1113"/>
      <c r="IJ49" s="1113"/>
      <c r="IK49" s="1113"/>
      <c r="IL49" s="1113"/>
      <c r="IM49" s="1113"/>
      <c r="IN49" s="1113"/>
      <c r="IO49" s="1113"/>
      <c r="IP49" s="1113"/>
      <c r="IQ49" s="1113"/>
      <c r="IR49" s="1113"/>
      <c r="IS49" s="1113"/>
      <c r="IT49" s="1113"/>
      <c r="IU49" s="1113"/>
      <c r="IV49" s="1113"/>
      <c r="IW49" s="1113"/>
    </row>
    <row r="50" customFormat="false" ht="12.75" hidden="false" customHeight="false" outlineLevel="0" collapsed="false">
      <c r="A50" s="1112"/>
      <c r="B50" s="1095"/>
      <c r="C50" s="1110"/>
      <c r="D50" s="242"/>
      <c r="E50" s="242"/>
      <c r="F50" s="242"/>
      <c r="G50" s="242"/>
      <c r="H50" s="242"/>
      <c r="I50" s="242"/>
      <c r="J50" s="242"/>
      <c r="K50" s="242"/>
      <c r="L50" s="242"/>
      <c r="M50" s="242"/>
      <c r="N50" s="242"/>
      <c r="O50" s="242"/>
      <c r="P50" s="242"/>
      <c r="Q50" s="242"/>
      <c r="R50" s="242"/>
      <c r="S50" s="242"/>
      <c r="T50" s="242"/>
      <c r="U50" s="242"/>
      <c r="V50" s="242"/>
      <c r="W50" s="1113"/>
      <c r="X50" s="242"/>
      <c r="Y50" s="242"/>
      <c r="Z50" s="242"/>
      <c r="AA50" s="242"/>
      <c r="AB50" s="242"/>
      <c r="AC50" s="242"/>
      <c r="AD50" s="242"/>
      <c r="AE50" s="242"/>
      <c r="AF50" s="242"/>
      <c r="AG50" s="242"/>
      <c r="AH50" s="1098"/>
      <c r="AI50" s="1113"/>
      <c r="AJ50" s="1113"/>
      <c r="AK50" s="1113"/>
      <c r="AL50" s="1113"/>
      <c r="AM50" s="1113"/>
      <c r="AN50" s="1113"/>
      <c r="AO50" s="1113"/>
      <c r="AP50" s="1113"/>
      <c r="AQ50" s="1113"/>
      <c r="AR50" s="1113"/>
      <c r="AS50" s="1113"/>
      <c r="AT50" s="1113"/>
      <c r="AU50" s="1113"/>
      <c r="AV50" s="1113"/>
      <c r="AW50" s="1113"/>
      <c r="AX50" s="1113"/>
      <c r="AY50" s="1113"/>
      <c r="AZ50" s="1113"/>
      <c r="BA50" s="1113"/>
      <c r="BB50" s="1113"/>
      <c r="BC50" s="1113"/>
      <c r="BD50" s="1113"/>
      <c r="BE50" s="1113"/>
      <c r="BF50" s="1113"/>
      <c r="BG50" s="1113"/>
      <c r="BH50" s="1113"/>
      <c r="BI50" s="1113"/>
      <c r="BJ50" s="1113"/>
      <c r="BK50" s="1113"/>
      <c r="BL50" s="1113"/>
      <c r="BM50" s="1113"/>
      <c r="BN50" s="1113"/>
      <c r="BO50" s="1113"/>
      <c r="BP50" s="1113"/>
      <c r="BQ50" s="1113"/>
      <c r="BR50" s="1113"/>
      <c r="BS50" s="1113"/>
      <c r="BT50" s="1113"/>
      <c r="BU50" s="1113"/>
      <c r="BV50" s="1113"/>
      <c r="BW50" s="1113"/>
      <c r="BX50" s="1113"/>
      <c r="BY50" s="1113"/>
      <c r="BZ50" s="1113"/>
      <c r="CA50" s="1113"/>
      <c r="CB50" s="1113"/>
      <c r="CC50" s="1113"/>
      <c r="CD50" s="1113"/>
      <c r="CE50" s="1113"/>
      <c r="CF50" s="1113"/>
      <c r="CG50" s="1113"/>
      <c r="CH50" s="1113"/>
      <c r="CI50" s="1113"/>
      <c r="CJ50" s="1113"/>
      <c r="CK50" s="1113"/>
      <c r="CL50" s="1113"/>
      <c r="CM50" s="1113"/>
      <c r="CN50" s="1113"/>
      <c r="CO50" s="1113"/>
      <c r="CP50" s="1113"/>
      <c r="CQ50" s="1113"/>
      <c r="CR50" s="1113"/>
      <c r="CS50" s="1113"/>
      <c r="CT50" s="1113"/>
      <c r="CU50" s="1113"/>
      <c r="CV50" s="1113"/>
      <c r="CW50" s="1113"/>
      <c r="CX50" s="1113"/>
      <c r="CY50" s="1113"/>
      <c r="CZ50" s="1113"/>
      <c r="DA50" s="1113"/>
      <c r="DB50" s="1113"/>
      <c r="DC50" s="1113"/>
      <c r="DD50" s="1113"/>
      <c r="DE50" s="1113"/>
      <c r="DF50" s="1113"/>
      <c r="DG50" s="1113"/>
      <c r="DH50" s="1113"/>
      <c r="DI50" s="1113"/>
      <c r="DJ50" s="1113"/>
      <c r="DK50" s="1113"/>
      <c r="DL50" s="1113"/>
      <c r="DM50" s="1113"/>
      <c r="DN50" s="1113"/>
      <c r="DO50" s="1113"/>
      <c r="DP50" s="1113"/>
      <c r="DQ50" s="1113"/>
      <c r="DR50" s="1113"/>
      <c r="DS50" s="1113"/>
      <c r="DT50" s="1113"/>
      <c r="DU50" s="1113"/>
      <c r="DV50" s="1113"/>
      <c r="DW50" s="1113"/>
      <c r="DX50" s="1113"/>
      <c r="DY50" s="1113"/>
      <c r="DZ50" s="1113"/>
      <c r="EA50" s="1113"/>
      <c r="EB50" s="1113"/>
      <c r="EC50" s="1113"/>
      <c r="ED50" s="1113"/>
      <c r="EE50" s="1113"/>
      <c r="EF50" s="1113"/>
      <c r="EG50" s="1113"/>
      <c r="EH50" s="1113"/>
      <c r="EI50" s="1113"/>
      <c r="EJ50" s="1113"/>
      <c r="EK50" s="1113"/>
      <c r="EL50" s="1113"/>
      <c r="EM50" s="1113"/>
      <c r="EN50" s="1113"/>
      <c r="EO50" s="1113"/>
      <c r="EP50" s="1113"/>
      <c r="EQ50" s="1113"/>
      <c r="ER50" s="1113"/>
      <c r="ES50" s="1113"/>
      <c r="ET50" s="1113"/>
      <c r="EU50" s="1113"/>
      <c r="EV50" s="1113"/>
      <c r="EW50" s="1113"/>
      <c r="EX50" s="1113"/>
      <c r="EY50" s="1113"/>
      <c r="EZ50" s="1113"/>
      <c r="FA50" s="1113"/>
      <c r="FB50" s="1113"/>
      <c r="FC50" s="1113"/>
      <c r="FD50" s="1113"/>
      <c r="FE50" s="1113"/>
      <c r="FF50" s="1113"/>
      <c r="FG50" s="1113"/>
      <c r="FH50" s="1113"/>
      <c r="FI50" s="1113"/>
      <c r="FJ50" s="1113"/>
      <c r="FK50" s="1113"/>
      <c r="FL50" s="1113"/>
      <c r="FM50" s="1113"/>
      <c r="FN50" s="1113"/>
      <c r="FO50" s="1113"/>
      <c r="FP50" s="1113"/>
      <c r="FQ50" s="1113"/>
      <c r="FR50" s="1113"/>
      <c r="FS50" s="1113"/>
      <c r="FT50" s="1113"/>
      <c r="FU50" s="1113"/>
      <c r="FV50" s="1113"/>
      <c r="FW50" s="1113"/>
      <c r="FX50" s="1113"/>
      <c r="FY50" s="1113"/>
      <c r="FZ50" s="1113"/>
      <c r="GA50" s="1113"/>
      <c r="GB50" s="1113"/>
      <c r="GC50" s="1113"/>
      <c r="GD50" s="1113"/>
      <c r="GE50" s="1113"/>
      <c r="GF50" s="1113"/>
      <c r="GG50" s="1113"/>
      <c r="GH50" s="1113"/>
      <c r="GI50" s="1113"/>
      <c r="GJ50" s="1113"/>
      <c r="GK50" s="1113"/>
      <c r="GL50" s="1113"/>
      <c r="GM50" s="1113"/>
      <c r="GN50" s="1113"/>
      <c r="GO50" s="1113"/>
      <c r="GP50" s="1113"/>
      <c r="GQ50" s="1113"/>
      <c r="GR50" s="1113"/>
      <c r="GS50" s="1113"/>
      <c r="GT50" s="1113"/>
      <c r="GU50" s="1113"/>
      <c r="GV50" s="1113"/>
      <c r="GW50" s="1113"/>
      <c r="GX50" s="1113"/>
      <c r="GY50" s="1113"/>
      <c r="GZ50" s="1113"/>
      <c r="HA50" s="1113"/>
      <c r="HB50" s="1113"/>
      <c r="HC50" s="1113"/>
      <c r="HD50" s="1113"/>
      <c r="HE50" s="1113"/>
      <c r="HF50" s="1113"/>
      <c r="HG50" s="1113"/>
      <c r="HH50" s="1113"/>
      <c r="HI50" s="1113"/>
      <c r="HJ50" s="1113"/>
      <c r="HK50" s="1113"/>
      <c r="HL50" s="1113"/>
      <c r="HM50" s="1113"/>
      <c r="HN50" s="1113"/>
      <c r="HO50" s="1113"/>
      <c r="HP50" s="1113"/>
      <c r="HQ50" s="1113"/>
      <c r="HR50" s="1113"/>
      <c r="HS50" s="1113"/>
      <c r="HT50" s="1113"/>
      <c r="HU50" s="1113"/>
      <c r="HV50" s="1113"/>
      <c r="HW50" s="1113"/>
      <c r="HX50" s="1113"/>
      <c r="HY50" s="1113"/>
      <c r="HZ50" s="1113"/>
      <c r="IA50" s="1113"/>
      <c r="IB50" s="1113"/>
      <c r="IC50" s="1113"/>
      <c r="ID50" s="1113"/>
      <c r="IE50" s="1113"/>
      <c r="IF50" s="1113"/>
      <c r="IG50" s="1113"/>
      <c r="IH50" s="1113"/>
      <c r="II50" s="1113"/>
      <c r="IJ50" s="1113"/>
      <c r="IK50" s="1113"/>
      <c r="IL50" s="1113"/>
      <c r="IM50" s="1113"/>
      <c r="IN50" s="1113"/>
      <c r="IO50" s="1113"/>
      <c r="IP50" s="1113"/>
      <c r="IQ50" s="1113"/>
      <c r="IR50" s="1113"/>
      <c r="IS50" s="1113"/>
      <c r="IT50" s="1113"/>
      <c r="IU50" s="1113"/>
      <c r="IV50" s="1113"/>
      <c r="IW50" s="1113"/>
    </row>
    <row r="51" customFormat="false" ht="12.75" hidden="false" customHeight="false" outlineLevel="0" collapsed="false">
      <c r="B51" s="1083" t="s">
        <v>701</v>
      </c>
      <c r="C51" s="1114"/>
      <c r="D51" s="1085" t="n">
        <f aca="false">SUM(D35:D49)</f>
        <v>193.31813945145</v>
      </c>
      <c r="E51" s="1085" t="n">
        <f aca="false">SUM(E35:E49)</f>
        <v>77.6229440874407</v>
      </c>
      <c r="F51" s="1085" t="n">
        <f aca="false">SUM(F35:F49)</f>
        <v>9.5338452440018</v>
      </c>
      <c r="G51" s="1085" t="n">
        <f aca="false">SUM(G35:G49)</f>
        <v>-29.7620354182176</v>
      </c>
      <c r="H51" s="1085" t="n">
        <f aca="false">SUM(H35:H49)</f>
        <v>-68.626243190696</v>
      </c>
      <c r="I51" s="1085" t="n">
        <f aca="false">SUM(I35:I49)</f>
        <v>-85.7433882478007</v>
      </c>
      <c r="J51" s="1085" t="n">
        <f aca="false">SUM(J35:J49)</f>
        <v>-81.1648345932906</v>
      </c>
      <c r="K51" s="1085" t="n">
        <f aca="false">SUM(K35:K49)</f>
        <v>-76.0680733418057</v>
      </c>
      <c r="L51" s="1085" t="n">
        <f aca="false">SUM(L35:L49)</f>
        <v>-70.4341533334513</v>
      </c>
      <c r="M51" s="1085" t="n">
        <f aca="false">SUM(M35:M49)</f>
        <v>-64.213434421065</v>
      </c>
      <c r="N51" s="1085" t="n">
        <f aca="false">SUM(N35:N49)</f>
        <v>-57.0438941808729</v>
      </c>
      <c r="O51" s="1085" t="n">
        <f aca="false">SUM(O35:O49)</f>
        <v>-49.1218478284192</v>
      </c>
      <c r="P51" s="1085" t="n">
        <f aca="false">SUM(P35:P49)</f>
        <v>-40.4025807966233</v>
      </c>
      <c r="Q51" s="1085" t="n">
        <f aca="false">SUM(Q35:Q49)</f>
        <v>-30.8154216800578</v>
      </c>
      <c r="R51" s="1085" t="n">
        <f aca="false">SUM(R35:R49)</f>
        <v>-20.2946473154098</v>
      </c>
      <c r="S51" s="1085" t="n">
        <f aca="false">SUM(S35:S49)</f>
        <v>-8.73505354522749</v>
      </c>
      <c r="T51" s="1085" t="n">
        <f aca="false">SUM(T35:T49)</f>
        <v>3.1413771978496</v>
      </c>
      <c r="U51" s="1085" t="n">
        <f aca="false">SUM(U35:U49)</f>
        <v>2.75258479856645</v>
      </c>
      <c r="V51" s="1085" t="n">
        <f aca="false">SUM(V35:V49)</f>
        <v>2.36379239928329</v>
      </c>
      <c r="W51" s="1085" t="n">
        <f aca="false">SUM(W35:W49)</f>
        <v>1.45661260830821E-013</v>
      </c>
      <c r="X51" s="1085" t="n">
        <f aca="false">SUM(X35:X49)</f>
        <v>1.45661260830821E-013</v>
      </c>
      <c r="Y51" s="1085" t="n">
        <f aca="false">SUM(Y35:Y49)</f>
        <v>1.45661260830821E-013</v>
      </c>
      <c r="Z51" s="1085" t="n">
        <f aca="false">SUM(Z35:Z49)</f>
        <v>1.45661260830821E-013</v>
      </c>
      <c r="AA51" s="1085" t="n">
        <f aca="false">SUM(AA35:AA49)</f>
        <v>1.45661260830821E-013</v>
      </c>
      <c r="AB51" s="1085" t="n">
        <f aca="false">SUM(AB35:AB49)</f>
        <v>1.45661260830821E-013</v>
      </c>
      <c r="AC51" s="1085" t="n">
        <f aca="false">SUM(AC35:AC49)</f>
        <v>1.45661260830821E-013</v>
      </c>
      <c r="AD51" s="1085" t="n">
        <f aca="false">SUM(AD35:AD49)</f>
        <v>1.45661260830821E-013</v>
      </c>
      <c r="AE51" s="1085" t="n">
        <f aca="false">SUM(AE35:AE49)</f>
        <v>1.45661260830821E-013</v>
      </c>
      <c r="AF51" s="1085" t="n">
        <f aca="false">SUM(AF35:AF49)</f>
        <v>1.45661260830821E-013</v>
      </c>
      <c r="AG51" s="1085" t="n">
        <f aca="false">SUM(AG35:AG49)</f>
        <v>1.45661260830821E-013</v>
      </c>
      <c r="AH51" s="1086" t="n">
        <f aca="false">SUM(AH35:AH49)</f>
        <v>1.45661260830821E-013</v>
      </c>
      <c r="AI51" s="1106"/>
      <c r="AJ51" s="1106"/>
      <c r="AK51" s="1106"/>
      <c r="AL51" s="1106"/>
      <c r="AM51" s="1106"/>
      <c r="AN51" s="1106"/>
      <c r="AO51" s="1106"/>
      <c r="AP51" s="1106"/>
      <c r="AQ51" s="1106"/>
      <c r="AR51" s="1106"/>
      <c r="AS51" s="1106"/>
      <c r="AT51" s="1106"/>
      <c r="AU51" s="1106"/>
      <c r="AV51" s="1106"/>
      <c r="AW51" s="1106"/>
      <c r="AX51" s="1106"/>
      <c r="AY51" s="1106"/>
      <c r="AZ51" s="1106"/>
      <c r="BA51" s="1106"/>
      <c r="BB51" s="1106"/>
      <c r="BC51" s="1106"/>
      <c r="BD51" s="1106"/>
      <c r="BE51" s="1106"/>
      <c r="BF51" s="1106"/>
      <c r="BG51" s="1106"/>
      <c r="BH51" s="1106"/>
      <c r="BI51" s="1106"/>
      <c r="BJ51" s="1106"/>
      <c r="BK51" s="1106"/>
      <c r="BL51" s="1106"/>
      <c r="BM51" s="1106"/>
      <c r="BN51" s="1106"/>
      <c r="BO51" s="1106"/>
      <c r="BP51" s="1106"/>
      <c r="BQ51" s="1106"/>
      <c r="BR51" s="1106"/>
      <c r="BS51" s="1106"/>
      <c r="BT51" s="1106"/>
      <c r="BU51" s="1106"/>
      <c r="BV51" s="1106"/>
      <c r="BW51" s="1106"/>
      <c r="BX51" s="1106"/>
      <c r="BY51" s="1106"/>
      <c r="BZ51" s="1106"/>
      <c r="CA51" s="1106"/>
      <c r="CB51" s="1106"/>
      <c r="CC51" s="1106"/>
      <c r="CD51" s="1106"/>
      <c r="CE51" s="1106"/>
      <c r="CF51" s="1106"/>
      <c r="CG51" s="1106"/>
      <c r="CH51" s="1106"/>
      <c r="CI51" s="1106"/>
      <c r="CJ51" s="1106"/>
      <c r="CK51" s="1106"/>
      <c r="CL51" s="1106"/>
      <c r="CM51" s="1106"/>
      <c r="CN51" s="1106"/>
      <c r="CO51" s="1106"/>
      <c r="CP51" s="1106"/>
      <c r="CQ51" s="1106"/>
      <c r="CR51" s="1106"/>
      <c r="CS51" s="1106"/>
      <c r="CT51" s="1106"/>
      <c r="CU51" s="1106"/>
      <c r="CV51" s="1106"/>
      <c r="CW51" s="1106"/>
      <c r="CX51" s="1106"/>
      <c r="CY51" s="1106"/>
      <c r="CZ51" s="1106"/>
      <c r="DA51" s="1106"/>
      <c r="DB51" s="1106"/>
      <c r="DC51" s="1106"/>
      <c r="DD51" s="1106"/>
      <c r="DE51" s="1106"/>
      <c r="DF51" s="1106"/>
      <c r="DG51" s="1106"/>
      <c r="DH51" s="1106"/>
      <c r="DI51" s="1106"/>
      <c r="DJ51" s="1106"/>
      <c r="DK51" s="1106"/>
      <c r="DL51" s="1106"/>
      <c r="DM51" s="1106"/>
      <c r="DN51" s="1106"/>
      <c r="DO51" s="1106"/>
      <c r="DP51" s="1106"/>
      <c r="DQ51" s="1106"/>
      <c r="DR51" s="1106"/>
      <c r="DS51" s="1106"/>
      <c r="DT51" s="1106"/>
      <c r="DU51" s="1106"/>
      <c r="DV51" s="1106"/>
      <c r="DW51" s="1106"/>
      <c r="DX51" s="1106"/>
      <c r="DY51" s="1106"/>
      <c r="DZ51" s="1106"/>
      <c r="EA51" s="1106"/>
      <c r="EB51" s="1106"/>
      <c r="EC51" s="1106"/>
      <c r="ED51" s="1106"/>
      <c r="EE51" s="1106"/>
      <c r="EF51" s="1106"/>
      <c r="EG51" s="1106"/>
      <c r="EH51" s="1106"/>
      <c r="EI51" s="1106"/>
      <c r="EJ51" s="1106"/>
      <c r="EK51" s="1106"/>
      <c r="EL51" s="1106"/>
      <c r="EM51" s="1106"/>
      <c r="EN51" s="1106"/>
      <c r="EO51" s="1106"/>
      <c r="EP51" s="1106"/>
      <c r="EQ51" s="1106"/>
      <c r="ER51" s="1106"/>
      <c r="ES51" s="1106"/>
      <c r="ET51" s="1106"/>
      <c r="EU51" s="1106"/>
      <c r="EV51" s="1106"/>
      <c r="EW51" s="1106"/>
      <c r="EX51" s="1106"/>
      <c r="EY51" s="1106"/>
      <c r="EZ51" s="1106"/>
      <c r="FA51" s="1106"/>
      <c r="FB51" s="1106"/>
      <c r="FC51" s="1106"/>
      <c r="FD51" s="1106"/>
      <c r="FE51" s="1106"/>
      <c r="FF51" s="1106"/>
      <c r="FG51" s="1106"/>
      <c r="FH51" s="1106"/>
      <c r="FI51" s="1106"/>
      <c r="FJ51" s="1106"/>
      <c r="FK51" s="1106"/>
      <c r="FL51" s="1106"/>
      <c r="FM51" s="1106"/>
      <c r="FN51" s="1106"/>
      <c r="FO51" s="1106"/>
      <c r="FP51" s="1106"/>
      <c r="FQ51" s="1106"/>
      <c r="FR51" s="1106"/>
      <c r="FS51" s="1106"/>
      <c r="FT51" s="1106"/>
      <c r="FU51" s="1106"/>
      <c r="FV51" s="1106"/>
      <c r="FW51" s="1106"/>
      <c r="FX51" s="1106"/>
      <c r="FY51" s="1106"/>
      <c r="FZ51" s="1106"/>
      <c r="GA51" s="1106"/>
      <c r="GB51" s="1106"/>
      <c r="GC51" s="1106"/>
      <c r="GD51" s="1106"/>
      <c r="GE51" s="1106"/>
      <c r="GF51" s="1106"/>
      <c r="GG51" s="1106"/>
      <c r="GH51" s="1106"/>
      <c r="GI51" s="1106"/>
      <c r="GJ51" s="1106"/>
      <c r="GK51" s="1106"/>
      <c r="GL51" s="1106"/>
      <c r="GM51" s="1106"/>
      <c r="GN51" s="1106"/>
      <c r="GO51" s="1106"/>
      <c r="GP51" s="1106"/>
      <c r="GQ51" s="1106"/>
      <c r="GR51" s="1106"/>
      <c r="GS51" s="1106"/>
      <c r="GT51" s="1106"/>
      <c r="GU51" s="1106"/>
      <c r="GV51" s="1106"/>
      <c r="GW51" s="1106"/>
      <c r="GX51" s="1106"/>
      <c r="GY51" s="1106"/>
      <c r="GZ51" s="1106"/>
      <c r="HA51" s="1106"/>
      <c r="HB51" s="1106"/>
      <c r="HC51" s="1106"/>
      <c r="HD51" s="1106"/>
      <c r="HE51" s="1106"/>
      <c r="HF51" s="1106"/>
      <c r="HG51" s="1106"/>
      <c r="HH51" s="1106"/>
      <c r="HI51" s="1106"/>
      <c r="HJ51" s="1106"/>
      <c r="HK51" s="1106"/>
      <c r="HL51" s="1106"/>
      <c r="HM51" s="1106"/>
      <c r="HN51" s="1106"/>
      <c r="HO51" s="1106"/>
      <c r="HP51" s="1106"/>
      <c r="HQ51" s="1106"/>
      <c r="HR51" s="1106"/>
      <c r="HS51" s="1106"/>
      <c r="HT51" s="1106"/>
      <c r="HU51" s="1106"/>
      <c r="HV51" s="1106"/>
      <c r="HW51" s="1106"/>
      <c r="HX51" s="1106"/>
      <c r="HY51" s="1106"/>
      <c r="HZ51" s="1106"/>
      <c r="IA51" s="1106"/>
      <c r="IB51" s="1106"/>
      <c r="IC51" s="1106"/>
      <c r="ID51" s="1106"/>
      <c r="IE51" s="1106"/>
      <c r="IF51" s="1106"/>
      <c r="IG51" s="1106"/>
      <c r="IH51" s="1106"/>
      <c r="II51" s="1106"/>
      <c r="IJ51" s="1106"/>
      <c r="IK51" s="1106"/>
      <c r="IL51" s="1106"/>
      <c r="IM51" s="1106"/>
      <c r="IN51" s="1106"/>
      <c r="IO51" s="1106"/>
      <c r="IP51" s="1106"/>
      <c r="IQ51" s="1106"/>
      <c r="IR51" s="1106"/>
      <c r="IS51" s="1106"/>
      <c r="IT51" s="1106"/>
      <c r="IU51" s="1106"/>
      <c r="IV51" s="1106"/>
      <c r="IW51" s="1106"/>
    </row>
    <row r="52" customFormat="false" ht="12.75" hidden="false" customHeight="false" outlineLevel="0" collapsed="false">
      <c r="B52" s="1099"/>
      <c r="C52" s="108" t="s">
        <v>702</v>
      </c>
      <c r="D52" s="451" t="n">
        <f aca="false">D51/(D25+D51)</f>
        <v>0.01</v>
      </c>
      <c r="E52" s="451" t="n">
        <f aca="false">E51/(E25+E51)</f>
        <v>0.01</v>
      </c>
      <c r="F52" s="451" t="n">
        <f aca="false">F51/(F25+F51)</f>
        <v>0.01</v>
      </c>
      <c r="G52" s="451" t="n">
        <f aca="false">G51/(G25+G51)</f>
        <v>0.01</v>
      </c>
      <c r="H52" s="451" t="n">
        <f aca="false">H51/(H25+H51)</f>
        <v>0.01</v>
      </c>
      <c r="I52" s="451" t="n">
        <f aca="false">I51/(I25+I51)</f>
        <v>0.01</v>
      </c>
      <c r="J52" s="451" t="n">
        <f aca="false">J51/(J25+J51)</f>
        <v>0.01</v>
      </c>
      <c r="K52" s="451" t="n">
        <f aca="false">K51/(K25+K51)</f>
        <v>0.01</v>
      </c>
      <c r="L52" s="451" t="n">
        <f aca="false">L51/(L25+L51)</f>
        <v>0.01</v>
      </c>
      <c r="M52" s="451" t="n">
        <f aca="false">M51/(M25+M51)</f>
        <v>0.01</v>
      </c>
      <c r="N52" s="451" t="n">
        <f aca="false">N51/(N25+N51)</f>
        <v>0.01</v>
      </c>
      <c r="O52" s="451" t="n">
        <f aca="false">O51/(O25+O51)</f>
        <v>0.01</v>
      </c>
      <c r="P52" s="451" t="n">
        <f aca="false">P51/(P25+P51)</f>
        <v>0.01</v>
      </c>
      <c r="Q52" s="451" t="n">
        <f aca="false">Q51/(Q25+Q51)</f>
        <v>0.01</v>
      </c>
      <c r="R52" s="451" t="n">
        <f aca="false">R51/(R25+R51)</f>
        <v>0.00999999999999999</v>
      </c>
      <c r="S52" s="451" t="n">
        <f aca="false">S51/(S25+S51)</f>
        <v>0.00999999999999997</v>
      </c>
      <c r="T52" s="451" t="n">
        <f aca="false">T51/(T25+T51)</f>
        <v>0.0100000000000001</v>
      </c>
      <c r="U52" s="451" t="n">
        <f aca="false">U51/(U25+U51)</f>
        <v>0.0100000000000001</v>
      </c>
      <c r="V52" s="451" t="n">
        <f aca="false">V51/(V25+V51)</f>
        <v>0.0100000000000001</v>
      </c>
      <c r="W52" s="451" t="n">
        <f aca="false">W51/(W25+W51)</f>
        <v>0.0121697833184921</v>
      </c>
      <c r="X52" s="451" t="n">
        <f aca="false">X51/(X25+X51)</f>
        <v>0.0121697833184921</v>
      </c>
      <c r="Y52" s="451" t="n">
        <f aca="false">Y51/(Y25+Y51)</f>
        <v>0.0121697833184921</v>
      </c>
      <c r="Z52" s="451" t="n">
        <f aca="false">Z51/(Z25+Z51)</f>
        <v>0.0121697833184921</v>
      </c>
      <c r="AA52" s="451" t="n">
        <f aca="false">AA51/(AA25+AA51)</f>
        <v>0.0121697833184921</v>
      </c>
      <c r="AB52" s="451" t="n">
        <f aca="false">AB51/(AB25+AB51)</f>
        <v>0.0121697833184921</v>
      </c>
      <c r="AC52" s="451" t="n">
        <f aca="false">AC51/(AC25+AC51)</f>
        <v>0.0121697833184921</v>
      </c>
      <c r="AD52" s="451" t="n">
        <f aca="false">AD51/(AD25+AD51)</f>
        <v>0.0121697833184921</v>
      </c>
      <c r="AE52" s="451" t="n">
        <f aca="false">AE51/(AE25+AE51)</f>
        <v>0.0121697833184921</v>
      </c>
      <c r="AF52" s="451" t="n">
        <f aca="false">AF51/(AF25+AF51)</f>
        <v>0.0121697833184921</v>
      </c>
      <c r="AG52" s="451" t="n">
        <f aca="false">AG51/(AG25+AG51)</f>
        <v>0.0121697833184921</v>
      </c>
      <c r="AH52" s="947" t="n">
        <f aca="false">AH51/(AH25+AH51)</f>
        <v>0.0121697833184921</v>
      </c>
      <c r="AI52" s="108"/>
      <c r="AJ52" s="108"/>
      <c r="AK52" s="108"/>
      <c r="AL52" s="108"/>
      <c r="AM52" s="108"/>
      <c r="AN52" s="108"/>
      <c r="AO52" s="108"/>
      <c r="AP52" s="108"/>
      <c r="AQ52" s="108"/>
      <c r="AR52" s="108"/>
      <c r="AS52" s="108"/>
      <c r="AT52" s="108"/>
      <c r="AU52" s="108"/>
      <c r="AV52" s="108"/>
      <c r="AW52" s="108"/>
      <c r="AX52" s="108"/>
      <c r="AY52" s="108"/>
      <c r="AZ52" s="108"/>
      <c r="BA52" s="108"/>
      <c r="BB52" s="108"/>
      <c r="BC52" s="108"/>
      <c r="BD52" s="108"/>
      <c r="BE52" s="108"/>
      <c r="BF52" s="108"/>
      <c r="BG52" s="108"/>
      <c r="BH52" s="108"/>
      <c r="BI52" s="108"/>
      <c r="BJ52" s="108"/>
      <c r="BK52" s="108"/>
      <c r="BL52" s="108"/>
      <c r="BM52" s="108"/>
      <c r="BN52" s="108"/>
      <c r="BO52" s="108"/>
      <c r="BP52" s="108"/>
      <c r="BQ52" s="108"/>
      <c r="BR52" s="108"/>
      <c r="BS52" s="108"/>
      <c r="BT52" s="108"/>
      <c r="BU52" s="108"/>
      <c r="BV52" s="108"/>
      <c r="BW52" s="108"/>
      <c r="BX52" s="108"/>
      <c r="BY52" s="108"/>
      <c r="BZ52" s="108"/>
      <c r="CA52" s="108"/>
      <c r="CB52" s="108"/>
      <c r="CC52" s="108"/>
      <c r="CD52" s="108"/>
      <c r="CE52" s="108"/>
      <c r="CF52" s="108"/>
      <c r="CG52" s="108"/>
      <c r="CH52" s="108"/>
      <c r="CI52" s="108"/>
      <c r="CJ52" s="108"/>
      <c r="CK52" s="108"/>
      <c r="CL52" s="108"/>
      <c r="CM52" s="108"/>
      <c r="CN52" s="108"/>
      <c r="CO52" s="108"/>
      <c r="CP52" s="108"/>
      <c r="CQ52" s="108"/>
      <c r="CR52" s="108"/>
      <c r="CS52" s="108"/>
      <c r="CT52" s="108"/>
      <c r="CU52" s="108"/>
      <c r="CV52" s="108"/>
      <c r="CW52" s="108"/>
      <c r="CX52" s="108"/>
      <c r="CY52" s="108"/>
      <c r="CZ52" s="108"/>
      <c r="DA52" s="108"/>
      <c r="DB52" s="108"/>
      <c r="DC52" s="108"/>
      <c r="DD52" s="108"/>
      <c r="DE52" s="108"/>
      <c r="DF52" s="108"/>
      <c r="DG52" s="108"/>
      <c r="DH52" s="108"/>
      <c r="DI52" s="108"/>
      <c r="DJ52" s="108"/>
      <c r="DK52" s="108"/>
      <c r="DL52" s="108"/>
      <c r="DM52" s="108"/>
      <c r="DN52" s="108"/>
      <c r="DO52" s="108"/>
      <c r="DP52" s="108"/>
      <c r="DQ52" s="108"/>
      <c r="DR52" s="108"/>
      <c r="DS52" s="108"/>
      <c r="DT52" s="108"/>
      <c r="DU52" s="108"/>
      <c r="DV52" s="108"/>
      <c r="DW52" s="108"/>
      <c r="DX52" s="108"/>
      <c r="DY52" s="108"/>
      <c r="DZ52" s="108"/>
      <c r="EA52" s="108"/>
      <c r="EB52" s="108"/>
      <c r="EC52" s="108"/>
      <c r="ED52" s="108"/>
      <c r="EE52" s="108"/>
      <c r="EF52" s="108"/>
      <c r="EG52" s="108"/>
      <c r="EH52" s="108"/>
      <c r="EI52" s="108"/>
      <c r="EJ52" s="108"/>
      <c r="EK52" s="108"/>
      <c r="EL52" s="108"/>
      <c r="EM52" s="108"/>
      <c r="EN52" s="108"/>
      <c r="EO52" s="108"/>
      <c r="EP52" s="108"/>
      <c r="EQ52" s="108"/>
      <c r="ER52" s="108"/>
      <c r="ES52" s="108"/>
      <c r="ET52" s="108"/>
      <c r="EU52" s="108"/>
      <c r="EV52" s="108"/>
      <c r="EW52" s="108"/>
      <c r="EX52" s="108"/>
      <c r="EY52" s="108"/>
      <c r="EZ52" s="108"/>
      <c r="FA52" s="108"/>
      <c r="FB52" s="108"/>
      <c r="FC52" s="108"/>
      <c r="FD52" s="108"/>
      <c r="FE52" s="108"/>
      <c r="FF52" s="108"/>
      <c r="FG52" s="108"/>
      <c r="FH52" s="108"/>
      <c r="FI52" s="108"/>
      <c r="FJ52" s="108"/>
      <c r="FK52" s="108"/>
      <c r="FL52" s="108"/>
      <c r="FM52" s="108"/>
      <c r="FN52" s="108"/>
      <c r="FO52" s="108"/>
      <c r="FP52" s="108"/>
      <c r="FQ52" s="108"/>
      <c r="FR52" s="108"/>
      <c r="FS52" s="108"/>
      <c r="FT52" s="108"/>
      <c r="FU52" s="108"/>
      <c r="FV52" s="108"/>
      <c r="FW52" s="108"/>
      <c r="FX52" s="108"/>
      <c r="FY52" s="108"/>
      <c r="FZ52" s="108"/>
      <c r="GA52" s="108"/>
      <c r="GB52" s="108"/>
      <c r="GC52" s="108"/>
      <c r="GD52" s="108"/>
      <c r="GE52" s="108"/>
      <c r="GF52" s="108"/>
      <c r="GG52" s="108"/>
      <c r="GH52" s="108"/>
      <c r="GI52" s="108"/>
      <c r="GJ52" s="108"/>
      <c r="GK52" s="108"/>
      <c r="GL52" s="108"/>
      <c r="GM52" s="108"/>
      <c r="GN52" s="108"/>
      <c r="GO52" s="108"/>
      <c r="GP52" s="108"/>
      <c r="GQ52" s="108"/>
      <c r="GR52" s="108"/>
      <c r="GS52" s="108"/>
      <c r="GT52" s="108"/>
      <c r="GU52" s="108"/>
      <c r="GV52" s="108"/>
      <c r="GW52" s="108"/>
      <c r="GX52" s="108"/>
      <c r="GY52" s="108"/>
      <c r="GZ52" s="108"/>
      <c r="HA52" s="108"/>
      <c r="HB52" s="108"/>
      <c r="HC52" s="108"/>
      <c r="HD52" s="108"/>
      <c r="HE52" s="108"/>
      <c r="HF52" s="108"/>
      <c r="HG52" s="108"/>
      <c r="HH52" s="108"/>
      <c r="HI52" s="108"/>
      <c r="HJ52" s="108"/>
      <c r="HK52" s="108"/>
      <c r="HL52" s="108"/>
      <c r="HM52" s="108"/>
      <c r="HN52" s="108"/>
      <c r="HO52" s="108"/>
      <c r="HP52" s="108"/>
      <c r="HQ52" s="108"/>
      <c r="HR52" s="108"/>
      <c r="HS52" s="108"/>
      <c r="HT52" s="108"/>
      <c r="HU52" s="108"/>
      <c r="HV52" s="108"/>
      <c r="HW52" s="108"/>
      <c r="HX52" s="108"/>
      <c r="HY52" s="108"/>
      <c r="HZ52" s="108"/>
      <c r="IA52" s="108"/>
      <c r="IB52" s="108"/>
      <c r="IC52" s="108"/>
      <c r="ID52" s="108"/>
      <c r="IE52" s="108"/>
      <c r="IF52" s="108"/>
      <c r="IG52" s="108"/>
      <c r="IH52" s="108"/>
      <c r="II52" s="108"/>
      <c r="IJ52" s="108"/>
      <c r="IK52" s="108"/>
      <c r="IL52" s="108"/>
      <c r="IM52" s="108"/>
      <c r="IN52" s="108"/>
      <c r="IO52" s="108"/>
      <c r="IP52" s="108"/>
      <c r="IQ52" s="108"/>
      <c r="IR52" s="108"/>
      <c r="IS52" s="108"/>
      <c r="IT52" s="108"/>
      <c r="IU52" s="108"/>
      <c r="IV52" s="108"/>
      <c r="IW52" s="108"/>
    </row>
    <row r="53" customFormat="false" ht="12.75" hidden="false" customHeight="false" outlineLevel="0" collapsed="false">
      <c r="B53" s="1099"/>
      <c r="C53" s="108"/>
      <c r="D53" s="451"/>
      <c r="E53" s="451"/>
      <c r="F53" s="451"/>
      <c r="G53" s="451"/>
      <c r="H53" s="451"/>
      <c r="I53" s="451"/>
      <c r="J53" s="451"/>
      <c r="K53" s="451"/>
      <c r="L53" s="451"/>
      <c r="M53" s="451"/>
      <c r="N53" s="451"/>
      <c r="O53" s="451"/>
      <c r="P53" s="451"/>
      <c r="Q53" s="451"/>
      <c r="R53" s="451"/>
      <c r="S53" s="451"/>
      <c r="T53" s="451"/>
      <c r="U53" s="451"/>
      <c r="V53" s="451"/>
      <c r="W53" s="451"/>
      <c r="X53" s="451"/>
      <c r="Y53" s="451"/>
      <c r="Z53" s="451"/>
      <c r="AA53" s="451"/>
      <c r="AB53" s="451"/>
      <c r="AC53" s="451"/>
      <c r="AD53" s="451"/>
      <c r="AE53" s="451"/>
      <c r="AF53" s="451"/>
      <c r="AG53" s="451"/>
      <c r="AH53" s="947"/>
      <c r="AI53" s="108"/>
      <c r="AJ53" s="108"/>
      <c r="AK53" s="108"/>
      <c r="AL53" s="108"/>
      <c r="AM53" s="108"/>
      <c r="AN53" s="108"/>
      <c r="AO53" s="108"/>
      <c r="AP53" s="108"/>
      <c r="AQ53" s="108"/>
      <c r="AR53" s="108"/>
      <c r="AS53" s="108"/>
      <c r="AT53" s="108"/>
      <c r="AU53" s="108"/>
      <c r="AV53" s="108"/>
      <c r="AW53" s="108"/>
      <c r="AX53" s="108"/>
      <c r="AY53" s="108"/>
      <c r="AZ53" s="108"/>
      <c r="BA53" s="108"/>
      <c r="BB53" s="108"/>
      <c r="BC53" s="108"/>
      <c r="BD53" s="108"/>
      <c r="BE53" s="108"/>
      <c r="BF53" s="108"/>
      <c r="BG53" s="108"/>
      <c r="BH53" s="108"/>
      <c r="BI53" s="108"/>
      <c r="BJ53" s="108"/>
      <c r="BK53" s="108"/>
      <c r="BL53" s="108"/>
      <c r="BM53" s="108"/>
      <c r="BN53" s="108"/>
      <c r="BO53" s="108"/>
      <c r="BP53" s="108"/>
      <c r="BQ53" s="108"/>
      <c r="BR53" s="108"/>
      <c r="BS53" s="108"/>
      <c r="BT53" s="108"/>
      <c r="BU53" s="108"/>
      <c r="BV53" s="108"/>
      <c r="BW53" s="108"/>
      <c r="BX53" s="108"/>
      <c r="BY53" s="108"/>
      <c r="BZ53" s="108"/>
      <c r="CA53" s="108"/>
      <c r="CB53" s="108"/>
      <c r="CC53" s="108"/>
      <c r="CD53" s="108"/>
      <c r="CE53" s="108"/>
      <c r="CF53" s="108"/>
      <c r="CG53" s="108"/>
      <c r="CH53" s="108"/>
      <c r="CI53" s="108"/>
      <c r="CJ53" s="108"/>
      <c r="CK53" s="108"/>
      <c r="CL53" s="108"/>
      <c r="CM53" s="108"/>
      <c r="CN53" s="108"/>
      <c r="CO53" s="108"/>
      <c r="CP53" s="108"/>
      <c r="CQ53" s="108"/>
      <c r="CR53" s="108"/>
      <c r="CS53" s="108"/>
      <c r="CT53" s="108"/>
      <c r="CU53" s="108"/>
      <c r="CV53" s="108"/>
      <c r="CW53" s="108"/>
      <c r="CX53" s="108"/>
      <c r="CY53" s="108"/>
      <c r="CZ53" s="108"/>
      <c r="DA53" s="108"/>
      <c r="DB53" s="108"/>
      <c r="DC53" s="108"/>
      <c r="DD53" s="108"/>
      <c r="DE53" s="108"/>
      <c r="DF53" s="108"/>
      <c r="DG53" s="108"/>
      <c r="DH53" s="108"/>
      <c r="DI53" s="108"/>
      <c r="DJ53" s="108"/>
      <c r="DK53" s="108"/>
      <c r="DL53" s="108"/>
      <c r="DM53" s="108"/>
      <c r="DN53" s="108"/>
      <c r="DO53" s="108"/>
      <c r="DP53" s="108"/>
      <c r="DQ53" s="108"/>
      <c r="DR53" s="108"/>
      <c r="DS53" s="108"/>
      <c r="DT53" s="108"/>
      <c r="DU53" s="108"/>
      <c r="DV53" s="108"/>
      <c r="DW53" s="108"/>
      <c r="DX53" s="108"/>
      <c r="DY53" s="108"/>
      <c r="DZ53" s="108"/>
      <c r="EA53" s="108"/>
      <c r="EB53" s="108"/>
      <c r="EC53" s="108"/>
      <c r="ED53" s="108"/>
      <c r="EE53" s="108"/>
      <c r="EF53" s="108"/>
      <c r="EG53" s="108"/>
      <c r="EH53" s="108"/>
      <c r="EI53" s="108"/>
      <c r="EJ53" s="108"/>
      <c r="EK53" s="108"/>
      <c r="EL53" s="108"/>
      <c r="EM53" s="108"/>
      <c r="EN53" s="108"/>
      <c r="EO53" s="108"/>
      <c r="EP53" s="108"/>
      <c r="EQ53" s="108"/>
      <c r="ER53" s="108"/>
      <c r="ES53" s="108"/>
      <c r="ET53" s="108"/>
      <c r="EU53" s="108"/>
      <c r="EV53" s="108"/>
      <c r="EW53" s="108"/>
      <c r="EX53" s="108"/>
      <c r="EY53" s="108"/>
      <c r="EZ53" s="108"/>
      <c r="FA53" s="108"/>
      <c r="FB53" s="108"/>
      <c r="FC53" s="108"/>
      <c r="FD53" s="108"/>
      <c r="FE53" s="108"/>
      <c r="FF53" s="108"/>
      <c r="FG53" s="108"/>
      <c r="FH53" s="108"/>
      <c r="FI53" s="108"/>
      <c r="FJ53" s="108"/>
      <c r="FK53" s="108"/>
      <c r="FL53" s="108"/>
      <c r="FM53" s="108"/>
      <c r="FN53" s="108"/>
      <c r="FO53" s="108"/>
      <c r="FP53" s="108"/>
      <c r="FQ53" s="108"/>
      <c r="FR53" s="108"/>
      <c r="FS53" s="108"/>
      <c r="FT53" s="108"/>
      <c r="FU53" s="108"/>
      <c r="FV53" s="108"/>
      <c r="FW53" s="108"/>
      <c r="FX53" s="108"/>
      <c r="FY53" s="108"/>
      <c r="FZ53" s="108"/>
      <c r="GA53" s="108"/>
      <c r="GB53" s="108"/>
      <c r="GC53" s="108"/>
      <c r="GD53" s="108"/>
      <c r="GE53" s="108"/>
      <c r="GF53" s="108"/>
      <c r="GG53" s="108"/>
      <c r="GH53" s="108"/>
      <c r="GI53" s="108"/>
      <c r="GJ53" s="108"/>
      <c r="GK53" s="108"/>
      <c r="GL53" s="108"/>
      <c r="GM53" s="108"/>
      <c r="GN53" s="108"/>
      <c r="GO53" s="108"/>
      <c r="GP53" s="108"/>
      <c r="GQ53" s="108"/>
      <c r="GR53" s="108"/>
      <c r="GS53" s="108"/>
      <c r="GT53" s="108"/>
      <c r="GU53" s="108"/>
      <c r="GV53" s="108"/>
      <c r="GW53" s="108"/>
      <c r="GX53" s="108"/>
      <c r="GY53" s="108"/>
      <c r="GZ53" s="108"/>
      <c r="HA53" s="108"/>
      <c r="HB53" s="108"/>
      <c r="HC53" s="108"/>
      <c r="HD53" s="108"/>
      <c r="HE53" s="108"/>
      <c r="HF53" s="108"/>
      <c r="HG53" s="108"/>
      <c r="HH53" s="108"/>
      <c r="HI53" s="108"/>
      <c r="HJ53" s="108"/>
      <c r="HK53" s="108"/>
      <c r="HL53" s="108"/>
      <c r="HM53" s="108"/>
      <c r="HN53" s="108"/>
      <c r="HO53" s="108"/>
      <c r="HP53" s="108"/>
      <c r="HQ53" s="108"/>
      <c r="HR53" s="108"/>
      <c r="HS53" s="108"/>
      <c r="HT53" s="108"/>
      <c r="HU53" s="108"/>
      <c r="HV53" s="108"/>
      <c r="HW53" s="108"/>
      <c r="HX53" s="108"/>
      <c r="HY53" s="108"/>
      <c r="HZ53" s="108"/>
      <c r="IA53" s="108"/>
      <c r="IB53" s="108"/>
      <c r="IC53" s="108"/>
      <c r="ID53" s="108"/>
      <c r="IE53" s="108"/>
      <c r="IF53" s="108"/>
      <c r="IG53" s="108"/>
      <c r="IH53" s="108"/>
      <c r="II53" s="108"/>
      <c r="IJ53" s="108"/>
      <c r="IK53" s="108"/>
      <c r="IL53" s="108"/>
      <c r="IM53" s="108"/>
      <c r="IN53" s="108"/>
      <c r="IO53" s="108"/>
      <c r="IP53" s="108"/>
      <c r="IQ53" s="108"/>
      <c r="IR53" s="108"/>
      <c r="IS53" s="108"/>
      <c r="IT53" s="108"/>
      <c r="IU53" s="108"/>
      <c r="IV53" s="108"/>
      <c r="IW53" s="108"/>
    </row>
    <row r="54" customFormat="false" ht="12.75" hidden="false" customHeight="false" outlineLevel="0" collapsed="false">
      <c r="B54" s="1100" t="s">
        <v>703</v>
      </c>
      <c r="C54" s="1101"/>
      <c r="D54" s="1102" t="n">
        <f aca="false">SUM(D38:D48)</f>
        <v>-65.906937538512</v>
      </c>
      <c r="E54" s="1102" t="n">
        <f aca="false">SUM(E38:E48)</f>
        <v>-109.979119830166</v>
      </c>
      <c r="F54" s="1102" t="n">
        <f aca="false">SUM(F38:F48)</f>
        <v>-62.3917186602478</v>
      </c>
      <c r="G54" s="1102" t="n">
        <f aca="false">SUM(G38:G48)</f>
        <v>-33.6196112135487</v>
      </c>
      <c r="H54" s="1102" t="n">
        <f aca="false">SUM(H38:H48)</f>
        <v>-33.2111059161527</v>
      </c>
      <c r="I54" s="1102" t="n">
        <f aca="false">SUM(I38:I48)</f>
        <v>-11.4883501811335</v>
      </c>
      <c r="J54" s="1102" t="n">
        <f aca="false">SUM(J38:J48)</f>
        <v>10.1552115517834</v>
      </c>
      <c r="K54" s="1102" t="n">
        <f aca="false">SUM(K38:K48)</f>
        <v>10.6190420265571</v>
      </c>
      <c r="L54" s="1102" t="n">
        <f aca="false">SUM(L38:L48)</f>
        <v>11.0995228067239</v>
      </c>
      <c r="M54" s="1102" t="n">
        <f aca="false">SUM(M38:M48)</f>
        <v>11.6246544961821</v>
      </c>
      <c r="N54" s="1102" t="n">
        <f aca="false">SUM(N38:N48)</f>
        <v>12.6399036879548</v>
      </c>
      <c r="O54" s="1102" t="n">
        <f aca="false">SUM(O38:O48)</f>
        <v>13.3264073154183</v>
      </c>
      <c r="P54" s="1102" t="n">
        <f aca="false">SUM(P38:P48)</f>
        <v>14.052487029033</v>
      </c>
      <c r="Q54" s="1102" t="n">
        <f aca="false">SUM(Q38:Q48)</f>
        <v>14.8437740068846</v>
      </c>
      <c r="R54" s="1102" t="n">
        <f aca="false">SUM(R38:R48)</f>
        <v>15.6947323596597</v>
      </c>
      <c r="S54" s="1102" t="n">
        <f aca="false">SUM(S38:S48)</f>
        <v>16.6507109837912</v>
      </c>
      <c r="T54" s="1102" t="n">
        <f aca="false">SUM(T38:T48)</f>
        <v>17.7823764800145</v>
      </c>
      <c r="U54" s="1102" t="n">
        <f aca="false">SUM(U38:U48)</f>
        <v>19.9195051082942</v>
      </c>
      <c r="V54" s="1102" t="n">
        <f aca="false">SUM(V38:V48)</f>
        <v>19.6085581609821</v>
      </c>
      <c r="W54" s="1102" t="n">
        <f aca="false">SUM(W38:W48)</f>
        <v>19.2983790420078</v>
      </c>
      <c r="X54" s="1102" t="n">
        <f aca="false">SUM(X38:X48)</f>
        <v>0</v>
      </c>
      <c r="Y54" s="1102" t="n">
        <f aca="false">SUM(Y38:Y48)</f>
        <v>0</v>
      </c>
      <c r="Z54" s="1102" t="n">
        <f aca="false">SUM(Z38:Z48)</f>
        <v>0</v>
      </c>
      <c r="AA54" s="1102" t="n">
        <f aca="false">SUM(AA38:AA48)</f>
        <v>0</v>
      </c>
      <c r="AB54" s="1102" t="n">
        <f aca="false">SUM(AB38:AB48)</f>
        <v>0</v>
      </c>
      <c r="AC54" s="1102" t="n">
        <f aca="false">SUM(AC38:AC48)</f>
        <v>0</v>
      </c>
      <c r="AD54" s="1102" t="n">
        <f aca="false">SUM(AD38:AD48)</f>
        <v>0</v>
      </c>
      <c r="AE54" s="1102" t="n">
        <f aca="false">SUM(AE38:AE48)</f>
        <v>0</v>
      </c>
      <c r="AF54" s="1102" t="n">
        <f aca="false">SUM(AF38:AF48)</f>
        <v>0</v>
      </c>
      <c r="AG54" s="1102" t="n">
        <f aca="false">SUM(AG38:AG48)</f>
        <v>0</v>
      </c>
      <c r="AH54" s="1103" t="n">
        <f aca="false">SUM(AH38:AH48)</f>
        <v>0</v>
      </c>
      <c r="AI54" s="108"/>
      <c r="AJ54" s="108"/>
      <c r="AK54" s="108"/>
      <c r="AL54" s="108"/>
      <c r="AM54" s="108"/>
      <c r="AN54" s="108"/>
      <c r="AO54" s="108"/>
      <c r="AP54" s="108"/>
      <c r="AQ54" s="108"/>
      <c r="AR54" s="108"/>
      <c r="AS54" s="108"/>
      <c r="AT54" s="108"/>
      <c r="AU54" s="108"/>
      <c r="AV54" s="108"/>
      <c r="AW54" s="108"/>
      <c r="AX54" s="108"/>
      <c r="AY54" s="108"/>
      <c r="AZ54" s="108"/>
      <c r="BA54" s="108"/>
      <c r="BB54" s="108"/>
      <c r="BC54" s="108"/>
      <c r="BD54" s="108"/>
      <c r="BE54" s="108"/>
      <c r="BF54" s="108"/>
      <c r="BG54" s="108"/>
      <c r="BH54" s="108"/>
      <c r="BI54" s="108"/>
      <c r="BJ54" s="108"/>
      <c r="BK54" s="108"/>
      <c r="BL54" s="108"/>
      <c r="BM54" s="108"/>
      <c r="BN54" s="108"/>
      <c r="BO54" s="108"/>
      <c r="BP54" s="108"/>
      <c r="BQ54" s="108"/>
      <c r="BR54" s="108"/>
      <c r="BS54" s="108"/>
      <c r="BT54" s="108"/>
      <c r="BU54" s="108"/>
      <c r="BV54" s="108"/>
      <c r="BW54" s="108"/>
      <c r="BX54" s="108"/>
      <c r="BY54" s="108"/>
      <c r="BZ54" s="108"/>
      <c r="CA54" s="108"/>
      <c r="CB54" s="108"/>
      <c r="CC54" s="108"/>
      <c r="CD54" s="108"/>
      <c r="CE54" s="108"/>
      <c r="CF54" s="108"/>
      <c r="CG54" s="108"/>
      <c r="CH54" s="108"/>
      <c r="CI54" s="108"/>
      <c r="CJ54" s="108"/>
      <c r="CK54" s="108"/>
      <c r="CL54" s="108"/>
      <c r="CM54" s="108"/>
      <c r="CN54" s="108"/>
      <c r="CO54" s="108"/>
      <c r="CP54" s="108"/>
      <c r="CQ54" s="108"/>
      <c r="CR54" s="108"/>
      <c r="CS54" s="108"/>
      <c r="CT54" s="108"/>
      <c r="CU54" s="108"/>
      <c r="CV54" s="108"/>
      <c r="CW54" s="108"/>
      <c r="CX54" s="108"/>
      <c r="CY54" s="108"/>
      <c r="CZ54" s="108"/>
      <c r="DA54" s="108"/>
      <c r="DB54" s="108"/>
      <c r="DC54" s="108"/>
      <c r="DD54" s="108"/>
      <c r="DE54" s="108"/>
      <c r="DF54" s="108"/>
      <c r="DG54" s="108"/>
      <c r="DH54" s="108"/>
      <c r="DI54" s="108"/>
      <c r="DJ54" s="108"/>
      <c r="DK54" s="108"/>
      <c r="DL54" s="108"/>
      <c r="DM54" s="108"/>
      <c r="DN54" s="108"/>
      <c r="DO54" s="108"/>
      <c r="DP54" s="108"/>
      <c r="DQ54" s="108"/>
      <c r="DR54" s="108"/>
      <c r="DS54" s="108"/>
      <c r="DT54" s="108"/>
      <c r="DU54" s="108"/>
      <c r="DV54" s="108"/>
      <c r="DW54" s="108"/>
      <c r="DX54" s="108"/>
      <c r="DY54" s="108"/>
      <c r="DZ54" s="108"/>
      <c r="EA54" s="108"/>
      <c r="EB54" s="108"/>
      <c r="EC54" s="108"/>
      <c r="ED54" s="108"/>
      <c r="EE54" s="108"/>
      <c r="EF54" s="108"/>
      <c r="EG54" s="108"/>
      <c r="EH54" s="108"/>
      <c r="EI54" s="108"/>
      <c r="EJ54" s="108"/>
      <c r="EK54" s="108"/>
      <c r="EL54" s="108"/>
      <c r="EM54" s="108"/>
      <c r="EN54" s="108"/>
      <c r="EO54" s="108"/>
      <c r="EP54" s="108"/>
      <c r="EQ54" s="108"/>
      <c r="ER54" s="108"/>
      <c r="ES54" s="108"/>
      <c r="ET54" s="108"/>
      <c r="EU54" s="108"/>
      <c r="EV54" s="108"/>
      <c r="EW54" s="108"/>
      <c r="EX54" s="108"/>
      <c r="EY54" s="108"/>
      <c r="EZ54" s="108"/>
      <c r="FA54" s="108"/>
      <c r="FB54" s="108"/>
      <c r="FC54" s="108"/>
      <c r="FD54" s="108"/>
      <c r="FE54" s="108"/>
      <c r="FF54" s="108"/>
      <c r="FG54" s="108"/>
      <c r="FH54" s="108"/>
      <c r="FI54" s="108"/>
      <c r="FJ54" s="108"/>
      <c r="FK54" s="108"/>
      <c r="FL54" s="108"/>
      <c r="FM54" s="108"/>
      <c r="FN54" s="108"/>
      <c r="FO54" s="108"/>
      <c r="FP54" s="108"/>
      <c r="FQ54" s="108"/>
      <c r="FR54" s="108"/>
      <c r="FS54" s="108"/>
      <c r="FT54" s="108"/>
      <c r="FU54" s="108"/>
      <c r="FV54" s="108"/>
      <c r="FW54" s="108"/>
      <c r="FX54" s="108"/>
      <c r="FY54" s="108"/>
      <c r="FZ54" s="108"/>
      <c r="GA54" s="108"/>
      <c r="GB54" s="108"/>
      <c r="GC54" s="108"/>
      <c r="GD54" s="108"/>
      <c r="GE54" s="108"/>
      <c r="GF54" s="108"/>
      <c r="GG54" s="108"/>
      <c r="GH54" s="108"/>
      <c r="GI54" s="108"/>
      <c r="GJ54" s="108"/>
      <c r="GK54" s="108"/>
      <c r="GL54" s="108"/>
      <c r="GM54" s="108"/>
      <c r="GN54" s="108"/>
      <c r="GO54" s="108"/>
      <c r="GP54" s="108"/>
      <c r="GQ54" s="108"/>
      <c r="GR54" s="108"/>
      <c r="GS54" s="108"/>
      <c r="GT54" s="108"/>
      <c r="GU54" s="108"/>
      <c r="GV54" s="108"/>
      <c r="GW54" s="108"/>
      <c r="GX54" s="108"/>
      <c r="GY54" s="108"/>
      <c r="GZ54" s="108"/>
      <c r="HA54" s="108"/>
      <c r="HB54" s="108"/>
      <c r="HC54" s="108"/>
      <c r="HD54" s="108"/>
      <c r="HE54" s="108"/>
      <c r="HF54" s="108"/>
      <c r="HG54" s="108"/>
      <c r="HH54" s="108"/>
      <c r="HI54" s="108"/>
      <c r="HJ54" s="108"/>
      <c r="HK54" s="108"/>
      <c r="HL54" s="108"/>
      <c r="HM54" s="108"/>
      <c r="HN54" s="108"/>
      <c r="HO54" s="108"/>
      <c r="HP54" s="108"/>
      <c r="HQ54" s="108"/>
      <c r="HR54" s="108"/>
      <c r="HS54" s="108"/>
      <c r="HT54" s="108"/>
      <c r="HU54" s="108"/>
      <c r="HV54" s="108"/>
      <c r="HW54" s="108"/>
      <c r="HX54" s="108"/>
      <c r="HY54" s="108"/>
      <c r="HZ54" s="108"/>
      <c r="IA54" s="108"/>
      <c r="IB54" s="108"/>
      <c r="IC54" s="108"/>
      <c r="ID54" s="108"/>
      <c r="IE54" s="108"/>
      <c r="IF54" s="108"/>
      <c r="IG54" s="108"/>
      <c r="IH54" s="108"/>
      <c r="II54" s="108"/>
      <c r="IJ54" s="108"/>
      <c r="IK54" s="108"/>
      <c r="IL54" s="108"/>
      <c r="IM54" s="108"/>
      <c r="IN54" s="108"/>
      <c r="IO54" s="108"/>
      <c r="IP54" s="108"/>
      <c r="IQ54" s="108"/>
      <c r="IR54" s="108"/>
      <c r="IS54" s="108"/>
      <c r="IT54" s="108"/>
      <c r="IU54" s="108"/>
      <c r="IV54" s="108"/>
      <c r="IW54" s="108"/>
    </row>
    <row r="55" customFormat="false" ht="12.75" hidden="false" customHeight="false" outlineLevel="0" collapsed="false">
      <c r="A55" s="137"/>
      <c r="B55" s="108"/>
      <c r="C55" s="108"/>
      <c r="D55" s="451"/>
      <c r="E55" s="451"/>
      <c r="F55" s="451"/>
      <c r="G55" s="451"/>
      <c r="H55" s="451"/>
      <c r="I55" s="451"/>
      <c r="J55" s="451"/>
      <c r="K55" s="451"/>
      <c r="L55" s="451"/>
      <c r="M55" s="451"/>
      <c r="N55" s="451"/>
      <c r="O55" s="451"/>
      <c r="P55" s="451"/>
      <c r="Q55" s="451"/>
      <c r="R55" s="451"/>
      <c r="S55" s="451"/>
      <c r="T55" s="451"/>
      <c r="U55" s="451"/>
      <c r="V55" s="451"/>
      <c r="W55" s="451"/>
      <c r="X55" s="451"/>
      <c r="Y55" s="451"/>
      <c r="Z55" s="451"/>
      <c r="AA55" s="451"/>
      <c r="AB55" s="451"/>
      <c r="AC55" s="451"/>
      <c r="AD55" s="451"/>
      <c r="AE55" s="451"/>
      <c r="AF55" s="451"/>
      <c r="AG55" s="451"/>
      <c r="AH55" s="451"/>
      <c r="AI55" s="108"/>
      <c r="AJ55" s="108"/>
      <c r="AK55" s="108"/>
      <c r="AL55" s="108"/>
      <c r="AM55" s="108"/>
      <c r="AN55" s="108"/>
      <c r="AO55" s="108"/>
      <c r="AP55" s="108"/>
      <c r="AQ55" s="108"/>
      <c r="AR55" s="108"/>
      <c r="AS55" s="108"/>
      <c r="AT55" s="108"/>
      <c r="AU55" s="108"/>
      <c r="AV55" s="108"/>
      <c r="AW55" s="108"/>
      <c r="AX55" s="108"/>
      <c r="AY55" s="108"/>
      <c r="AZ55" s="108"/>
      <c r="BA55" s="108"/>
      <c r="BB55" s="108"/>
      <c r="BC55" s="108"/>
      <c r="BD55" s="108"/>
      <c r="BE55" s="108"/>
      <c r="BF55" s="108"/>
      <c r="BG55" s="108"/>
      <c r="BH55" s="108"/>
      <c r="BI55" s="108"/>
      <c r="BJ55" s="108"/>
      <c r="BK55" s="108"/>
      <c r="BL55" s="108"/>
      <c r="BM55" s="108"/>
      <c r="BN55" s="108"/>
      <c r="BO55" s="108"/>
      <c r="BP55" s="108"/>
      <c r="BQ55" s="108"/>
      <c r="BR55" s="108"/>
      <c r="BS55" s="108"/>
      <c r="BT55" s="108"/>
      <c r="BU55" s="108"/>
      <c r="BV55" s="108"/>
      <c r="BW55" s="108"/>
      <c r="BX55" s="108"/>
      <c r="BY55" s="108"/>
      <c r="BZ55" s="108"/>
      <c r="CA55" s="108"/>
      <c r="CB55" s="108"/>
      <c r="CC55" s="108"/>
      <c r="CD55" s="108"/>
      <c r="CE55" s="108"/>
      <c r="CF55" s="108"/>
      <c r="CG55" s="108"/>
      <c r="CH55" s="108"/>
      <c r="CI55" s="108"/>
      <c r="CJ55" s="108"/>
      <c r="CK55" s="108"/>
      <c r="CL55" s="108"/>
      <c r="CM55" s="108"/>
      <c r="CN55" s="108"/>
      <c r="CO55" s="108"/>
      <c r="CP55" s="108"/>
      <c r="CQ55" s="108"/>
      <c r="CR55" s="108"/>
      <c r="CS55" s="108"/>
      <c r="CT55" s="108"/>
      <c r="CU55" s="108"/>
      <c r="CV55" s="108"/>
      <c r="CW55" s="108"/>
      <c r="CX55" s="108"/>
      <c r="CY55" s="108"/>
      <c r="CZ55" s="108"/>
      <c r="DA55" s="108"/>
      <c r="DB55" s="108"/>
      <c r="DC55" s="108"/>
      <c r="DD55" s="108"/>
      <c r="DE55" s="108"/>
      <c r="DF55" s="108"/>
      <c r="DG55" s="108"/>
      <c r="DH55" s="108"/>
      <c r="DI55" s="108"/>
      <c r="DJ55" s="108"/>
      <c r="DK55" s="108"/>
      <c r="DL55" s="108"/>
      <c r="DM55" s="108"/>
      <c r="DN55" s="108"/>
      <c r="DO55" s="108"/>
      <c r="DP55" s="108"/>
      <c r="DQ55" s="108"/>
      <c r="DR55" s="108"/>
      <c r="DS55" s="108"/>
      <c r="DT55" s="108"/>
      <c r="DU55" s="108"/>
      <c r="DV55" s="108"/>
      <c r="DW55" s="108"/>
      <c r="DX55" s="108"/>
      <c r="DY55" s="108"/>
      <c r="DZ55" s="108"/>
      <c r="EA55" s="108"/>
      <c r="EB55" s="108"/>
      <c r="EC55" s="108"/>
      <c r="ED55" s="108"/>
      <c r="EE55" s="108"/>
      <c r="EF55" s="108"/>
      <c r="EG55" s="108"/>
      <c r="EH55" s="108"/>
      <c r="EI55" s="108"/>
      <c r="EJ55" s="108"/>
      <c r="EK55" s="108"/>
      <c r="EL55" s="108"/>
      <c r="EM55" s="108"/>
      <c r="EN55" s="108"/>
      <c r="EO55" s="108"/>
      <c r="EP55" s="108"/>
      <c r="EQ55" s="108"/>
      <c r="ER55" s="108"/>
      <c r="ES55" s="108"/>
      <c r="ET55" s="108"/>
      <c r="EU55" s="108"/>
      <c r="EV55" s="108"/>
      <c r="EW55" s="108"/>
      <c r="EX55" s="108"/>
      <c r="EY55" s="108"/>
      <c r="EZ55" s="108"/>
      <c r="FA55" s="108"/>
      <c r="FB55" s="108"/>
      <c r="FC55" s="108"/>
      <c r="FD55" s="108"/>
      <c r="FE55" s="108"/>
      <c r="FF55" s="108"/>
      <c r="FG55" s="108"/>
      <c r="FH55" s="108"/>
      <c r="FI55" s="108"/>
      <c r="FJ55" s="108"/>
      <c r="FK55" s="108"/>
      <c r="FL55" s="108"/>
      <c r="FM55" s="108"/>
      <c r="FN55" s="108"/>
      <c r="FO55" s="108"/>
      <c r="FP55" s="108"/>
      <c r="FQ55" s="108"/>
      <c r="FR55" s="108"/>
      <c r="FS55" s="108"/>
      <c r="FT55" s="108"/>
      <c r="FU55" s="108"/>
      <c r="FV55" s="108"/>
      <c r="FW55" s="108"/>
      <c r="FX55" s="108"/>
      <c r="FY55" s="108"/>
      <c r="FZ55" s="108"/>
      <c r="GA55" s="108"/>
      <c r="GB55" s="108"/>
      <c r="GC55" s="108"/>
      <c r="GD55" s="108"/>
      <c r="GE55" s="108"/>
      <c r="GF55" s="108"/>
      <c r="GG55" s="108"/>
      <c r="GH55" s="108"/>
      <c r="GI55" s="108"/>
      <c r="GJ55" s="108"/>
      <c r="GK55" s="108"/>
      <c r="GL55" s="108"/>
      <c r="GM55" s="108"/>
      <c r="GN55" s="108"/>
      <c r="GO55" s="108"/>
      <c r="GP55" s="108"/>
      <c r="GQ55" s="108"/>
      <c r="GR55" s="108"/>
      <c r="GS55" s="108"/>
      <c r="GT55" s="108"/>
      <c r="GU55" s="108"/>
      <c r="GV55" s="108"/>
      <c r="GW55" s="108"/>
      <c r="GX55" s="108"/>
      <c r="GY55" s="108"/>
      <c r="GZ55" s="108"/>
      <c r="HA55" s="108"/>
      <c r="HB55" s="108"/>
      <c r="HC55" s="108"/>
      <c r="HD55" s="108"/>
      <c r="HE55" s="108"/>
      <c r="HF55" s="108"/>
      <c r="HG55" s="108"/>
      <c r="HH55" s="108"/>
      <c r="HI55" s="108"/>
      <c r="HJ55" s="108"/>
      <c r="HK55" s="108"/>
      <c r="HL55" s="108"/>
      <c r="HM55" s="108"/>
      <c r="HN55" s="108"/>
      <c r="HO55" s="108"/>
      <c r="HP55" s="108"/>
      <c r="HQ55" s="108"/>
      <c r="HR55" s="108"/>
      <c r="HS55" s="108"/>
      <c r="HT55" s="108"/>
      <c r="HU55" s="108"/>
      <c r="HV55" s="108"/>
      <c r="HW55" s="108"/>
      <c r="HX55" s="108"/>
      <c r="HY55" s="108"/>
      <c r="HZ55" s="108"/>
      <c r="IA55" s="108"/>
      <c r="IB55" s="108"/>
      <c r="IC55" s="108"/>
      <c r="ID55" s="108"/>
      <c r="IE55" s="108"/>
      <c r="IF55" s="108"/>
      <c r="IG55" s="108"/>
      <c r="IH55" s="108"/>
      <c r="II55" s="108"/>
      <c r="IJ55" s="108"/>
      <c r="IK55" s="108"/>
      <c r="IL55" s="108"/>
      <c r="IM55" s="108"/>
      <c r="IN55" s="108"/>
      <c r="IO55" s="108"/>
      <c r="IP55" s="108"/>
      <c r="IQ55" s="108"/>
      <c r="IR55" s="108"/>
      <c r="IS55" s="108"/>
      <c r="IT55" s="108"/>
      <c r="IU55" s="108"/>
      <c r="IV55" s="108"/>
      <c r="IW55" s="108"/>
    </row>
    <row r="56" customFormat="false" ht="12.75" hidden="false" customHeight="false" outlineLevel="0" collapsed="false">
      <c r="A56" s="1029"/>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c r="IV56" s="17"/>
      <c r="IW56" s="17"/>
    </row>
    <row r="58" customFormat="false" ht="12.75" hidden="false" customHeight="false" outlineLevel="0" collapsed="false">
      <c r="B58" s="15" t="s">
        <v>705</v>
      </c>
    </row>
    <row r="60" customFormat="false" ht="12.75" hidden="false" customHeight="false" outlineLevel="0" collapsed="false">
      <c r="A60" s="437"/>
      <c r="B60" s="266" t="s">
        <v>688</v>
      </c>
      <c r="C60" s="267"/>
      <c r="D60" s="267" t="n">
        <v>0</v>
      </c>
      <c r="E60" s="267" t="n">
        <f aca="false">D76</f>
        <v>19331.813945145</v>
      </c>
      <c r="F60" s="267" t="n">
        <f aca="false">E76</f>
        <v>7762.29440874407</v>
      </c>
      <c r="G60" s="267" t="n">
        <f aca="false">F76</f>
        <v>953.384524400176</v>
      </c>
      <c r="H60" s="267" t="n">
        <f aca="false">G76</f>
        <v>-2976.20354182176</v>
      </c>
      <c r="I60" s="267" t="n">
        <f aca="false">H76</f>
        <v>-6862.62431906961</v>
      </c>
      <c r="J60" s="267" t="n">
        <f aca="false">I76</f>
        <v>-8574.33882478007</v>
      </c>
      <c r="K60" s="267" t="n">
        <f aca="false">J76</f>
        <v>-8116.48345932907</v>
      </c>
      <c r="L60" s="267" t="n">
        <f aca="false">K76</f>
        <v>-7606.80733418058</v>
      </c>
      <c r="M60" s="267" t="n">
        <f aca="false">L76</f>
        <v>-7043.41533334514</v>
      </c>
      <c r="N60" s="267" t="n">
        <f aca="false">M76</f>
        <v>-6421.3434421065</v>
      </c>
      <c r="O60" s="267" t="n">
        <f aca="false">N76</f>
        <v>-5704.3894180873</v>
      </c>
      <c r="P60" s="267" t="n">
        <f aca="false">O76</f>
        <v>-4912.18478284193</v>
      </c>
      <c r="Q60" s="267" t="n">
        <f aca="false">P76</f>
        <v>-4040.25807966234</v>
      </c>
      <c r="R60" s="267" t="n">
        <f aca="false">Q76</f>
        <v>-3081.54216800579</v>
      </c>
      <c r="S60" s="267" t="n">
        <f aca="false">R76</f>
        <v>-2029.46473154099</v>
      </c>
      <c r="T60" s="267" t="n">
        <f aca="false">S76</f>
        <v>-873.505354522756</v>
      </c>
      <c r="U60" s="267" t="n">
        <f aca="false">T76</f>
        <v>314.137719784952</v>
      </c>
      <c r="V60" s="267" t="n">
        <f aca="false">U76</f>
        <v>275.258479856637</v>
      </c>
      <c r="W60" s="267" t="n">
        <f aca="false">V76</f>
        <v>236.379239928322</v>
      </c>
      <c r="X60" s="267" t="n">
        <f aca="false">W76</f>
        <v>0</v>
      </c>
      <c r="Y60" s="267" t="n">
        <f aca="false">X76</f>
        <v>0</v>
      </c>
      <c r="Z60" s="267" t="n">
        <f aca="false">Y76</f>
        <v>0</v>
      </c>
      <c r="AA60" s="267" t="n">
        <f aca="false">Z76</f>
        <v>0</v>
      </c>
      <c r="AB60" s="267" t="n">
        <f aca="false">AA76</f>
        <v>0</v>
      </c>
      <c r="AC60" s="267" t="n">
        <f aca="false">AB76</f>
        <v>0</v>
      </c>
      <c r="AD60" s="267" t="n">
        <f aca="false">AC76</f>
        <v>0</v>
      </c>
      <c r="AE60" s="267" t="n">
        <f aca="false">AD76</f>
        <v>0</v>
      </c>
      <c r="AF60" s="267" t="n">
        <f aca="false">AE76</f>
        <v>0</v>
      </c>
      <c r="AG60" s="267" t="n">
        <f aca="false">AF76</f>
        <v>0</v>
      </c>
      <c r="AH60" s="268" t="n">
        <f aca="false">AG76</f>
        <v>0</v>
      </c>
      <c r="AI60" s="313"/>
      <c r="AJ60" s="313"/>
      <c r="AK60" s="313"/>
      <c r="AL60" s="313"/>
      <c r="AM60" s="313"/>
      <c r="AN60" s="313"/>
      <c r="AO60" s="313"/>
      <c r="AP60" s="313"/>
      <c r="AQ60" s="313"/>
      <c r="AR60" s="313"/>
      <c r="AS60" s="313"/>
      <c r="AT60" s="313"/>
      <c r="AU60" s="313"/>
      <c r="AV60" s="313"/>
      <c r="AW60" s="313"/>
      <c r="AX60" s="313"/>
      <c r="AY60" s="313"/>
      <c r="AZ60" s="313"/>
      <c r="BA60" s="313"/>
      <c r="BB60" s="313"/>
      <c r="BC60" s="313"/>
      <c r="BD60" s="313"/>
      <c r="BE60" s="313"/>
      <c r="BF60" s="313"/>
      <c r="BG60" s="313"/>
      <c r="BH60" s="313"/>
      <c r="BI60" s="313"/>
      <c r="BJ60" s="313"/>
      <c r="BK60" s="313"/>
      <c r="BL60" s="313"/>
      <c r="BM60" s="313"/>
      <c r="BN60" s="313"/>
      <c r="BO60" s="313"/>
      <c r="BP60" s="313"/>
      <c r="BQ60" s="313"/>
      <c r="BR60" s="313"/>
      <c r="BS60" s="313"/>
      <c r="BT60" s="313"/>
      <c r="BU60" s="313"/>
      <c r="BV60" s="313"/>
      <c r="BW60" s="313"/>
      <c r="BX60" s="313"/>
      <c r="BY60" s="313"/>
      <c r="BZ60" s="313"/>
      <c r="CA60" s="313"/>
      <c r="CB60" s="313"/>
      <c r="CC60" s="313"/>
      <c r="CD60" s="313"/>
      <c r="CE60" s="313"/>
      <c r="CF60" s="313"/>
      <c r="CG60" s="313"/>
      <c r="CH60" s="313"/>
      <c r="CI60" s="313"/>
      <c r="CJ60" s="313"/>
      <c r="CK60" s="313"/>
      <c r="CL60" s="313"/>
      <c r="CM60" s="313"/>
      <c r="CN60" s="313"/>
      <c r="CO60" s="313"/>
      <c r="CP60" s="313"/>
      <c r="CQ60" s="313"/>
      <c r="CR60" s="313"/>
      <c r="CS60" s="313"/>
      <c r="CT60" s="313"/>
      <c r="CU60" s="313"/>
      <c r="CV60" s="313"/>
      <c r="CW60" s="313"/>
      <c r="CX60" s="313"/>
      <c r="CY60" s="313"/>
      <c r="CZ60" s="313"/>
      <c r="DA60" s="313"/>
      <c r="DB60" s="313"/>
      <c r="DC60" s="313"/>
      <c r="DD60" s="313"/>
      <c r="DE60" s="313"/>
      <c r="DF60" s="313"/>
      <c r="DG60" s="313"/>
      <c r="DH60" s="313"/>
      <c r="DI60" s="313"/>
      <c r="DJ60" s="313"/>
      <c r="DK60" s="313"/>
      <c r="DL60" s="313"/>
      <c r="DM60" s="313"/>
      <c r="DN60" s="313"/>
      <c r="DO60" s="313"/>
      <c r="DP60" s="313"/>
      <c r="DQ60" s="313"/>
      <c r="DR60" s="313"/>
      <c r="DS60" s="313"/>
      <c r="DT60" s="313"/>
      <c r="DU60" s="313"/>
      <c r="DV60" s="313"/>
      <c r="DW60" s="313"/>
      <c r="DX60" s="313"/>
      <c r="DY60" s="313"/>
      <c r="DZ60" s="313"/>
      <c r="EA60" s="313"/>
      <c r="EB60" s="313"/>
      <c r="EC60" s="313"/>
      <c r="ED60" s="313"/>
      <c r="EE60" s="313"/>
      <c r="EF60" s="313"/>
      <c r="EG60" s="313"/>
      <c r="EH60" s="313"/>
      <c r="EI60" s="313"/>
      <c r="EJ60" s="313"/>
      <c r="EK60" s="313"/>
      <c r="EL60" s="313"/>
      <c r="EM60" s="313"/>
      <c r="EN60" s="313"/>
      <c r="EO60" s="313"/>
      <c r="EP60" s="313"/>
      <c r="EQ60" s="313"/>
      <c r="ER60" s="313"/>
      <c r="ES60" s="313"/>
      <c r="ET60" s="313"/>
      <c r="EU60" s="313"/>
      <c r="EV60" s="313"/>
      <c r="EW60" s="313"/>
      <c r="EX60" s="313"/>
      <c r="EY60" s="313"/>
      <c r="EZ60" s="313"/>
      <c r="FA60" s="313"/>
      <c r="FB60" s="313"/>
      <c r="FC60" s="313"/>
      <c r="FD60" s="313"/>
      <c r="FE60" s="313"/>
      <c r="FF60" s="313"/>
      <c r="FG60" s="313"/>
      <c r="FH60" s="313"/>
      <c r="FI60" s="313"/>
      <c r="FJ60" s="313"/>
      <c r="FK60" s="313"/>
      <c r="FL60" s="313"/>
      <c r="FM60" s="313"/>
      <c r="FN60" s="313"/>
      <c r="FO60" s="313"/>
      <c r="FP60" s="313"/>
      <c r="FQ60" s="313"/>
      <c r="FR60" s="313"/>
      <c r="FS60" s="313"/>
      <c r="FT60" s="313"/>
      <c r="FU60" s="313"/>
      <c r="FV60" s="313"/>
      <c r="FW60" s="313"/>
      <c r="FX60" s="313"/>
      <c r="FY60" s="313"/>
      <c r="FZ60" s="313"/>
      <c r="GA60" s="313"/>
      <c r="GB60" s="313"/>
      <c r="GC60" s="313"/>
      <c r="GD60" s="313"/>
      <c r="GE60" s="313"/>
      <c r="GF60" s="313"/>
      <c r="GG60" s="313"/>
      <c r="GH60" s="313"/>
      <c r="GI60" s="313"/>
      <c r="GJ60" s="313"/>
      <c r="GK60" s="313"/>
      <c r="GL60" s="313"/>
      <c r="GM60" s="313"/>
      <c r="GN60" s="313"/>
      <c r="GO60" s="313"/>
      <c r="GP60" s="313"/>
      <c r="GQ60" s="313"/>
      <c r="GR60" s="313"/>
      <c r="GS60" s="313"/>
      <c r="GT60" s="313"/>
      <c r="GU60" s="313"/>
      <c r="GV60" s="313"/>
      <c r="GW60" s="313"/>
      <c r="GX60" s="313"/>
      <c r="GY60" s="313"/>
      <c r="GZ60" s="313"/>
      <c r="HA60" s="313"/>
      <c r="HB60" s="313"/>
      <c r="HC60" s="313"/>
      <c r="HD60" s="313"/>
      <c r="HE60" s="313"/>
      <c r="HF60" s="313"/>
      <c r="HG60" s="313"/>
      <c r="HH60" s="313"/>
      <c r="HI60" s="313"/>
      <c r="HJ60" s="313"/>
      <c r="HK60" s="313"/>
      <c r="HL60" s="313"/>
      <c r="HM60" s="313"/>
      <c r="HN60" s="313"/>
      <c r="HO60" s="313"/>
      <c r="HP60" s="313"/>
      <c r="HQ60" s="313"/>
      <c r="HR60" s="313"/>
      <c r="HS60" s="313"/>
      <c r="HT60" s="313"/>
      <c r="HU60" s="313"/>
      <c r="HV60" s="313"/>
      <c r="HW60" s="313"/>
      <c r="HX60" s="313"/>
      <c r="HY60" s="313"/>
      <c r="HZ60" s="313"/>
      <c r="IA60" s="313"/>
      <c r="IB60" s="313"/>
      <c r="IC60" s="313"/>
      <c r="ID60" s="313"/>
      <c r="IE60" s="313"/>
      <c r="IF60" s="313"/>
      <c r="IG60" s="313"/>
      <c r="IH60" s="313"/>
      <c r="II60" s="313"/>
      <c r="IJ60" s="313"/>
      <c r="IK60" s="313"/>
      <c r="IL60" s="313"/>
      <c r="IM60" s="313"/>
      <c r="IN60" s="313"/>
      <c r="IO60" s="313"/>
      <c r="IP60" s="313"/>
      <c r="IQ60" s="313"/>
      <c r="IR60" s="313"/>
      <c r="IS60" s="313"/>
      <c r="IT60" s="313"/>
      <c r="IU60" s="313"/>
      <c r="IV60" s="313"/>
      <c r="IW60" s="313"/>
    </row>
    <row r="61" customFormat="false" ht="12.75" hidden="false" customHeight="false" outlineLevel="0" collapsed="false">
      <c r="A61" s="736"/>
      <c r="B61" s="1115" t="s">
        <v>689</v>
      </c>
      <c r="C61" s="100"/>
      <c r="D61" s="100" t="n">
        <f aca="false">Srcs_Uses!E6+Srcs_Uses!E7</f>
        <v>26495.8086355692</v>
      </c>
      <c r="E61" s="100"/>
      <c r="F61" s="100"/>
      <c r="G61" s="100"/>
      <c r="H61" s="100"/>
      <c r="I61" s="100"/>
      <c r="J61" s="100"/>
      <c r="K61" s="100"/>
      <c r="L61" s="100"/>
      <c r="M61" s="100"/>
      <c r="N61" s="100"/>
      <c r="O61" s="100"/>
      <c r="P61" s="100"/>
      <c r="Q61" s="100"/>
      <c r="R61" s="100"/>
      <c r="S61" s="100"/>
      <c r="T61" s="100"/>
      <c r="U61" s="100"/>
      <c r="V61" s="100"/>
      <c r="W61" s="100"/>
      <c r="X61" s="100"/>
      <c r="Y61" s="100"/>
      <c r="Z61" s="100"/>
      <c r="AA61" s="100"/>
      <c r="AB61" s="100"/>
      <c r="AC61" s="100"/>
      <c r="AD61" s="100"/>
      <c r="AE61" s="100"/>
      <c r="AF61" s="100"/>
      <c r="AG61" s="100"/>
      <c r="AH61" s="1088"/>
      <c r="AI61" s="100"/>
      <c r="AJ61" s="100"/>
      <c r="AK61" s="100"/>
      <c r="AL61" s="100"/>
      <c r="AM61" s="100"/>
      <c r="AN61" s="100"/>
      <c r="AO61" s="100"/>
      <c r="AP61" s="100"/>
      <c r="AQ61" s="100"/>
      <c r="AR61" s="100"/>
      <c r="AS61" s="100"/>
      <c r="AT61" s="100"/>
      <c r="AU61" s="100"/>
      <c r="AV61" s="100"/>
      <c r="AW61" s="100"/>
      <c r="AX61" s="100"/>
      <c r="AY61" s="100"/>
      <c r="AZ61" s="100"/>
      <c r="BA61" s="100"/>
      <c r="BB61" s="100"/>
      <c r="BC61" s="100"/>
      <c r="BD61" s="100"/>
      <c r="BE61" s="100"/>
      <c r="BF61" s="100"/>
      <c r="BG61" s="100"/>
      <c r="BH61" s="100"/>
      <c r="BI61" s="100"/>
      <c r="BJ61" s="100"/>
      <c r="BK61" s="100"/>
      <c r="BL61" s="100"/>
      <c r="BM61" s="100"/>
      <c r="BN61" s="100"/>
      <c r="BO61" s="100"/>
      <c r="BP61" s="100"/>
      <c r="BQ61" s="100"/>
      <c r="BR61" s="100"/>
      <c r="BS61" s="100"/>
      <c r="BT61" s="100"/>
      <c r="BU61" s="100"/>
      <c r="BV61" s="100"/>
      <c r="BW61" s="100"/>
      <c r="BX61" s="100"/>
      <c r="BY61" s="100"/>
      <c r="BZ61" s="100"/>
      <c r="CA61" s="100"/>
      <c r="CB61" s="100"/>
      <c r="CC61" s="100"/>
      <c r="CD61" s="100"/>
      <c r="CE61" s="100"/>
      <c r="CF61" s="100"/>
      <c r="CG61" s="100"/>
      <c r="CH61" s="100"/>
      <c r="CI61" s="100"/>
      <c r="CJ61" s="100"/>
      <c r="CK61" s="100"/>
      <c r="CL61" s="100"/>
      <c r="CM61" s="100"/>
      <c r="CN61" s="100"/>
      <c r="CO61" s="100"/>
      <c r="CP61" s="100"/>
      <c r="CQ61" s="100"/>
      <c r="CR61" s="100"/>
      <c r="CS61" s="100"/>
      <c r="CT61" s="100"/>
      <c r="CU61" s="100"/>
      <c r="CV61" s="100"/>
      <c r="CW61" s="100"/>
      <c r="CX61" s="100"/>
      <c r="CY61" s="100"/>
      <c r="CZ61" s="100"/>
      <c r="DA61" s="100"/>
      <c r="DB61" s="100"/>
      <c r="DC61" s="100"/>
      <c r="DD61" s="100"/>
      <c r="DE61" s="100"/>
      <c r="DF61" s="100"/>
      <c r="DG61" s="100"/>
      <c r="DH61" s="100"/>
      <c r="DI61" s="100"/>
      <c r="DJ61" s="100"/>
      <c r="DK61" s="100"/>
      <c r="DL61" s="100"/>
      <c r="DM61" s="100"/>
      <c r="DN61" s="100"/>
      <c r="DO61" s="100"/>
      <c r="DP61" s="100"/>
      <c r="DQ61" s="100"/>
      <c r="DR61" s="100"/>
      <c r="DS61" s="100"/>
      <c r="DT61" s="100"/>
      <c r="DU61" s="100"/>
      <c r="DV61" s="100"/>
      <c r="DW61" s="100"/>
      <c r="DX61" s="100"/>
      <c r="DY61" s="100"/>
      <c r="DZ61" s="100"/>
      <c r="EA61" s="100"/>
      <c r="EB61" s="100"/>
      <c r="EC61" s="100"/>
      <c r="ED61" s="100"/>
      <c r="EE61" s="100"/>
      <c r="EF61" s="100"/>
      <c r="EG61" s="100"/>
      <c r="EH61" s="100"/>
      <c r="EI61" s="100"/>
      <c r="EJ61" s="100"/>
      <c r="EK61" s="100"/>
      <c r="EL61" s="100"/>
      <c r="EM61" s="100"/>
      <c r="EN61" s="100"/>
      <c r="EO61" s="100"/>
      <c r="EP61" s="100"/>
      <c r="EQ61" s="100"/>
      <c r="ER61" s="100"/>
      <c r="ES61" s="100"/>
      <c r="ET61" s="100"/>
      <c r="EU61" s="100"/>
      <c r="EV61" s="100"/>
      <c r="EW61" s="100"/>
      <c r="EX61" s="100"/>
      <c r="EY61" s="100"/>
      <c r="EZ61" s="100"/>
      <c r="FA61" s="100"/>
      <c r="FB61" s="100"/>
      <c r="FC61" s="100"/>
      <c r="FD61" s="100"/>
      <c r="FE61" s="100"/>
      <c r="FF61" s="100"/>
      <c r="FG61" s="100"/>
      <c r="FH61" s="100"/>
      <c r="FI61" s="100"/>
      <c r="FJ61" s="100"/>
      <c r="FK61" s="100"/>
      <c r="FL61" s="100"/>
      <c r="FM61" s="100"/>
      <c r="FN61" s="100"/>
      <c r="FO61" s="100"/>
      <c r="FP61" s="100"/>
      <c r="FQ61" s="100"/>
      <c r="FR61" s="100"/>
      <c r="FS61" s="100"/>
      <c r="FT61" s="100"/>
      <c r="FU61" s="100"/>
      <c r="FV61" s="100"/>
      <c r="FW61" s="100"/>
      <c r="FX61" s="100"/>
      <c r="FY61" s="100"/>
      <c r="FZ61" s="100"/>
      <c r="GA61" s="100"/>
      <c r="GB61" s="100"/>
      <c r="GC61" s="100"/>
      <c r="GD61" s="100"/>
      <c r="GE61" s="100"/>
      <c r="GF61" s="100"/>
      <c r="GG61" s="100"/>
      <c r="GH61" s="100"/>
      <c r="GI61" s="100"/>
      <c r="GJ61" s="100"/>
      <c r="GK61" s="100"/>
      <c r="GL61" s="100"/>
      <c r="GM61" s="100"/>
      <c r="GN61" s="100"/>
      <c r="GO61" s="100"/>
      <c r="GP61" s="100"/>
      <c r="GQ61" s="100"/>
      <c r="GR61" s="100"/>
      <c r="GS61" s="100"/>
      <c r="GT61" s="100"/>
      <c r="GU61" s="100"/>
      <c r="GV61" s="100"/>
      <c r="GW61" s="100"/>
      <c r="GX61" s="100"/>
      <c r="GY61" s="100"/>
      <c r="GZ61" s="100"/>
      <c r="HA61" s="100"/>
      <c r="HB61" s="100"/>
      <c r="HC61" s="100"/>
      <c r="HD61" s="100"/>
      <c r="HE61" s="100"/>
      <c r="HF61" s="100"/>
      <c r="HG61" s="100"/>
      <c r="HH61" s="100"/>
      <c r="HI61" s="100"/>
      <c r="HJ61" s="100"/>
      <c r="HK61" s="100"/>
      <c r="HL61" s="100"/>
      <c r="HM61" s="100"/>
      <c r="HN61" s="100"/>
      <c r="HO61" s="100"/>
      <c r="HP61" s="100"/>
      <c r="HQ61" s="100"/>
      <c r="HR61" s="100"/>
      <c r="HS61" s="100"/>
      <c r="HT61" s="100"/>
      <c r="HU61" s="100"/>
      <c r="HV61" s="100"/>
      <c r="HW61" s="100"/>
      <c r="HX61" s="100"/>
      <c r="HY61" s="100"/>
      <c r="HZ61" s="100"/>
      <c r="IA61" s="100"/>
      <c r="IB61" s="100"/>
      <c r="IC61" s="100"/>
      <c r="ID61" s="100"/>
      <c r="IE61" s="100"/>
      <c r="IF61" s="100"/>
      <c r="IG61" s="100"/>
      <c r="IH61" s="100"/>
      <c r="II61" s="100"/>
      <c r="IJ61" s="100"/>
      <c r="IK61" s="100"/>
      <c r="IL61" s="100"/>
      <c r="IM61" s="100"/>
      <c r="IN61" s="100"/>
      <c r="IO61" s="100"/>
      <c r="IP61" s="100"/>
      <c r="IQ61" s="100"/>
      <c r="IR61" s="100"/>
      <c r="IS61" s="100"/>
      <c r="IT61" s="100"/>
      <c r="IU61" s="100"/>
      <c r="IV61" s="100"/>
      <c r="IW61" s="100"/>
    </row>
    <row r="62" customFormat="false" ht="12.75" hidden="false" customHeight="false" outlineLevel="0" collapsed="false">
      <c r="A62" s="736"/>
      <c r="B62" s="1089" t="s">
        <v>551</v>
      </c>
      <c r="C62" s="100"/>
      <c r="D62" s="100" t="n">
        <f aca="false">SUM(CashFlow!E42:E43)</f>
        <v>0</v>
      </c>
      <c r="E62" s="100" t="n">
        <f aca="false">SUM(CashFlow!F42:F43)</f>
        <v>0</v>
      </c>
      <c r="F62" s="100" t="n">
        <f aca="false">SUM(CashFlow!G42:G43)</f>
        <v>0</v>
      </c>
      <c r="G62" s="100" t="n">
        <f aca="false">SUM(CashFlow!H42:H43)</f>
        <v>0</v>
      </c>
      <c r="H62" s="100" t="n">
        <f aca="false">SUM(CashFlow!I42:I43)</f>
        <v>0</v>
      </c>
      <c r="I62" s="100" t="n">
        <f aca="false">SUM(CashFlow!J42:J43)</f>
        <v>0</v>
      </c>
      <c r="J62" s="100" t="n">
        <f aca="false">SUM(CashFlow!K42:K43)</f>
        <v>0</v>
      </c>
      <c r="K62" s="100" t="n">
        <f aca="false">SUM(CashFlow!L42:L43)</f>
        <v>0</v>
      </c>
      <c r="L62" s="100" t="n">
        <f aca="false">SUM(CashFlow!M42:M43)</f>
        <v>0</v>
      </c>
      <c r="M62" s="100" t="n">
        <f aca="false">SUM(CashFlow!N42:N43)</f>
        <v>0</v>
      </c>
      <c r="N62" s="100" t="n">
        <f aca="false">SUM(CashFlow!O42:O43)</f>
        <v>0</v>
      </c>
      <c r="O62" s="100" t="n">
        <f aca="false">SUM(CashFlow!P42:P43)</f>
        <v>0</v>
      </c>
      <c r="P62" s="100" t="n">
        <f aca="false">SUM(CashFlow!Q42:Q43)</f>
        <v>0</v>
      </c>
      <c r="Q62" s="100" t="n">
        <f aca="false">SUM(CashFlow!R42:R43)</f>
        <v>0</v>
      </c>
      <c r="R62" s="100" t="n">
        <f aca="false">SUM(CashFlow!S42:S43)</f>
        <v>0</v>
      </c>
      <c r="S62" s="100" t="n">
        <f aca="false">SUM(CashFlow!T42:T43)</f>
        <v>0</v>
      </c>
      <c r="T62" s="100" t="n">
        <f aca="false">SUM(CashFlow!U42:U43)</f>
        <v>0</v>
      </c>
      <c r="U62" s="100" t="n">
        <f aca="false">SUM(CashFlow!V42:V43)</f>
        <v>0</v>
      </c>
      <c r="V62" s="100" t="n">
        <f aca="false">SUM(CashFlow!W42:W43)</f>
        <v>0</v>
      </c>
      <c r="W62" s="100" t="n">
        <f aca="false">SUM(CashFlow!X42:X43)</f>
        <v>0</v>
      </c>
      <c r="X62" s="100" t="n">
        <f aca="false">SUM(CashFlow!Y42:Y43)</f>
        <v>0</v>
      </c>
      <c r="Y62" s="100" t="n">
        <f aca="false">SUM(CashFlow!Z42:Z43)</f>
        <v>0</v>
      </c>
      <c r="Z62" s="100" t="n">
        <f aca="false">SUM(CashFlow!AA42:AA43)</f>
        <v>0</v>
      </c>
      <c r="AA62" s="100" t="n">
        <f aca="false">SUM(CashFlow!AB42:AB43)</f>
        <v>0</v>
      </c>
      <c r="AB62" s="100" t="n">
        <f aca="false">SUM(CashFlow!AC42:AC43)</f>
        <v>0</v>
      </c>
      <c r="AC62" s="100" t="n">
        <f aca="false">SUM(CashFlow!AD42:AD43)</f>
        <v>0</v>
      </c>
      <c r="AD62" s="100" t="n">
        <f aca="false">SUM(CashFlow!AE42:AE43)</f>
        <v>0</v>
      </c>
      <c r="AE62" s="100" t="n">
        <f aca="false">SUM(CashFlow!AF42:AF43)</f>
        <v>0</v>
      </c>
      <c r="AF62" s="100" t="n">
        <f aca="false">SUM(CashFlow!AG42:AG43)</f>
        <v>0</v>
      </c>
      <c r="AG62" s="100" t="n">
        <f aca="false">SUM(CashFlow!AH42:AH43)</f>
        <v>0</v>
      </c>
      <c r="AH62" s="100" t="n">
        <f aca="false">SUM(CashFlow!AI42:AI43)</f>
        <v>0</v>
      </c>
      <c r="AI62" s="100"/>
      <c r="AJ62" s="100"/>
      <c r="AK62" s="100"/>
      <c r="AL62" s="100"/>
      <c r="AM62" s="100"/>
      <c r="AN62" s="100"/>
      <c r="AO62" s="100"/>
      <c r="AP62" s="100"/>
      <c r="AQ62" s="100"/>
      <c r="AR62" s="100"/>
      <c r="AS62" s="100"/>
      <c r="AT62" s="100"/>
      <c r="AU62" s="100"/>
      <c r="AV62" s="100"/>
      <c r="AW62" s="100"/>
      <c r="AX62" s="100"/>
      <c r="AY62" s="100"/>
      <c r="AZ62" s="100"/>
      <c r="BA62" s="100"/>
      <c r="BB62" s="100"/>
      <c r="BC62" s="100"/>
      <c r="BD62" s="100"/>
      <c r="BE62" s="100"/>
      <c r="BF62" s="100"/>
      <c r="BG62" s="100"/>
      <c r="BH62" s="100"/>
      <c r="BI62" s="100"/>
      <c r="BJ62" s="100"/>
      <c r="BK62" s="100"/>
      <c r="BL62" s="100"/>
      <c r="BM62" s="100"/>
      <c r="BN62" s="100"/>
      <c r="BO62" s="100"/>
      <c r="BP62" s="100"/>
      <c r="BQ62" s="100"/>
      <c r="BR62" s="100"/>
      <c r="BS62" s="100"/>
      <c r="BT62" s="100"/>
      <c r="BU62" s="100"/>
      <c r="BV62" s="100"/>
      <c r="BW62" s="100"/>
      <c r="BX62" s="100"/>
      <c r="BY62" s="100"/>
      <c r="BZ62" s="100"/>
      <c r="CA62" s="100"/>
      <c r="CB62" s="100"/>
      <c r="CC62" s="100"/>
      <c r="CD62" s="100"/>
      <c r="CE62" s="100"/>
      <c r="CF62" s="100"/>
      <c r="CG62" s="100"/>
      <c r="CH62" s="100"/>
      <c r="CI62" s="100"/>
      <c r="CJ62" s="100"/>
      <c r="CK62" s="100"/>
      <c r="CL62" s="100"/>
      <c r="CM62" s="100"/>
      <c r="CN62" s="100"/>
      <c r="CO62" s="100"/>
      <c r="CP62" s="100"/>
      <c r="CQ62" s="100"/>
      <c r="CR62" s="100"/>
      <c r="CS62" s="100"/>
      <c r="CT62" s="100"/>
      <c r="CU62" s="100"/>
      <c r="CV62" s="100"/>
      <c r="CW62" s="100"/>
      <c r="CX62" s="100"/>
      <c r="CY62" s="100"/>
      <c r="CZ62" s="100"/>
      <c r="DA62" s="100"/>
      <c r="DB62" s="100"/>
      <c r="DC62" s="100"/>
      <c r="DD62" s="100"/>
      <c r="DE62" s="100"/>
      <c r="DF62" s="100"/>
      <c r="DG62" s="100"/>
      <c r="DH62" s="100"/>
      <c r="DI62" s="100"/>
      <c r="DJ62" s="100"/>
      <c r="DK62" s="100"/>
      <c r="DL62" s="100"/>
      <c r="DM62" s="100"/>
      <c r="DN62" s="100"/>
      <c r="DO62" s="100"/>
      <c r="DP62" s="100"/>
      <c r="DQ62" s="100"/>
      <c r="DR62" s="100"/>
      <c r="DS62" s="100"/>
      <c r="DT62" s="100"/>
      <c r="DU62" s="100"/>
      <c r="DV62" s="100"/>
      <c r="DW62" s="100"/>
      <c r="DX62" s="100"/>
      <c r="DY62" s="100"/>
      <c r="DZ62" s="100"/>
      <c r="EA62" s="100"/>
      <c r="EB62" s="100"/>
      <c r="EC62" s="100"/>
      <c r="ED62" s="100"/>
      <c r="EE62" s="100"/>
      <c r="EF62" s="100"/>
      <c r="EG62" s="100"/>
      <c r="EH62" s="100"/>
      <c r="EI62" s="100"/>
      <c r="EJ62" s="100"/>
      <c r="EK62" s="100"/>
      <c r="EL62" s="100"/>
      <c r="EM62" s="100"/>
      <c r="EN62" s="100"/>
      <c r="EO62" s="100"/>
      <c r="EP62" s="100"/>
      <c r="EQ62" s="100"/>
      <c r="ER62" s="100"/>
      <c r="ES62" s="100"/>
      <c r="ET62" s="100"/>
      <c r="EU62" s="100"/>
      <c r="EV62" s="100"/>
      <c r="EW62" s="100"/>
      <c r="EX62" s="100"/>
      <c r="EY62" s="100"/>
      <c r="EZ62" s="100"/>
      <c r="FA62" s="100"/>
      <c r="FB62" s="100"/>
      <c r="FC62" s="100"/>
      <c r="FD62" s="100"/>
      <c r="FE62" s="100"/>
      <c r="FF62" s="100"/>
      <c r="FG62" s="100"/>
      <c r="FH62" s="100"/>
      <c r="FI62" s="100"/>
      <c r="FJ62" s="100"/>
      <c r="FK62" s="100"/>
      <c r="FL62" s="100"/>
      <c r="FM62" s="100"/>
      <c r="FN62" s="100"/>
      <c r="FO62" s="100"/>
      <c r="FP62" s="100"/>
      <c r="FQ62" s="100"/>
      <c r="FR62" s="100"/>
      <c r="FS62" s="100"/>
      <c r="FT62" s="100"/>
      <c r="FU62" s="100"/>
      <c r="FV62" s="100"/>
      <c r="FW62" s="100"/>
      <c r="FX62" s="100"/>
      <c r="FY62" s="100"/>
      <c r="FZ62" s="100"/>
      <c r="GA62" s="100"/>
      <c r="GB62" s="100"/>
      <c r="GC62" s="100"/>
      <c r="GD62" s="100"/>
      <c r="GE62" s="100"/>
      <c r="GF62" s="100"/>
      <c r="GG62" s="100"/>
      <c r="GH62" s="100"/>
      <c r="GI62" s="100"/>
      <c r="GJ62" s="100"/>
      <c r="GK62" s="100"/>
      <c r="GL62" s="100"/>
      <c r="GM62" s="100"/>
      <c r="GN62" s="100"/>
      <c r="GO62" s="100"/>
      <c r="GP62" s="100"/>
      <c r="GQ62" s="100"/>
      <c r="GR62" s="100"/>
      <c r="GS62" s="100"/>
      <c r="GT62" s="100"/>
      <c r="GU62" s="100"/>
      <c r="GV62" s="100"/>
      <c r="GW62" s="100"/>
      <c r="GX62" s="100"/>
      <c r="GY62" s="100"/>
      <c r="GZ62" s="100"/>
      <c r="HA62" s="100"/>
      <c r="HB62" s="100"/>
      <c r="HC62" s="100"/>
      <c r="HD62" s="100"/>
      <c r="HE62" s="100"/>
      <c r="HF62" s="100"/>
      <c r="HG62" s="100"/>
      <c r="HH62" s="100"/>
      <c r="HI62" s="100"/>
      <c r="HJ62" s="100"/>
      <c r="HK62" s="100"/>
      <c r="HL62" s="100"/>
      <c r="HM62" s="100"/>
      <c r="HN62" s="100"/>
      <c r="HO62" s="100"/>
      <c r="HP62" s="100"/>
      <c r="HQ62" s="100"/>
      <c r="HR62" s="100"/>
      <c r="HS62" s="100"/>
      <c r="HT62" s="100"/>
      <c r="HU62" s="100"/>
      <c r="HV62" s="100"/>
      <c r="HW62" s="100"/>
      <c r="HX62" s="100"/>
      <c r="HY62" s="100"/>
      <c r="HZ62" s="100"/>
      <c r="IA62" s="100"/>
      <c r="IB62" s="100"/>
      <c r="IC62" s="100"/>
      <c r="ID62" s="100"/>
      <c r="IE62" s="100"/>
      <c r="IF62" s="100"/>
      <c r="IG62" s="100"/>
      <c r="IH62" s="100"/>
      <c r="II62" s="100"/>
      <c r="IJ62" s="100"/>
      <c r="IK62" s="100"/>
      <c r="IL62" s="100"/>
      <c r="IM62" s="100"/>
      <c r="IN62" s="100"/>
      <c r="IO62" s="100"/>
      <c r="IP62" s="100"/>
      <c r="IQ62" s="100"/>
      <c r="IR62" s="100"/>
      <c r="IS62" s="100"/>
      <c r="IT62" s="100"/>
      <c r="IU62" s="100"/>
      <c r="IV62" s="100"/>
      <c r="IW62" s="100"/>
    </row>
    <row r="63" customFormat="false" ht="12.75" hidden="false" customHeight="false" outlineLevel="0" collapsed="false">
      <c r="A63" s="1116"/>
      <c r="B63" s="1091" t="s">
        <v>690</v>
      </c>
      <c r="C63" s="1053"/>
      <c r="D63" s="1053"/>
      <c r="E63" s="1053"/>
      <c r="F63" s="1053"/>
      <c r="G63" s="1053"/>
      <c r="H63" s="1053"/>
      <c r="I63" s="1053"/>
      <c r="J63" s="1053"/>
      <c r="K63" s="1053"/>
      <c r="L63" s="1053"/>
      <c r="M63" s="1053"/>
      <c r="N63" s="1053"/>
      <c r="O63" s="1053"/>
      <c r="P63" s="1053"/>
      <c r="Q63" s="1053"/>
      <c r="R63" s="1053"/>
      <c r="S63" s="1053"/>
      <c r="T63" s="1053"/>
      <c r="U63" s="1053"/>
      <c r="V63" s="1053"/>
      <c r="W63" s="1053"/>
      <c r="X63" s="1053"/>
      <c r="Y63" s="1053"/>
      <c r="Z63" s="1053"/>
      <c r="AA63" s="1053"/>
      <c r="AB63" s="1053"/>
      <c r="AC63" s="1053"/>
      <c r="AD63" s="1053"/>
      <c r="AE63" s="1053"/>
      <c r="AF63" s="1053"/>
      <c r="AG63" s="1053"/>
      <c r="AH63" s="1092"/>
      <c r="AI63" s="1053"/>
      <c r="AJ63" s="1053"/>
      <c r="AK63" s="1053"/>
      <c r="AL63" s="1053"/>
      <c r="AM63" s="1053"/>
      <c r="AN63" s="1053"/>
      <c r="AO63" s="1053"/>
      <c r="AP63" s="1053"/>
      <c r="AQ63" s="1053"/>
      <c r="AR63" s="1053"/>
      <c r="AS63" s="1053"/>
      <c r="AT63" s="1053"/>
      <c r="AU63" s="1053"/>
      <c r="AV63" s="1053"/>
      <c r="AW63" s="1053"/>
      <c r="AX63" s="1053"/>
      <c r="AY63" s="1053"/>
      <c r="AZ63" s="1053"/>
      <c r="BA63" s="1053"/>
      <c r="BB63" s="1053"/>
      <c r="BC63" s="1053"/>
      <c r="BD63" s="1053"/>
      <c r="BE63" s="1053"/>
      <c r="BF63" s="1053"/>
      <c r="BG63" s="1053"/>
      <c r="BH63" s="1053"/>
      <c r="BI63" s="1053"/>
      <c r="BJ63" s="1053"/>
      <c r="BK63" s="1053"/>
      <c r="BL63" s="1053"/>
      <c r="BM63" s="1053"/>
      <c r="BN63" s="1053"/>
      <c r="BO63" s="1053"/>
      <c r="BP63" s="1053"/>
      <c r="BQ63" s="1053"/>
      <c r="BR63" s="1053"/>
      <c r="BS63" s="1053"/>
      <c r="BT63" s="1053"/>
      <c r="BU63" s="1053"/>
      <c r="BV63" s="1053"/>
      <c r="BW63" s="1053"/>
      <c r="BX63" s="1053"/>
      <c r="BY63" s="1053"/>
      <c r="BZ63" s="1053"/>
      <c r="CA63" s="1053"/>
      <c r="CB63" s="1053"/>
      <c r="CC63" s="1053"/>
      <c r="CD63" s="1053"/>
      <c r="CE63" s="1053"/>
      <c r="CF63" s="1053"/>
      <c r="CG63" s="1053"/>
      <c r="CH63" s="1053"/>
      <c r="CI63" s="1053"/>
      <c r="CJ63" s="1053"/>
      <c r="CK63" s="1053"/>
      <c r="CL63" s="1053"/>
      <c r="CM63" s="1053"/>
      <c r="CN63" s="1053"/>
      <c r="CO63" s="1053"/>
      <c r="CP63" s="1053"/>
      <c r="CQ63" s="1053"/>
      <c r="CR63" s="1053"/>
      <c r="CS63" s="1053"/>
      <c r="CT63" s="1053"/>
      <c r="CU63" s="1053"/>
      <c r="CV63" s="1053"/>
      <c r="CW63" s="1053"/>
      <c r="CX63" s="1053"/>
      <c r="CY63" s="1053"/>
      <c r="CZ63" s="1053"/>
      <c r="DA63" s="1053"/>
      <c r="DB63" s="1053"/>
      <c r="DC63" s="1053"/>
      <c r="DD63" s="1053"/>
      <c r="DE63" s="1053"/>
      <c r="DF63" s="1053"/>
      <c r="DG63" s="1053"/>
      <c r="DH63" s="1053"/>
      <c r="DI63" s="1053"/>
      <c r="DJ63" s="1053"/>
      <c r="DK63" s="1053"/>
      <c r="DL63" s="1053"/>
      <c r="DM63" s="1053"/>
      <c r="DN63" s="1053"/>
      <c r="DO63" s="1053"/>
      <c r="DP63" s="1053"/>
      <c r="DQ63" s="1053"/>
      <c r="DR63" s="1053"/>
      <c r="DS63" s="1053"/>
      <c r="DT63" s="1053"/>
      <c r="DU63" s="1053"/>
      <c r="DV63" s="1053"/>
      <c r="DW63" s="1053"/>
      <c r="DX63" s="1053"/>
      <c r="DY63" s="1053"/>
      <c r="DZ63" s="1053"/>
      <c r="EA63" s="1053"/>
      <c r="EB63" s="1053"/>
      <c r="EC63" s="1053"/>
      <c r="ED63" s="1053"/>
      <c r="EE63" s="1053"/>
      <c r="EF63" s="1053"/>
      <c r="EG63" s="1053"/>
      <c r="EH63" s="1053"/>
      <c r="EI63" s="1053"/>
      <c r="EJ63" s="1053"/>
      <c r="EK63" s="1053"/>
      <c r="EL63" s="1053"/>
      <c r="EM63" s="1053"/>
      <c r="EN63" s="1053"/>
      <c r="EO63" s="1053"/>
      <c r="EP63" s="1053"/>
      <c r="EQ63" s="1053"/>
      <c r="ER63" s="1053"/>
      <c r="ES63" s="1053"/>
      <c r="ET63" s="1053"/>
      <c r="EU63" s="1053"/>
      <c r="EV63" s="1053"/>
      <c r="EW63" s="1053"/>
      <c r="EX63" s="1053"/>
      <c r="EY63" s="1053"/>
      <c r="EZ63" s="1053"/>
      <c r="FA63" s="1053"/>
      <c r="FB63" s="1053"/>
      <c r="FC63" s="1053"/>
      <c r="FD63" s="1053"/>
      <c r="FE63" s="1053"/>
      <c r="FF63" s="1053"/>
      <c r="FG63" s="1053"/>
      <c r="FH63" s="1053"/>
      <c r="FI63" s="1053"/>
      <c r="FJ63" s="1053"/>
      <c r="FK63" s="1053"/>
      <c r="FL63" s="1053"/>
      <c r="FM63" s="1053"/>
      <c r="FN63" s="1053"/>
      <c r="FO63" s="1053"/>
      <c r="FP63" s="1053"/>
      <c r="FQ63" s="1053"/>
      <c r="FR63" s="1053"/>
      <c r="FS63" s="1053"/>
      <c r="FT63" s="1053"/>
      <c r="FU63" s="1053"/>
      <c r="FV63" s="1053"/>
      <c r="FW63" s="1053"/>
      <c r="FX63" s="1053"/>
      <c r="FY63" s="1053"/>
      <c r="FZ63" s="1053"/>
      <c r="GA63" s="1053"/>
      <c r="GB63" s="1053"/>
      <c r="GC63" s="1053"/>
      <c r="GD63" s="1053"/>
      <c r="GE63" s="1053"/>
      <c r="GF63" s="1053"/>
      <c r="GG63" s="1053"/>
      <c r="GH63" s="1053"/>
      <c r="GI63" s="1053"/>
      <c r="GJ63" s="1053"/>
      <c r="GK63" s="1053"/>
      <c r="GL63" s="1053"/>
      <c r="GM63" s="1053"/>
      <c r="GN63" s="1053"/>
      <c r="GO63" s="1053"/>
      <c r="GP63" s="1053"/>
      <c r="GQ63" s="1053"/>
      <c r="GR63" s="1053"/>
      <c r="GS63" s="1053"/>
      <c r="GT63" s="1053"/>
      <c r="GU63" s="1053"/>
      <c r="GV63" s="1053"/>
      <c r="GW63" s="1053"/>
      <c r="GX63" s="1053"/>
      <c r="GY63" s="1053"/>
      <c r="GZ63" s="1053"/>
      <c r="HA63" s="1053"/>
      <c r="HB63" s="1053"/>
      <c r="HC63" s="1053"/>
      <c r="HD63" s="1053"/>
      <c r="HE63" s="1053"/>
      <c r="HF63" s="1053"/>
      <c r="HG63" s="1053"/>
      <c r="HH63" s="1053"/>
      <c r="HI63" s="1053"/>
      <c r="HJ63" s="1053"/>
      <c r="HK63" s="1053"/>
      <c r="HL63" s="1053"/>
      <c r="HM63" s="1053"/>
      <c r="HN63" s="1053"/>
      <c r="HO63" s="1053"/>
      <c r="HP63" s="1053"/>
      <c r="HQ63" s="1053"/>
      <c r="HR63" s="1053"/>
      <c r="HS63" s="1053"/>
      <c r="HT63" s="1053"/>
      <c r="HU63" s="1053"/>
      <c r="HV63" s="1053"/>
      <c r="HW63" s="1053"/>
      <c r="HX63" s="1053"/>
      <c r="HY63" s="1053"/>
      <c r="HZ63" s="1053"/>
      <c r="IA63" s="1053"/>
      <c r="IB63" s="1053"/>
      <c r="IC63" s="1053"/>
      <c r="ID63" s="1053"/>
      <c r="IE63" s="1053"/>
      <c r="IF63" s="1053"/>
      <c r="IG63" s="1053"/>
      <c r="IH63" s="1053"/>
      <c r="II63" s="1053"/>
      <c r="IJ63" s="1053"/>
      <c r="IK63" s="1053"/>
      <c r="IL63" s="1053"/>
      <c r="IM63" s="1053"/>
      <c r="IN63" s="1053"/>
      <c r="IO63" s="1053"/>
      <c r="IP63" s="1053"/>
      <c r="IQ63" s="1053"/>
      <c r="IR63" s="1053"/>
      <c r="IS63" s="1053"/>
      <c r="IT63" s="1053"/>
      <c r="IU63" s="1053"/>
      <c r="IV63" s="1053"/>
      <c r="IW63" s="1053"/>
    </row>
    <row r="64" customFormat="false" ht="12.75" hidden="false" customHeight="false" outlineLevel="0" collapsed="false">
      <c r="A64" s="1116"/>
      <c r="B64" s="1091" t="s">
        <v>706</v>
      </c>
      <c r="C64" s="1053"/>
      <c r="D64" s="1053"/>
      <c r="E64" s="1053"/>
      <c r="F64" s="1053"/>
      <c r="G64" s="1053"/>
      <c r="H64" s="1053"/>
      <c r="I64" s="1053"/>
      <c r="J64" s="1053"/>
      <c r="K64" s="1053"/>
      <c r="L64" s="1053"/>
      <c r="M64" s="1053"/>
      <c r="N64" s="1053"/>
      <c r="O64" s="1053"/>
      <c r="P64" s="1053"/>
      <c r="Q64" s="1053"/>
      <c r="R64" s="1053"/>
      <c r="S64" s="1053"/>
      <c r="T64" s="1053"/>
      <c r="U64" s="1053"/>
      <c r="V64" s="1053"/>
      <c r="W64" s="1053"/>
      <c r="X64" s="1053"/>
      <c r="Y64" s="1053"/>
      <c r="Z64" s="1053"/>
      <c r="AA64" s="1053"/>
      <c r="AB64" s="1053"/>
      <c r="AC64" s="1053"/>
      <c r="AD64" s="1053"/>
      <c r="AE64" s="1053"/>
      <c r="AF64" s="1053"/>
      <c r="AG64" s="1053"/>
      <c r="AH64" s="1092"/>
      <c r="AI64" s="1053"/>
      <c r="AJ64" s="1053"/>
      <c r="AK64" s="1053"/>
      <c r="AL64" s="1053"/>
      <c r="AM64" s="1053"/>
      <c r="AN64" s="1053"/>
      <c r="AO64" s="1053"/>
      <c r="AP64" s="1053"/>
      <c r="AQ64" s="1053"/>
      <c r="AR64" s="1053"/>
      <c r="AS64" s="1053"/>
      <c r="AT64" s="1053"/>
      <c r="AU64" s="1053"/>
      <c r="AV64" s="1053"/>
      <c r="AW64" s="1053"/>
      <c r="AX64" s="1053"/>
      <c r="AY64" s="1053"/>
      <c r="AZ64" s="1053"/>
      <c r="BA64" s="1053"/>
      <c r="BB64" s="1053"/>
      <c r="BC64" s="1053"/>
      <c r="BD64" s="1053"/>
      <c r="BE64" s="1053"/>
      <c r="BF64" s="1053"/>
      <c r="BG64" s="1053"/>
      <c r="BH64" s="1053"/>
      <c r="BI64" s="1053"/>
      <c r="BJ64" s="1053"/>
      <c r="BK64" s="1053"/>
      <c r="BL64" s="1053"/>
      <c r="BM64" s="1053"/>
      <c r="BN64" s="1053"/>
      <c r="BO64" s="1053"/>
      <c r="BP64" s="1053"/>
      <c r="BQ64" s="1053"/>
      <c r="BR64" s="1053"/>
      <c r="BS64" s="1053"/>
      <c r="BT64" s="1053"/>
      <c r="BU64" s="1053"/>
      <c r="BV64" s="1053"/>
      <c r="BW64" s="1053"/>
      <c r="BX64" s="1053"/>
      <c r="BY64" s="1053"/>
      <c r="BZ64" s="1053"/>
      <c r="CA64" s="1053"/>
      <c r="CB64" s="1053"/>
      <c r="CC64" s="1053"/>
      <c r="CD64" s="1053"/>
      <c r="CE64" s="1053"/>
      <c r="CF64" s="1053"/>
      <c r="CG64" s="1053"/>
      <c r="CH64" s="1053"/>
      <c r="CI64" s="1053"/>
      <c r="CJ64" s="1053"/>
      <c r="CK64" s="1053"/>
      <c r="CL64" s="1053"/>
      <c r="CM64" s="1053"/>
      <c r="CN64" s="1053"/>
      <c r="CO64" s="1053"/>
      <c r="CP64" s="1053"/>
      <c r="CQ64" s="1053"/>
      <c r="CR64" s="1053"/>
      <c r="CS64" s="1053"/>
      <c r="CT64" s="1053"/>
      <c r="CU64" s="1053"/>
      <c r="CV64" s="1053"/>
      <c r="CW64" s="1053"/>
      <c r="CX64" s="1053"/>
      <c r="CY64" s="1053"/>
      <c r="CZ64" s="1053"/>
      <c r="DA64" s="1053"/>
      <c r="DB64" s="1053"/>
      <c r="DC64" s="1053"/>
      <c r="DD64" s="1053"/>
      <c r="DE64" s="1053"/>
      <c r="DF64" s="1053"/>
      <c r="DG64" s="1053"/>
      <c r="DH64" s="1053"/>
      <c r="DI64" s="1053"/>
      <c r="DJ64" s="1053"/>
      <c r="DK64" s="1053"/>
      <c r="DL64" s="1053"/>
      <c r="DM64" s="1053"/>
      <c r="DN64" s="1053"/>
      <c r="DO64" s="1053"/>
      <c r="DP64" s="1053"/>
      <c r="DQ64" s="1053"/>
      <c r="DR64" s="1053"/>
      <c r="DS64" s="1053"/>
      <c r="DT64" s="1053"/>
      <c r="DU64" s="1053"/>
      <c r="DV64" s="1053"/>
      <c r="DW64" s="1053"/>
      <c r="DX64" s="1053"/>
      <c r="DY64" s="1053"/>
      <c r="DZ64" s="1053"/>
      <c r="EA64" s="1053"/>
      <c r="EB64" s="1053"/>
      <c r="EC64" s="1053"/>
      <c r="ED64" s="1053"/>
      <c r="EE64" s="1053"/>
      <c r="EF64" s="1053"/>
      <c r="EG64" s="1053"/>
      <c r="EH64" s="1053"/>
      <c r="EI64" s="1053"/>
      <c r="EJ64" s="1053"/>
      <c r="EK64" s="1053"/>
      <c r="EL64" s="1053"/>
      <c r="EM64" s="1053"/>
      <c r="EN64" s="1053"/>
      <c r="EO64" s="1053"/>
      <c r="EP64" s="1053"/>
      <c r="EQ64" s="1053"/>
      <c r="ER64" s="1053"/>
      <c r="ES64" s="1053"/>
      <c r="ET64" s="1053"/>
      <c r="EU64" s="1053"/>
      <c r="EV64" s="1053"/>
      <c r="EW64" s="1053"/>
      <c r="EX64" s="1053"/>
      <c r="EY64" s="1053"/>
      <c r="EZ64" s="1053"/>
      <c r="FA64" s="1053"/>
      <c r="FB64" s="1053"/>
      <c r="FC64" s="1053"/>
      <c r="FD64" s="1053"/>
      <c r="FE64" s="1053"/>
      <c r="FF64" s="1053"/>
      <c r="FG64" s="1053"/>
      <c r="FH64" s="1053"/>
      <c r="FI64" s="1053"/>
      <c r="FJ64" s="1053"/>
      <c r="FK64" s="1053"/>
      <c r="FL64" s="1053"/>
      <c r="FM64" s="1053"/>
      <c r="FN64" s="1053"/>
      <c r="FO64" s="1053"/>
      <c r="FP64" s="1053"/>
      <c r="FQ64" s="1053"/>
      <c r="FR64" s="1053"/>
      <c r="FS64" s="1053"/>
      <c r="FT64" s="1053"/>
      <c r="FU64" s="1053"/>
      <c r="FV64" s="1053"/>
      <c r="FW64" s="1053"/>
      <c r="FX64" s="1053"/>
      <c r="FY64" s="1053"/>
      <c r="FZ64" s="1053"/>
      <c r="GA64" s="1053"/>
      <c r="GB64" s="1053"/>
      <c r="GC64" s="1053"/>
      <c r="GD64" s="1053"/>
      <c r="GE64" s="1053"/>
      <c r="GF64" s="1053"/>
      <c r="GG64" s="1053"/>
      <c r="GH64" s="1053"/>
      <c r="GI64" s="1053"/>
      <c r="GJ64" s="1053"/>
      <c r="GK64" s="1053"/>
      <c r="GL64" s="1053"/>
      <c r="GM64" s="1053"/>
      <c r="GN64" s="1053"/>
      <c r="GO64" s="1053"/>
      <c r="GP64" s="1053"/>
      <c r="GQ64" s="1053"/>
      <c r="GR64" s="1053"/>
      <c r="GS64" s="1053"/>
      <c r="GT64" s="1053"/>
      <c r="GU64" s="1053"/>
      <c r="GV64" s="1053"/>
      <c r="GW64" s="1053"/>
      <c r="GX64" s="1053"/>
      <c r="GY64" s="1053"/>
      <c r="GZ64" s="1053"/>
      <c r="HA64" s="1053"/>
      <c r="HB64" s="1053"/>
      <c r="HC64" s="1053"/>
      <c r="HD64" s="1053"/>
      <c r="HE64" s="1053"/>
      <c r="HF64" s="1053"/>
      <c r="HG64" s="1053"/>
      <c r="HH64" s="1053"/>
      <c r="HI64" s="1053"/>
      <c r="HJ64" s="1053"/>
      <c r="HK64" s="1053"/>
      <c r="HL64" s="1053"/>
      <c r="HM64" s="1053"/>
      <c r="HN64" s="1053"/>
      <c r="HO64" s="1053"/>
      <c r="HP64" s="1053"/>
      <c r="HQ64" s="1053"/>
      <c r="HR64" s="1053"/>
      <c r="HS64" s="1053"/>
      <c r="HT64" s="1053"/>
      <c r="HU64" s="1053"/>
      <c r="HV64" s="1053"/>
      <c r="HW64" s="1053"/>
      <c r="HX64" s="1053"/>
      <c r="HY64" s="1053"/>
      <c r="HZ64" s="1053"/>
      <c r="IA64" s="1053"/>
      <c r="IB64" s="1053"/>
      <c r="IC64" s="1053"/>
      <c r="ID64" s="1053"/>
      <c r="IE64" s="1053"/>
      <c r="IF64" s="1053"/>
      <c r="IG64" s="1053"/>
      <c r="IH64" s="1053"/>
      <c r="II64" s="1053"/>
      <c r="IJ64" s="1053"/>
      <c r="IK64" s="1053"/>
      <c r="IL64" s="1053"/>
      <c r="IM64" s="1053"/>
      <c r="IN64" s="1053"/>
      <c r="IO64" s="1053"/>
      <c r="IP64" s="1053"/>
      <c r="IQ64" s="1053"/>
      <c r="IR64" s="1053"/>
      <c r="IS64" s="1053"/>
      <c r="IT64" s="1053"/>
      <c r="IU64" s="1053"/>
      <c r="IV64" s="1053"/>
      <c r="IW64" s="1053"/>
    </row>
    <row r="65" customFormat="false" ht="12.75" hidden="false" customHeight="false" outlineLevel="0" collapsed="false">
      <c r="A65" s="1116"/>
      <c r="B65" s="1091" t="s">
        <v>691</v>
      </c>
      <c r="C65" s="1053"/>
      <c r="D65" s="1053"/>
      <c r="E65" s="1053"/>
      <c r="F65" s="1053"/>
      <c r="G65" s="1053"/>
      <c r="H65" s="1053"/>
      <c r="I65" s="1053"/>
      <c r="J65" s="1053"/>
      <c r="K65" s="1053"/>
      <c r="L65" s="1053"/>
      <c r="M65" s="1053"/>
      <c r="N65" s="1053"/>
      <c r="O65" s="1053"/>
      <c r="P65" s="1053"/>
      <c r="Q65" s="1053"/>
      <c r="R65" s="1053"/>
      <c r="S65" s="1053"/>
      <c r="T65" s="1053"/>
      <c r="U65" s="1053"/>
      <c r="V65" s="1053"/>
      <c r="W65" s="1053"/>
      <c r="X65" s="1053"/>
      <c r="Y65" s="1053"/>
      <c r="Z65" s="1053"/>
      <c r="AA65" s="1053"/>
      <c r="AB65" s="1053"/>
      <c r="AC65" s="1053"/>
      <c r="AD65" s="1053"/>
      <c r="AE65" s="1053"/>
      <c r="AF65" s="1053"/>
      <c r="AG65" s="1053"/>
      <c r="AH65" s="1092"/>
      <c r="AI65" s="1053"/>
      <c r="AJ65" s="1053"/>
      <c r="AK65" s="1053"/>
      <c r="AL65" s="1053"/>
      <c r="AM65" s="1053"/>
      <c r="AN65" s="1053"/>
      <c r="AO65" s="1053"/>
      <c r="AP65" s="1053"/>
      <c r="AQ65" s="1053"/>
      <c r="AR65" s="1053"/>
      <c r="AS65" s="1053"/>
      <c r="AT65" s="1053"/>
      <c r="AU65" s="1053"/>
      <c r="AV65" s="1053"/>
      <c r="AW65" s="1053"/>
      <c r="AX65" s="1053"/>
      <c r="AY65" s="1053"/>
      <c r="AZ65" s="1053"/>
      <c r="BA65" s="1053"/>
      <c r="BB65" s="1053"/>
      <c r="BC65" s="1053"/>
      <c r="BD65" s="1053"/>
      <c r="BE65" s="1053"/>
      <c r="BF65" s="1053"/>
      <c r="BG65" s="1053"/>
      <c r="BH65" s="1053"/>
      <c r="BI65" s="1053"/>
      <c r="BJ65" s="1053"/>
      <c r="BK65" s="1053"/>
      <c r="BL65" s="1053"/>
      <c r="BM65" s="1053"/>
      <c r="BN65" s="1053"/>
      <c r="BO65" s="1053"/>
      <c r="BP65" s="1053"/>
      <c r="BQ65" s="1053"/>
      <c r="BR65" s="1053"/>
      <c r="BS65" s="1053"/>
      <c r="BT65" s="1053"/>
      <c r="BU65" s="1053"/>
      <c r="BV65" s="1053"/>
      <c r="BW65" s="1053"/>
      <c r="BX65" s="1053"/>
      <c r="BY65" s="1053"/>
      <c r="BZ65" s="1053"/>
      <c r="CA65" s="1053"/>
      <c r="CB65" s="1053"/>
      <c r="CC65" s="1053"/>
      <c r="CD65" s="1053"/>
      <c r="CE65" s="1053"/>
      <c r="CF65" s="1053"/>
      <c r="CG65" s="1053"/>
      <c r="CH65" s="1053"/>
      <c r="CI65" s="1053"/>
      <c r="CJ65" s="1053"/>
      <c r="CK65" s="1053"/>
      <c r="CL65" s="1053"/>
      <c r="CM65" s="1053"/>
      <c r="CN65" s="1053"/>
      <c r="CO65" s="1053"/>
      <c r="CP65" s="1053"/>
      <c r="CQ65" s="1053"/>
      <c r="CR65" s="1053"/>
      <c r="CS65" s="1053"/>
      <c r="CT65" s="1053"/>
      <c r="CU65" s="1053"/>
      <c r="CV65" s="1053"/>
      <c r="CW65" s="1053"/>
      <c r="CX65" s="1053"/>
      <c r="CY65" s="1053"/>
      <c r="CZ65" s="1053"/>
      <c r="DA65" s="1053"/>
      <c r="DB65" s="1053"/>
      <c r="DC65" s="1053"/>
      <c r="DD65" s="1053"/>
      <c r="DE65" s="1053"/>
      <c r="DF65" s="1053"/>
      <c r="DG65" s="1053"/>
      <c r="DH65" s="1053"/>
      <c r="DI65" s="1053"/>
      <c r="DJ65" s="1053"/>
      <c r="DK65" s="1053"/>
      <c r="DL65" s="1053"/>
      <c r="DM65" s="1053"/>
      <c r="DN65" s="1053"/>
      <c r="DO65" s="1053"/>
      <c r="DP65" s="1053"/>
      <c r="DQ65" s="1053"/>
      <c r="DR65" s="1053"/>
      <c r="DS65" s="1053"/>
      <c r="DT65" s="1053"/>
      <c r="DU65" s="1053"/>
      <c r="DV65" s="1053"/>
      <c r="DW65" s="1053"/>
      <c r="DX65" s="1053"/>
      <c r="DY65" s="1053"/>
      <c r="DZ65" s="1053"/>
      <c r="EA65" s="1053"/>
      <c r="EB65" s="1053"/>
      <c r="EC65" s="1053"/>
      <c r="ED65" s="1053"/>
      <c r="EE65" s="1053"/>
      <c r="EF65" s="1053"/>
      <c r="EG65" s="1053"/>
      <c r="EH65" s="1053"/>
      <c r="EI65" s="1053"/>
      <c r="EJ65" s="1053"/>
      <c r="EK65" s="1053"/>
      <c r="EL65" s="1053"/>
      <c r="EM65" s="1053"/>
      <c r="EN65" s="1053"/>
      <c r="EO65" s="1053"/>
      <c r="EP65" s="1053"/>
      <c r="EQ65" s="1053"/>
      <c r="ER65" s="1053"/>
      <c r="ES65" s="1053"/>
      <c r="ET65" s="1053"/>
      <c r="EU65" s="1053"/>
      <c r="EV65" s="1053"/>
      <c r="EW65" s="1053"/>
      <c r="EX65" s="1053"/>
      <c r="EY65" s="1053"/>
      <c r="EZ65" s="1053"/>
      <c r="FA65" s="1053"/>
      <c r="FB65" s="1053"/>
      <c r="FC65" s="1053"/>
      <c r="FD65" s="1053"/>
      <c r="FE65" s="1053"/>
      <c r="FF65" s="1053"/>
      <c r="FG65" s="1053"/>
      <c r="FH65" s="1053"/>
      <c r="FI65" s="1053"/>
      <c r="FJ65" s="1053"/>
      <c r="FK65" s="1053"/>
      <c r="FL65" s="1053"/>
      <c r="FM65" s="1053"/>
      <c r="FN65" s="1053"/>
      <c r="FO65" s="1053"/>
      <c r="FP65" s="1053"/>
      <c r="FQ65" s="1053"/>
      <c r="FR65" s="1053"/>
      <c r="FS65" s="1053"/>
      <c r="FT65" s="1053"/>
      <c r="FU65" s="1053"/>
      <c r="FV65" s="1053"/>
      <c r="FW65" s="1053"/>
      <c r="FX65" s="1053"/>
      <c r="FY65" s="1053"/>
      <c r="FZ65" s="1053"/>
      <c r="GA65" s="1053"/>
      <c r="GB65" s="1053"/>
      <c r="GC65" s="1053"/>
      <c r="GD65" s="1053"/>
      <c r="GE65" s="1053"/>
      <c r="GF65" s="1053"/>
      <c r="GG65" s="1053"/>
      <c r="GH65" s="1053"/>
      <c r="GI65" s="1053"/>
      <c r="GJ65" s="1053"/>
      <c r="GK65" s="1053"/>
      <c r="GL65" s="1053"/>
      <c r="GM65" s="1053"/>
      <c r="GN65" s="1053"/>
      <c r="GO65" s="1053"/>
      <c r="GP65" s="1053"/>
      <c r="GQ65" s="1053"/>
      <c r="GR65" s="1053"/>
      <c r="GS65" s="1053"/>
      <c r="GT65" s="1053"/>
      <c r="GU65" s="1053"/>
      <c r="GV65" s="1053"/>
      <c r="GW65" s="1053"/>
      <c r="GX65" s="1053"/>
      <c r="GY65" s="1053"/>
      <c r="GZ65" s="1053"/>
      <c r="HA65" s="1053"/>
      <c r="HB65" s="1053"/>
      <c r="HC65" s="1053"/>
      <c r="HD65" s="1053"/>
      <c r="HE65" s="1053"/>
      <c r="HF65" s="1053"/>
      <c r="HG65" s="1053"/>
      <c r="HH65" s="1053"/>
      <c r="HI65" s="1053"/>
      <c r="HJ65" s="1053"/>
      <c r="HK65" s="1053"/>
      <c r="HL65" s="1053"/>
      <c r="HM65" s="1053"/>
      <c r="HN65" s="1053"/>
      <c r="HO65" s="1053"/>
      <c r="HP65" s="1053"/>
      <c r="HQ65" s="1053"/>
      <c r="HR65" s="1053"/>
      <c r="HS65" s="1053"/>
      <c r="HT65" s="1053"/>
      <c r="HU65" s="1053"/>
      <c r="HV65" s="1053"/>
      <c r="HW65" s="1053"/>
      <c r="HX65" s="1053"/>
      <c r="HY65" s="1053"/>
      <c r="HZ65" s="1053"/>
      <c r="IA65" s="1053"/>
      <c r="IB65" s="1053"/>
      <c r="IC65" s="1053"/>
      <c r="ID65" s="1053"/>
      <c r="IE65" s="1053"/>
      <c r="IF65" s="1053"/>
      <c r="IG65" s="1053"/>
      <c r="IH65" s="1053"/>
      <c r="II65" s="1053"/>
      <c r="IJ65" s="1053"/>
      <c r="IK65" s="1053"/>
      <c r="IL65" s="1053"/>
      <c r="IM65" s="1053"/>
      <c r="IN65" s="1053"/>
      <c r="IO65" s="1053"/>
      <c r="IP65" s="1053"/>
      <c r="IQ65" s="1053"/>
      <c r="IR65" s="1053"/>
      <c r="IS65" s="1053"/>
      <c r="IT65" s="1053"/>
      <c r="IU65" s="1053"/>
      <c r="IV65" s="1053"/>
      <c r="IW65" s="1053"/>
    </row>
    <row r="66" customFormat="false" ht="12.75" hidden="false" customHeight="false" outlineLevel="0" collapsed="false">
      <c r="A66" s="1116"/>
      <c r="B66" s="1091" t="s">
        <v>692</v>
      </c>
      <c r="C66" s="1053"/>
      <c r="D66" s="1053" t="n">
        <f aca="false">Income!E33</f>
        <v>3703.96222781693</v>
      </c>
      <c r="E66" s="1053" t="n">
        <f aca="false">Income!F33</f>
        <v>3703.96222781693</v>
      </c>
      <c r="F66" s="1053" t="n">
        <f aca="false">Income!G33</f>
        <v>3703.96222781693</v>
      </c>
      <c r="G66" s="1053" t="n">
        <f aca="false">Income!H33</f>
        <v>3703.96222781693</v>
      </c>
      <c r="H66" s="1053" t="n">
        <f aca="false">Income!I33</f>
        <v>3703.96222781693</v>
      </c>
      <c r="I66" s="1053" t="n">
        <f aca="false">Income!J33</f>
        <v>3703.96222781693</v>
      </c>
      <c r="J66" s="1053" t="n">
        <f aca="false">Income!K33</f>
        <v>3703.96222781693</v>
      </c>
      <c r="K66" s="1053" t="n">
        <f aca="false">Income!L33</f>
        <v>3703.96222781693</v>
      </c>
      <c r="L66" s="1053" t="n">
        <f aca="false">Income!M33</f>
        <v>3703.96222781693</v>
      </c>
      <c r="M66" s="1053" t="n">
        <f aca="false">Income!N33</f>
        <v>3703.96222781693</v>
      </c>
      <c r="N66" s="1053" t="n">
        <f aca="false">Income!O33</f>
        <v>3703.96222781693</v>
      </c>
      <c r="O66" s="1053" t="n">
        <f aca="false">Income!P33</f>
        <v>3703.96222781693</v>
      </c>
      <c r="P66" s="1053" t="n">
        <f aca="false">Income!Q33</f>
        <v>3703.96222781693</v>
      </c>
      <c r="Q66" s="1053" t="n">
        <f aca="false">Income!R33</f>
        <v>3703.96222781693</v>
      </c>
      <c r="R66" s="1053" t="n">
        <f aca="false">Income!S33</f>
        <v>3703.96222781693</v>
      </c>
      <c r="S66" s="1053" t="n">
        <f aca="false">Income!T33</f>
        <v>3703.96222781693</v>
      </c>
      <c r="T66" s="1053" t="n">
        <f aca="false">Income!U33</f>
        <v>3703.96222781693</v>
      </c>
      <c r="U66" s="1053" t="n">
        <f aca="false">Income!V33</f>
        <v>3703.96222781693</v>
      </c>
      <c r="V66" s="1053" t="n">
        <f aca="false">Income!W33</f>
        <v>3703.96222781693</v>
      </c>
      <c r="W66" s="1053" t="n">
        <f aca="false">Income!X33</f>
        <v>3703.96222781693</v>
      </c>
      <c r="X66" s="1053" t="n">
        <f aca="false">Income!Y33</f>
        <v>0</v>
      </c>
      <c r="Y66" s="1053" t="n">
        <f aca="false">Income!Z33</f>
        <v>0</v>
      </c>
      <c r="Z66" s="1053" t="n">
        <f aca="false">Income!AA33</f>
        <v>0</v>
      </c>
      <c r="AA66" s="1053" t="n">
        <f aca="false">Income!AB33</f>
        <v>0</v>
      </c>
      <c r="AB66" s="1053" t="n">
        <f aca="false">Income!AC33</f>
        <v>0</v>
      </c>
      <c r="AC66" s="1053" t="n">
        <f aca="false">Income!AD33</f>
        <v>0</v>
      </c>
      <c r="AD66" s="1053" t="n">
        <f aca="false">Income!AE33</f>
        <v>0</v>
      </c>
      <c r="AE66" s="1053" t="n">
        <f aca="false">Income!AF33</f>
        <v>0</v>
      </c>
      <c r="AF66" s="1053" t="n">
        <f aca="false">Income!AG33</f>
        <v>0</v>
      </c>
      <c r="AG66" s="1053" t="n">
        <f aca="false">Income!AH33</f>
        <v>0</v>
      </c>
      <c r="AH66" s="1092" t="n">
        <f aca="false">Income!AI33</f>
        <v>0</v>
      </c>
      <c r="AI66" s="1053"/>
      <c r="AJ66" s="1053"/>
      <c r="AK66" s="1053"/>
      <c r="AL66" s="1053"/>
      <c r="AM66" s="1053"/>
      <c r="AN66" s="1053"/>
      <c r="AO66" s="1053"/>
      <c r="AP66" s="1053"/>
      <c r="AQ66" s="1053"/>
      <c r="AR66" s="1053"/>
      <c r="AS66" s="1053"/>
      <c r="AT66" s="1053"/>
      <c r="AU66" s="1053"/>
      <c r="AV66" s="1053"/>
      <c r="AW66" s="1053"/>
      <c r="AX66" s="1053"/>
      <c r="AY66" s="1053"/>
      <c r="AZ66" s="1053"/>
      <c r="BA66" s="1053"/>
      <c r="BB66" s="1053"/>
      <c r="BC66" s="1053"/>
      <c r="BD66" s="1053"/>
      <c r="BE66" s="1053"/>
      <c r="BF66" s="1053"/>
      <c r="BG66" s="1053"/>
      <c r="BH66" s="1053"/>
      <c r="BI66" s="1053"/>
      <c r="BJ66" s="1053"/>
      <c r="BK66" s="1053"/>
      <c r="BL66" s="1053"/>
      <c r="BM66" s="1053"/>
      <c r="BN66" s="1053"/>
      <c r="BO66" s="1053"/>
      <c r="BP66" s="1053"/>
      <c r="BQ66" s="1053"/>
      <c r="BR66" s="1053"/>
      <c r="BS66" s="1053"/>
      <c r="BT66" s="1053"/>
      <c r="BU66" s="1053"/>
      <c r="BV66" s="1053"/>
      <c r="BW66" s="1053"/>
      <c r="BX66" s="1053"/>
      <c r="BY66" s="1053"/>
      <c r="BZ66" s="1053"/>
      <c r="CA66" s="1053"/>
      <c r="CB66" s="1053"/>
      <c r="CC66" s="1053"/>
      <c r="CD66" s="1053"/>
      <c r="CE66" s="1053"/>
      <c r="CF66" s="1053"/>
      <c r="CG66" s="1053"/>
      <c r="CH66" s="1053"/>
      <c r="CI66" s="1053"/>
      <c r="CJ66" s="1053"/>
      <c r="CK66" s="1053"/>
      <c r="CL66" s="1053"/>
      <c r="CM66" s="1053"/>
      <c r="CN66" s="1053"/>
      <c r="CO66" s="1053"/>
      <c r="CP66" s="1053"/>
      <c r="CQ66" s="1053"/>
      <c r="CR66" s="1053"/>
      <c r="CS66" s="1053"/>
      <c r="CT66" s="1053"/>
      <c r="CU66" s="1053"/>
      <c r="CV66" s="1053"/>
      <c r="CW66" s="1053"/>
      <c r="CX66" s="1053"/>
      <c r="CY66" s="1053"/>
      <c r="CZ66" s="1053"/>
      <c r="DA66" s="1053"/>
      <c r="DB66" s="1053"/>
      <c r="DC66" s="1053"/>
      <c r="DD66" s="1053"/>
      <c r="DE66" s="1053"/>
      <c r="DF66" s="1053"/>
      <c r="DG66" s="1053"/>
      <c r="DH66" s="1053"/>
      <c r="DI66" s="1053"/>
      <c r="DJ66" s="1053"/>
      <c r="DK66" s="1053"/>
      <c r="DL66" s="1053"/>
      <c r="DM66" s="1053"/>
      <c r="DN66" s="1053"/>
      <c r="DO66" s="1053"/>
      <c r="DP66" s="1053"/>
      <c r="DQ66" s="1053"/>
      <c r="DR66" s="1053"/>
      <c r="DS66" s="1053"/>
      <c r="DT66" s="1053"/>
      <c r="DU66" s="1053"/>
      <c r="DV66" s="1053"/>
      <c r="DW66" s="1053"/>
      <c r="DX66" s="1053"/>
      <c r="DY66" s="1053"/>
      <c r="DZ66" s="1053"/>
      <c r="EA66" s="1053"/>
      <c r="EB66" s="1053"/>
      <c r="EC66" s="1053"/>
      <c r="ED66" s="1053"/>
      <c r="EE66" s="1053"/>
      <c r="EF66" s="1053"/>
      <c r="EG66" s="1053"/>
      <c r="EH66" s="1053"/>
      <c r="EI66" s="1053"/>
      <c r="EJ66" s="1053"/>
      <c r="EK66" s="1053"/>
      <c r="EL66" s="1053"/>
      <c r="EM66" s="1053"/>
      <c r="EN66" s="1053"/>
      <c r="EO66" s="1053"/>
      <c r="EP66" s="1053"/>
      <c r="EQ66" s="1053"/>
      <c r="ER66" s="1053"/>
      <c r="ES66" s="1053"/>
      <c r="ET66" s="1053"/>
      <c r="EU66" s="1053"/>
      <c r="EV66" s="1053"/>
      <c r="EW66" s="1053"/>
      <c r="EX66" s="1053"/>
      <c r="EY66" s="1053"/>
      <c r="EZ66" s="1053"/>
      <c r="FA66" s="1053"/>
      <c r="FB66" s="1053"/>
      <c r="FC66" s="1053"/>
      <c r="FD66" s="1053"/>
      <c r="FE66" s="1053"/>
      <c r="FF66" s="1053"/>
      <c r="FG66" s="1053"/>
      <c r="FH66" s="1053"/>
      <c r="FI66" s="1053"/>
      <c r="FJ66" s="1053"/>
      <c r="FK66" s="1053"/>
      <c r="FL66" s="1053"/>
      <c r="FM66" s="1053"/>
      <c r="FN66" s="1053"/>
      <c r="FO66" s="1053"/>
      <c r="FP66" s="1053"/>
      <c r="FQ66" s="1053"/>
      <c r="FR66" s="1053"/>
      <c r="FS66" s="1053"/>
      <c r="FT66" s="1053"/>
      <c r="FU66" s="1053"/>
      <c r="FV66" s="1053"/>
      <c r="FW66" s="1053"/>
      <c r="FX66" s="1053"/>
      <c r="FY66" s="1053"/>
      <c r="FZ66" s="1053"/>
      <c r="GA66" s="1053"/>
      <c r="GB66" s="1053"/>
      <c r="GC66" s="1053"/>
      <c r="GD66" s="1053"/>
      <c r="GE66" s="1053"/>
      <c r="GF66" s="1053"/>
      <c r="GG66" s="1053"/>
      <c r="GH66" s="1053"/>
      <c r="GI66" s="1053"/>
      <c r="GJ66" s="1053"/>
      <c r="GK66" s="1053"/>
      <c r="GL66" s="1053"/>
      <c r="GM66" s="1053"/>
      <c r="GN66" s="1053"/>
      <c r="GO66" s="1053"/>
      <c r="GP66" s="1053"/>
      <c r="GQ66" s="1053"/>
      <c r="GR66" s="1053"/>
      <c r="GS66" s="1053"/>
      <c r="GT66" s="1053"/>
      <c r="GU66" s="1053"/>
      <c r="GV66" s="1053"/>
      <c r="GW66" s="1053"/>
      <c r="GX66" s="1053"/>
      <c r="GY66" s="1053"/>
      <c r="GZ66" s="1053"/>
      <c r="HA66" s="1053"/>
      <c r="HB66" s="1053"/>
      <c r="HC66" s="1053"/>
      <c r="HD66" s="1053"/>
      <c r="HE66" s="1053"/>
      <c r="HF66" s="1053"/>
      <c r="HG66" s="1053"/>
      <c r="HH66" s="1053"/>
      <c r="HI66" s="1053"/>
      <c r="HJ66" s="1053"/>
      <c r="HK66" s="1053"/>
      <c r="HL66" s="1053"/>
      <c r="HM66" s="1053"/>
      <c r="HN66" s="1053"/>
      <c r="HO66" s="1053"/>
      <c r="HP66" s="1053"/>
      <c r="HQ66" s="1053"/>
      <c r="HR66" s="1053"/>
      <c r="HS66" s="1053"/>
      <c r="HT66" s="1053"/>
      <c r="HU66" s="1053"/>
      <c r="HV66" s="1053"/>
      <c r="HW66" s="1053"/>
      <c r="HX66" s="1053"/>
      <c r="HY66" s="1053"/>
      <c r="HZ66" s="1053"/>
      <c r="IA66" s="1053"/>
      <c r="IB66" s="1053"/>
      <c r="IC66" s="1053"/>
      <c r="ID66" s="1053"/>
      <c r="IE66" s="1053"/>
      <c r="IF66" s="1053"/>
      <c r="IG66" s="1053"/>
      <c r="IH66" s="1053"/>
      <c r="II66" s="1053"/>
      <c r="IJ66" s="1053"/>
      <c r="IK66" s="1053"/>
      <c r="IL66" s="1053"/>
      <c r="IM66" s="1053"/>
      <c r="IN66" s="1053"/>
      <c r="IO66" s="1053"/>
      <c r="IP66" s="1053"/>
      <c r="IQ66" s="1053"/>
      <c r="IR66" s="1053"/>
      <c r="IS66" s="1053"/>
      <c r="IT66" s="1053"/>
      <c r="IU66" s="1053"/>
      <c r="IV66" s="1053"/>
      <c r="IW66" s="1053"/>
    </row>
    <row r="67" customFormat="false" ht="12.75" hidden="false" customHeight="false" outlineLevel="0" collapsed="false">
      <c r="A67" s="1110"/>
      <c r="B67" s="1097" t="s">
        <v>693</v>
      </c>
      <c r="C67" s="242"/>
      <c r="D67" s="242" t="n">
        <f aca="false">Income!E34</f>
        <v>-1128.5524</v>
      </c>
      <c r="E67" s="242" t="n">
        <f aca="false">Income!F34</f>
        <v>-1129.049997</v>
      </c>
      <c r="F67" s="242" t="n">
        <f aca="false">Income!G34</f>
        <v>-1130.1997655895</v>
      </c>
      <c r="G67" s="242" t="n">
        <f aca="false">Income!H34</f>
        <v>-1132.14898157918</v>
      </c>
      <c r="H67" s="242" t="n">
        <f aca="false">Income!I34</f>
        <v>-1134.77213920728</v>
      </c>
      <c r="I67" s="242" t="n">
        <f aca="false">Income!J34</f>
        <v>-1482.98190870659</v>
      </c>
      <c r="J67" s="242" t="n">
        <f aca="false">Income!K34</f>
        <v>-1495.89981899892</v>
      </c>
      <c r="K67" s="242" t="n">
        <f aca="false">Income!L34</f>
        <v>-1509.57379006443</v>
      </c>
      <c r="L67" s="242" t="n">
        <f aca="false">Income!M34</f>
        <v>-1524.0085116777</v>
      </c>
      <c r="M67" s="242" t="n">
        <f aca="false">Income!N34</f>
        <v>-1539.3053282885</v>
      </c>
      <c r="N67" s="242" t="n">
        <f aca="false">Income!O34</f>
        <v>-1510.53261358893</v>
      </c>
      <c r="O67" s="242" t="n">
        <f aca="false">Income!P34</f>
        <v>-1528.03529858551</v>
      </c>
      <c r="P67" s="242" t="n">
        <f aca="false">Income!Q34</f>
        <v>-1547.14492393436</v>
      </c>
      <c r="Q67" s="242" t="n">
        <f aca="false">Income!R34</f>
        <v>-1567.94382324035</v>
      </c>
      <c r="R67" s="242" t="n">
        <f aca="false">Income!S34</f>
        <v>-1590.62782339725</v>
      </c>
      <c r="S67" s="242" t="n">
        <f aca="false">Income!T34</f>
        <v>-1615.19582420471</v>
      </c>
      <c r="T67" s="242" t="n">
        <f aca="false">Income!U34</f>
        <v>-1641.50928056403</v>
      </c>
      <c r="U67" s="242" t="n">
        <f aca="false">Income!V34</f>
        <v>-1591.62284885926</v>
      </c>
      <c r="V67" s="242" t="n">
        <f aca="false">Income!W34</f>
        <v>-1620.41172855041</v>
      </c>
      <c r="W67" s="242" t="n">
        <f aca="false">Income!X34</f>
        <v>-1652.33852365652</v>
      </c>
      <c r="X67" s="242" t="n">
        <f aca="false">Income!Y34</f>
        <v>0</v>
      </c>
      <c r="Y67" s="242" t="n">
        <f aca="false">Income!Z34</f>
        <v>0</v>
      </c>
      <c r="Z67" s="242" t="n">
        <f aca="false">Income!AA34</f>
        <v>0</v>
      </c>
      <c r="AA67" s="242" t="n">
        <f aca="false">Income!AB34</f>
        <v>0</v>
      </c>
      <c r="AB67" s="242" t="n">
        <f aca="false">Income!AC34</f>
        <v>0</v>
      </c>
      <c r="AC67" s="242" t="n">
        <f aca="false">Income!AD34</f>
        <v>0</v>
      </c>
      <c r="AD67" s="242" t="n">
        <f aca="false">Income!AE34</f>
        <v>0</v>
      </c>
      <c r="AE67" s="242" t="n">
        <f aca="false">Income!AF34</f>
        <v>0</v>
      </c>
      <c r="AF67" s="242" t="n">
        <f aca="false">Income!AG34</f>
        <v>0</v>
      </c>
      <c r="AG67" s="242" t="n">
        <f aca="false">Income!AH34</f>
        <v>0</v>
      </c>
      <c r="AH67" s="242" t="n">
        <f aca="false">Income!AI34</f>
        <v>0</v>
      </c>
      <c r="AI67" s="242"/>
      <c r="AJ67" s="242"/>
      <c r="AK67" s="242"/>
      <c r="AL67" s="242"/>
      <c r="AM67" s="242"/>
      <c r="AN67" s="242"/>
      <c r="AO67" s="242"/>
      <c r="AP67" s="242"/>
      <c r="AQ67" s="242"/>
      <c r="AR67" s="242"/>
      <c r="AS67" s="242"/>
      <c r="AT67" s="242"/>
      <c r="AU67" s="242"/>
      <c r="AV67" s="242"/>
      <c r="AW67" s="242"/>
      <c r="AX67" s="242"/>
      <c r="AY67" s="242"/>
      <c r="AZ67" s="242"/>
      <c r="BA67" s="242"/>
      <c r="BB67" s="242"/>
      <c r="BC67" s="242"/>
      <c r="BD67" s="242"/>
      <c r="BE67" s="242"/>
      <c r="BF67" s="242"/>
      <c r="BG67" s="242"/>
      <c r="BH67" s="242"/>
      <c r="BI67" s="242"/>
      <c r="BJ67" s="242"/>
      <c r="BK67" s="242"/>
      <c r="BL67" s="242"/>
      <c r="BM67" s="242"/>
      <c r="BN67" s="242"/>
      <c r="BO67" s="242"/>
      <c r="BP67" s="242"/>
      <c r="BQ67" s="242"/>
      <c r="BR67" s="242"/>
      <c r="BS67" s="242"/>
      <c r="BT67" s="242"/>
      <c r="BU67" s="242"/>
      <c r="BV67" s="242"/>
      <c r="BW67" s="242"/>
      <c r="BX67" s="242"/>
      <c r="BY67" s="242"/>
      <c r="BZ67" s="242"/>
      <c r="CA67" s="242"/>
      <c r="CB67" s="242"/>
      <c r="CC67" s="242"/>
      <c r="CD67" s="242"/>
      <c r="CE67" s="242"/>
      <c r="CF67" s="242"/>
      <c r="CG67" s="242"/>
      <c r="CH67" s="242"/>
      <c r="CI67" s="242"/>
      <c r="CJ67" s="242"/>
      <c r="CK67" s="242"/>
      <c r="CL67" s="242"/>
      <c r="CM67" s="242"/>
      <c r="CN67" s="242"/>
      <c r="CO67" s="242"/>
      <c r="CP67" s="242"/>
      <c r="CQ67" s="242"/>
      <c r="CR67" s="242"/>
      <c r="CS67" s="242"/>
      <c r="CT67" s="242"/>
      <c r="CU67" s="242"/>
      <c r="CV67" s="242"/>
      <c r="CW67" s="242"/>
      <c r="CX67" s="242"/>
      <c r="CY67" s="242"/>
      <c r="CZ67" s="242"/>
      <c r="DA67" s="242"/>
      <c r="DB67" s="242"/>
      <c r="DC67" s="242"/>
      <c r="DD67" s="242"/>
      <c r="DE67" s="242"/>
      <c r="DF67" s="242"/>
      <c r="DG67" s="242"/>
      <c r="DH67" s="242"/>
      <c r="DI67" s="242"/>
      <c r="DJ67" s="242"/>
      <c r="DK67" s="242"/>
      <c r="DL67" s="242"/>
      <c r="DM67" s="242"/>
      <c r="DN67" s="242"/>
      <c r="DO67" s="242"/>
      <c r="DP67" s="242"/>
      <c r="DQ67" s="242"/>
      <c r="DR67" s="242"/>
      <c r="DS67" s="242"/>
      <c r="DT67" s="242"/>
      <c r="DU67" s="242"/>
      <c r="DV67" s="242"/>
      <c r="DW67" s="242"/>
      <c r="DX67" s="242"/>
      <c r="DY67" s="242"/>
      <c r="DZ67" s="242"/>
      <c r="EA67" s="242"/>
      <c r="EB67" s="242"/>
      <c r="EC67" s="242"/>
      <c r="ED67" s="242"/>
      <c r="EE67" s="242"/>
      <c r="EF67" s="242"/>
      <c r="EG67" s="242"/>
      <c r="EH67" s="242"/>
      <c r="EI67" s="242"/>
      <c r="EJ67" s="242"/>
      <c r="EK67" s="242"/>
      <c r="EL67" s="242"/>
      <c r="EM67" s="242"/>
      <c r="EN67" s="242"/>
      <c r="EO67" s="242"/>
      <c r="EP67" s="242"/>
      <c r="EQ67" s="242"/>
      <c r="ER67" s="242"/>
      <c r="ES67" s="242"/>
      <c r="ET67" s="242"/>
      <c r="EU67" s="242"/>
      <c r="EV67" s="242"/>
      <c r="EW67" s="242"/>
      <c r="EX67" s="242"/>
      <c r="EY67" s="242"/>
      <c r="EZ67" s="242"/>
      <c r="FA67" s="242"/>
      <c r="FB67" s="242"/>
      <c r="FC67" s="242"/>
      <c r="FD67" s="242"/>
      <c r="FE67" s="242"/>
      <c r="FF67" s="242"/>
      <c r="FG67" s="242"/>
      <c r="FH67" s="242"/>
      <c r="FI67" s="242"/>
      <c r="FJ67" s="242"/>
      <c r="FK67" s="242"/>
      <c r="FL67" s="242"/>
      <c r="FM67" s="242"/>
      <c r="FN67" s="242"/>
      <c r="FO67" s="242"/>
      <c r="FP67" s="242"/>
      <c r="FQ67" s="242"/>
      <c r="FR67" s="242"/>
      <c r="FS67" s="242"/>
      <c r="FT67" s="242"/>
      <c r="FU67" s="242"/>
      <c r="FV67" s="242"/>
      <c r="FW67" s="242"/>
      <c r="FX67" s="242"/>
      <c r="FY67" s="242"/>
      <c r="FZ67" s="242"/>
      <c r="GA67" s="242"/>
      <c r="GB67" s="242"/>
      <c r="GC67" s="242"/>
      <c r="GD67" s="242"/>
      <c r="GE67" s="242"/>
      <c r="GF67" s="242"/>
      <c r="GG67" s="242"/>
      <c r="GH67" s="242"/>
      <c r="GI67" s="242"/>
      <c r="GJ67" s="242"/>
      <c r="GK67" s="242"/>
      <c r="GL67" s="242"/>
      <c r="GM67" s="242"/>
      <c r="GN67" s="242"/>
      <c r="GO67" s="242"/>
      <c r="GP67" s="242"/>
      <c r="GQ67" s="242"/>
      <c r="GR67" s="242"/>
      <c r="GS67" s="242"/>
      <c r="GT67" s="242"/>
      <c r="GU67" s="242"/>
      <c r="GV67" s="242"/>
      <c r="GW67" s="242"/>
      <c r="GX67" s="242"/>
      <c r="GY67" s="242"/>
      <c r="GZ67" s="242"/>
      <c r="HA67" s="242"/>
      <c r="HB67" s="242"/>
      <c r="HC67" s="242"/>
      <c r="HD67" s="242"/>
      <c r="HE67" s="242"/>
      <c r="HF67" s="242"/>
      <c r="HG67" s="242"/>
      <c r="HH67" s="242"/>
      <c r="HI67" s="242"/>
      <c r="HJ67" s="242"/>
      <c r="HK67" s="242"/>
      <c r="HL67" s="242"/>
      <c r="HM67" s="242"/>
      <c r="HN67" s="242"/>
      <c r="HO67" s="242"/>
      <c r="HP67" s="242"/>
      <c r="HQ67" s="242"/>
      <c r="HR67" s="242"/>
      <c r="HS67" s="242"/>
      <c r="HT67" s="242"/>
      <c r="HU67" s="242"/>
      <c r="HV67" s="242"/>
      <c r="HW67" s="242"/>
      <c r="HX67" s="242"/>
      <c r="HY67" s="242"/>
      <c r="HZ67" s="242"/>
      <c r="IA67" s="242"/>
      <c r="IB67" s="242"/>
      <c r="IC67" s="242"/>
      <c r="ID67" s="242"/>
      <c r="IE67" s="242"/>
      <c r="IF67" s="242"/>
      <c r="IG67" s="242"/>
      <c r="IH67" s="242"/>
      <c r="II67" s="242"/>
      <c r="IJ67" s="242"/>
      <c r="IK67" s="242"/>
      <c r="IL67" s="242"/>
      <c r="IM67" s="242"/>
      <c r="IN67" s="242"/>
      <c r="IO67" s="242"/>
      <c r="IP67" s="242"/>
      <c r="IQ67" s="242"/>
      <c r="IR67" s="242"/>
      <c r="IS67" s="242"/>
      <c r="IT67" s="242"/>
      <c r="IU67" s="242"/>
      <c r="IV67" s="242"/>
      <c r="IW67" s="242"/>
    </row>
    <row r="68" customFormat="false" ht="12.75" hidden="false" customHeight="false" outlineLevel="0" collapsed="false">
      <c r="A68" s="1110"/>
      <c r="B68" s="1097" t="s">
        <v>694</v>
      </c>
      <c r="C68" s="242"/>
      <c r="D68" s="242" t="n">
        <f aca="false">SUM(Income!E35:E37)</f>
        <v>-408.959014231876</v>
      </c>
      <c r="E68" s="242" t="n">
        <f aca="false">SUM(Income!F35:F37)</f>
        <v>-410.510226849086</v>
      </c>
      <c r="F68" s="242" t="n">
        <f aca="false">SUM(Income!G35:G37)</f>
        <v>-412.05125660301</v>
      </c>
      <c r="G68" s="242" t="n">
        <f aca="false">SUM(Income!H35:H37)</f>
        <v>-413.605411200867</v>
      </c>
      <c r="H68" s="242" t="n">
        <f aca="false">SUM(Income!I35:I37)</f>
        <v>-415.172696827327</v>
      </c>
      <c r="I68" s="242" t="n">
        <f aca="false">SUM(Income!J35:J37)</f>
        <v>-71.6863178629822</v>
      </c>
      <c r="J68" s="242" t="n">
        <f aca="false">SUM(Income!K35:K37)</f>
        <v>-73.2091842206639</v>
      </c>
      <c r="K68" s="242" t="n">
        <f aca="false">SUM(Income!L35:L37)</f>
        <v>-74.7400475649222</v>
      </c>
      <c r="L68" s="242" t="n">
        <f aca="false">SUM(Income!M35:M37)</f>
        <v>-76.2836390599721</v>
      </c>
      <c r="M68" s="242" t="n">
        <f aca="false">SUM(Income!N35:N37)</f>
        <v>-78.0798414856904</v>
      </c>
      <c r="N68" s="242" t="n">
        <f aca="false">SUM(Income!O35:O37)</f>
        <v>-79.6578307174416</v>
      </c>
      <c r="O68" s="242" t="n">
        <f aca="false">SUM(Income!P35:P37)</f>
        <v>-81.2573120553746</v>
      </c>
      <c r="P68" s="242" t="n">
        <f aca="false">SUM(Income!Q35:Q37)</f>
        <v>-82.9115156713117</v>
      </c>
      <c r="Q68" s="242" t="n">
        <f aca="false">SUM(Income!R35:R37)</f>
        <v>-84.6294837042567</v>
      </c>
      <c r="R68" s="242" t="n">
        <f aca="false">SUM(Income!S35:S37)</f>
        <v>-86.4140303330191</v>
      </c>
      <c r="S68" s="242" t="n">
        <f aca="false">SUM(Income!T35:T37)</f>
        <v>-87.6786796711749</v>
      </c>
      <c r="T68" s="242" t="n">
        <f aca="false">SUM(Income!U35:U37)</f>
        <v>-79.3310601888711</v>
      </c>
      <c r="U68" s="242" t="n">
        <f aca="false">SUM(Income!V35:V37)</f>
        <v>-81.5096281999388</v>
      </c>
      <c r="V68" s="242" t="n">
        <f aca="false">SUM(Income!W35:W37)</f>
        <v>-83.8154432399967</v>
      </c>
      <c r="W68" s="242" t="n">
        <f aca="false">SUM(Income!X35:X37)</f>
        <v>-82.9065600313145</v>
      </c>
      <c r="X68" s="242" t="n">
        <f aca="false">SUM(Income!Y35:Y37)</f>
        <v>0</v>
      </c>
      <c r="Y68" s="242" t="n">
        <f aca="false">SUM(Income!Z35:Z37)</f>
        <v>0</v>
      </c>
      <c r="Z68" s="242" t="n">
        <f aca="false">SUM(Income!AA35:AA37)</f>
        <v>0</v>
      </c>
      <c r="AA68" s="242" t="n">
        <f aca="false">SUM(Income!AB35:AB37)</f>
        <v>0</v>
      </c>
      <c r="AB68" s="242" t="n">
        <f aca="false">SUM(Income!AC35:AC37)</f>
        <v>0</v>
      </c>
      <c r="AC68" s="242" t="n">
        <f aca="false">SUM(Income!AD35:AD37)</f>
        <v>0</v>
      </c>
      <c r="AD68" s="242" t="n">
        <f aca="false">SUM(Income!AE35:AE37)</f>
        <v>0</v>
      </c>
      <c r="AE68" s="242" t="n">
        <f aca="false">SUM(Income!AF35:AF37)</f>
        <v>0</v>
      </c>
      <c r="AF68" s="242" t="n">
        <f aca="false">SUM(Income!AG35:AG37)</f>
        <v>0</v>
      </c>
      <c r="AG68" s="242" t="n">
        <f aca="false">SUM(Income!AH35:AH37)</f>
        <v>0</v>
      </c>
      <c r="AH68" s="242" t="n">
        <f aca="false">SUM(Income!AI35:AI37)</f>
        <v>0</v>
      </c>
      <c r="AI68" s="242"/>
      <c r="AJ68" s="242"/>
      <c r="AK68" s="242"/>
      <c r="AL68" s="242"/>
      <c r="AM68" s="242"/>
      <c r="AN68" s="242"/>
      <c r="AO68" s="242"/>
      <c r="AP68" s="242"/>
      <c r="AQ68" s="242"/>
      <c r="AR68" s="242"/>
      <c r="AS68" s="242"/>
      <c r="AT68" s="242"/>
      <c r="AU68" s="242"/>
      <c r="AV68" s="242"/>
      <c r="AW68" s="242"/>
      <c r="AX68" s="242"/>
      <c r="AY68" s="242"/>
      <c r="AZ68" s="242"/>
      <c r="BA68" s="242"/>
      <c r="BB68" s="242"/>
      <c r="BC68" s="242"/>
      <c r="BD68" s="242"/>
      <c r="BE68" s="242"/>
      <c r="BF68" s="242"/>
      <c r="BG68" s="242"/>
      <c r="BH68" s="242"/>
      <c r="BI68" s="242"/>
      <c r="BJ68" s="242"/>
      <c r="BK68" s="242"/>
      <c r="BL68" s="242"/>
      <c r="BM68" s="242"/>
      <c r="BN68" s="242"/>
      <c r="BO68" s="242"/>
      <c r="BP68" s="242"/>
      <c r="BQ68" s="242"/>
      <c r="BR68" s="242"/>
      <c r="BS68" s="242"/>
      <c r="BT68" s="242"/>
      <c r="BU68" s="242"/>
      <c r="BV68" s="242"/>
      <c r="BW68" s="242"/>
      <c r="BX68" s="242"/>
      <c r="BY68" s="242"/>
      <c r="BZ68" s="242"/>
      <c r="CA68" s="242"/>
      <c r="CB68" s="242"/>
      <c r="CC68" s="242"/>
      <c r="CD68" s="242"/>
      <c r="CE68" s="242"/>
      <c r="CF68" s="242"/>
      <c r="CG68" s="242"/>
      <c r="CH68" s="242"/>
      <c r="CI68" s="242"/>
      <c r="CJ68" s="242"/>
      <c r="CK68" s="242"/>
      <c r="CL68" s="242"/>
      <c r="CM68" s="242"/>
      <c r="CN68" s="242"/>
      <c r="CO68" s="242"/>
      <c r="CP68" s="242"/>
      <c r="CQ68" s="242"/>
      <c r="CR68" s="242"/>
      <c r="CS68" s="242"/>
      <c r="CT68" s="242"/>
      <c r="CU68" s="242"/>
      <c r="CV68" s="242"/>
      <c r="CW68" s="242"/>
      <c r="CX68" s="242"/>
      <c r="CY68" s="242"/>
      <c r="CZ68" s="242"/>
      <c r="DA68" s="242"/>
      <c r="DB68" s="242"/>
      <c r="DC68" s="242"/>
      <c r="DD68" s="242"/>
      <c r="DE68" s="242"/>
      <c r="DF68" s="242"/>
      <c r="DG68" s="242"/>
      <c r="DH68" s="242"/>
      <c r="DI68" s="242"/>
      <c r="DJ68" s="242"/>
      <c r="DK68" s="242"/>
      <c r="DL68" s="242"/>
      <c r="DM68" s="242"/>
      <c r="DN68" s="242"/>
      <c r="DO68" s="242"/>
      <c r="DP68" s="242"/>
      <c r="DQ68" s="242"/>
      <c r="DR68" s="242"/>
      <c r="DS68" s="242"/>
      <c r="DT68" s="242"/>
      <c r="DU68" s="242"/>
      <c r="DV68" s="242"/>
      <c r="DW68" s="242"/>
      <c r="DX68" s="242"/>
      <c r="DY68" s="242"/>
      <c r="DZ68" s="242"/>
      <c r="EA68" s="242"/>
      <c r="EB68" s="242"/>
      <c r="EC68" s="242"/>
      <c r="ED68" s="242"/>
      <c r="EE68" s="242"/>
      <c r="EF68" s="242"/>
      <c r="EG68" s="242"/>
      <c r="EH68" s="242"/>
      <c r="EI68" s="242"/>
      <c r="EJ68" s="242"/>
      <c r="EK68" s="242"/>
      <c r="EL68" s="242"/>
      <c r="EM68" s="242"/>
      <c r="EN68" s="242"/>
      <c r="EO68" s="242"/>
      <c r="EP68" s="242"/>
      <c r="EQ68" s="242"/>
      <c r="ER68" s="242"/>
      <c r="ES68" s="242"/>
      <c r="ET68" s="242"/>
      <c r="EU68" s="242"/>
      <c r="EV68" s="242"/>
      <c r="EW68" s="242"/>
      <c r="EX68" s="242"/>
      <c r="EY68" s="242"/>
      <c r="EZ68" s="242"/>
      <c r="FA68" s="242"/>
      <c r="FB68" s="242"/>
      <c r="FC68" s="242"/>
      <c r="FD68" s="242"/>
      <c r="FE68" s="242"/>
      <c r="FF68" s="242"/>
      <c r="FG68" s="242"/>
      <c r="FH68" s="242"/>
      <c r="FI68" s="242"/>
      <c r="FJ68" s="242"/>
      <c r="FK68" s="242"/>
      <c r="FL68" s="242"/>
      <c r="FM68" s="242"/>
      <c r="FN68" s="242"/>
      <c r="FO68" s="242"/>
      <c r="FP68" s="242"/>
      <c r="FQ68" s="242"/>
      <c r="FR68" s="242"/>
      <c r="FS68" s="242"/>
      <c r="FT68" s="242"/>
      <c r="FU68" s="242"/>
      <c r="FV68" s="242"/>
      <c r="FW68" s="242"/>
      <c r="FX68" s="242"/>
      <c r="FY68" s="242"/>
      <c r="FZ68" s="242"/>
      <c r="GA68" s="242"/>
      <c r="GB68" s="242"/>
      <c r="GC68" s="242"/>
      <c r="GD68" s="242"/>
      <c r="GE68" s="242"/>
      <c r="GF68" s="242"/>
      <c r="GG68" s="242"/>
      <c r="GH68" s="242"/>
      <c r="GI68" s="242"/>
      <c r="GJ68" s="242"/>
      <c r="GK68" s="242"/>
      <c r="GL68" s="242"/>
      <c r="GM68" s="242"/>
      <c r="GN68" s="242"/>
      <c r="GO68" s="242"/>
      <c r="GP68" s="242"/>
      <c r="GQ68" s="242"/>
      <c r="GR68" s="242"/>
      <c r="GS68" s="242"/>
      <c r="GT68" s="242"/>
      <c r="GU68" s="242"/>
      <c r="GV68" s="242"/>
      <c r="GW68" s="242"/>
      <c r="GX68" s="242"/>
      <c r="GY68" s="242"/>
      <c r="GZ68" s="242"/>
      <c r="HA68" s="242"/>
      <c r="HB68" s="242"/>
      <c r="HC68" s="242"/>
      <c r="HD68" s="242"/>
      <c r="HE68" s="242"/>
      <c r="HF68" s="242"/>
      <c r="HG68" s="242"/>
      <c r="HH68" s="242"/>
      <c r="HI68" s="242"/>
      <c r="HJ68" s="242"/>
      <c r="HK68" s="242"/>
      <c r="HL68" s="242"/>
      <c r="HM68" s="242"/>
      <c r="HN68" s="242"/>
      <c r="HO68" s="242"/>
      <c r="HP68" s="242"/>
      <c r="HQ68" s="242"/>
      <c r="HR68" s="242"/>
      <c r="HS68" s="242"/>
      <c r="HT68" s="242"/>
      <c r="HU68" s="242"/>
      <c r="HV68" s="242"/>
      <c r="HW68" s="242"/>
      <c r="HX68" s="242"/>
      <c r="HY68" s="242"/>
      <c r="HZ68" s="242"/>
      <c r="IA68" s="242"/>
      <c r="IB68" s="242"/>
      <c r="IC68" s="242"/>
      <c r="ID68" s="242"/>
      <c r="IE68" s="242"/>
      <c r="IF68" s="242"/>
      <c r="IG68" s="242"/>
      <c r="IH68" s="242"/>
      <c r="II68" s="242"/>
      <c r="IJ68" s="242"/>
      <c r="IK68" s="242"/>
      <c r="IL68" s="242"/>
      <c r="IM68" s="242"/>
      <c r="IN68" s="242"/>
      <c r="IO68" s="242"/>
      <c r="IP68" s="242"/>
      <c r="IQ68" s="242"/>
      <c r="IR68" s="242"/>
      <c r="IS68" s="242"/>
      <c r="IT68" s="242"/>
      <c r="IU68" s="242"/>
      <c r="IV68" s="242"/>
      <c r="IW68" s="242"/>
    </row>
    <row r="69" customFormat="false" ht="12.75" hidden="false" customHeight="false" outlineLevel="0" collapsed="false">
      <c r="A69" s="1110"/>
      <c r="B69" s="1097" t="s">
        <v>695</v>
      </c>
      <c r="C69" s="242"/>
      <c r="D69" s="242" t="n">
        <f aca="false">Income!E43</f>
        <v>-7494.54524971112</v>
      </c>
      <c r="E69" s="242" t="n">
        <f aca="false">Income!F43</f>
        <v>-11926.7786015391</v>
      </c>
      <c r="F69" s="242" t="n">
        <f aca="false">Income!G43</f>
        <v>-7199.06302625593</v>
      </c>
      <c r="G69" s="242" t="n">
        <f aca="false">Income!H43</f>
        <v>-4362.43368108605</v>
      </c>
      <c r="H69" s="242" t="n">
        <f aca="false">Income!I43</f>
        <v>-4362.43368108605</v>
      </c>
      <c r="I69" s="242" t="n">
        <f aca="false">Income!J43</f>
        <v>-2234.96167220864</v>
      </c>
      <c r="J69" s="242" t="n">
        <f aca="false">Income!K43</f>
        <v>-107.489663331225</v>
      </c>
      <c r="K69" s="242" t="n">
        <f aca="false">Income!L43</f>
        <v>-107.489663331225</v>
      </c>
      <c r="L69" s="242" t="n">
        <f aca="false">Income!M43</f>
        <v>-107.489663331225</v>
      </c>
      <c r="M69" s="242" t="n">
        <f aca="false">Income!N43</f>
        <v>-107.489663331225</v>
      </c>
      <c r="N69" s="242" t="n">
        <f aca="false">Income!O43</f>
        <v>-107.489663331225</v>
      </c>
      <c r="O69" s="242" t="n">
        <f aca="false">Income!P43</f>
        <v>-107.489663331225</v>
      </c>
      <c r="P69" s="242" t="n">
        <f aca="false">Income!Q43</f>
        <v>-107.489663331225</v>
      </c>
      <c r="Q69" s="242" t="n">
        <f aca="false">Income!R43</f>
        <v>-107.489663331225</v>
      </c>
      <c r="R69" s="242" t="n">
        <f aca="false">Income!S43</f>
        <v>-107.489663331225</v>
      </c>
      <c r="S69" s="242" t="n">
        <f aca="false">Income!T43</f>
        <v>-107.489663331225</v>
      </c>
      <c r="T69" s="242" t="n">
        <f aca="false">Income!U43</f>
        <v>-107.489663331225</v>
      </c>
      <c r="U69" s="242" t="n">
        <f aca="false">Income!V43</f>
        <v>-38.8792399283153</v>
      </c>
      <c r="V69" s="242" t="n">
        <f aca="false">Income!W43</f>
        <v>-38.8792399283153</v>
      </c>
      <c r="W69" s="242" t="n">
        <f aca="false">Income!X43</f>
        <v>-38.8792399283153</v>
      </c>
      <c r="X69" s="242" t="n">
        <f aca="false">Income!Y43</f>
        <v>0</v>
      </c>
      <c r="Y69" s="242" t="n">
        <f aca="false">Income!Z43</f>
        <v>0</v>
      </c>
      <c r="Z69" s="242" t="n">
        <f aca="false">Income!AA43</f>
        <v>0</v>
      </c>
      <c r="AA69" s="242" t="n">
        <f aca="false">Income!AB43</f>
        <v>0</v>
      </c>
      <c r="AB69" s="242" t="n">
        <f aca="false">Income!AC43</f>
        <v>0</v>
      </c>
      <c r="AC69" s="242" t="n">
        <f aca="false">Income!AD43</f>
        <v>0</v>
      </c>
      <c r="AD69" s="242" t="n">
        <f aca="false">Income!AE43</f>
        <v>0</v>
      </c>
      <c r="AE69" s="242" t="n">
        <f aca="false">Income!AF43</f>
        <v>0</v>
      </c>
      <c r="AF69" s="242" t="n">
        <f aca="false">Income!AG43</f>
        <v>0</v>
      </c>
      <c r="AG69" s="242" t="n">
        <f aca="false">Income!AH43</f>
        <v>0</v>
      </c>
      <c r="AH69" s="242" t="n">
        <f aca="false">Income!AI43</f>
        <v>0</v>
      </c>
      <c r="AI69" s="242"/>
      <c r="AJ69" s="242"/>
      <c r="AK69" s="242"/>
      <c r="AL69" s="242"/>
      <c r="AM69" s="242"/>
      <c r="AN69" s="242"/>
      <c r="AO69" s="242"/>
      <c r="AP69" s="242"/>
      <c r="AQ69" s="242"/>
      <c r="AR69" s="242"/>
      <c r="AS69" s="242"/>
      <c r="AT69" s="242"/>
      <c r="AU69" s="242"/>
      <c r="AV69" s="242"/>
      <c r="AW69" s="242"/>
      <c r="AX69" s="242"/>
      <c r="AY69" s="242"/>
      <c r="AZ69" s="242"/>
      <c r="BA69" s="242"/>
      <c r="BB69" s="242"/>
      <c r="BC69" s="242"/>
      <c r="BD69" s="242"/>
      <c r="BE69" s="242"/>
      <c r="BF69" s="242"/>
      <c r="BG69" s="242"/>
      <c r="BH69" s="242"/>
      <c r="BI69" s="242"/>
      <c r="BJ69" s="242"/>
      <c r="BK69" s="242"/>
      <c r="BL69" s="242"/>
      <c r="BM69" s="242"/>
      <c r="BN69" s="242"/>
      <c r="BO69" s="242"/>
      <c r="BP69" s="242"/>
      <c r="BQ69" s="242"/>
      <c r="BR69" s="242"/>
      <c r="BS69" s="242"/>
      <c r="BT69" s="242"/>
      <c r="BU69" s="242"/>
      <c r="BV69" s="242"/>
      <c r="BW69" s="242"/>
      <c r="BX69" s="242"/>
      <c r="BY69" s="242"/>
      <c r="BZ69" s="242"/>
      <c r="CA69" s="242"/>
      <c r="CB69" s="242"/>
      <c r="CC69" s="242"/>
      <c r="CD69" s="242"/>
      <c r="CE69" s="242"/>
      <c r="CF69" s="242"/>
      <c r="CG69" s="242"/>
      <c r="CH69" s="242"/>
      <c r="CI69" s="242"/>
      <c r="CJ69" s="242"/>
      <c r="CK69" s="242"/>
      <c r="CL69" s="242"/>
      <c r="CM69" s="242"/>
      <c r="CN69" s="242"/>
      <c r="CO69" s="242"/>
      <c r="CP69" s="242"/>
      <c r="CQ69" s="242"/>
      <c r="CR69" s="242"/>
      <c r="CS69" s="242"/>
      <c r="CT69" s="242"/>
      <c r="CU69" s="242"/>
      <c r="CV69" s="242"/>
      <c r="CW69" s="242"/>
      <c r="CX69" s="242"/>
      <c r="CY69" s="242"/>
      <c r="CZ69" s="242"/>
      <c r="DA69" s="242"/>
      <c r="DB69" s="242"/>
      <c r="DC69" s="242"/>
      <c r="DD69" s="242"/>
      <c r="DE69" s="242"/>
      <c r="DF69" s="242"/>
      <c r="DG69" s="242"/>
      <c r="DH69" s="242"/>
      <c r="DI69" s="242"/>
      <c r="DJ69" s="242"/>
      <c r="DK69" s="242"/>
      <c r="DL69" s="242"/>
      <c r="DM69" s="242"/>
      <c r="DN69" s="242"/>
      <c r="DO69" s="242"/>
      <c r="DP69" s="242"/>
      <c r="DQ69" s="242"/>
      <c r="DR69" s="242"/>
      <c r="DS69" s="242"/>
      <c r="DT69" s="242"/>
      <c r="DU69" s="242"/>
      <c r="DV69" s="242"/>
      <c r="DW69" s="242"/>
      <c r="DX69" s="242"/>
      <c r="DY69" s="242"/>
      <c r="DZ69" s="242"/>
      <c r="EA69" s="242"/>
      <c r="EB69" s="242"/>
      <c r="EC69" s="242"/>
      <c r="ED69" s="242"/>
      <c r="EE69" s="242"/>
      <c r="EF69" s="242"/>
      <c r="EG69" s="242"/>
      <c r="EH69" s="242"/>
      <c r="EI69" s="242"/>
      <c r="EJ69" s="242"/>
      <c r="EK69" s="242"/>
      <c r="EL69" s="242"/>
      <c r="EM69" s="242"/>
      <c r="EN69" s="242"/>
      <c r="EO69" s="242"/>
      <c r="EP69" s="242"/>
      <c r="EQ69" s="242"/>
      <c r="ER69" s="242"/>
      <c r="ES69" s="242"/>
      <c r="ET69" s="242"/>
      <c r="EU69" s="242"/>
      <c r="EV69" s="242"/>
      <c r="EW69" s="242"/>
      <c r="EX69" s="242"/>
      <c r="EY69" s="242"/>
      <c r="EZ69" s="242"/>
      <c r="FA69" s="242"/>
      <c r="FB69" s="242"/>
      <c r="FC69" s="242"/>
      <c r="FD69" s="242"/>
      <c r="FE69" s="242"/>
      <c r="FF69" s="242"/>
      <c r="FG69" s="242"/>
      <c r="FH69" s="242"/>
      <c r="FI69" s="242"/>
      <c r="FJ69" s="242"/>
      <c r="FK69" s="242"/>
      <c r="FL69" s="242"/>
      <c r="FM69" s="242"/>
      <c r="FN69" s="242"/>
      <c r="FO69" s="242"/>
      <c r="FP69" s="242"/>
      <c r="FQ69" s="242"/>
      <c r="FR69" s="242"/>
      <c r="FS69" s="242"/>
      <c r="FT69" s="242"/>
      <c r="FU69" s="242"/>
      <c r="FV69" s="242"/>
      <c r="FW69" s="242"/>
      <c r="FX69" s="242"/>
      <c r="FY69" s="242"/>
      <c r="FZ69" s="242"/>
      <c r="GA69" s="242"/>
      <c r="GB69" s="242"/>
      <c r="GC69" s="242"/>
      <c r="GD69" s="242"/>
      <c r="GE69" s="242"/>
      <c r="GF69" s="242"/>
      <c r="GG69" s="242"/>
      <c r="GH69" s="242"/>
      <c r="GI69" s="242"/>
      <c r="GJ69" s="242"/>
      <c r="GK69" s="242"/>
      <c r="GL69" s="242"/>
      <c r="GM69" s="242"/>
      <c r="GN69" s="242"/>
      <c r="GO69" s="242"/>
      <c r="GP69" s="242"/>
      <c r="GQ69" s="242"/>
      <c r="GR69" s="242"/>
      <c r="GS69" s="242"/>
      <c r="GT69" s="242"/>
      <c r="GU69" s="242"/>
      <c r="GV69" s="242"/>
      <c r="GW69" s="242"/>
      <c r="GX69" s="242"/>
      <c r="GY69" s="242"/>
      <c r="GZ69" s="242"/>
      <c r="HA69" s="242"/>
      <c r="HB69" s="242"/>
      <c r="HC69" s="242"/>
      <c r="HD69" s="242"/>
      <c r="HE69" s="242"/>
      <c r="HF69" s="242"/>
      <c r="HG69" s="242"/>
      <c r="HH69" s="242"/>
      <c r="HI69" s="242"/>
      <c r="HJ69" s="242"/>
      <c r="HK69" s="242"/>
      <c r="HL69" s="242"/>
      <c r="HM69" s="242"/>
      <c r="HN69" s="242"/>
      <c r="HO69" s="242"/>
      <c r="HP69" s="242"/>
      <c r="HQ69" s="242"/>
      <c r="HR69" s="242"/>
      <c r="HS69" s="242"/>
      <c r="HT69" s="242"/>
      <c r="HU69" s="242"/>
      <c r="HV69" s="242"/>
      <c r="HW69" s="242"/>
      <c r="HX69" s="242"/>
      <c r="HY69" s="242"/>
      <c r="HZ69" s="242"/>
      <c r="IA69" s="242"/>
      <c r="IB69" s="242"/>
      <c r="IC69" s="242"/>
      <c r="ID69" s="242"/>
      <c r="IE69" s="242"/>
      <c r="IF69" s="242"/>
      <c r="IG69" s="242"/>
      <c r="IH69" s="242"/>
      <c r="II69" s="242"/>
      <c r="IJ69" s="242"/>
      <c r="IK69" s="242"/>
      <c r="IL69" s="242"/>
      <c r="IM69" s="242"/>
      <c r="IN69" s="242"/>
      <c r="IO69" s="242"/>
      <c r="IP69" s="242"/>
      <c r="IQ69" s="242"/>
      <c r="IR69" s="242"/>
      <c r="IS69" s="242"/>
      <c r="IT69" s="242"/>
      <c r="IU69" s="242"/>
      <c r="IV69" s="242"/>
      <c r="IW69" s="242"/>
    </row>
    <row r="70" customFormat="false" ht="12.75" hidden="false" customHeight="false" outlineLevel="0" collapsed="false">
      <c r="A70" s="1110"/>
      <c r="B70" s="1097" t="s">
        <v>707</v>
      </c>
      <c r="C70" s="242"/>
      <c r="D70" s="242" t="n">
        <f aca="false">Income!E46</f>
        <v>-1262.59931772513</v>
      </c>
      <c r="E70" s="242" t="n">
        <f aca="false">Income!F46</f>
        <v>-1235.53538544543</v>
      </c>
      <c r="F70" s="242" t="n">
        <f aca="false">Income!G46</f>
        <v>-1201.82004539327</v>
      </c>
      <c r="G70" s="242" t="n">
        <f aca="false">Income!H46</f>
        <v>-1157.73527530571</v>
      </c>
      <c r="H70" s="242" t="n">
        <f aca="false">Income!I46</f>
        <v>-1112.69430231155</v>
      </c>
      <c r="I70" s="242" t="n">
        <f aca="false">Income!J46</f>
        <v>-1063.16734715207</v>
      </c>
      <c r="J70" s="242" t="n">
        <f aca="false">Income!K46</f>
        <v>-1011.84240608777</v>
      </c>
      <c r="K70" s="242" t="n">
        <f aca="false">Income!L46</f>
        <v>-950.254524200638</v>
      </c>
      <c r="L70" s="242" t="n">
        <f aca="false">Income!M46</f>
        <v>-886.228133075645</v>
      </c>
      <c r="M70" s="242" t="n">
        <f aca="false">Income!N46</f>
        <v>-816.621945093302</v>
      </c>
      <c r="N70" s="242" t="n">
        <f aca="false">Income!O46</f>
        <v>-742.291751383858</v>
      </c>
      <c r="O70" s="242" t="n">
        <f aca="false">Income!P46</f>
        <v>-654.53922230299</v>
      </c>
      <c r="P70" s="242" t="n">
        <f aca="false">Income!Q46</f>
        <v>-561.167421976736</v>
      </c>
      <c r="Q70" s="242" t="n">
        <f aca="false">Income!R46</f>
        <v>-459.52185685264</v>
      </c>
      <c r="R70" s="242" t="n">
        <f aca="false">Income!S46</f>
        <v>-349.957474789461</v>
      </c>
      <c r="S70" s="242" t="n">
        <f aca="false">Income!T46</f>
        <v>-228.526962230695</v>
      </c>
      <c r="T70" s="242" t="n">
        <f aca="false">Income!U46</f>
        <v>-97.394575731349</v>
      </c>
      <c r="U70" s="242" t="n">
        <f aca="false">Income!V46</f>
        <v>-0</v>
      </c>
      <c r="V70" s="242" t="n">
        <f aca="false">Income!W46</f>
        <v>-0</v>
      </c>
      <c r="W70" s="242" t="n">
        <f aca="false">Income!X46</f>
        <v>-0</v>
      </c>
      <c r="X70" s="242" t="n">
        <f aca="false">Income!Y46</f>
        <v>-0</v>
      </c>
      <c r="Y70" s="242" t="n">
        <f aca="false">Income!Z46</f>
        <v>-0</v>
      </c>
      <c r="Z70" s="242" t="n">
        <f aca="false">Income!AA46</f>
        <v>-0</v>
      </c>
      <c r="AA70" s="242" t="n">
        <f aca="false">Income!AB46</f>
        <v>-0</v>
      </c>
      <c r="AB70" s="242" t="n">
        <f aca="false">Income!AC46</f>
        <v>-0</v>
      </c>
      <c r="AC70" s="242" t="n">
        <f aca="false">Income!AD46</f>
        <v>-0</v>
      </c>
      <c r="AD70" s="242" t="n">
        <f aca="false">Income!AE46</f>
        <v>-0</v>
      </c>
      <c r="AE70" s="242" t="n">
        <f aca="false">Income!AF46</f>
        <v>-0</v>
      </c>
      <c r="AF70" s="242" t="n">
        <f aca="false">Income!AG46</f>
        <v>-0</v>
      </c>
      <c r="AG70" s="242" t="n">
        <f aca="false">Income!AH46</f>
        <v>-0</v>
      </c>
      <c r="AH70" s="242" t="n">
        <f aca="false">Income!AI46</f>
        <v>-0</v>
      </c>
      <c r="AI70" s="242"/>
      <c r="AJ70" s="242"/>
      <c r="AK70" s="242"/>
      <c r="AL70" s="242"/>
      <c r="AM70" s="242"/>
      <c r="AN70" s="242"/>
      <c r="AO70" s="242"/>
      <c r="AP70" s="242"/>
      <c r="AQ70" s="242"/>
      <c r="AR70" s="242"/>
      <c r="AS70" s="242"/>
      <c r="AT70" s="242"/>
      <c r="AU70" s="242"/>
      <c r="AV70" s="242"/>
      <c r="AW70" s="242"/>
      <c r="AX70" s="242"/>
      <c r="AY70" s="242"/>
      <c r="AZ70" s="242"/>
      <c r="BA70" s="242"/>
      <c r="BB70" s="242"/>
      <c r="BC70" s="242"/>
      <c r="BD70" s="242"/>
      <c r="BE70" s="242"/>
      <c r="BF70" s="242"/>
      <c r="BG70" s="242"/>
      <c r="BH70" s="242"/>
      <c r="BI70" s="242"/>
      <c r="BJ70" s="242"/>
      <c r="BK70" s="242"/>
      <c r="BL70" s="242"/>
      <c r="BM70" s="242"/>
      <c r="BN70" s="242"/>
      <c r="BO70" s="242"/>
      <c r="BP70" s="242"/>
      <c r="BQ70" s="242"/>
      <c r="BR70" s="242"/>
      <c r="BS70" s="242"/>
      <c r="BT70" s="242"/>
      <c r="BU70" s="242"/>
      <c r="BV70" s="242"/>
      <c r="BW70" s="242"/>
      <c r="BX70" s="242"/>
      <c r="BY70" s="242"/>
      <c r="BZ70" s="242"/>
      <c r="CA70" s="242"/>
      <c r="CB70" s="242"/>
      <c r="CC70" s="242"/>
      <c r="CD70" s="242"/>
      <c r="CE70" s="242"/>
      <c r="CF70" s="242"/>
      <c r="CG70" s="242"/>
      <c r="CH70" s="242"/>
      <c r="CI70" s="242"/>
      <c r="CJ70" s="242"/>
      <c r="CK70" s="242"/>
      <c r="CL70" s="242"/>
      <c r="CM70" s="242"/>
      <c r="CN70" s="242"/>
      <c r="CO70" s="242"/>
      <c r="CP70" s="242"/>
      <c r="CQ70" s="242"/>
      <c r="CR70" s="242"/>
      <c r="CS70" s="242"/>
      <c r="CT70" s="242"/>
      <c r="CU70" s="242"/>
      <c r="CV70" s="242"/>
      <c r="CW70" s="242"/>
      <c r="CX70" s="242"/>
      <c r="CY70" s="242"/>
      <c r="CZ70" s="242"/>
      <c r="DA70" s="242"/>
      <c r="DB70" s="242"/>
      <c r="DC70" s="242"/>
      <c r="DD70" s="242"/>
      <c r="DE70" s="242"/>
      <c r="DF70" s="242"/>
      <c r="DG70" s="242"/>
      <c r="DH70" s="242"/>
      <c r="DI70" s="242"/>
      <c r="DJ70" s="242"/>
      <c r="DK70" s="242"/>
      <c r="DL70" s="242"/>
      <c r="DM70" s="242"/>
      <c r="DN70" s="242"/>
      <c r="DO70" s="242"/>
      <c r="DP70" s="242"/>
      <c r="DQ70" s="242"/>
      <c r="DR70" s="242"/>
      <c r="DS70" s="242"/>
      <c r="DT70" s="242"/>
      <c r="DU70" s="242"/>
      <c r="DV70" s="242"/>
      <c r="DW70" s="242"/>
      <c r="DX70" s="242"/>
      <c r="DY70" s="242"/>
      <c r="DZ70" s="242"/>
      <c r="EA70" s="242"/>
      <c r="EB70" s="242"/>
      <c r="EC70" s="242"/>
      <c r="ED70" s="242"/>
      <c r="EE70" s="242"/>
      <c r="EF70" s="242"/>
      <c r="EG70" s="242"/>
      <c r="EH70" s="242"/>
      <c r="EI70" s="242"/>
      <c r="EJ70" s="242"/>
      <c r="EK70" s="242"/>
      <c r="EL70" s="242"/>
      <c r="EM70" s="242"/>
      <c r="EN70" s="242"/>
      <c r="EO70" s="242"/>
      <c r="EP70" s="242"/>
      <c r="EQ70" s="242"/>
      <c r="ER70" s="242"/>
      <c r="ES70" s="242"/>
      <c r="ET70" s="242"/>
      <c r="EU70" s="242"/>
      <c r="EV70" s="242"/>
      <c r="EW70" s="242"/>
      <c r="EX70" s="242"/>
      <c r="EY70" s="242"/>
      <c r="EZ70" s="242"/>
      <c r="FA70" s="242"/>
      <c r="FB70" s="242"/>
      <c r="FC70" s="242"/>
      <c r="FD70" s="242"/>
      <c r="FE70" s="242"/>
      <c r="FF70" s="242"/>
      <c r="FG70" s="242"/>
      <c r="FH70" s="242"/>
      <c r="FI70" s="242"/>
      <c r="FJ70" s="242"/>
      <c r="FK70" s="242"/>
      <c r="FL70" s="242"/>
      <c r="FM70" s="242"/>
      <c r="FN70" s="242"/>
      <c r="FO70" s="242"/>
      <c r="FP70" s="242"/>
      <c r="FQ70" s="242"/>
      <c r="FR70" s="242"/>
      <c r="FS70" s="242"/>
      <c r="FT70" s="242"/>
      <c r="FU70" s="242"/>
      <c r="FV70" s="242"/>
      <c r="FW70" s="242"/>
      <c r="FX70" s="242"/>
      <c r="FY70" s="242"/>
      <c r="FZ70" s="242"/>
      <c r="GA70" s="242"/>
      <c r="GB70" s="242"/>
      <c r="GC70" s="242"/>
      <c r="GD70" s="242"/>
      <c r="GE70" s="242"/>
      <c r="GF70" s="242"/>
      <c r="GG70" s="242"/>
      <c r="GH70" s="242"/>
      <c r="GI70" s="242"/>
      <c r="GJ70" s="242"/>
      <c r="GK70" s="242"/>
      <c r="GL70" s="242"/>
      <c r="GM70" s="242"/>
      <c r="GN70" s="242"/>
      <c r="GO70" s="242"/>
      <c r="GP70" s="242"/>
      <c r="GQ70" s="242"/>
      <c r="GR70" s="242"/>
      <c r="GS70" s="242"/>
      <c r="GT70" s="242"/>
      <c r="GU70" s="242"/>
      <c r="GV70" s="242"/>
      <c r="GW70" s="242"/>
      <c r="GX70" s="242"/>
      <c r="GY70" s="242"/>
      <c r="GZ70" s="242"/>
      <c r="HA70" s="242"/>
      <c r="HB70" s="242"/>
      <c r="HC70" s="242"/>
      <c r="HD70" s="242"/>
      <c r="HE70" s="242"/>
      <c r="HF70" s="242"/>
      <c r="HG70" s="242"/>
      <c r="HH70" s="242"/>
      <c r="HI70" s="242"/>
      <c r="HJ70" s="242"/>
      <c r="HK70" s="242"/>
      <c r="HL70" s="242"/>
      <c r="HM70" s="242"/>
      <c r="HN70" s="242"/>
      <c r="HO70" s="242"/>
      <c r="HP70" s="242"/>
      <c r="HQ70" s="242"/>
      <c r="HR70" s="242"/>
      <c r="HS70" s="242"/>
      <c r="HT70" s="242"/>
      <c r="HU70" s="242"/>
      <c r="HV70" s="242"/>
      <c r="HW70" s="242"/>
      <c r="HX70" s="242"/>
      <c r="HY70" s="242"/>
      <c r="HZ70" s="242"/>
      <c r="IA70" s="242"/>
      <c r="IB70" s="242"/>
      <c r="IC70" s="242"/>
      <c r="ID70" s="242"/>
      <c r="IE70" s="242"/>
      <c r="IF70" s="242"/>
      <c r="IG70" s="242"/>
      <c r="IH70" s="242"/>
      <c r="II70" s="242"/>
      <c r="IJ70" s="242"/>
      <c r="IK70" s="242"/>
      <c r="IL70" s="242"/>
      <c r="IM70" s="242"/>
      <c r="IN70" s="242"/>
      <c r="IO70" s="242"/>
      <c r="IP70" s="242"/>
      <c r="IQ70" s="242"/>
      <c r="IR70" s="242"/>
      <c r="IS70" s="242"/>
      <c r="IT70" s="242"/>
      <c r="IU70" s="242"/>
      <c r="IV70" s="242"/>
      <c r="IW70" s="242"/>
    </row>
    <row r="71" customFormat="false" ht="12.75" hidden="false" customHeight="false" outlineLevel="0" collapsed="false">
      <c r="A71" s="1110"/>
      <c r="B71" s="1097" t="s">
        <v>708</v>
      </c>
      <c r="C71" s="242"/>
      <c r="D71" s="242" t="n">
        <f aca="false">Income!E47</f>
        <v>-0</v>
      </c>
      <c r="E71" s="242" t="n">
        <f aca="false">Income!F47</f>
        <v>-0</v>
      </c>
      <c r="F71" s="242" t="n">
        <f aca="false">Income!G47</f>
        <v>-0</v>
      </c>
      <c r="G71" s="242" t="n">
        <f aca="false">Income!H47</f>
        <v>-0</v>
      </c>
      <c r="H71" s="242" t="n">
        <f aca="false">Income!I47</f>
        <v>-0</v>
      </c>
      <c r="I71" s="242" t="n">
        <f aca="false">Income!J47</f>
        <v>-0</v>
      </c>
      <c r="J71" s="242" t="n">
        <f aca="false">Income!K47</f>
        <v>-0</v>
      </c>
      <c r="K71" s="242" t="n">
        <f aca="false">Income!L47</f>
        <v>-0</v>
      </c>
      <c r="L71" s="242" t="n">
        <f aca="false">Income!M47</f>
        <v>-0</v>
      </c>
      <c r="M71" s="242" t="n">
        <f aca="false">Income!N47</f>
        <v>-0</v>
      </c>
      <c r="N71" s="242" t="n">
        <f aca="false">Income!O47</f>
        <v>-0</v>
      </c>
      <c r="O71" s="242" t="n">
        <f aca="false">Income!P47</f>
        <v>-0</v>
      </c>
      <c r="P71" s="242" t="n">
        <f aca="false">Income!Q47</f>
        <v>-0</v>
      </c>
      <c r="Q71" s="242" t="n">
        <f aca="false">Income!R47</f>
        <v>-0</v>
      </c>
      <c r="R71" s="242" t="n">
        <f aca="false">Income!S47</f>
        <v>-0</v>
      </c>
      <c r="S71" s="242" t="n">
        <f aca="false">Income!T47</f>
        <v>-0</v>
      </c>
      <c r="T71" s="242" t="n">
        <f aca="false">Income!U47</f>
        <v>-0</v>
      </c>
      <c r="U71" s="242" t="n">
        <f aca="false">Income!V47</f>
        <v>-0</v>
      </c>
      <c r="V71" s="242" t="n">
        <f aca="false">Income!W47</f>
        <v>-0</v>
      </c>
      <c r="W71" s="242" t="n">
        <f aca="false">Income!X47</f>
        <v>-0</v>
      </c>
      <c r="X71" s="242" t="n">
        <f aca="false">Income!Y47</f>
        <v>-0</v>
      </c>
      <c r="Y71" s="242" t="n">
        <f aca="false">Income!Z47</f>
        <v>-0</v>
      </c>
      <c r="Z71" s="242" t="n">
        <f aca="false">Income!AA47</f>
        <v>-0</v>
      </c>
      <c r="AA71" s="242" t="n">
        <f aca="false">Income!AB47</f>
        <v>-0</v>
      </c>
      <c r="AB71" s="242" t="n">
        <f aca="false">Income!AC47</f>
        <v>-0</v>
      </c>
      <c r="AC71" s="242" t="n">
        <f aca="false">Income!AD47</f>
        <v>-0</v>
      </c>
      <c r="AD71" s="242" t="n">
        <f aca="false">Income!AE47</f>
        <v>-0</v>
      </c>
      <c r="AE71" s="242" t="n">
        <f aca="false">Income!AF47</f>
        <v>-0</v>
      </c>
      <c r="AF71" s="242" t="n">
        <f aca="false">Income!AG47</f>
        <v>-0</v>
      </c>
      <c r="AG71" s="242" t="n">
        <f aca="false">Income!AH47</f>
        <v>-0</v>
      </c>
      <c r="AH71" s="242" t="n">
        <f aca="false">Income!AI47</f>
        <v>-0</v>
      </c>
      <c r="AI71" s="242"/>
      <c r="AJ71" s="242"/>
      <c r="AK71" s="242"/>
      <c r="AL71" s="242"/>
      <c r="AM71" s="242"/>
      <c r="AN71" s="242"/>
      <c r="AO71" s="242"/>
      <c r="AP71" s="242"/>
      <c r="AQ71" s="242"/>
      <c r="AR71" s="242"/>
      <c r="AS71" s="242"/>
      <c r="AT71" s="242"/>
      <c r="AU71" s="242"/>
      <c r="AV71" s="242"/>
      <c r="AW71" s="242"/>
      <c r="AX71" s="242"/>
      <c r="AY71" s="242"/>
      <c r="AZ71" s="242"/>
      <c r="BA71" s="242"/>
      <c r="BB71" s="242"/>
      <c r="BC71" s="242"/>
      <c r="BD71" s="242"/>
      <c r="BE71" s="242"/>
      <c r="BF71" s="242"/>
      <c r="BG71" s="242"/>
      <c r="BH71" s="242"/>
      <c r="BI71" s="242"/>
      <c r="BJ71" s="242"/>
      <c r="BK71" s="242"/>
      <c r="BL71" s="242"/>
      <c r="BM71" s="242"/>
      <c r="BN71" s="242"/>
      <c r="BO71" s="242"/>
      <c r="BP71" s="242"/>
      <c r="BQ71" s="242"/>
      <c r="BR71" s="242"/>
      <c r="BS71" s="242"/>
      <c r="BT71" s="242"/>
      <c r="BU71" s="242"/>
      <c r="BV71" s="242"/>
      <c r="BW71" s="242"/>
      <c r="BX71" s="242"/>
      <c r="BY71" s="242"/>
      <c r="BZ71" s="242"/>
      <c r="CA71" s="242"/>
      <c r="CB71" s="242"/>
      <c r="CC71" s="242"/>
      <c r="CD71" s="242"/>
      <c r="CE71" s="242"/>
      <c r="CF71" s="242"/>
      <c r="CG71" s="242"/>
      <c r="CH71" s="242"/>
      <c r="CI71" s="242"/>
      <c r="CJ71" s="242"/>
      <c r="CK71" s="242"/>
      <c r="CL71" s="242"/>
      <c r="CM71" s="242"/>
      <c r="CN71" s="242"/>
      <c r="CO71" s="242"/>
      <c r="CP71" s="242"/>
      <c r="CQ71" s="242"/>
      <c r="CR71" s="242"/>
      <c r="CS71" s="242"/>
      <c r="CT71" s="242"/>
      <c r="CU71" s="242"/>
      <c r="CV71" s="242"/>
      <c r="CW71" s="242"/>
      <c r="CX71" s="242"/>
      <c r="CY71" s="242"/>
      <c r="CZ71" s="242"/>
      <c r="DA71" s="242"/>
      <c r="DB71" s="242"/>
      <c r="DC71" s="242"/>
      <c r="DD71" s="242"/>
      <c r="DE71" s="242"/>
      <c r="DF71" s="242"/>
      <c r="DG71" s="242"/>
      <c r="DH71" s="242"/>
      <c r="DI71" s="242"/>
      <c r="DJ71" s="242"/>
      <c r="DK71" s="242"/>
      <c r="DL71" s="242"/>
      <c r="DM71" s="242"/>
      <c r="DN71" s="242"/>
      <c r="DO71" s="242"/>
      <c r="DP71" s="242"/>
      <c r="DQ71" s="242"/>
      <c r="DR71" s="242"/>
      <c r="DS71" s="242"/>
      <c r="DT71" s="242"/>
      <c r="DU71" s="242"/>
      <c r="DV71" s="242"/>
      <c r="DW71" s="242"/>
      <c r="DX71" s="242"/>
      <c r="DY71" s="242"/>
      <c r="DZ71" s="242"/>
      <c r="EA71" s="242"/>
      <c r="EB71" s="242"/>
      <c r="EC71" s="242"/>
      <c r="ED71" s="242"/>
      <c r="EE71" s="242"/>
      <c r="EF71" s="242"/>
      <c r="EG71" s="242"/>
      <c r="EH71" s="242"/>
      <c r="EI71" s="242"/>
      <c r="EJ71" s="242"/>
      <c r="EK71" s="242"/>
      <c r="EL71" s="242"/>
      <c r="EM71" s="242"/>
      <c r="EN71" s="242"/>
      <c r="EO71" s="242"/>
      <c r="EP71" s="242"/>
      <c r="EQ71" s="242"/>
      <c r="ER71" s="242"/>
      <c r="ES71" s="242"/>
      <c r="ET71" s="242"/>
      <c r="EU71" s="242"/>
      <c r="EV71" s="242"/>
      <c r="EW71" s="242"/>
      <c r="EX71" s="242"/>
      <c r="EY71" s="242"/>
      <c r="EZ71" s="242"/>
      <c r="FA71" s="242"/>
      <c r="FB71" s="242"/>
      <c r="FC71" s="242"/>
      <c r="FD71" s="242"/>
      <c r="FE71" s="242"/>
      <c r="FF71" s="242"/>
      <c r="FG71" s="242"/>
      <c r="FH71" s="242"/>
      <c r="FI71" s="242"/>
      <c r="FJ71" s="242"/>
      <c r="FK71" s="242"/>
      <c r="FL71" s="242"/>
      <c r="FM71" s="242"/>
      <c r="FN71" s="242"/>
      <c r="FO71" s="242"/>
      <c r="FP71" s="242"/>
      <c r="FQ71" s="242"/>
      <c r="FR71" s="242"/>
      <c r="FS71" s="242"/>
      <c r="FT71" s="242"/>
      <c r="FU71" s="242"/>
      <c r="FV71" s="242"/>
      <c r="FW71" s="242"/>
      <c r="FX71" s="242"/>
      <c r="FY71" s="242"/>
      <c r="FZ71" s="242"/>
      <c r="GA71" s="242"/>
      <c r="GB71" s="242"/>
      <c r="GC71" s="242"/>
      <c r="GD71" s="242"/>
      <c r="GE71" s="242"/>
      <c r="GF71" s="242"/>
      <c r="GG71" s="242"/>
      <c r="GH71" s="242"/>
      <c r="GI71" s="242"/>
      <c r="GJ71" s="242"/>
      <c r="GK71" s="242"/>
      <c r="GL71" s="242"/>
      <c r="GM71" s="242"/>
      <c r="GN71" s="242"/>
      <c r="GO71" s="242"/>
      <c r="GP71" s="242"/>
      <c r="GQ71" s="242"/>
      <c r="GR71" s="242"/>
      <c r="GS71" s="242"/>
      <c r="GT71" s="242"/>
      <c r="GU71" s="242"/>
      <c r="GV71" s="242"/>
      <c r="GW71" s="242"/>
      <c r="GX71" s="242"/>
      <c r="GY71" s="242"/>
      <c r="GZ71" s="242"/>
      <c r="HA71" s="242"/>
      <c r="HB71" s="242"/>
      <c r="HC71" s="242"/>
      <c r="HD71" s="242"/>
      <c r="HE71" s="242"/>
      <c r="HF71" s="242"/>
      <c r="HG71" s="242"/>
      <c r="HH71" s="242"/>
      <c r="HI71" s="242"/>
      <c r="HJ71" s="242"/>
      <c r="HK71" s="242"/>
      <c r="HL71" s="242"/>
      <c r="HM71" s="242"/>
      <c r="HN71" s="242"/>
      <c r="HO71" s="242"/>
      <c r="HP71" s="242"/>
      <c r="HQ71" s="242"/>
      <c r="HR71" s="242"/>
      <c r="HS71" s="242"/>
      <c r="HT71" s="242"/>
      <c r="HU71" s="242"/>
      <c r="HV71" s="242"/>
      <c r="HW71" s="242"/>
      <c r="HX71" s="242"/>
      <c r="HY71" s="242"/>
      <c r="HZ71" s="242"/>
      <c r="IA71" s="242"/>
      <c r="IB71" s="242"/>
      <c r="IC71" s="242"/>
      <c r="ID71" s="242"/>
      <c r="IE71" s="242"/>
      <c r="IF71" s="242"/>
      <c r="IG71" s="242"/>
      <c r="IH71" s="242"/>
      <c r="II71" s="242"/>
      <c r="IJ71" s="242"/>
      <c r="IK71" s="242"/>
      <c r="IL71" s="242"/>
      <c r="IM71" s="242"/>
      <c r="IN71" s="242"/>
      <c r="IO71" s="242"/>
      <c r="IP71" s="242"/>
      <c r="IQ71" s="242"/>
      <c r="IR71" s="242"/>
      <c r="IS71" s="242"/>
      <c r="IT71" s="242"/>
      <c r="IU71" s="242"/>
      <c r="IV71" s="242"/>
      <c r="IW71" s="242"/>
    </row>
    <row r="72" customFormat="false" ht="12.75" hidden="false" customHeight="false" outlineLevel="0" collapsed="false">
      <c r="A72" s="1110"/>
      <c r="B72" s="1097" t="s">
        <v>698</v>
      </c>
      <c r="C72" s="242"/>
      <c r="D72" s="242" t="n">
        <f aca="false">Income!E48</f>
        <v>-0</v>
      </c>
      <c r="E72" s="242" t="n">
        <f aca="false">Income!F48</f>
        <v>-0</v>
      </c>
      <c r="F72" s="242" t="n">
        <f aca="false">Income!G48</f>
        <v>-0</v>
      </c>
      <c r="G72" s="242" t="n">
        <f aca="false">Income!H48</f>
        <v>-0</v>
      </c>
      <c r="H72" s="242" t="n">
        <f aca="false">Income!I48</f>
        <v>-0</v>
      </c>
      <c r="I72" s="242" t="n">
        <f aca="false">Income!J48</f>
        <v>-0</v>
      </c>
      <c r="J72" s="242" t="n">
        <f aca="false">Income!K48</f>
        <v>-0</v>
      </c>
      <c r="K72" s="242" t="n">
        <f aca="false">Income!L48</f>
        <v>-0</v>
      </c>
      <c r="L72" s="242" t="n">
        <f aca="false">Income!M48</f>
        <v>-0</v>
      </c>
      <c r="M72" s="242" t="n">
        <f aca="false">Income!N48</f>
        <v>-0</v>
      </c>
      <c r="N72" s="242" t="n">
        <f aca="false">Income!O48</f>
        <v>-0</v>
      </c>
      <c r="O72" s="242" t="n">
        <f aca="false">Income!P48</f>
        <v>-0</v>
      </c>
      <c r="P72" s="242" t="n">
        <f aca="false">Income!Q48</f>
        <v>-0</v>
      </c>
      <c r="Q72" s="242" t="n">
        <f aca="false">Income!R48</f>
        <v>-0</v>
      </c>
      <c r="R72" s="242" t="n">
        <f aca="false">Income!S48</f>
        <v>-0</v>
      </c>
      <c r="S72" s="242" t="n">
        <f aca="false">Income!T48</f>
        <v>-0</v>
      </c>
      <c r="T72" s="242" t="n">
        <f aca="false">Income!U48</f>
        <v>-0</v>
      </c>
      <c r="U72" s="242" t="n">
        <f aca="false">Income!V48</f>
        <v>-0</v>
      </c>
      <c r="V72" s="242" t="n">
        <f aca="false">Income!W48</f>
        <v>-0</v>
      </c>
      <c r="W72" s="242" t="n">
        <f aca="false">Income!X48</f>
        <v>-0</v>
      </c>
      <c r="X72" s="242" t="n">
        <f aca="false">Income!Y48</f>
        <v>-0</v>
      </c>
      <c r="Y72" s="242" t="n">
        <f aca="false">Income!Z48</f>
        <v>-0</v>
      </c>
      <c r="Z72" s="242" t="n">
        <f aca="false">Income!AA48</f>
        <v>-0</v>
      </c>
      <c r="AA72" s="242" t="n">
        <f aca="false">Income!AB48</f>
        <v>-0</v>
      </c>
      <c r="AB72" s="242" t="n">
        <f aca="false">Income!AC48</f>
        <v>-0</v>
      </c>
      <c r="AC72" s="242" t="n">
        <f aca="false">Income!AD48</f>
        <v>-0</v>
      </c>
      <c r="AD72" s="242" t="n">
        <f aca="false">Income!AE48</f>
        <v>-0</v>
      </c>
      <c r="AE72" s="242" t="n">
        <f aca="false">Income!AF48</f>
        <v>-0</v>
      </c>
      <c r="AF72" s="242" t="n">
        <f aca="false">Income!AG48</f>
        <v>-0</v>
      </c>
      <c r="AG72" s="242" t="n">
        <f aca="false">Income!AH48</f>
        <v>-0</v>
      </c>
      <c r="AH72" s="242" t="n">
        <f aca="false">Income!AI48</f>
        <v>-0</v>
      </c>
      <c r="AI72" s="242"/>
      <c r="AJ72" s="242"/>
      <c r="AK72" s="242"/>
      <c r="AL72" s="242"/>
      <c r="AM72" s="242"/>
      <c r="AN72" s="242"/>
      <c r="AO72" s="242"/>
      <c r="AP72" s="242"/>
      <c r="AQ72" s="242"/>
      <c r="AR72" s="242"/>
      <c r="AS72" s="242"/>
      <c r="AT72" s="242"/>
      <c r="AU72" s="242"/>
      <c r="AV72" s="242"/>
      <c r="AW72" s="242"/>
      <c r="AX72" s="242"/>
      <c r="AY72" s="242"/>
      <c r="AZ72" s="242"/>
      <c r="BA72" s="242"/>
      <c r="BB72" s="242"/>
      <c r="BC72" s="242"/>
      <c r="BD72" s="242"/>
      <c r="BE72" s="242"/>
      <c r="BF72" s="242"/>
      <c r="BG72" s="242"/>
      <c r="BH72" s="242"/>
      <c r="BI72" s="242"/>
      <c r="BJ72" s="242"/>
      <c r="BK72" s="242"/>
      <c r="BL72" s="242"/>
      <c r="BM72" s="242"/>
      <c r="BN72" s="242"/>
      <c r="BO72" s="242"/>
      <c r="BP72" s="242"/>
      <c r="BQ72" s="242"/>
      <c r="BR72" s="242"/>
      <c r="BS72" s="242"/>
      <c r="BT72" s="242"/>
      <c r="BU72" s="242"/>
      <c r="BV72" s="242"/>
      <c r="BW72" s="242"/>
      <c r="BX72" s="242"/>
      <c r="BY72" s="242"/>
      <c r="BZ72" s="242"/>
      <c r="CA72" s="242"/>
      <c r="CB72" s="242"/>
      <c r="CC72" s="242"/>
      <c r="CD72" s="242"/>
      <c r="CE72" s="242"/>
      <c r="CF72" s="242"/>
      <c r="CG72" s="242"/>
      <c r="CH72" s="242"/>
      <c r="CI72" s="242"/>
      <c r="CJ72" s="242"/>
      <c r="CK72" s="242"/>
      <c r="CL72" s="242"/>
      <c r="CM72" s="242"/>
      <c r="CN72" s="242"/>
      <c r="CO72" s="242"/>
      <c r="CP72" s="242"/>
      <c r="CQ72" s="242"/>
      <c r="CR72" s="242"/>
      <c r="CS72" s="242"/>
      <c r="CT72" s="242"/>
      <c r="CU72" s="242"/>
      <c r="CV72" s="242"/>
      <c r="CW72" s="242"/>
      <c r="CX72" s="242"/>
      <c r="CY72" s="242"/>
      <c r="CZ72" s="242"/>
      <c r="DA72" s="242"/>
      <c r="DB72" s="242"/>
      <c r="DC72" s="242"/>
      <c r="DD72" s="242"/>
      <c r="DE72" s="242"/>
      <c r="DF72" s="242"/>
      <c r="DG72" s="242"/>
      <c r="DH72" s="242"/>
      <c r="DI72" s="242"/>
      <c r="DJ72" s="242"/>
      <c r="DK72" s="242"/>
      <c r="DL72" s="242"/>
      <c r="DM72" s="242"/>
      <c r="DN72" s="242"/>
      <c r="DO72" s="242"/>
      <c r="DP72" s="242"/>
      <c r="DQ72" s="242"/>
      <c r="DR72" s="242"/>
      <c r="DS72" s="242"/>
      <c r="DT72" s="242"/>
      <c r="DU72" s="242"/>
      <c r="DV72" s="242"/>
      <c r="DW72" s="242"/>
      <c r="DX72" s="242"/>
      <c r="DY72" s="242"/>
      <c r="DZ72" s="242"/>
      <c r="EA72" s="242"/>
      <c r="EB72" s="242"/>
      <c r="EC72" s="242"/>
      <c r="ED72" s="242"/>
      <c r="EE72" s="242"/>
      <c r="EF72" s="242"/>
      <c r="EG72" s="242"/>
      <c r="EH72" s="242"/>
      <c r="EI72" s="242"/>
      <c r="EJ72" s="242"/>
      <c r="EK72" s="242"/>
      <c r="EL72" s="242"/>
      <c r="EM72" s="242"/>
      <c r="EN72" s="242"/>
      <c r="EO72" s="242"/>
      <c r="EP72" s="242"/>
      <c r="EQ72" s="242"/>
      <c r="ER72" s="242"/>
      <c r="ES72" s="242"/>
      <c r="ET72" s="242"/>
      <c r="EU72" s="242"/>
      <c r="EV72" s="242"/>
      <c r="EW72" s="242"/>
      <c r="EX72" s="242"/>
      <c r="EY72" s="242"/>
      <c r="EZ72" s="242"/>
      <c r="FA72" s="242"/>
      <c r="FB72" s="242"/>
      <c r="FC72" s="242"/>
      <c r="FD72" s="242"/>
      <c r="FE72" s="242"/>
      <c r="FF72" s="242"/>
      <c r="FG72" s="242"/>
      <c r="FH72" s="242"/>
      <c r="FI72" s="242"/>
      <c r="FJ72" s="242"/>
      <c r="FK72" s="242"/>
      <c r="FL72" s="242"/>
      <c r="FM72" s="242"/>
      <c r="FN72" s="242"/>
      <c r="FO72" s="242"/>
      <c r="FP72" s="242"/>
      <c r="FQ72" s="242"/>
      <c r="FR72" s="242"/>
      <c r="FS72" s="242"/>
      <c r="FT72" s="242"/>
      <c r="FU72" s="242"/>
      <c r="FV72" s="242"/>
      <c r="FW72" s="242"/>
      <c r="FX72" s="242"/>
      <c r="FY72" s="242"/>
      <c r="FZ72" s="242"/>
      <c r="GA72" s="242"/>
      <c r="GB72" s="242"/>
      <c r="GC72" s="242"/>
      <c r="GD72" s="242"/>
      <c r="GE72" s="242"/>
      <c r="GF72" s="242"/>
      <c r="GG72" s="242"/>
      <c r="GH72" s="242"/>
      <c r="GI72" s="242"/>
      <c r="GJ72" s="242"/>
      <c r="GK72" s="242"/>
      <c r="GL72" s="242"/>
      <c r="GM72" s="242"/>
      <c r="GN72" s="242"/>
      <c r="GO72" s="242"/>
      <c r="GP72" s="242"/>
      <c r="GQ72" s="242"/>
      <c r="GR72" s="242"/>
      <c r="GS72" s="242"/>
      <c r="GT72" s="242"/>
      <c r="GU72" s="242"/>
      <c r="GV72" s="242"/>
      <c r="GW72" s="242"/>
      <c r="GX72" s="242"/>
      <c r="GY72" s="242"/>
      <c r="GZ72" s="242"/>
      <c r="HA72" s="242"/>
      <c r="HB72" s="242"/>
      <c r="HC72" s="242"/>
      <c r="HD72" s="242"/>
      <c r="HE72" s="242"/>
      <c r="HF72" s="242"/>
      <c r="HG72" s="242"/>
      <c r="HH72" s="242"/>
      <c r="HI72" s="242"/>
      <c r="HJ72" s="242"/>
      <c r="HK72" s="242"/>
      <c r="HL72" s="242"/>
      <c r="HM72" s="242"/>
      <c r="HN72" s="242"/>
      <c r="HO72" s="242"/>
      <c r="HP72" s="242"/>
      <c r="HQ72" s="242"/>
      <c r="HR72" s="242"/>
      <c r="HS72" s="242"/>
      <c r="HT72" s="242"/>
      <c r="HU72" s="242"/>
      <c r="HV72" s="242"/>
      <c r="HW72" s="242"/>
      <c r="HX72" s="242"/>
      <c r="HY72" s="242"/>
      <c r="HZ72" s="242"/>
      <c r="IA72" s="242"/>
      <c r="IB72" s="242"/>
      <c r="IC72" s="242"/>
      <c r="ID72" s="242"/>
      <c r="IE72" s="242"/>
      <c r="IF72" s="242"/>
      <c r="IG72" s="242"/>
      <c r="IH72" s="242"/>
      <c r="II72" s="242"/>
      <c r="IJ72" s="242"/>
      <c r="IK72" s="242"/>
      <c r="IL72" s="242"/>
      <c r="IM72" s="242"/>
      <c r="IN72" s="242"/>
      <c r="IO72" s="242"/>
      <c r="IP72" s="242"/>
      <c r="IQ72" s="242"/>
      <c r="IR72" s="242"/>
      <c r="IS72" s="242"/>
      <c r="IT72" s="242"/>
      <c r="IU72" s="242"/>
      <c r="IV72" s="242"/>
      <c r="IW72" s="242"/>
    </row>
    <row r="73" customFormat="false" ht="12.75" hidden="false" customHeight="false" outlineLevel="0" collapsed="false">
      <c r="A73" s="1110"/>
      <c r="B73" s="1097" t="s">
        <v>699</v>
      </c>
      <c r="C73" s="242"/>
      <c r="D73" s="242"/>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1098"/>
      <c r="AI73" s="242"/>
      <c r="AJ73" s="242"/>
      <c r="AK73" s="242"/>
      <c r="AL73" s="242"/>
      <c r="AM73" s="242"/>
      <c r="AN73" s="242"/>
      <c r="AO73" s="242"/>
      <c r="AP73" s="242"/>
      <c r="AQ73" s="242"/>
      <c r="AR73" s="242"/>
      <c r="AS73" s="242"/>
      <c r="AT73" s="242"/>
      <c r="AU73" s="242"/>
      <c r="AV73" s="242"/>
      <c r="AW73" s="242"/>
      <c r="AX73" s="242"/>
      <c r="AY73" s="242"/>
      <c r="AZ73" s="242"/>
      <c r="BA73" s="242"/>
      <c r="BB73" s="242"/>
      <c r="BC73" s="242"/>
      <c r="BD73" s="242"/>
      <c r="BE73" s="242"/>
      <c r="BF73" s="242"/>
      <c r="BG73" s="242"/>
      <c r="BH73" s="242"/>
      <c r="BI73" s="242"/>
      <c r="BJ73" s="242"/>
      <c r="BK73" s="242"/>
      <c r="BL73" s="242"/>
      <c r="BM73" s="242"/>
      <c r="BN73" s="242"/>
      <c r="BO73" s="242"/>
      <c r="BP73" s="242"/>
      <c r="BQ73" s="242"/>
      <c r="BR73" s="242"/>
      <c r="BS73" s="242"/>
      <c r="BT73" s="242"/>
      <c r="BU73" s="242"/>
      <c r="BV73" s="242"/>
      <c r="BW73" s="242"/>
      <c r="BX73" s="242"/>
      <c r="BY73" s="242"/>
      <c r="BZ73" s="242"/>
      <c r="CA73" s="242"/>
      <c r="CB73" s="242"/>
      <c r="CC73" s="242"/>
      <c r="CD73" s="242"/>
      <c r="CE73" s="242"/>
      <c r="CF73" s="242"/>
      <c r="CG73" s="242"/>
      <c r="CH73" s="242"/>
      <c r="CI73" s="242"/>
      <c r="CJ73" s="242"/>
      <c r="CK73" s="242"/>
      <c r="CL73" s="242"/>
      <c r="CM73" s="242"/>
      <c r="CN73" s="242"/>
      <c r="CO73" s="242"/>
      <c r="CP73" s="242"/>
      <c r="CQ73" s="242"/>
      <c r="CR73" s="242"/>
      <c r="CS73" s="242"/>
      <c r="CT73" s="242"/>
      <c r="CU73" s="242"/>
      <c r="CV73" s="242"/>
      <c r="CW73" s="242"/>
      <c r="CX73" s="242"/>
      <c r="CY73" s="242"/>
      <c r="CZ73" s="242"/>
      <c r="DA73" s="242"/>
      <c r="DB73" s="242"/>
      <c r="DC73" s="242"/>
      <c r="DD73" s="242"/>
      <c r="DE73" s="242"/>
      <c r="DF73" s="242"/>
      <c r="DG73" s="242"/>
      <c r="DH73" s="242"/>
      <c r="DI73" s="242"/>
      <c r="DJ73" s="242"/>
      <c r="DK73" s="242"/>
      <c r="DL73" s="242"/>
      <c r="DM73" s="242"/>
      <c r="DN73" s="242"/>
      <c r="DO73" s="242"/>
      <c r="DP73" s="242"/>
      <c r="DQ73" s="242"/>
      <c r="DR73" s="242"/>
      <c r="DS73" s="242"/>
      <c r="DT73" s="242"/>
      <c r="DU73" s="242"/>
      <c r="DV73" s="242"/>
      <c r="DW73" s="242"/>
      <c r="DX73" s="242"/>
      <c r="DY73" s="242"/>
      <c r="DZ73" s="242"/>
      <c r="EA73" s="242"/>
      <c r="EB73" s="242"/>
      <c r="EC73" s="242"/>
      <c r="ED73" s="242"/>
      <c r="EE73" s="242"/>
      <c r="EF73" s="242"/>
      <c r="EG73" s="242"/>
      <c r="EH73" s="242"/>
      <c r="EI73" s="242"/>
      <c r="EJ73" s="242"/>
      <c r="EK73" s="242"/>
      <c r="EL73" s="242"/>
      <c r="EM73" s="242"/>
      <c r="EN73" s="242"/>
      <c r="EO73" s="242"/>
      <c r="EP73" s="242"/>
      <c r="EQ73" s="242"/>
      <c r="ER73" s="242"/>
      <c r="ES73" s="242"/>
      <c r="ET73" s="242"/>
      <c r="EU73" s="242"/>
      <c r="EV73" s="242"/>
      <c r="EW73" s="242"/>
      <c r="EX73" s="242"/>
      <c r="EY73" s="242"/>
      <c r="EZ73" s="242"/>
      <c r="FA73" s="242"/>
      <c r="FB73" s="242"/>
      <c r="FC73" s="242"/>
      <c r="FD73" s="242"/>
      <c r="FE73" s="242"/>
      <c r="FF73" s="242"/>
      <c r="FG73" s="242"/>
      <c r="FH73" s="242"/>
      <c r="FI73" s="242"/>
      <c r="FJ73" s="242"/>
      <c r="FK73" s="242"/>
      <c r="FL73" s="242"/>
      <c r="FM73" s="242"/>
      <c r="FN73" s="242"/>
      <c r="FO73" s="242"/>
      <c r="FP73" s="242"/>
      <c r="FQ73" s="242"/>
      <c r="FR73" s="242"/>
      <c r="FS73" s="242"/>
      <c r="FT73" s="242"/>
      <c r="FU73" s="242"/>
      <c r="FV73" s="242"/>
      <c r="FW73" s="242"/>
      <c r="FX73" s="242"/>
      <c r="FY73" s="242"/>
      <c r="FZ73" s="242"/>
      <c r="GA73" s="242"/>
      <c r="GB73" s="242"/>
      <c r="GC73" s="242"/>
      <c r="GD73" s="242"/>
      <c r="GE73" s="242"/>
      <c r="GF73" s="242"/>
      <c r="GG73" s="242"/>
      <c r="GH73" s="242"/>
      <c r="GI73" s="242"/>
      <c r="GJ73" s="242"/>
      <c r="GK73" s="242"/>
      <c r="GL73" s="242"/>
      <c r="GM73" s="242"/>
      <c r="GN73" s="242"/>
      <c r="GO73" s="242"/>
      <c r="GP73" s="242"/>
      <c r="GQ73" s="242"/>
      <c r="GR73" s="242"/>
      <c r="GS73" s="242"/>
      <c r="GT73" s="242"/>
      <c r="GU73" s="242"/>
      <c r="GV73" s="242"/>
      <c r="GW73" s="242"/>
      <c r="GX73" s="242"/>
      <c r="GY73" s="242"/>
      <c r="GZ73" s="242"/>
      <c r="HA73" s="242"/>
      <c r="HB73" s="242"/>
      <c r="HC73" s="242"/>
      <c r="HD73" s="242"/>
      <c r="HE73" s="242"/>
      <c r="HF73" s="242"/>
      <c r="HG73" s="242"/>
      <c r="HH73" s="242"/>
      <c r="HI73" s="242"/>
      <c r="HJ73" s="242"/>
      <c r="HK73" s="242"/>
      <c r="HL73" s="242"/>
      <c r="HM73" s="242"/>
      <c r="HN73" s="242"/>
      <c r="HO73" s="242"/>
      <c r="HP73" s="242"/>
      <c r="HQ73" s="242"/>
      <c r="HR73" s="242"/>
      <c r="HS73" s="242"/>
      <c r="HT73" s="242"/>
      <c r="HU73" s="242"/>
      <c r="HV73" s="242"/>
      <c r="HW73" s="242"/>
      <c r="HX73" s="242"/>
      <c r="HY73" s="242"/>
      <c r="HZ73" s="242"/>
      <c r="IA73" s="242"/>
      <c r="IB73" s="242"/>
      <c r="IC73" s="242"/>
      <c r="ID73" s="242"/>
      <c r="IE73" s="242"/>
      <c r="IF73" s="242"/>
      <c r="IG73" s="242"/>
      <c r="IH73" s="242"/>
      <c r="II73" s="242"/>
      <c r="IJ73" s="242"/>
      <c r="IK73" s="242"/>
      <c r="IL73" s="242"/>
      <c r="IM73" s="242"/>
      <c r="IN73" s="242"/>
      <c r="IO73" s="242"/>
      <c r="IP73" s="242"/>
      <c r="IQ73" s="242"/>
      <c r="IR73" s="242"/>
      <c r="IS73" s="242"/>
      <c r="IT73" s="242"/>
      <c r="IU73" s="242"/>
      <c r="IV73" s="242"/>
      <c r="IW73" s="242"/>
    </row>
    <row r="74" customFormat="false" ht="12.75" hidden="false" customHeight="false" outlineLevel="0" collapsed="false">
      <c r="A74" s="1110"/>
      <c r="B74" s="1097" t="s">
        <v>700</v>
      </c>
      <c r="C74" s="242"/>
      <c r="D74" s="242" t="n">
        <f aca="false">CashFlow!E58</f>
        <v>-573.300936572961</v>
      </c>
      <c r="E74" s="242" t="n">
        <f aca="false">CashFlow!F58</f>
        <v>-571.607553384322</v>
      </c>
      <c r="F74" s="242" t="n">
        <f aca="false">CashFlow!G58</f>
        <v>-569.738018319113</v>
      </c>
      <c r="G74" s="242" t="n">
        <f aca="false">CashFlow!H58</f>
        <v>-567.626944867061</v>
      </c>
      <c r="H74" s="242" t="n">
        <f aca="false">CashFlow!I58</f>
        <v>-565.310185632573</v>
      </c>
      <c r="I74" s="242" t="n">
        <f aca="false">CashFlow!J58</f>
        <v>-562.879487597114</v>
      </c>
      <c r="J74" s="242" t="n">
        <f aca="false">CashFlow!K58</f>
        <v>-557.665789727338</v>
      </c>
      <c r="K74" s="242" t="n">
        <f aca="false">CashFlow!L58</f>
        <v>-552.22807750722</v>
      </c>
      <c r="L74" s="242" t="n">
        <f aca="false">CashFlow!M58</f>
        <v>-546.560279836952</v>
      </c>
      <c r="M74" s="242" t="n">
        <f aca="false">CashFlow!N58</f>
        <v>-540.393558379574</v>
      </c>
      <c r="N74" s="242" t="n">
        <f aca="false">CashFlow!O58</f>
        <v>-547.036344776273</v>
      </c>
      <c r="O74" s="242" t="n">
        <f aca="false">CashFlow!P58</f>
        <v>-540.436096296459</v>
      </c>
      <c r="P74" s="242" t="n">
        <f aca="false">CashFlow!Q58</f>
        <v>-533.321999723709</v>
      </c>
      <c r="Q74" s="242" t="n">
        <f aca="false">CashFlow!R58</f>
        <v>-525.661489031909</v>
      </c>
      <c r="R74" s="242" t="n">
        <f aca="false">CashFlow!S58</f>
        <v>-517.395799501174</v>
      </c>
      <c r="S74" s="242" t="n">
        <f aca="false">CashFlow!T58</f>
        <v>-509.111721360887</v>
      </c>
      <c r="T74" s="242" t="n">
        <f aca="false">CashFlow!U58</f>
        <v>-590.594573693744</v>
      </c>
      <c r="U74" s="242" t="n">
        <f aca="false">CashFlow!V58</f>
        <v>-2030.82975075773</v>
      </c>
      <c r="V74" s="242" t="n">
        <f aca="false">CashFlow!W58</f>
        <v>-1999.73505602653</v>
      </c>
      <c r="W74" s="242" t="n">
        <f aca="false">CashFlow!X58</f>
        <v>-2166.2171441291</v>
      </c>
      <c r="X74" s="242" t="n">
        <f aca="false">CashFlow!Y58</f>
        <v>-0</v>
      </c>
      <c r="Y74" s="242" t="n">
        <f aca="false">CashFlow!Z58</f>
        <v>-0</v>
      </c>
      <c r="Z74" s="242" t="n">
        <f aca="false">CashFlow!AA58</f>
        <v>-0</v>
      </c>
      <c r="AA74" s="242" t="n">
        <f aca="false">CashFlow!AB58</f>
        <v>-0</v>
      </c>
      <c r="AB74" s="242" t="n">
        <f aca="false">CashFlow!AC58</f>
        <v>-0</v>
      </c>
      <c r="AC74" s="242" t="n">
        <f aca="false">CashFlow!AD58</f>
        <v>-0</v>
      </c>
      <c r="AD74" s="242" t="n">
        <f aca="false">CashFlow!AE58</f>
        <v>-0</v>
      </c>
      <c r="AE74" s="242" t="n">
        <f aca="false">CashFlow!AF58</f>
        <v>-0</v>
      </c>
      <c r="AF74" s="242" t="n">
        <f aca="false">CashFlow!AG58</f>
        <v>-0</v>
      </c>
      <c r="AG74" s="242" t="n">
        <f aca="false">CashFlow!AH58</f>
        <v>-0</v>
      </c>
      <c r="AH74" s="242" t="n">
        <f aca="false">CashFlow!AI58</f>
        <v>-0</v>
      </c>
      <c r="AI74" s="242"/>
      <c r="AJ74" s="242"/>
      <c r="AK74" s="242"/>
      <c r="AL74" s="242"/>
      <c r="AM74" s="242"/>
      <c r="AN74" s="242"/>
      <c r="AO74" s="242"/>
      <c r="AP74" s="242"/>
      <c r="AQ74" s="242"/>
      <c r="AR74" s="242"/>
      <c r="AS74" s="242"/>
      <c r="AT74" s="242"/>
      <c r="AU74" s="242"/>
      <c r="AV74" s="242"/>
      <c r="AW74" s="242"/>
      <c r="AX74" s="242"/>
      <c r="AY74" s="242"/>
      <c r="AZ74" s="242"/>
      <c r="BA74" s="242"/>
      <c r="BB74" s="242"/>
      <c r="BC74" s="242"/>
      <c r="BD74" s="242"/>
      <c r="BE74" s="242"/>
      <c r="BF74" s="242"/>
      <c r="BG74" s="242"/>
      <c r="BH74" s="242"/>
      <c r="BI74" s="242"/>
      <c r="BJ74" s="242"/>
      <c r="BK74" s="242"/>
      <c r="BL74" s="242"/>
      <c r="BM74" s="242"/>
      <c r="BN74" s="242"/>
      <c r="BO74" s="242"/>
      <c r="BP74" s="242"/>
      <c r="BQ74" s="242"/>
      <c r="BR74" s="242"/>
      <c r="BS74" s="242"/>
      <c r="BT74" s="242"/>
      <c r="BU74" s="242"/>
      <c r="BV74" s="242"/>
      <c r="BW74" s="242"/>
      <c r="BX74" s="242"/>
      <c r="BY74" s="242"/>
      <c r="BZ74" s="242"/>
      <c r="CA74" s="242"/>
      <c r="CB74" s="242"/>
      <c r="CC74" s="242"/>
      <c r="CD74" s="242"/>
      <c r="CE74" s="242"/>
      <c r="CF74" s="242"/>
      <c r="CG74" s="242"/>
      <c r="CH74" s="242"/>
      <c r="CI74" s="242"/>
      <c r="CJ74" s="242"/>
      <c r="CK74" s="242"/>
      <c r="CL74" s="242"/>
      <c r="CM74" s="242"/>
      <c r="CN74" s="242"/>
      <c r="CO74" s="242"/>
      <c r="CP74" s="242"/>
      <c r="CQ74" s="242"/>
      <c r="CR74" s="242"/>
      <c r="CS74" s="242"/>
      <c r="CT74" s="242"/>
      <c r="CU74" s="242"/>
      <c r="CV74" s="242"/>
      <c r="CW74" s="242"/>
      <c r="CX74" s="242"/>
      <c r="CY74" s="242"/>
      <c r="CZ74" s="242"/>
      <c r="DA74" s="242"/>
      <c r="DB74" s="242"/>
      <c r="DC74" s="242"/>
      <c r="DD74" s="242"/>
      <c r="DE74" s="242"/>
      <c r="DF74" s="242"/>
      <c r="DG74" s="242"/>
      <c r="DH74" s="242"/>
      <c r="DI74" s="242"/>
      <c r="DJ74" s="242"/>
      <c r="DK74" s="242"/>
      <c r="DL74" s="242"/>
      <c r="DM74" s="242"/>
      <c r="DN74" s="242"/>
      <c r="DO74" s="242"/>
      <c r="DP74" s="242"/>
      <c r="DQ74" s="242"/>
      <c r="DR74" s="242"/>
      <c r="DS74" s="242"/>
      <c r="DT74" s="242"/>
      <c r="DU74" s="242"/>
      <c r="DV74" s="242"/>
      <c r="DW74" s="242"/>
      <c r="DX74" s="242"/>
      <c r="DY74" s="242"/>
      <c r="DZ74" s="242"/>
      <c r="EA74" s="242"/>
      <c r="EB74" s="242"/>
      <c r="EC74" s="242"/>
      <c r="ED74" s="242"/>
      <c r="EE74" s="242"/>
      <c r="EF74" s="242"/>
      <c r="EG74" s="242"/>
      <c r="EH74" s="242"/>
      <c r="EI74" s="242"/>
      <c r="EJ74" s="242"/>
      <c r="EK74" s="242"/>
      <c r="EL74" s="242"/>
      <c r="EM74" s="242"/>
      <c r="EN74" s="242"/>
      <c r="EO74" s="242"/>
      <c r="EP74" s="242"/>
      <c r="EQ74" s="242"/>
      <c r="ER74" s="242"/>
      <c r="ES74" s="242"/>
      <c r="ET74" s="242"/>
      <c r="EU74" s="242"/>
      <c r="EV74" s="242"/>
      <c r="EW74" s="242"/>
      <c r="EX74" s="242"/>
      <c r="EY74" s="242"/>
      <c r="EZ74" s="242"/>
      <c r="FA74" s="242"/>
      <c r="FB74" s="242"/>
      <c r="FC74" s="242"/>
      <c r="FD74" s="242"/>
      <c r="FE74" s="242"/>
      <c r="FF74" s="242"/>
      <c r="FG74" s="242"/>
      <c r="FH74" s="242"/>
      <c r="FI74" s="242"/>
      <c r="FJ74" s="242"/>
      <c r="FK74" s="242"/>
      <c r="FL74" s="242"/>
      <c r="FM74" s="242"/>
      <c r="FN74" s="242"/>
      <c r="FO74" s="242"/>
      <c r="FP74" s="242"/>
      <c r="FQ74" s="242"/>
      <c r="FR74" s="242"/>
      <c r="FS74" s="242"/>
      <c r="FT74" s="242"/>
      <c r="FU74" s="242"/>
      <c r="FV74" s="242"/>
      <c r="FW74" s="242"/>
      <c r="FX74" s="242"/>
      <c r="FY74" s="242"/>
      <c r="FZ74" s="242"/>
      <c r="GA74" s="242"/>
      <c r="GB74" s="242"/>
      <c r="GC74" s="242"/>
      <c r="GD74" s="242"/>
      <c r="GE74" s="242"/>
      <c r="GF74" s="242"/>
      <c r="GG74" s="242"/>
      <c r="GH74" s="242"/>
      <c r="GI74" s="242"/>
      <c r="GJ74" s="242"/>
      <c r="GK74" s="242"/>
      <c r="GL74" s="242"/>
      <c r="GM74" s="242"/>
      <c r="GN74" s="242"/>
      <c r="GO74" s="242"/>
      <c r="GP74" s="242"/>
      <c r="GQ74" s="242"/>
      <c r="GR74" s="242"/>
      <c r="GS74" s="242"/>
      <c r="GT74" s="242"/>
      <c r="GU74" s="242"/>
      <c r="GV74" s="242"/>
      <c r="GW74" s="242"/>
      <c r="GX74" s="242"/>
      <c r="GY74" s="242"/>
      <c r="GZ74" s="242"/>
      <c r="HA74" s="242"/>
      <c r="HB74" s="242"/>
      <c r="HC74" s="242"/>
      <c r="HD74" s="242"/>
      <c r="HE74" s="242"/>
      <c r="HF74" s="242"/>
      <c r="HG74" s="242"/>
      <c r="HH74" s="242"/>
      <c r="HI74" s="242"/>
      <c r="HJ74" s="242"/>
      <c r="HK74" s="242"/>
      <c r="HL74" s="242"/>
      <c r="HM74" s="242"/>
      <c r="HN74" s="242"/>
      <c r="HO74" s="242"/>
      <c r="HP74" s="242"/>
      <c r="HQ74" s="242"/>
      <c r="HR74" s="242"/>
      <c r="HS74" s="242"/>
      <c r="HT74" s="242"/>
      <c r="HU74" s="242"/>
      <c r="HV74" s="242"/>
      <c r="HW74" s="242"/>
      <c r="HX74" s="242"/>
      <c r="HY74" s="242"/>
      <c r="HZ74" s="242"/>
      <c r="IA74" s="242"/>
      <c r="IB74" s="242"/>
      <c r="IC74" s="242"/>
      <c r="ID74" s="242"/>
      <c r="IE74" s="242"/>
      <c r="IF74" s="242"/>
      <c r="IG74" s="242"/>
      <c r="IH74" s="242"/>
      <c r="II74" s="242"/>
      <c r="IJ74" s="242"/>
      <c r="IK74" s="242"/>
      <c r="IL74" s="242"/>
      <c r="IM74" s="242"/>
      <c r="IN74" s="242"/>
      <c r="IO74" s="242"/>
      <c r="IP74" s="242"/>
      <c r="IQ74" s="242"/>
      <c r="IR74" s="242"/>
      <c r="IS74" s="242"/>
      <c r="IT74" s="242"/>
      <c r="IU74" s="242"/>
      <c r="IV74" s="242"/>
      <c r="IW74" s="242"/>
    </row>
    <row r="75" customFormat="false" ht="12.75" hidden="false" customHeight="false" outlineLevel="0" collapsed="false">
      <c r="A75" s="1110"/>
      <c r="B75" s="1097"/>
      <c r="C75" s="242"/>
      <c r="D75" s="242"/>
      <c r="E75" s="242"/>
      <c r="F75" s="242"/>
      <c r="G75" s="242"/>
      <c r="H75" s="242"/>
      <c r="I75" s="242"/>
      <c r="J75" s="242"/>
      <c r="K75" s="242"/>
      <c r="L75" s="242"/>
      <c r="M75" s="242"/>
      <c r="N75" s="242"/>
      <c r="O75" s="242"/>
      <c r="P75" s="242"/>
      <c r="Q75" s="242"/>
      <c r="R75" s="242"/>
      <c r="S75" s="242"/>
      <c r="T75" s="242"/>
      <c r="U75" s="242"/>
      <c r="V75" s="242"/>
      <c r="W75" s="242"/>
      <c r="X75" s="242"/>
      <c r="Y75" s="242"/>
      <c r="Z75" s="242"/>
      <c r="AA75" s="242"/>
      <c r="AB75" s="242"/>
      <c r="AC75" s="242"/>
      <c r="AD75" s="242"/>
      <c r="AE75" s="242"/>
      <c r="AF75" s="242"/>
      <c r="AG75" s="242"/>
      <c r="AH75" s="1098"/>
      <c r="AI75" s="242"/>
      <c r="AJ75" s="242"/>
      <c r="AK75" s="242"/>
      <c r="AL75" s="242"/>
      <c r="AM75" s="242"/>
      <c r="AN75" s="242"/>
      <c r="AO75" s="242"/>
      <c r="AP75" s="242"/>
      <c r="AQ75" s="242"/>
      <c r="AR75" s="242"/>
      <c r="AS75" s="242"/>
      <c r="AT75" s="242"/>
      <c r="AU75" s="242"/>
      <c r="AV75" s="242"/>
      <c r="AW75" s="242"/>
      <c r="AX75" s="242"/>
      <c r="AY75" s="242"/>
      <c r="AZ75" s="242"/>
      <c r="BA75" s="242"/>
      <c r="BB75" s="242"/>
      <c r="BC75" s="242"/>
      <c r="BD75" s="242"/>
      <c r="BE75" s="242"/>
      <c r="BF75" s="242"/>
      <c r="BG75" s="242"/>
      <c r="BH75" s="242"/>
      <c r="BI75" s="242"/>
      <c r="BJ75" s="242"/>
      <c r="BK75" s="242"/>
      <c r="BL75" s="242"/>
      <c r="BM75" s="242"/>
      <c r="BN75" s="242"/>
      <c r="BO75" s="242"/>
      <c r="BP75" s="242"/>
      <c r="BQ75" s="242"/>
      <c r="BR75" s="242"/>
      <c r="BS75" s="242"/>
      <c r="BT75" s="242"/>
      <c r="BU75" s="242"/>
      <c r="BV75" s="242"/>
      <c r="BW75" s="242"/>
      <c r="BX75" s="242"/>
      <c r="BY75" s="242"/>
      <c r="BZ75" s="242"/>
      <c r="CA75" s="242"/>
      <c r="CB75" s="242"/>
      <c r="CC75" s="242"/>
      <c r="CD75" s="242"/>
      <c r="CE75" s="242"/>
      <c r="CF75" s="242"/>
      <c r="CG75" s="242"/>
      <c r="CH75" s="242"/>
      <c r="CI75" s="242"/>
      <c r="CJ75" s="242"/>
      <c r="CK75" s="242"/>
      <c r="CL75" s="242"/>
      <c r="CM75" s="242"/>
      <c r="CN75" s="242"/>
      <c r="CO75" s="242"/>
      <c r="CP75" s="242"/>
      <c r="CQ75" s="242"/>
      <c r="CR75" s="242"/>
      <c r="CS75" s="242"/>
      <c r="CT75" s="242"/>
      <c r="CU75" s="242"/>
      <c r="CV75" s="242"/>
      <c r="CW75" s="242"/>
      <c r="CX75" s="242"/>
      <c r="CY75" s="242"/>
      <c r="CZ75" s="242"/>
      <c r="DA75" s="242"/>
      <c r="DB75" s="242"/>
      <c r="DC75" s="242"/>
      <c r="DD75" s="242"/>
      <c r="DE75" s="242"/>
      <c r="DF75" s="242"/>
      <c r="DG75" s="242"/>
      <c r="DH75" s="242"/>
      <c r="DI75" s="242"/>
      <c r="DJ75" s="242"/>
      <c r="DK75" s="242"/>
      <c r="DL75" s="242"/>
      <c r="DM75" s="242"/>
      <c r="DN75" s="242"/>
      <c r="DO75" s="242"/>
      <c r="DP75" s="242"/>
      <c r="DQ75" s="242"/>
      <c r="DR75" s="242"/>
      <c r="DS75" s="242"/>
      <c r="DT75" s="242"/>
      <c r="DU75" s="242"/>
      <c r="DV75" s="242"/>
      <c r="DW75" s="242"/>
      <c r="DX75" s="242"/>
      <c r="DY75" s="242"/>
      <c r="DZ75" s="242"/>
      <c r="EA75" s="242"/>
      <c r="EB75" s="242"/>
      <c r="EC75" s="242"/>
      <c r="ED75" s="242"/>
      <c r="EE75" s="242"/>
      <c r="EF75" s="242"/>
      <c r="EG75" s="242"/>
      <c r="EH75" s="242"/>
      <c r="EI75" s="242"/>
      <c r="EJ75" s="242"/>
      <c r="EK75" s="242"/>
      <c r="EL75" s="242"/>
      <c r="EM75" s="242"/>
      <c r="EN75" s="242"/>
      <c r="EO75" s="242"/>
      <c r="EP75" s="242"/>
      <c r="EQ75" s="242"/>
      <c r="ER75" s="242"/>
      <c r="ES75" s="242"/>
      <c r="ET75" s="242"/>
      <c r="EU75" s="242"/>
      <c r="EV75" s="242"/>
      <c r="EW75" s="242"/>
      <c r="EX75" s="242"/>
      <c r="EY75" s="242"/>
      <c r="EZ75" s="242"/>
      <c r="FA75" s="242"/>
      <c r="FB75" s="242"/>
      <c r="FC75" s="242"/>
      <c r="FD75" s="242"/>
      <c r="FE75" s="242"/>
      <c r="FF75" s="242"/>
      <c r="FG75" s="242"/>
      <c r="FH75" s="242"/>
      <c r="FI75" s="242"/>
      <c r="FJ75" s="242"/>
      <c r="FK75" s="242"/>
      <c r="FL75" s="242"/>
      <c r="FM75" s="242"/>
      <c r="FN75" s="242"/>
      <c r="FO75" s="242"/>
      <c r="FP75" s="242"/>
      <c r="FQ75" s="242"/>
      <c r="FR75" s="242"/>
      <c r="FS75" s="242"/>
      <c r="FT75" s="242"/>
      <c r="FU75" s="242"/>
      <c r="FV75" s="242"/>
      <c r="FW75" s="242"/>
      <c r="FX75" s="242"/>
      <c r="FY75" s="242"/>
      <c r="FZ75" s="242"/>
      <c r="GA75" s="242"/>
      <c r="GB75" s="242"/>
      <c r="GC75" s="242"/>
      <c r="GD75" s="242"/>
      <c r="GE75" s="242"/>
      <c r="GF75" s="242"/>
      <c r="GG75" s="242"/>
      <c r="GH75" s="242"/>
      <c r="GI75" s="242"/>
      <c r="GJ75" s="242"/>
      <c r="GK75" s="242"/>
      <c r="GL75" s="242"/>
      <c r="GM75" s="242"/>
      <c r="GN75" s="242"/>
      <c r="GO75" s="242"/>
      <c r="GP75" s="242"/>
      <c r="GQ75" s="242"/>
      <c r="GR75" s="242"/>
      <c r="GS75" s="242"/>
      <c r="GT75" s="242"/>
      <c r="GU75" s="242"/>
      <c r="GV75" s="242"/>
      <c r="GW75" s="242"/>
      <c r="GX75" s="242"/>
      <c r="GY75" s="242"/>
      <c r="GZ75" s="242"/>
      <c r="HA75" s="242"/>
      <c r="HB75" s="242"/>
      <c r="HC75" s="242"/>
      <c r="HD75" s="242"/>
      <c r="HE75" s="242"/>
      <c r="HF75" s="242"/>
      <c r="HG75" s="242"/>
      <c r="HH75" s="242"/>
      <c r="HI75" s="242"/>
      <c r="HJ75" s="242"/>
      <c r="HK75" s="242"/>
      <c r="HL75" s="242"/>
      <c r="HM75" s="242"/>
      <c r="HN75" s="242"/>
      <c r="HO75" s="242"/>
      <c r="HP75" s="242"/>
      <c r="HQ75" s="242"/>
      <c r="HR75" s="242"/>
      <c r="HS75" s="242"/>
      <c r="HT75" s="242"/>
      <c r="HU75" s="242"/>
      <c r="HV75" s="242"/>
      <c r="HW75" s="242"/>
      <c r="HX75" s="242"/>
      <c r="HY75" s="242"/>
      <c r="HZ75" s="242"/>
      <c r="IA75" s="242"/>
      <c r="IB75" s="242"/>
      <c r="IC75" s="242"/>
      <c r="ID75" s="242"/>
      <c r="IE75" s="242"/>
      <c r="IF75" s="242"/>
      <c r="IG75" s="242"/>
      <c r="IH75" s="242"/>
      <c r="II75" s="242"/>
      <c r="IJ75" s="242"/>
      <c r="IK75" s="242"/>
      <c r="IL75" s="242"/>
      <c r="IM75" s="242"/>
      <c r="IN75" s="242"/>
      <c r="IO75" s="242"/>
      <c r="IP75" s="242"/>
      <c r="IQ75" s="242"/>
      <c r="IR75" s="242"/>
      <c r="IS75" s="242"/>
      <c r="IT75" s="242"/>
      <c r="IU75" s="242"/>
      <c r="IV75" s="242"/>
      <c r="IW75" s="242"/>
    </row>
    <row r="76" customFormat="false" ht="12.75" hidden="false" customHeight="false" outlineLevel="0" collapsed="false">
      <c r="A76" s="437"/>
      <c r="B76" s="1117" t="s">
        <v>701</v>
      </c>
      <c r="C76" s="1045"/>
      <c r="D76" s="1045" t="n">
        <f aca="false">SUM(D60:D74)</f>
        <v>19331.813945145</v>
      </c>
      <c r="E76" s="1045" t="n">
        <f aca="false">SUM(E60:E74)</f>
        <v>7762.29440874407</v>
      </c>
      <c r="F76" s="1045" t="n">
        <f aca="false">SUM(F60:F74)</f>
        <v>953.384524400176</v>
      </c>
      <c r="G76" s="1045" t="n">
        <f aca="false">SUM(G60:G74)</f>
        <v>-2976.20354182176</v>
      </c>
      <c r="H76" s="1045" t="n">
        <f aca="false">SUM(H60:H74)</f>
        <v>-6862.62431906961</v>
      </c>
      <c r="I76" s="1045" t="n">
        <f aca="false">SUM(I60:I74)</f>
        <v>-8574.33882478007</v>
      </c>
      <c r="J76" s="1045" t="n">
        <f aca="false">SUM(J60:J74)</f>
        <v>-8116.48345932907</v>
      </c>
      <c r="K76" s="1045" t="n">
        <f aca="false">SUM(K60:K74)</f>
        <v>-7606.80733418058</v>
      </c>
      <c r="L76" s="1045" t="n">
        <f aca="false">SUM(L60:L74)</f>
        <v>-7043.41533334514</v>
      </c>
      <c r="M76" s="1045" t="n">
        <f aca="false">SUM(M60:M74)</f>
        <v>-6421.3434421065</v>
      </c>
      <c r="N76" s="1045" t="n">
        <f aca="false">SUM(N60:N74)</f>
        <v>-5704.3894180873</v>
      </c>
      <c r="O76" s="1045" t="n">
        <f aca="false">SUM(O60:O74)</f>
        <v>-4912.18478284193</v>
      </c>
      <c r="P76" s="1045" t="n">
        <f aca="false">SUM(P60:P74)</f>
        <v>-4040.25807966234</v>
      </c>
      <c r="Q76" s="1045" t="n">
        <f aca="false">SUM(Q60:Q74)</f>
        <v>-3081.54216800579</v>
      </c>
      <c r="R76" s="1045" t="n">
        <f aca="false">SUM(R60:R74)</f>
        <v>-2029.46473154099</v>
      </c>
      <c r="S76" s="1045" t="n">
        <f aca="false">SUM(S60:S74)</f>
        <v>-873.505354522756</v>
      </c>
      <c r="T76" s="1045" t="n">
        <f aca="false">SUM(T60:T74)</f>
        <v>314.137719784952</v>
      </c>
      <c r="U76" s="1045" t="n">
        <f aca="false">SUM(U60:U74)</f>
        <v>275.258479856637</v>
      </c>
      <c r="V76" s="1045" t="n">
        <f aca="false">SUM(V60:V74)</f>
        <v>236.379239928322</v>
      </c>
      <c r="W76" s="1045" t="n">
        <f aca="false">SUM(W60:W74)</f>
        <v>0</v>
      </c>
      <c r="X76" s="1045" t="n">
        <f aca="false">SUM(X60:X74)</f>
        <v>0</v>
      </c>
      <c r="Y76" s="1045" t="n">
        <f aca="false">SUM(Y60:Y74)</f>
        <v>0</v>
      </c>
      <c r="Z76" s="1045" t="n">
        <f aca="false">SUM(Z60:Z74)</f>
        <v>0</v>
      </c>
      <c r="AA76" s="1045" t="n">
        <f aca="false">SUM(AA60:AA74)</f>
        <v>0</v>
      </c>
      <c r="AB76" s="1045" t="n">
        <f aca="false">SUM(AB60:AB74)</f>
        <v>0</v>
      </c>
      <c r="AC76" s="1045" t="n">
        <f aca="false">SUM(AC60:AC74)</f>
        <v>0</v>
      </c>
      <c r="AD76" s="1045" t="n">
        <f aca="false">SUM(AD60:AD74)</f>
        <v>0</v>
      </c>
      <c r="AE76" s="1045" t="n">
        <f aca="false">SUM(AE60:AE74)</f>
        <v>0</v>
      </c>
      <c r="AF76" s="1045" t="n">
        <f aca="false">SUM(AF60:AF74)</f>
        <v>0</v>
      </c>
      <c r="AG76" s="1045" t="n">
        <f aca="false">SUM(AG60:AG74)</f>
        <v>0</v>
      </c>
      <c r="AH76" s="1118" t="n">
        <f aca="false">SUM(AH60:AH74)</f>
        <v>0</v>
      </c>
      <c r="AI76" s="313"/>
      <c r="AJ76" s="313"/>
      <c r="AK76" s="313"/>
      <c r="AL76" s="313"/>
      <c r="AM76" s="313"/>
      <c r="AN76" s="313"/>
      <c r="AO76" s="313"/>
      <c r="AP76" s="313"/>
      <c r="AQ76" s="313"/>
      <c r="AR76" s="313"/>
      <c r="AS76" s="313"/>
      <c r="AT76" s="313"/>
      <c r="AU76" s="313"/>
      <c r="AV76" s="313"/>
      <c r="AW76" s="313"/>
      <c r="AX76" s="313"/>
      <c r="AY76" s="313"/>
      <c r="AZ76" s="313"/>
      <c r="BA76" s="313"/>
      <c r="BB76" s="313"/>
      <c r="BC76" s="313"/>
      <c r="BD76" s="313"/>
      <c r="BE76" s="313"/>
      <c r="BF76" s="313"/>
      <c r="BG76" s="313"/>
      <c r="BH76" s="313"/>
      <c r="BI76" s="313"/>
      <c r="BJ76" s="313"/>
      <c r="BK76" s="313"/>
      <c r="BL76" s="313"/>
      <c r="BM76" s="313"/>
      <c r="BN76" s="313"/>
      <c r="BO76" s="313"/>
      <c r="BP76" s="313"/>
      <c r="BQ76" s="313"/>
      <c r="BR76" s="313"/>
      <c r="BS76" s="313"/>
      <c r="BT76" s="313"/>
      <c r="BU76" s="313"/>
      <c r="BV76" s="313"/>
      <c r="BW76" s="313"/>
      <c r="BX76" s="313"/>
      <c r="BY76" s="313"/>
      <c r="BZ76" s="313"/>
      <c r="CA76" s="313"/>
      <c r="CB76" s="313"/>
      <c r="CC76" s="313"/>
      <c r="CD76" s="313"/>
      <c r="CE76" s="313"/>
      <c r="CF76" s="313"/>
      <c r="CG76" s="313"/>
      <c r="CH76" s="313"/>
      <c r="CI76" s="313"/>
      <c r="CJ76" s="313"/>
      <c r="CK76" s="313"/>
      <c r="CL76" s="313"/>
      <c r="CM76" s="313"/>
      <c r="CN76" s="313"/>
      <c r="CO76" s="313"/>
      <c r="CP76" s="313"/>
      <c r="CQ76" s="313"/>
      <c r="CR76" s="313"/>
      <c r="CS76" s="313"/>
      <c r="CT76" s="313"/>
      <c r="CU76" s="313"/>
      <c r="CV76" s="313"/>
      <c r="CW76" s="313"/>
      <c r="CX76" s="313"/>
      <c r="CY76" s="313"/>
      <c r="CZ76" s="313"/>
      <c r="DA76" s="313"/>
      <c r="DB76" s="313"/>
      <c r="DC76" s="313"/>
      <c r="DD76" s="313"/>
      <c r="DE76" s="313"/>
      <c r="DF76" s="313"/>
      <c r="DG76" s="313"/>
      <c r="DH76" s="313"/>
      <c r="DI76" s="313"/>
      <c r="DJ76" s="313"/>
      <c r="DK76" s="313"/>
      <c r="DL76" s="313"/>
      <c r="DM76" s="313"/>
      <c r="DN76" s="313"/>
      <c r="DO76" s="313"/>
      <c r="DP76" s="313"/>
      <c r="DQ76" s="313"/>
      <c r="DR76" s="313"/>
      <c r="DS76" s="313"/>
      <c r="DT76" s="313"/>
      <c r="DU76" s="313"/>
      <c r="DV76" s="313"/>
      <c r="DW76" s="313"/>
      <c r="DX76" s="313"/>
      <c r="DY76" s="313"/>
      <c r="DZ76" s="313"/>
      <c r="EA76" s="313"/>
      <c r="EB76" s="313"/>
      <c r="EC76" s="313"/>
      <c r="ED76" s="313"/>
      <c r="EE76" s="313"/>
      <c r="EF76" s="313"/>
      <c r="EG76" s="313"/>
      <c r="EH76" s="313"/>
      <c r="EI76" s="313"/>
      <c r="EJ76" s="313"/>
      <c r="EK76" s="313"/>
      <c r="EL76" s="313"/>
      <c r="EM76" s="313"/>
      <c r="EN76" s="313"/>
      <c r="EO76" s="313"/>
      <c r="EP76" s="313"/>
      <c r="EQ76" s="313"/>
      <c r="ER76" s="313"/>
      <c r="ES76" s="313"/>
      <c r="ET76" s="313"/>
      <c r="EU76" s="313"/>
      <c r="EV76" s="313"/>
      <c r="EW76" s="313"/>
      <c r="EX76" s="313"/>
      <c r="EY76" s="313"/>
      <c r="EZ76" s="313"/>
      <c r="FA76" s="313"/>
      <c r="FB76" s="313"/>
      <c r="FC76" s="313"/>
      <c r="FD76" s="313"/>
      <c r="FE76" s="313"/>
      <c r="FF76" s="313"/>
      <c r="FG76" s="313"/>
      <c r="FH76" s="313"/>
      <c r="FI76" s="313"/>
      <c r="FJ76" s="313"/>
      <c r="FK76" s="313"/>
      <c r="FL76" s="313"/>
      <c r="FM76" s="313"/>
      <c r="FN76" s="313"/>
      <c r="FO76" s="313"/>
      <c r="FP76" s="313"/>
      <c r="FQ76" s="313"/>
      <c r="FR76" s="313"/>
      <c r="FS76" s="313"/>
      <c r="FT76" s="313"/>
      <c r="FU76" s="313"/>
      <c r="FV76" s="313"/>
      <c r="FW76" s="313"/>
      <c r="FX76" s="313"/>
      <c r="FY76" s="313"/>
      <c r="FZ76" s="313"/>
      <c r="GA76" s="313"/>
      <c r="GB76" s="313"/>
      <c r="GC76" s="313"/>
      <c r="GD76" s="313"/>
      <c r="GE76" s="313"/>
      <c r="GF76" s="313"/>
      <c r="GG76" s="313"/>
      <c r="GH76" s="313"/>
      <c r="GI76" s="313"/>
      <c r="GJ76" s="313"/>
      <c r="GK76" s="313"/>
      <c r="GL76" s="313"/>
      <c r="GM76" s="313"/>
      <c r="GN76" s="313"/>
      <c r="GO76" s="313"/>
      <c r="GP76" s="313"/>
      <c r="GQ76" s="313"/>
      <c r="GR76" s="313"/>
      <c r="GS76" s="313"/>
      <c r="GT76" s="313"/>
      <c r="GU76" s="313"/>
      <c r="GV76" s="313"/>
      <c r="GW76" s="313"/>
      <c r="GX76" s="313"/>
      <c r="GY76" s="313"/>
      <c r="GZ76" s="313"/>
      <c r="HA76" s="313"/>
      <c r="HB76" s="313"/>
      <c r="HC76" s="313"/>
      <c r="HD76" s="313"/>
      <c r="HE76" s="313"/>
      <c r="HF76" s="313"/>
      <c r="HG76" s="313"/>
      <c r="HH76" s="313"/>
      <c r="HI76" s="313"/>
      <c r="HJ76" s="313"/>
      <c r="HK76" s="313"/>
      <c r="HL76" s="313"/>
      <c r="HM76" s="313"/>
      <c r="HN76" s="313"/>
      <c r="HO76" s="313"/>
      <c r="HP76" s="313"/>
      <c r="HQ76" s="313"/>
      <c r="HR76" s="313"/>
      <c r="HS76" s="313"/>
      <c r="HT76" s="313"/>
      <c r="HU76" s="313"/>
      <c r="HV76" s="313"/>
      <c r="HW76" s="313"/>
      <c r="HX76" s="313"/>
      <c r="HY76" s="313"/>
      <c r="HZ76" s="313"/>
      <c r="IA76" s="313"/>
      <c r="IB76" s="313"/>
      <c r="IC76" s="313"/>
      <c r="ID76" s="313"/>
      <c r="IE76" s="313"/>
      <c r="IF76" s="313"/>
      <c r="IG76" s="313"/>
      <c r="IH76" s="313"/>
      <c r="II76" s="313"/>
      <c r="IJ76" s="313"/>
      <c r="IK76" s="313"/>
      <c r="IL76" s="313"/>
      <c r="IM76" s="313"/>
      <c r="IN76" s="313"/>
      <c r="IO76" s="313"/>
      <c r="IP76" s="313"/>
      <c r="IQ76" s="313"/>
      <c r="IR76" s="313"/>
      <c r="IS76" s="313"/>
      <c r="IT76" s="313"/>
      <c r="IU76" s="313"/>
      <c r="IV76" s="313"/>
      <c r="IW76" s="313"/>
    </row>
    <row r="77" customFormat="false" ht="12.75" hidden="false" customHeight="false" outlineLevel="0" collapsed="false">
      <c r="A77" s="736"/>
      <c r="B77" s="1115"/>
      <c r="C77" s="100"/>
      <c r="D77" s="100"/>
      <c r="E77" s="100"/>
      <c r="F77" s="100"/>
      <c r="G77" s="100"/>
      <c r="H77" s="100"/>
      <c r="I77" s="100"/>
      <c r="J77" s="100"/>
      <c r="K77" s="100"/>
      <c r="L77" s="100"/>
      <c r="M77" s="100"/>
      <c r="N77" s="100"/>
      <c r="O77" s="100"/>
      <c r="P77" s="100"/>
      <c r="Q77" s="100"/>
      <c r="R77" s="100"/>
      <c r="S77" s="100"/>
      <c r="T77" s="100"/>
      <c r="U77" s="100"/>
      <c r="V77" s="100"/>
      <c r="W77" s="100"/>
      <c r="X77" s="100"/>
      <c r="Y77" s="100"/>
      <c r="Z77" s="100"/>
      <c r="AA77" s="100"/>
      <c r="AB77" s="100"/>
      <c r="AC77" s="100"/>
      <c r="AD77" s="100"/>
      <c r="AE77" s="100"/>
      <c r="AF77" s="100"/>
      <c r="AG77" s="100"/>
      <c r="AH77" s="1088"/>
      <c r="AI77" s="100"/>
      <c r="AJ77" s="100"/>
      <c r="AK77" s="100"/>
      <c r="AL77" s="100"/>
      <c r="AM77" s="100"/>
      <c r="AN77" s="100"/>
      <c r="AO77" s="100"/>
      <c r="AP77" s="100"/>
      <c r="AQ77" s="100"/>
      <c r="AR77" s="100"/>
      <c r="AS77" s="100"/>
      <c r="AT77" s="100"/>
      <c r="AU77" s="100"/>
      <c r="AV77" s="100"/>
      <c r="AW77" s="100"/>
      <c r="AX77" s="100"/>
      <c r="AY77" s="100"/>
      <c r="AZ77" s="100"/>
      <c r="BA77" s="100"/>
      <c r="BB77" s="100"/>
      <c r="BC77" s="100"/>
      <c r="BD77" s="100"/>
      <c r="BE77" s="100"/>
      <c r="BF77" s="100"/>
      <c r="BG77" s="100"/>
      <c r="BH77" s="100"/>
      <c r="BI77" s="100"/>
      <c r="BJ77" s="100"/>
      <c r="BK77" s="100"/>
      <c r="BL77" s="100"/>
      <c r="BM77" s="100"/>
      <c r="BN77" s="100"/>
      <c r="BO77" s="100"/>
      <c r="BP77" s="100"/>
      <c r="BQ77" s="100"/>
      <c r="BR77" s="100"/>
      <c r="BS77" s="100"/>
      <c r="BT77" s="100"/>
      <c r="BU77" s="100"/>
      <c r="BV77" s="100"/>
      <c r="BW77" s="100"/>
      <c r="BX77" s="100"/>
      <c r="BY77" s="100"/>
      <c r="BZ77" s="100"/>
      <c r="CA77" s="100"/>
      <c r="CB77" s="100"/>
      <c r="CC77" s="100"/>
      <c r="CD77" s="100"/>
      <c r="CE77" s="100"/>
      <c r="CF77" s="100"/>
      <c r="CG77" s="100"/>
      <c r="CH77" s="100"/>
      <c r="CI77" s="100"/>
      <c r="CJ77" s="100"/>
      <c r="CK77" s="100"/>
      <c r="CL77" s="100"/>
      <c r="CM77" s="100"/>
      <c r="CN77" s="100"/>
      <c r="CO77" s="100"/>
      <c r="CP77" s="100"/>
      <c r="CQ77" s="100"/>
      <c r="CR77" s="100"/>
      <c r="CS77" s="100"/>
      <c r="CT77" s="100"/>
      <c r="CU77" s="100"/>
      <c r="CV77" s="100"/>
      <c r="CW77" s="100"/>
      <c r="CX77" s="100"/>
      <c r="CY77" s="100"/>
      <c r="CZ77" s="100"/>
      <c r="DA77" s="100"/>
      <c r="DB77" s="100"/>
      <c r="DC77" s="100"/>
      <c r="DD77" s="100"/>
      <c r="DE77" s="100"/>
      <c r="DF77" s="100"/>
      <c r="DG77" s="100"/>
      <c r="DH77" s="100"/>
      <c r="DI77" s="100"/>
      <c r="DJ77" s="100"/>
      <c r="DK77" s="100"/>
      <c r="DL77" s="100"/>
      <c r="DM77" s="100"/>
      <c r="DN77" s="100"/>
      <c r="DO77" s="100"/>
      <c r="DP77" s="100"/>
      <c r="DQ77" s="100"/>
      <c r="DR77" s="100"/>
      <c r="DS77" s="100"/>
      <c r="DT77" s="100"/>
      <c r="DU77" s="100"/>
      <c r="DV77" s="100"/>
      <c r="DW77" s="100"/>
      <c r="DX77" s="100"/>
      <c r="DY77" s="100"/>
      <c r="DZ77" s="100"/>
      <c r="EA77" s="100"/>
      <c r="EB77" s="100"/>
      <c r="EC77" s="100"/>
      <c r="ED77" s="100"/>
      <c r="EE77" s="100"/>
      <c r="EF77" s="100"/>
      <c r="EG77" s="100"/>
      <c r="EH77" s="100"/>
      <c r="EI77" s="100"/>
      <c r="EJ77" s="100"/>
      <c r="EK77" s="100"/>
      <c r="EL77" s="100"/>
      <c r="EM77" s="100"/>
      <c r="EN77" s="100"/>
      <c r="EO77" s="100"/>
      <c r="EP77" s="100"/>
      <c r="EQ77" s="100"/>
      <c r="ER77" s="100"/>
      <c r="ES77" s="100"/>
      <c r="ET77" s="100"/>
      <c r="EU77" s="100"/>
      <c r="EV77" s="100"/>
      <c r="EW77" s="100"/>
      <c r="EX77" s="100"/>
      <c r="EY77" s="100"/>
      <c r="EZ77" s="100"/>
      <c r="FA77" s="100"/>
      <c r="FB77" s="100"/>
      <c r="FC77" s="100"/>
      <c r="FD77" s="100"/>
      <c r="FE77" s="100"/>
      <c r="FF77" s="100"/>
      <c r="FG77" s="100"/>
      <c r="FH77" s="100"/>
      <c r="FI77" s="100"/>
      <c r="FJ77" s="100"/>
      <c r="FK77" s="100"/>
      <c r="FL77" s="100"/>
      <c r="FM77" s="100"/>
      <c r="FN77" s="100"/>
      <c r="FO77" s="100"/>
      <c r="FP77" s="100"/>
      <c r="FQ77" s="100"/>
      <c r="FR77" s="100"/>
      <c r="FS77" s="100"/>
      <c r="FT77" s="100"/>
      <c r="FU77" s="100"/>
      <c r="FV77" s="100"/>
      <c r="FW77" s="100"/>
      <c r="FX77" s="100"/>
      <c r="FY77" s="100"/>
      <c r="FZ77" s="100"/>
      <c r="GA77" s="100"/>
      <c r="GB77" s="100"/>
      <c r="GC77" s="100"/>
      <c r="GD77" s="100"/>
      <c r="GE77" s="100"/>
      <c r="GF77" s="100"/>
      <c r="GG77" s="100"/>
      <c r="GH77" s="100"/>
      <c r="GI77" s="100"/>
      <c r="GJ77" s="100"/>
      <c r="GK77" s="100"/>
      <c r="GL77" s="100"/>
      <c r="GM77" s="100"/>
      <c r="GN77" s="100"/>
      <c r="GO77" s="100"/>
      <c r="GP77" s="100"/>
      <c r="GQ77" s="100"/>
      <c r="GR77" s="100"/>
      <c r="GS77" s="100"/>
      <c r="GT77" s="100"/>
      <c r="GU77" s="100"/>
      <c r="GV77" s="100"/>
      <c r="GW77" s="100"/>
      <c r="GX77" s="100"/>
      <c r="GY77" s="100"/>
      <c r="GZ77" s="100"/>
      <c r="HA77" s="100"/>
      <c r="HB77" s="100"/>
      <c r="HC77" s="100"/>
      <c r="HD77" s="100"/>
      <c r="HE77" s="100"/>
      <c r="HF77" s="100"/>
      <c r="HG77" s="100"/>
      <c r="HH77" s="100"/>
      <c r="HI77" s="100"/>
      <c r="HJ77" s="100"/>
      <c r="HK77" s="100"/>
      <c r="HL77" s="100"/>
      <c r="HM77" s="100"/>
      <c r="HN77" s="100"/>
      <c r="HO77" s="100"/>
      <c r="HP77" s="100"/>
      <c r="HQ77" s="100"/>
      <c r="HR77" s="100"/>
      <c r="HS77" s="100"/>
      <c r="HT77" s="100"/>
      <c r="HU77" s="100"/>
      <c r="HV77" s="100"/>
      <c r="HW77" s="100"/>
      <c r="HX77" s="100"/>
      <c r="HY77" s="100"/>
      <c r="HZ77" s="100"/>
      <c r="IA77" s="100"/>
      <c r="IB77" s="100"/>
      <c r="IC77" s="100"/>
      <c r="ID77" s="100"/>
      <c r="IE77" s="100"/>
      <c r="IF77" s="100"/>
      <c r="IG77" s="100"/>
      <c r="IH77" s="100"/>
      <c r="II77" s="100"/>
      <c r="IJ77" s="100"/>
      <c r="IK77" s="100"/>
      <c r="IL77" s="100"/>
      <c r="IM77" s="100"/>
      <c r="IN77" s="100"/>
      <c r="IO77" s="100"/>
      <c r="IP77" s="100"/>
      <c r="IQ77" s="100"/>
      <c r="IR77" s="100"/>
      <c r="IS77" s="100"/>
      <c r="IT77" s="100"/>
      <c r="IU77" s="100"/>
      <c r="IV77" s="100"/>
      <c r="IW77" s="100"/>
    </row>
    <row r="78" customFormat="false" ht="12.75" hidden="false" customHeight="false" outlineLevel="0" collapsed="false">
      <c r="A78" s="736"/>
      <c r="B78" s="1115"/>
      <c r="C78" s="100"/>
      <c r="D78" s="100"/>
      <c r="E78" s="100"/>
      <c r="F78" s="100"/>
      <c r="G78" s="100"/>
      <c r="H78" s="100"/>
      <c r="I78" s="100"/>
      <c r="J78" s="100"/>
      <c r="K78" s="100"/>
      <c r="L78" s="100"/>
      <c r="M78" s="100"/>
      <c r="N78" s="100"/>
      <c r="O78" s="100"/>
      <c r="P78" s="100"/>
      <c r="Q78" s="100"/>
      <c r="R78" s="100"/>
      <c r="S78" s="100"/>
      <c r="T78" s="100"/>
      <c r="U78" s="100"/>
      <c r="V78" s="100"/>
      <c r="W78" s="100"/>
      <c r="X78" s="100"/>
      <c r="Y78" s="100"/>
      <c r="Z78" s="100"/>
      <c r="AA78" s="100"/>
      <c r="AB78" s="100"/>
      <c r="AC78" s="100"/>
      <c r="AD78" s="100"/>
      <c r="AE78" s="100"/>
      <c r="AF78" s="100"/>
      <c r="AG78" s="100"/>
      <c r="AH78" s="1088"/>
      <c r="AI78" s="100"/>
      <c r="AJ78" s="100"/>
      <c r="AK78" s="100"/>
      <c r="AL78" s="100"/>
      <c r="AM78" s="100"/>
      <c r="AN78" s="100"/>
      <c r="AO78" s="100"/>
      <c r="AP78" s="100"/>
      <c r="AQ78" s="100"/>
      <c r="AR78" s="100"/>
      <c r="AS78" s="100"/>
      <c r="AT78" s="100"/>
      <c r="AU78" s="100"/>
      <c r="AV78" s="100"/>
      <c r="AW78" s="100"/>
      <c r="AX78" s="100"/>
      <c r="AY78" s="100"/>
      <c r="AZ78" s="100"/>
      <c r="BA78" s="100"/>
      <c r="BB78" s="100"/>
      <c r="BC78" s="100"/>
      <c r="BD78" s="100"/>
      <c r="BE78" s="100"/>
      <c r="BF78" s="100"/>
      <c r="BG78" s="100"/>
      <c r="BH78" s="100"/>
      <c r="BI78" s="100"/>
      <c r="BJ78" s="100"/>
      <c r="BK78" s="100"/>
      <c r="BL78" s="100"/>
      <c r="BM78" s="100"/>
      <c r="BN78" s="100"/>
      <c r="BO78" s="100"/>
      <c r="BP78" s="100"/>
      <c r="BQ78" s="100"/>
      <c r="BR78" s="100"/>
      <c r="BS78" s="100"/>
      <c r="BT78" s="100"/>
      <c r="BU78" s="100"/>
      <c r="BV78" s="100"/>
      <c r="BW78" s="100"/>
      <c r="BX78" s="100"/>
      <c r="BY78" s="100"/>
      <c r="BZ78" s="100"/>
      <c r="CA78" s="100"/>
      <c r="CB78" s="100"/>
      <c r="CC78" s="100"/>
      <c r="CD78" s="100"/>
      <c r="CE78" s="100"/>
      <c r="CF78" s="100"/>
      <c r="CG78" s="100"/>
      <c r="CH78" s="100"/>
      <c r="CI78" s="100"/>
      <c r="CJ78" s="100"/>
      <c r="CK78" s="100"/>
      <c r="CL78" s="100"/>
      <c r="CM78" s="100"/>
      <c r="CN78" s="100"/>
      <c r="CO78" s="100"/>
      <c r="CP78" s="100"/>
      <c r="CQ78" s="100"/>
      <c r="CR78" s="100"/>
      <c r="CS78" s="100"/>
      <c r="CT78" s="100"/>
      <c r="CU78" s="100"/>
      <c r="CV78" s="100"/>
      <c r="CW78" s="100"/>
      <c r="CX78" s="100"/>
      <c r="CY78" s="100"/>
      <c r="CZ78" s="100"/>
      <c r="DA78" s="100"/>
      <c r="DB78" s="100"/>
      <c r="DC78" s="100"/>
      <c r="DD78" s="100"/>
      <c r="DE78" s="100"/>
      <c r="DF78" s="100"/>
      <c r="DG78" s="100"/>
      <c r="DH78" s="100"/>
      <c r="DI78" s="100"/>
      <c r="DJ78" s="100"/>
      <c r="DK78" s="100"/>
      <c r="DL78" s="100"/>
      <c r="DM78" s="100"/>
      <c r="DN78" s="100"/>
      <c r="DO78" s="100"/>
      <c r="DP78" s="100"/>
      <c r="DQ78" s="100"/>
      <c r="DR78" s="100"/>
      <c r="DS78" s="100"/>
      <c r="DT78" s="100"/>
      <c r="DU78" s="100"/>
      <c r="DV78" s="100"/>
      <c r="DW78" s="100"/>
      <c r="DX78" s="100"/>
      <c r="DY78" s="100"/>
      <c r="DZ78" s="100"/>
      <c r="EA78" s="100"/>
      <c r="EB78" s="100"/>
      <c r="EC78" s="100"/>
      <c r="ED78" s="100"/>
      <c r="EE78" s="100"/>
      <c r="EF78" s="100"/>
      <c r="EG78" s="100"/>
      <c r="EH78" s="100"/>
      <c r="EI78" s="100"/>
      <c r="EJ78" s="100"/>
      <c r="EK78" s="100"/>
      <c r="EL78" s="100"/>
      <c r="EM78" s="100"/>
      <c r="EN78" s="100"/>
      <c r="EO78" s="100"/>
      <c r="EP78" s="100"/>
      <c r="EQ78" s="100"/>
      <c r="ER78" s="100"/>
      <c r="ES78" s="100"/>
      <c r="ET78" s="100"/>
      <c r="EU78" s="100"/>
      <c r="EV78" s="100"/>
      <c r="EW78" s="100"/>
      <c r="EX78" s="100"/>
      <c r="EY78" s="100"/>
      <c r="EZ78" s="100"/>
      <c r="FA78" s="100"/>
      <c r="FB78" s="100"/>
      <c r="FC78" s="100"/>
      <c r="FD78" s="100"/>
      <c r="FE78" s="100"/>
      <c r="FF78" s="100"/>
      <c r="FG78" s="100"/>
      <c r="FH78" s="100"/>
      <c r="FI78" s="100"/>
      <c r="FJ78" s="100"/>
      <c r="FK78" s="100"/>
      <c r="FL78" s="100"/>
      <c r="FM78" s="100"/>
      <c r="FN78" s="100"/>
      <c r="FO78" s="100"/>
      <c r="FP78" s="100"/>
      <c r="FQ78" s="100"/>
      <c r="FR78" s="100"/>
      <c r="FS78" s="100"/>
      <c r="FT78" s="100"/>
      <c r="FU78" s="100"/>
      <c r="FV78" s="100"/>
      <c r="FW78" s="100"/>
      <c r="FX78" s="100"/>
      <c r="FY78" s="100"/>
      <c r="FZ78" s="100"/>
      <c r="GA78" s="100"/>
      <c r="GB78" s="100"/>
      <c r="GC78" s="100"/>
      <c r="GD78" s="100"/>
      <c r="GE78" s="100"/>
      <c r="GF78" s="100"/>
      <c r="GG78" s="100"/>
      <c r="GH78" s="100"/>
      <c r="GI78" s="100"/>
      <c r="GJ78" s="100"/>
      <c r="GK78" s="100"/>
      <c r="GL78" s="100"/>
      <c r="GM78" s="100"/>
      <c r="GN78" s="100"/>
      <c r="GO78" s="100"/>
      <c r="GP78" s="100"/>
      <c r="GQ78" s="100"/>
      <c r="GR78" s="100"/>
      <c r="GS78" s="100"/>
      <c r="GT78" s="100"/>
      <c r="GU78" s="100"/>
      <c r="GV78" s="100"/>
      <c r="GW78" s="100"/>
      <c r="GX78" s="100"/>
      <c r="GY78" s="100"/>
      <c r="GZ78" s="100"/>
      <c r="HA78" s="100"/>
      <c r="HB78" s="100"/>
      <c r="HC78" s="100"/>
      <c r="HD78" s="100"/>
      <c r="HE78" s="100"/>
      <c r="HF78" s="100"/>
      <c r="HG78" s="100"/>
      <c r="HH78" s="100"/>
      <c r="HI78" s="100"/>
      <c r="HJ78" s="100"/>
      <c r="HK78" s="100"/>
      <c r="HL78" s="100"/>
      <c r="HM78" s="100"/>
      <c r="HN78" s="100"/>
      <c r="HO78" s="100"/>
      <c r="HP78" s="100"/>
      <c r="HQ78" s="100"/>
      <c r="HR78" s="100"/>
      <c r="HS78" s="100"/>
      <c r="HT78" s="100"/>
      <c r="HU78" s="100"/>
      <c r="HV78" s="100"/>
      <c r="HW78" s="100"/>
      <c r="HX78" s="100"/>
      <c r="HY78" s="100"/>
      <c r="HZ78" s="100"/>
      <c r="IA78" s="100"/>
      <c r="IB78" s="100"/>
      <c r="IC78" s="100"/>
      <c r="ID78" s="100"/>
      <c r="IE78" s="100"/>
      <c r="IF78" s="100"/>
      <c r="IG78" s="100"/>
      <c r="IH78" s="100"/>
      <c r="II78" s="100"/>
      <c r="IJ78" s="100"/>
      <c r="IK78" s="100"/>
      <c r="IL78" s="100"/>
      <c r="IM78" s="100"/>
      <c r="IN78" s="100"/>
      <c r="IO78" s="100"/>
      <c r="IP78" s="100"/>
      <c r="IQ78" s="100"/>
      <c r="IR78" s="100"/>
      <c r="IS78" s="100"/>
      <c r="IT78" s="100"/>
      <c r="IU78" s="100"/>
      <c r="IV78" s="100"/>
      <c r="IW78" s="100"/>
    </row>
    <row r="79" customFormat="false" ht="12.75" hidden="false" customHeight="false" outlineLevel="0" collapsed="false">
      <c r="A79" s="437"/>
      <c r="B79" s="1119" t="s">
        <v>709</v>
      </c>
      <c r="C79" s="1102"/>
      <c r="D79" s="1102" t="n">
        <f aca="false">SUM(D63:D73)</f>
        <v>-6590.69375385121</v>
      </c>
      <c r="E79" s="1102" t="n">
        <f aca="false">SUM(E63:E73)</f>
        <v>-10997.9119830166</v>
      </c>
      <c r="F79" s="1102" t="n">
        <f aca="false">SUM(F63:F73)</f>
        <v>-6239.17186602478</v>
      </c>
      <c r="G79" s="1102" t="n">
        <f aca="false">SUM(G63:G73)</f>
        <v>-3361.96112135487</v>
      </c>
      <c r="H79" s="1102" t="n">
        <f aca="false">SUM(H63:H73)</f>
        <v>-3321.11059161527</v>
      </c>
      <c r="I79" s="1102" t="n">
        <f aca="false">SUM(I63:I73)</f>
        <v>-1148.83501811335</v>
      </c>
      <c r="J79" s="1102" t="n">
        <f aca="false">SUM(J63:J73)</f>
        <v>1015.52115517834</v>
      </c>
      <c r="K79" s="1102" t="n">
        <f aca="false">SUM(K63:K73)</f>
        <v>1061.90420265571</v>
      </c>
      <c r="L79" s="1102" t="n">
        <f aca="false">SUM(L63:L73)</f>
        <v>1109.95228067239</v>
      </c>
      <c r="M79" s="1102" t="n">
        <f aca="false">SUM(M63:M73)</f>
        <v>1162.46544961821</v>
      </c>
      <c r="N79" s="1102" t="n">
        <f aca="false">SUM(N63:N73)</f>
        <v>1263.99036879548</v>
      </c>
      <c r="O79" s="1102" t="n">
        <f aca="false">SUM(O63:O73)</f>
        <v>1332.64073154183</v>
      </c>
      <c r="P79" s="1102" t="n">
        <f aca="false">SUM(P63:P73)</f>
        <v>1405.2487029033</v>
      </c>
      <c r="Q79" s="1102" t="n">
        <f aca="false">SUM(Q63:Q73)</f>
        <v>1484.37740068846</v>
      </c>
      <c r="R79" s="1102" t="n">
        <f aca="false">SUM(R63:R73)</f>
        <v>1569.47323596597</v>
      </c>
      <c r="S79" s="1102" t="n">
        <f aca="false">SUM(S63:S73)</f>
        <v>1665.07109837912</v>
      </c>
      <c r="T79" s="1102" t="n">
        <f aca="false">SUM(T63:T73)</f>
        <v>1778.23764800145</v>
      </c>
      <c r="U79" s="1102" t="n">
        <f aca="false">SUM(U63:U73)</f>
        <v>1991.95051082941</v>
      </c>
      <c r="V79" s="1102" t="n">
        <f aca="false">SUM(V63:V73)</f>
        <v>1960.85581609821</v>
      </c>
      <c r="W79" s="1102" t="n">
        <f aca="false">SUM(W63:W73)</f>
        <v>1929.83790420078</v>
      </c>
      <c r="X79" s="1102" t="n">
        <f aca="false">SUM(X63:X73)</f>
        <v>0</v>
      </c>
      <c r="Y79" s="1102" t="n">
        <f aca="false">SUM(Y63:Y73)</f>
        <v>0</v>
      </c>
      <c r="Z79" s="1102" t="n">
        <f aca="false">SUM(Z63:Z73)</f>
        <v>0</v>
      </c>
      <c r="AA79" s="1102" t="n">
        <f aca="false">SUM(AA63:AA73)</f>
        <v>0</v>
      </c>
      <c r="AB79" s="1102" t="n">
        <f aca="false">SUM(AB63:AB73)</f>
        <v>0</v>
      </c>
      <c r="AC79" s="1102" t="n">
        <f aca="false">SUM(AC63:AC73)</f>
        <v>0</v>
      </c>
      <c r="AD79" s="1102" t="n">
        <f aca="false">SUM(AD63:AD73)</f>
        <v>0</v>
      </c>
      <c r="AE79" s="1102" t="n">
        <f aca="false">SUM(AE63:AE73)</f>
        <v>0</v>
      </c>
      <c r="AF79" s="1102" t="n">
        <f aca="false">SUM(AF63:AF73)</f>
        <v>0</v>
      </c>
      <c r="AG79" s="1102" t="n">
        <f aca="false">SUM(AG63:AG73)</f>
        <v>0</v>
      </c>
      <c r="AH79" s="1102" t="n">
        <f aca="false">SUM(AH63:AH73)</f>
        <v>0</v>
      </c>
      <c r="AI79" s="313"/>
      <c r="AJ79" s="313"/>
      <c r="AK79" s="313"/>
      <c r="AL79" s="313"/>
      <c r="AM79" s="313"/>
      <c r="AN79" s="313"/>
      <c r="AO79" s="313"/>
      <c r="AP79" s="313"/>
      <c r="AQ79" s="313"/>
      <c r="AR79" s="313"/>
      <c r="AS79" s="313"/>
      <c r="AT79" s="313"/>
      <c r="AU79" s="313"/>
      <c r="AV79" s="313"/>
      <c r="AW79" s="313"/>
      <c r="AX79" s="313"/>
      <c r="AY79" s="313"/>
      <c r="AZ79" s="313"/>
      <c r="BA79" s="313"/>
      <c r="BB79" s="313"/>
      <c r="BC79" s="313"/>
      <c r="BD79" s="313"/>
      <c r="BE79" s="313"/>
      <c r="BF79" s="313"/>
      <c r="BG79" s="313"/>
      <c r="BH79" s="313"/>
      <c r="BI79" s="313"/>
      <c r="BJ79" s="313"/>
      <c r="BK79" s="313"/>
      <c r="BL79" s="313"/>
      <c r="BM79" s="313"/>
      <c r="BN79" s="313"/>
      <c r="BO79" s="313"/>
      <c r="BP79" s="313"/>
      <c r="BQ79" s="313"/>
      <c r="BR79" s="313"/>
      <c r="BS79" s="313"/>
      <c r="BT79" s="313"/>
      <c r="BU79" s="313"/>
      <c r="BV79" s="313"/>
      <c r="BW79" s="313"/>
      <c r="BX79" s="313"/>
      <c r="BY79" s="313"/>
      <c r="BZ79" s="313"/>
      <c r="CA79" s="313"/>
      <c r="CB79" s="313"/>
      <c r="CC79" s="313"/>
      <c r="CD79" s="313"/>
      <c r="CE79" s="313"/>
      <c r="CF79" s="313"/>
      <c r="CG79" s="313"/>
      <c r="CH79" s="313"/>
      <c r="CI79" s="313"/>
      <c r="CJ79" s="313"/>
      <c r="CK79" s="313"/>
      <c r="CL79" s="313"/>
      <c r="CM79" s="313"/>
      <c r="CN79" s="313"/>
      <c r="CO79" s="313"/>
      <c r="CP79" s="313"/>
      <c r="CQ79" s="313"/>
      <c r="CR79" s="313"/>
      <c r="CS79" s="313"/>
      <c r="CT79" s="313"/>
      <c r="CU79" s="313"/>
      <c r="CV79" s="313"/>
      <c r="CW79" s="313"/>
      <c r="CX79" s="313"/>
      <c r="CY79" s="313"/>
      <c r="CZ79" s="313"/>
      <c r="DA79" s="313"/>
      <c r="DB79" s="313"/>
      <c r="DC79" s="313"/>
      <c r="DD79" s="313"/>
      <c r="DE79" s="313"/>
      <c r="DF79" s="313"/>
      <c r="DG79" s="313"/>
      <c r="DH79" s="313"/>
      <c r="DI79" s="313"/>
      <c r="DJ79" s="313"/>
      <c r="DK79" s="313"/>
      <c r="DL79" s="313"/>
      <c r="DM79" s="313"/>
      <c r="DN79" s="313"/>
      <c r="DO79" s="313"/>
      <c r="DP79" s="313"/>
      <c r="DQ79" s="313"/>
      <c r="DR79" s="313"/>
      <c r="DS79" s="313"/>
      <c r="DT79" s="313"/>
      <c r="DU79" s="313"/>
      <c r="DV79" s="313"/>
      <c r="DW79" s="313"/>
      <c r="DX79" s="313"/>
      <c r="DY79" s="313"/>
      <c r="DZ79" s="313"/>
      <c r="EA79" s="313"/>
      <c r="EB79" s="313"/>
      <c r="EC79" s="313"/>
      <c r="ED79" s="313"/>
      <c r="EE79" s="313"/>
      <c r="EF79" s="313"/>
      <c r="EG79" s="313"/>
      <c r="EH79" s="313"/>
      <c r="EI79" s="313"/>
      <c r="EJ79" s="313"/>
      <c r="EK79" s="313"/>
      <c r="EL79" s="313"/>
      <c r="EM79" s="313"/>
      <c r="EN79" s="313"/>
      <c r="EO79" s="313"/>
      <c r="EP79" s="313"/>
      <c r="EQ79" s="313"/>
      <c r="ER79" s="313"/>
      <c r="ES79" s="313"/>
      <c r="ET79" s="313"/>
      <c r="EU79" s="313"/>
      <c r="EV79" s="313"/>
      <c r="EW79" s="313"/>
      <c r="EX79" s="313"/>
      <c r="EY79" s="313"/>
      <c r="EZ79" s="313"/>
      <c r="FA79" s="313"/>
      <c r="FB79" s="313"/>
      <c r="FC79" s="313"/>
      <c r="FD79" s="313"/>
      <c r="FE79" s="313"/>
      <c r="FF79" s="313"/>
      <c r="FG79" s="313"/>
      <c r="FH79" s="313"/>
      <c r="FI79" s="313"/>
      <c r="FJ79" s="313"/>
      <c r="FK79" s="313"/>
      <c r="FL79" s="313"/>
      <c r="FM79" s="313"/>
      <c r="FN79" s="313"/>
      <c r="FO79" s="313"/>
      <c r="FP79" s="313"/>
      <c r="FQ79" s="313"/>
      <c r="FR79" s="313"/>
      <c r="FS79" s="313"/>
      <c r="FT79" s="313"/>
      <c r="FU79" s="313"/>
      <c r="FV79" s="313"/>
      <c r="FW79" s="313"/>
      <c r="FX79" s="313"/>
      <c r="FY79" s="313"/>
      <c r="FZ79" s="313"/>
      <c r="GA79" s="313"/>
      <c r="GB79" s="313"/>
      <c r="GC79" s="313"/>
      <c r="GD79" s="313"/>
      <c r="GE79" s="313"/>
      <c r="GF79" s="313"/>
      <c r="GG79" s="313"/>
      <c r="GH79" s="313"/>
      <c r="GI79" s="313"/>
      <c r="GJ79" s="313"/>
      <c r="GK79" s="313"/>
      <c r="GL79" s="313"/>
      <c r="GM79" s="313"/>
      <c r="GN79" s="313"/>
      <c r="GO79" s="313"/>
      <c r="GP79" s="313"/>
      <c r="GQ79" s="313"/>
      <c r="GR79" s="313"/>
      <c r="GS79" s="313"/>
      <c r="GT79" s="313"/>
      <c r="GU79" s="313"/>
      <c r="GV79" s="313"/>
      <c r="GW79" s="313"/>
      <c r="GX79" s="313"/>
      <c r="GY79" s="313"/>
      <c r="GZ79" s="313"/>
      <c r="HA79" s="313"/>
      <c r="HB79" s="313"/>
      <c r="HC79" s="313"/>
      <c r="HD79" s="313"/>
      <c r="HE79" s="313"/>
      <c r="HF79" s="313"/>
      <c r="HG79" s="313"/>
      <c r="HH79" s="313"/>
      <c r="HI79" s="313"/>
      <c r="HJ79" s="313"/>
      <c r="HK79" s="313"/>
      <c r="HL79" s="313"/>
      <c r="HM79" s="313"/>
      <c r="HN79" s="313"/>
      <c r="HO79" s="313"/>
      <c r="HP79" s="313"/>
      <c r="HQ79" s="313"/>
      <c r="HR79" s="313"/>
      <c r="HS79" s="313"/>
      <c r="HT79" s="313"/>
      <c r="HU79" s="313"/>
      <c r="HV79" s="313"/>
      <c r="HW79" s="313"/>
      <c r="HX79" s="313"/>
      <c r="HY79" s="313"/>
      <c r="HZ79" s="313"/>
      <c r="IA79" s="313"/>
      <c r="IB79" s="313"/>
      <c r="IC79" s="313"/>
      <c r="ID79" s="313"/>
      <c r="IE79" s="313"/>
      <c r="IF79" s="313"/>
      <c r="IG79" s="313"/>
      <c r="IH79" s="313"/>
      <c r="II79" s="313"/>
      <c r="IJ79" s="313"/>
      <c r="IK79" s="313"/>
      <c r="IL79" s="313"/>
      <c r="IM79" s="313"/>
      <c r="IN79" s="313"/>
      <c r="IO79" s="313"/>
      <c r="IP79" s="313"/>
      <c r="IQ79" s="313"/>
      <c r="IR79" s="313"/>
      <c r="IS79" s="313"/>
      <c r="IT79" s="313"/>
      <c r="IU79" s="313"/>
      <c r="IV79" s="313"/>
      <c r="IW79" s="313"/>
    </row>
    <row r="81" customFormat="false" ht="12.75" hidden="false" customHeight="false" outlineLevel="0" collapsed="false">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21"/>
      <c r="EB81" s="21"/>
      <c r="EC81" s="21"/>
      <c r="ED81" s="21"/>
      <c r="EE81" s="21"/>
      <c r="EF81" s="21"/>
      <c r="EG81" s="21"/>
      <c r="EH81" s="21"/>
      <c r="EI81" s="21"/>
      <c r="EJ81" s="21"/>
      <c r="EK81" s="21"/>
      <c r="EL81" s="21"/>
      <c r="EM81" s="21"/>
      <c r="EN81" s="21"/>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c r="FM81" s="21"/>
      <c r="FN81" s="21"/>
      <c r="FO81" s="21"/>
      <c r="FP81" s="21"/>
      <c r="FQ81" s="21"/>
      <c r="FR81" s="21"/>
      <c r="FS81" s="21"/>
      <c r="FT81" s="21"/>
      <c r="FU81" s="21"/>
      <c r="FV81" s="21"/>
      <c r="FW81" s="21"/>
      <c r="FX81" s="21"/>
      <c r="FY81" s="21"/>
      <c r="FZ81" s="21"/>
      <c r="GA81" s="21"/>
      <c r="GB81" s="21"/>
      <c r="GC81" s="21"/>
      <c r="GD81" s="21"/>
      <c r="GE81" s="21"/>
      <c r="GF81" s="21"/>
      <c r="GG81" s="21"/>
      <c r="GH81" s="21"/>
      <c r="GI81" s="21"/>
      <c r="GJ81" s="21"/>
      <c r="GK81" s="21"/>
      <c r="GL81" s="21"/>
      <c r="GM81" s="21"/>
      <c r="GN81" s="21"/>
      <c r="GO81" s="21"/>
      <c r="GP81" s="21"/>
      <c r="GQ81" s="21"/>
      <c r="GR81" s="21"/>
      <c r="GS81" s="21"/>
      <c r="GT81" s="21"/>
      <c r="GU81" s="21"/>
      <c r="GV81" s="21"/>
      <c r="GW81" s="21"/>
      <c r="GX81" s="21"/>
      <c r="GY81" s="21"/>
      <c r="GZ81" s="21"/>
      <c r="HA81" s="21"/>
      <c r="HB81" s="21"/>
      <c r="HC81" s="21"/>
      <c r="HD81" s="21"/>
      <c r="HE81" s="21"/>
      <c r="HF81" s="21"/>
      <c r="HG81" s="21"/>
      <c r="HH81" s="21"/>
      <c r="HI81" s="21"/>
      <c r="HJ81" s="21"/>
      <c r="HK81" s="21"/>
      <c r="HL81" s="21"/>
      <c r="HM81" s="21"/>
      <c r="HN81" s="21"/>
      <c r="HO81" s="21"/>
      <c r="HP81" s="21"/>
      <c r="HQ81" s="21"/>
      <c r="HR81" s="21"/>
      <c r="HS81" s="21"/>
      <c r="HT81" s="21"/>
      <c r="HU81" s="21"/>
      <c r="HV81" s="21"/>
      <c r="HW81" s="21"/>
      <c r="HX81" s="21"/>
      <c r="HY81" s="21"/>
      <c r="HZ81" s="21"/>
      <c r="IA81" s="21"/>
      <c r="IB81" s="21"/>
      <c r="IC81" s="21"/>
      <c r="ID81" s="21"/>
      <c r="IE81" s="21"/>
      <c r="IF81" s="21"/>
      <c r="IG81" s="21"/>
      <c r="IH81" s="21"/>
      <c r="II81" s="21"/>
      <c r="IJ81" s="21"/>
      <c r="IK81" s="21"/>
      <c r="IL81" s="21"/>
      <c r="IM81" s="21"/>
      <c r="IN81" s="21"/>
      <c r="IO81" s="21"/>
      <c r="IP81" s="21"/>
      <c r="IQ81" s="21"/>
      <c r="IR81" s="21"/>
      <c r="IS81" s="21"/>
      <c r="IT81" s="21"/>
      <c r="IU81" s="21"/>
      <c r="IV81" s="21"/>
      <c r="IW81" s="21"/>
    </row>
    <row r="82" customFormat="false" ht="12.75" hidden="false" customHeight="false" outlineLevel="0" collapsed="false">
      <c r="B82" s="21"/>
      <c r="C82" s="21"/>
      <c r="D82" s="21"/>
      <c r="E82" s="21"/>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21"/>
      <c r="EB82" s="21"/>
      <c r="EC82" s="21"/>
      <c r="ED82" s="21"/>
      <c r="EE82" s="21"/>
      <c r="EF82" s="21"/>
      <c r="EG82" s="21"/>
      <c r="EH82" s="21"/>
      <c r="EI82" s="21"/>
      <c r="EJ82" s="21"/>
      <c r="EK82" s="21"/>
      <c r="EL82" s="21"/>
      <c r="EM82" s="21"/>
      <c r="EN82" s="21"/>
      <c r="EO82" s="21"/>
      <c r="EP82" s="21"/>
      <c r="EQ82" s="21"/>
      <c r="ER82" s="21"/>
      <c r="ES82" s="21"/>
      <c r="ET82" s="21"/>
      <c r="EU82" s="21"/>
      <c r="EV82" s="21"/>
      <c r="EW82" s="21"/>
      <c r="EX82" s="21"/>
      <c r="EY82" s="21"/>
      <c r="EZ82" s="21"/>
      <c r="FA82" s="21"/>
      <c r="FB82" s="21"/>
      <c r="FC82" s="21"/>
      <c r="FD82" s="21"/>
      <c r="FE82" s="21"/>
      <c r="FF82" s="21"/>
      <c r="FG82" s="21"/>
      <c r="FH82" s="21"/>
      <c r="FI82" s="21"/>
      <c r="FJ82" s="21"/>
      <c r="FK82" s="21"/>
      <c r="FL82" s="21"/>
      <c r="FM82" s="21"/>
      <c r="FN82" s="21"/>
      <c r="FO82" s="21"/>
      <c r="FP82" s="21"/>
      <c r="FQ82" s="21"/>
      <c r="FR82" s="21"/>
      <c r="FS82" s="21"/>
      <c r="FT82" s="21"/>
      <c r="FU82" s="21"/>
      <c r="FV82" s="21"/>
      <c r="FW82" s="21"/>
      <c r="FX82" s="21"/>
      <c r="FY82" s="21"/>
      <c r="FZ82" s="21"/>
      <c r="GA82" s="21"/>
      <c r="GB82" s="21"/>
      <c r="GC82" s="21"/>
      <c r="GD82" s="21"/>
      <c r="GE82" s="21"/>
      <c r="GF82" s="21"/>
      <c r="GG82" s="21"/>
      <c r="GH82" s="21"/>
      <c r="GI82" s="21"/>
      <c r="GJ82" s="21"/>
      <c r="GK82" s="21"/>
      <c r="GL82" s="21"/>
      <c r="GM82" s="21"/>
      <c r="GN82" s="21"/>
      <c r="GO82" s="21"/>
      <c r="GP82" s="21"/>
      <c r="GQ82" s="21"/>
      <c r="GR82" s="21"/>
      <c r="GS82" s="21"/>
      <c r="GT82" s="21"/>
      <c r="GU82" s="21"/>
      <c r="GV82" s="21"/>
      <c r="GW82" s="21"/>
      <c r="GX82" s="21"/>
      <c r="GY82" s="21"/>
      <c r="GZ82" s="21"/>
      <c r="HA82" s="21"/>
      <c r="HB82" s="21"/>
      <c r="HC82" s="21"/>
      <c r="HD82" s="21"/>
      <c r="HE82" s="21"/>
      <c r="HF82" s="21"/>
      <c r="HG82" s="21"/>
      <c r="HH82" s="21"/>
      <c r="HI82" s="21"/>
      <c r="HJ82" s="21"/>
      <c r="HK82" s="21"/>
      <c r="HL82" s="21"/>
      <c r="HM82" s="21"/>
      <c r="HN82" s="21"/>
      <c r="HO82" s="21"/>
      <c r="HP82" s="21"/>
      <c r="HQ82" s="21"/>
      <c r="HR82" s="21"/>
      <c r="HS82" s="21"/>
      <c r="HT82" s="21"/>
      <c r="HU82" s="21"/>
      <c r="HV82" s="21"/>
      <c r="HW82" s="21"/>
      <c r="HX82" s="21"/>
      <c r="HY82" s="21"/>
      <c r="HZ82" s="21"/>
      <c r="IA82" s="21"/>
      <c r="IB82" s="21"/>
      <c r="IC82" s="21"/>
      <c r="ID82" s="21"/>
      <c r="IE82" s="21"/>
      <c r="IF82" s="21"/>
      <c r="IG82" s="21"/>
      <c r="IH82" s="21"/>
      <c r="II82" s="21"/>
      <c r="IJ82" s="21"/>
      <c r="IK82" s="21"/>
      <c r="IL82" s="21"/>
      <c r="IM82" s="21"/>
      <c r="IN82" s="21"/>
      <c r="IO82" s="21"/>
      <c r="IP82" s="21"/>
      <c r="IQ82" s="21"/>
      <c r="IR82" s="21"/>
      <c r="IS82" s="21"/>
      <c r="IT82" s="21"/>
      <c r="IU82" s="21"/>
      <c r="IV82" s="21"/>
      <c r="IW82" s="21"/>
    </row>
    <row r="83" customFormat="false" ht="12.75" hidden="false" customHeight="false" outlineLevel="0" collapsed="false">
      <c r="B83" s="43" t="s">
        <v>710</v>
      </c>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c r="BW83" s="17"/>
      <c r="BX83" s="17"/>
      <c r="BY83" s="17"/>
      <c r="BZ83" s="17"/>
      <c r="CA83" s="17"/>
      <c r="CB83" s="17"/>
      <c r="CC83" s="17"/>
      <c r="CD83" s="17"/>
      <c r="CE83" s="17"/>
      <c r="CF83" s="17"/>
      <c r="CG83" s="17"/>
      <c r="CH83" s="17"/>
      <c r="CI83" s="17"/>
      <c r="CJ83" s="17"/>
      <c r="CK83" s="17"/>
      <c r="CL83" s="17"/>
      <c r="CM83" s="17"/>
      <c r="CN83" s="17"/>
      <c r="CO83" s="17"/>
      <c r="CP83" s="17"/>
      <c r="CQ83" s="17"/>
      <c r="CR83" s="17"/>
      <c r="CS83" s="17"/>
      <c r="CT83" s="17"/>
      <c r="CU83" s="17"/>
      <c r="CV83" s="17"/>
      <c r="CW83" s="17"/>
      <c r="CX83" s="17"/>
      <c r="CY83" s="17"/>
      <c r="CZ83" s="17"/>
      <c r="DA83" s="17"/>
      <c r="DB83" s="17"/>
      <c r="DC83" s="17"/>
      <c r="DD83" s="17"/>
      <c r="DE83" s="17"/>
      <c r="DF83" s="17"/>
      <c r="DG83" s="17"/>
      <c r="DH83" s="17"/>
      <c r="DI83" s="17"/>
      <c r="DJ83" s="17"/>
      <c r="DK83" s="17"/>
      <c r="DL83" s="17"/>
      <c r="DM83" s="17"/>
      <c r="DN83" s="17"/>
      <c r="DO83" s="17"/>
      <c r="DP83" s="17"/>
      <c r="DQ83" s="17"/>
      <c r="DR83" s="17"/>
      <c r="DS83" s="17"/>
      <c r="DT83" s="17"/>
      <c r="DU83" s="17"/>
      <c r="DV83" s="17"/>
      <c r="DW83" s="17"/>
      <c r="DX83" s="17"/>
      <c r="DY83" s="17"/>
      <c r="DZ83" s="17"/>
      <c r="EA83" s="17"/>
      <c r="EB83" s="17"/>
      <c r="EC83" s="17"/>
      <c r="ED83" s="17"/>
      <c r="EE83" s="17"/>
      <c r="EF83" s="17"/>
      <c r="EG83" s="17"/>
      <c r="EH83" s="17"/>
      <c r="EI83" s="17"/>
      <c r="EJ83" s="17"/>
      <c r="EK83" s="17"/>
      <c r="EL83" s="17"/>
      <c r="EM83" s="17"/>
      <c r="EN83" s="17"/>
      <c r="EO83" s="17"/>
      <c r="EP83" s="17"/>
      <c r="EQ83" s="17"/>
      <c r="ER83" s="17"/>
      <c r="ES83" s="17"/>
      <c r="ET83" s="17"/>
      <c r="EU83" s="17"/>
      <c r="EV83" s="17"/>
      <c r="EW83" s="17"/>
      <c r="EX83" s="17"/>
      <c r="EY83" s="17"/>
      <c r="EZ83" s="17"/>
      <c r="FA83" s="17"/>
      <c r="FB83" s="17"/>
      <c r="FC83" s="17"/>
      <c r="FD83" s="17"/>
      <c r="FE83" s="17"/>
      <c r="FF83" s="17"/>
      <c r="FG83" s="17"/>
      <c r="FH83" s="17"/>
      <c r="FI83" s="17"/>
      <c r="FJ83" s="17"/>
      <c r="FK83" s="17"/>
      <c r="FL83" s="17"/>
      <c r="FM83" s="17"/>
      <c r="FN83" s="17"/>
      <c r="FO83" s="17"/>
      <c r="FP83" s="17"/>
      <c r="FQ83" s="17"/>
      <c r="FR83" s="17"/>
      <c r="FS83" s="17"/>
      <c r="FT83" s="17"/>
      <c r="FU83" s="17"/>
      <c r="FV83" s="17"/>
      <c r="FW83" s="17"/>
      <c r="FX83" s="17"/>
      <c r="FY83" s="17"/>
      <c r="FZ83" s="17"/>
      <c r="GA83" s="17"/>
      <c r="GB83" s="17"/>
      <c r="GC83" s="17"/>
      <c r="GD83" s="17"/>
      <c r="GE83" s="17"/>
      <c r="GF83" s="17"/>
      <c r="GG83" s="17"/>
      <c r="GH83" s="17"/>
      <c r="GI83" s="17"/>
      <c r="GJ83" s="17"/>
      <c r="GK83" s="17"/>
      <c r="GL83" s="17"/>
      <c r="GM83" s="17"/>
      <c r="GN83" s="17"/>
      <c r="GO83" s="17"/>
      <c r="GP83" s="17"/>
      <c r="GQ83" s="17"/>
      <c r="GR83" s="17"/>
      <c r="GS83" s="17"/>
      <c r="GT83" s="17"/>
      <c r="GU83" s="17"/>
      <c r="GV83" s="17"/>
      <c r="GW83" s="17"/>
      <c r="GX83" s="17"/>
      <c r="GY83" s="17"/>
      <c r="GZ83" s="17"/>
      <c r="HA83" s="17"/>
      <c r="HB83" s="17"/>
      <c r="HC83" s="17"/>
      <c r="HD83" s="17"/>
      <c r="HE83" s="17"/>
      <c r="HF83" s="17"/>
      <c r="HG83" s="17"/>
      <c r="HH83" s="17"/>
      <c r="HI83" s="17"/>
      <c r="HJ83" s="17"/>
      <c r="HK83" s="17"/>
      <c r="HL83" s="17"/>
      <c r="HM83" s="17"/>
      <c r="HN83" s="17"/>
      <c r="HO83" s="17"/>
      <c r="HP83" s="17"/>
      <c r="HQ83" s="17"/>
      <c r="HR83" s="17"/>
      <c r="HS83" s="17"/>
      <c r="HT83" s="17"/>
      <c r="HU83" s="17"/>
      <c r="HV83" s="17"/>
      <c r="HW83" s="17"/>
      <c r="HX83" s="17"/>
      <c r="HY83" s="17"/>
      <c r="HZ83" s="17"/>
      <c r="IA83" s="17"/>
      <c r="IB83" s="17"/>
      <c r="IC83" s="17"/>
      <c r="ID83" s="17"/>
      <c r="IE83" s="17"/>
      <c r="IF83" s="17"/>
      <c r="IG83" s="17"/>
      <c r="IH83" s="17"/>
      <c r="II83" s="17"/>
      <c r="IJ83" s="17"/>
      <c r="IK83" s="17"/>
      <c r="IL83" s="17"/>
      <c r="IM83" s="17"/>
      <c r="IN83" s="17"/>
      <c r="IO83" s="17"/>
      <c r="IP83" s="17"/>
      <c r="IQ83" s="17"/>
      <c r="IR83" s="17"/>
      <c r="IS83" s="17"/>
      <c r="IT83" s="17"/>
      <c r="IU83" s="17"/>
      <c r="IV83" s="17"/>
      <c r="IW83" s="17"/>
    </row>
    <row r="84" customFormat="false" ht="12.75" hidden="false" customHeight="false" outlineLevel="0" collapsed="false">
      <c r="A84" s="736"/>
      <c r="B84" s="100" t="s">
        <v>711</v>
      </c>
      <c r="C84" s="100" t="n">
        <f aca="false">SUM(D84:AG84)</f>
        <v>12580.9312927461</v>
      </c>
      <c r="D84" s="100" t="n">
        <f aca="false">SrDebt!E123+JrDebt!E70</f>
        <v>330.550559286958</v>
      </c>
      <c r="E84" s="100" t="n">
        <f aca="false">SrDebt!F123+JrDebt!F70</f>
        <v>357.259065138095</v>
      </c>
      <c r="F84" s="100" t="n">
        <f aca="false">SrDebt!G123+JrDebt!G70</f>
        <v>390.153141912035</v>
      </c>
      <c r="G84" s="100" t="n">
        <f aca="false">SrDebt!H123+JrDebt!H70</f>
        <v>432.845614864111</v>
      </c>
      <c r="H84" s="100" t="n">
        <f aca="false">SrDebt!I123+JrDebt!I70</f>
        <v>476.0129038382</v>
      </c>
      <c r="I84" s="100" t="n">
        <f aca="false">SrDebt!J123+JrDebt!J70</f>
        <v>523.247166498167</v>
      </c>
      <c r="J84" s="100" t="n">
        <f aca="false">SrDebt!K123+JrDebt!K70</f>
        <v>565.34502878223</v>
      </c>
      <c r="K84" s="100" t="n">
        <f aca="false">SrDebt!L123+JrDebt!L70</f>
        <v>617.165788479718</v>
      </c>
      <c r="L84" s="100" t="n">
        <f aca="false">SrDebt!M123+JrDebt!M70</f>
        <v>670.881664166665</v>
      </c>
      <c r="M84" s="100" t="n">
        <f aca="false">SrDebt!N123+JrDebt!N70</f>
        <v>729.56155456986</v>
      </c>
      <c r="N84" s="100" t="n">
        <f aca="false">SrDebt!O123+JrDebt!O70</f>
        <v>824.443687350428</v>
      </c>
      <c r="O84" s="100" t="n">
        <f aca="false">SrDebt!P123+JrDebt!P70</f>
        <v>899.694298576593</v>
      </c>
      <c r="P84" s="100" t="n">
        <f aca="false">SrDebt!Q123+JrDebt!Q70</f>
        <v>979.416366510816</v>
      </c>
      <c r="Q84" s="100" t="n">
        <f aca="false">SrDebt!R123+JrDebt!R70</f>
        <v>1066.20557498777</v>
      </c>
      <c r="R84" s="100" t="n">
        <f aca="false">SrDebt!S123+JrDebt!S70</f>
        <v>1159.56709979602</v>
      </c>
      <c r="S84" s="100" t="n">
        <f aca="false">SrDebt!T123+JrDebt!T70</f>
        <v>1263.44904034946</v>
      </c>
      <c r="T84" s="100" t="n">
        <f aca="false">SrDebt!U123+JrDebt!U70</f>
        <v>1295.13273763893</v>
      </c>
      <c r="U84" s="100" t="n">
        <f aca="false">SrDebt!V123+JrDebt!V70</f>
        <v>0</v>
      </c>
      <c r="V84" s="100" t="n">
        <f aca="false">SrDebt!W123+JrDebt!W70</f>
        <v>0</v>
      </c>
      <c r="W84" s="100" t="n">
        <f aca="false">SrDebt!X123+JrDebt!X70</f>
        <v>0</v>
      </c>
      <c r="X84" s="100" t="n">
        <f aca="false">SrDebt!Y123+JrDebt!Y70</f>
        <v>0</v>
      </c>
      <c r="Y84" s="100" t="n">
        <f aca="false">SrDebt!Z123+JrDebt!Z70</f>
        <v>0</v>
      </c>
      <c r="Z84" s="100" t="n">
        <f aca="false">SrDebt!AA123+JrDebt!AA70</f>
        <v>0</v>
      </c>
      <c r="AA84" s="100" t="n">
        <f aca="false">SrDebt!AB123+JrDebt!AB70</f>
        <v>0</v>
      </c>
      <c r="AB84" s="100" t="n">
        <f aca="false">SrDebt!AC123+JrDebt!AC70</f>
        <v>0</v>
      </c>
      <c r="AC84" s="100" t="n">
        <f aca="false">SrDebt!AD123+JrDebt!AD70</f>
        <v>0</v>
      </c>
      <c r="AD84" s="100" t="n">
        <f aca="false">SrDebt!AE123+JrDebt!AE70</f>
        <v>0</v>
      </c>
      <c r="AE84" s="100" t="n">
        <f aca="false">SrDebt!AF123+JrDebt!AF70</f>
        <v>0</v>
      </c>
      <c r="AF84" s="100" t="n">
        <f aca="false">SrDebt!AG123+JrDebt!AG70</f>
        <v>0</v>
      </c>
      <c r="AG84" s="100" t="n">
        <f aca="false">SrDebt!AH123+JrDebt!AH70</f>
        <v>0</v>
      </c>
      <c r="AH84" s="100"/>
      <c r="AI84" s="100"/>
      <c r="AJ84" s="100"/>
      <c r="AK84" s="100"/>
      <c r="AL84" s="100"/>
      <c r="AM84" s="100"/>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0"/>
      <c r="BR84" s="100"/>
      <c r="BS84" s="100"/>
      <c r="BT84" s="100"/>
      <c r="BU84" s="100"/>
      <c r="BV84" s="100"/>
      <c r="BW84" s="100"/>
      <c r="BX84" s="100"/>
      <c r="BY84" s="100"/>
      <c r="BZ84" s="100"/>
      <c r="CA84" s="100"/>
      <c r="CB84" s="100"/>
      <c r="CC84" s="100"/>
      <c r="CD84" s="100"/>
      <c r="CE84" s="100"/>
      <c r="CF84" s="100"/>
      <c r="CG84" s="100"/>
      <c r="CH84" s="100"/>
      <c r="CI84" s="100"/>
      <c r="CJ84" s="100"/>
      <c r="CK84" s="100"/>
      <c r="CL84" s="100"/>
      <c r="CM84" s="100"/>
      <c r="CN84" s="100"/>
      <c r="CO84" s="100"/>
      <c r="CP84" s="100"/>
      <c r="CQ84" s="100"/>
      <c r="CR84" s="100"/>
      <c r="CS84" s="100"/>
      <c r="CT84" s="100"/>
      <c r="CU84" s="100"/>
      <c r="CV84" s="100"/>
      <c r="CW84" s="100"/>
      <c r="CX84" s="100"/>
      <c r="CY84" s="100"/>
      <c r="CZ84" s="100"/>
      <c r="DA84" s="100"/>
      <c r="DB84" s="100"/>
      <c r="DC84" s="100"/>
      <c r="DD84" s="100"/>
      <c r="DE84" s="100"/>
      <c r="DF84" s="100"/>
      <c r="DG84" s="100"/>
      <c r="DH84" s="100"/>
      <c r="DI84" s="100"/>
      <c r="DJ84" s="100"/>
      <c r="DK84" s="100"/>
      <c r="DL84" s="100"/>
      <c r="DM84" s="100"/>
      <c r="DN84" s="100"/>
      <c r="DO84" s="100"/>
      <c r="DP84" s="100"/>
      <c r="DQ84" s="100"/>
      <c r="DR84" s="100"/>
      <c r="DS84" s="100"/>
      <c r="DT84" s="100"/>
      <c r="DU84" s="100"/>
      <c r="DV84" s="100"/>
      <c r="DW84" s="100"/>
      <c r="DX84" s="100"/>
      <c r="DY84" s="100"/>
      <c r="DZ84" s="100"/>
      <c r="EA84" s="100"/>
      <c r="EB84" s="100"/>
      <c r="EC84" s="100"/>
      <c r="ED84" s="100"/>
      <c r="EE84" s="100"/>
      <c r="EF84" s="100"/>
      <c r="EG84" s="100"/>
      <c r="EH84" s="100"/>
      <c r="EI84" s="100"/>
      <c r="EJ84" s="100"/>
      <c r="EK84" s="100"/>
      <c r="EL84" s="100"/>
      <c r="EM84" s="100"/>
      <c r="EN84" s="100"/>
      <c r="EO84" s="100"/>
      <c r="EP84" s="100"/>
      <c r="EQ84" s="100"/>
      <c r="ER84" s="100"/>
      <c r="ES84" s="100"/>
      <c r="ET84" s="100"/>
      <c r="EU84" s="100"/>
      <c r="EV84" s="100"/>
      <c r="EW84" s="100"/>
      <c r="EX84" s="100"/>
      <c r="EY84" s="100"/>
      <c r="EZ84" s="100"/>
      <c r="FA84" s="100"/>
      <c r="FB84" s="100"/>
      <c r="FC84" s="100"/>
      <c r="FD84" s="100"/>
      <c r="FE84" s="100"/>
      <c r="FF84" s="100"/>
      <c r="FG84" s="100"/>
      <c r="FH84" s="100"/>
      <c r="FI84" s="100"/>
      <c r="FJ84" s="100"/>
      <c r="FK84" s="100"/>
      <c r="FL84" s="100"/>
      <c r="FM84" s="100"/>
      <c r="FN84" s="100"/>
      <c r="FO84" s="100"/>
      <c r="FP84" s="100"/>
      <c r="FQ84" s="100"/>
      <c r="FR84" s="100"/>
      <c r="FS84" s="100"/>
      <c r="FT84" s="100"/>
      <c r="FU84" s="100"/>
      <c r="FV84" s="100"/>
      <c r="FW84" s="100"/>
      <c r="FX84" s="100"/>
      <c r="FY84" s="100"/>
      <c r="FZ84" s="100"/>
      <c r="GA84" s="100"/>
      <c r="GB84" s="100"/>
      <c r="GC84" s="100"/>
      <c r="GD84" s="100"/>
      <c r="GE84" s="100"/>
      <c r="GF84" s="100"/>
      <c r="GG84" s="100"/>
      <c r="GH84" s="100"/>
      <c r="GI84" s="100"/>
      <c r="GJ84" s="100"/>
      <c r="GK84" s="100"/>
      <c r="GL84" s="100"/>
      <c r="GM84" s="100"/>
      <c r="GN84" s="100"/>
      <c r="GO84" s="100"/>
      <c r="GP84" s="100"/>
      <c r="GQ84" s="100"/>
      <c r="GR84" s="100"/>
      <c r="GS84" s="100"/>
      <c r="GT84" s="100"/>
      <c r="GU84" s="100"/>
      <c r="GV84" s="100"/>
      <c r="GW84" s="100"/>
      <c r="GX84" s="100"/>
      <c r="GY84" s="100"/>
      <c r="GZ84" s="100"/>
      <c r="HA84" s="100"/>
      <c r="HB84" s="100"/>
      <c r="HC84" s="100"/>
      <c r="HD84" s="100"/>
      <c r="HE84" s="100"/>
      <c r="HF84" s="100"/>
      <c r="HG84" s="100"/>
      <c r="HH84" s="100"/>
      <c r="HI84" s="100"/>
      <c r="HJ84" s="100"/>
      <c r="HK84" s="100"/>
      <c r="HL84" s="100"/>
      <c r="HM84" s="100"/>
      <c r="HN84" s="100"/>
      <c r="HO84" s="100"/>
      <c r="HP84" s="100"/>
      <c r="HQ84" s="100"/>
      <c r="HR84" s="100"/>
      <c r="HS84" s="100"/>
      <c r="HT84" s="100"/>
      <c r="HU84" s="100"/>
      <c r="HV84" s="100"/>
      <c r="HW84" s="100"/>
      <c r="HX84" s="100"/>
      <c r="HY84" s="100"/>
      <c r="HZ84" s="100"/>
      <c r="IA84" s="100"/>
      <c r="IB84" s="100"/>
      <c r="IC84" s="100"/>
      <c r="ID84" s="100"/>
      <c r="IE84" s="100"/>
      <c r="IF84" s="100"/>
      <c r="IG84" s="100"/>
      <c r="IH84" s="100"/>
      <c r="II84" s="100"/>
      <c r="IJ84" s="100"/>
      <c r="IK84" s="100"/>
      <c r="IL84" s="100"/>
      <c r="IM84" s="100"/>
      <c r="IN84" s="100"/>
      <c r="IO84" s="100"/>
      <c r="IP84" s="100"/>
      <c r="IQ84" s="100"/>
      <c r="IR84" s="100"/>
      <c r="IS84" s="100"/>
      <c r="IT84" s="100"/>
      <c r="IU84" s="100"/>
      <c r="IV84" s="100"/>
      <c r="IW84" s="100"/>
    </row>
    <row r="85" customFormat="false" ht="12.75" hidden="false" customHeight="false" outlineLevel="0" collapsed="false">
      <c r="A85" s="736"/>
      <c r="B85" s="100"/>
      <c r="C85" s="100"/>
      <c r="D85" s="100"/>
      <c r="E85" s="100"/>
      <c r="F85" s="100"/>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c r="AE85" s="100"/>
      <c r="AF85" s="100"/>
      <c r="AG85" s="100"/>
      <c r="AH85" s="100"/>
      <c r="AI85" s="100"/>
      <c r="AJ85" s="100"/>
      <c r="AK85" s="100"/>
      <c r="AL85" s="100"/>
      <c r="AM85" s="100"/>
      <c r="AN85" s="100"/>
      <c r="AO85" s="100"/>
      <c r="AP85" s="100"/>
      <c r="AQ85" s="100"/>
      <c r="AR85" s="100"/>
      <c r="AS85" s="100"/>
      <c r="AT85" s="100"/>
      <c r="AU85" s="100"/>
      <c r="AV85" s="100"/>
      <c r="AW85" s="100"/>
      <c r="AX85" s="100"/>
      <c r="AY85" s="100"/>
      <c r="AZ85" s="100"/>
      <c r="BA85" s="100"/>
      <c r="BB85" s="100"/>
      <c r="BC85" s="100"/>
      <c r="BD85" s="100"/>
      <c r="BE85" s="100"/>
      <c r="BF85" s="100"/>
      <c r="BG85" s="100"/>
      <c r="BH85" s="100"/>
      <c r="BI85" s="100"/>
      <c r="BJ85" s="100"/>
      <c r="BK85" s="100"/>
      <c r="BL85" s="100"/>
      <c r="BM85" s="100"/>
      <c r="BN85" s="100"/>
      <c r="BO85" s="100"/>
      <c r="BP85" s="100"/>
      <c r="BQ85" s="100"/>
      <c r="BR85" s="100"/>
      <c r="BS85" s="100"/>
      <c r="BT85" s="100"/>
      <c r="BU85" s="100"/>
      <c r="BV85" s="100"/>
      <c r="BW85" s="100"/>
      <c r="BX85" s="100"/>
      <c r="BY85" s="100"/>
      <c r="BZ85" s="100"/>
      <c r="CA85" s="100"/>
      <c r="CB85" s="100"/>
      <c r="CC85" s="100"/>
      <c r="CD85" s="100"/>
      <c r="CE85" s="100"/>
      <c r="CF85" s="100"/>
      <c r="CG85" s="100"/>
      <c r="CH85" s="100"/>
      <c r="CI85" s="100"/>
      <c r="CJ85" s="100"/>
      <c r="CK85" s="100"/>
      <c r="CL85" s="100"/>
      <c r="CM85" s="100"/>
      <c r="CN85" s="100"/>
      <c r="CO85" s="100"/>
      <c r="CP85" s="100"/>
      <c r="CQ85" s="100"/>
      <c r="CR85" s="100"/>
      <c r="CS85" s="100"/>
      <c r="CT85" s="100"/>
      <c r="CU85" s="100"/>
      <c r="CV85" s="100"/>
      <c r="CW85" s="100"/>
      <c r="CX85" s="100"/>
      <c r="CY85" s="100"/>
      <c r="CZ85" s="100"/>
      <c r="DA85" s="100"/>
      <c r="DB85" s="100"/>
      <c r="DC85" s="100"/>
      <c r="DD85" s="100"/>
      <c r="DE85" s="100"/>
      <c r="DF85" s="100"/>
      <c r="DG85" s="100"/>
      <c r="DH85" s="100"/>
      <c r="DI85" s="100"/>
      <c r="DJ85" s="100"/>
      <c r="DK85" s="100"/>
      <c r="DL85" s="100"/>
      <c r="DM85" s="100"/>
      <c r="DN85" s="100"/>
      <c r="DO85" s="100"/>
      <c r="DP85" s="100"/>
      <c r="DQ85" s="100"/>
      <c r="DR85" s="100"/>
      <c r="DS85" s="100"/>
      <c r="DT85" s="100"/>
      <c r="DU85" s="100"/>
      <c r="DV85" s="100"/>
      <c r="DW85" s="100"/>
      <c r="DX85" s="100"/>
      <c r="DY85" s="100"/>
      <c r="DZ85" s="100"/>
      <c r="EA85" s="100"/>
      <c r="EB85" s="100"/>
      <c r="EC85" s="100"/>
      <c r="ED85" s="100"/>
      <c r="EE85" s="100"/>
      <c r="EF85" s="100"/>
      <c r="EG85" s="100"/>
      <c r="EH85" s="100"/>
      <c r="EI85" s="100"/>
      <c r="EJ85" s="100"/>
      <c r="EK85" s="100"/>
      <c r="EL85" s="100"/>
      <c r="EM85" s="100"/>
      <c r="EN85" s="100"/>
      <c r="EO85" s="100"/>
      <c r="EP85" s="100"/>
      <c r="EQ85" s="100"/>
      <c r="ER85" s="100"/>
      <c r="ES85" s="100"/>
      <c r="ET85" s="100"/>
      <c r="EU85" s="100"/>
      <c r="EV85" s="100"/>
      <c r="EW85" s="100"/>
      <c r="EX85" s="100"/>
      <c r="EY85" s="100"/>
      <c r="EZ85" s="100"/>
      <c r="FA85" s="100"/>
      <c r="FB85" s="100"/>
      <c r="FC85" s="100"/>
      <c r="FD85" s="100"/>
      <c r="FE85" s="100"/>
      <c r="FF85" s="100"/>
      <c r="FG85" s="100"/>
      <c r="FH85" s="100"/>
      <c r="FI85" s="100"/>
      <c r="FJ85" s="100"/>
      <c r="FK85" s="100"/>
      <c r="FL85" s="100"/>
      <c r="FM85" s="100"/>
      <c r="FN85" s="100"/>
      <c r="FO85" s="100"/>
      <c r="FP85" s="100"/>
      <c r="FQ85" s="100"/>
      <c r="FR85" s="100"/>
      <c r="FS85" s="100"/>
      <c r="FT85" s="100"/>
      <c r="FU85" s="100"/>
      <c r="FV85" s="100"/>
      <c r="FW85" s="100"/>
      <c r="FX85" s="100"/>
      <c r="FY85" s="100"/>
      <c r="FZ85" s="100"/>
      <c r="GA85" s="100"/>
      <c r="GB85" s="100"/>
      <c r="GC85" s="100"/>
      <c r="GD85" s="100"/>
      <c r="GE85" s="100"/>
      <c r="GF85" s="100"/>
      <c r="GG85" s="100"/>
      <c r="GH85" s="100"/>
      <c r="GI85" s="100"/>
      <c r="GJ85" s="100"/>
      <c r="GK85" s="100"/>
      <c r="GL85" s="100"/>
      <c r="GM85" s="100"/>
      <c r="GN85" s="100"/>
      <c r="GO85" s="100"/>
      <c r="GP85" s="100"/>
      <c r="GQ85" s="100"/>
      <c r="GR85" s="100"/>
      <c r="GS85" s="100"/>
      <c r="GT85" s="100"/>
      <c r="GU85" s="100"/>
      <c r="GV85" s="100"/>
      <c r="GW85" s="100"/>
      <c r="GX85" s="100"/>
      <c r="GY85" s="100"/>
      <c r="GZ85" s="100"/>
      <c r="HA85" s="100"/>
      <c r="HB85" s="100"/>
      <c r="HC85" s="100"/>
      <c r="HD85" s="100"/>
      <c r="HE85" s="100"/>
      <c r="HF85" s="100"/>
      <c r="HG85" s="100"/>
      <c r="HH85" s="100"/>
      <c r="HI85" s="100"/>
      <c r="HJ85" s="100"/>
      <c r="HK85" s="100"/>
      <c r="HL85" s="100"/>
      <c r="HM85" s="100"/>
      <c r="HN85" s="100"/>
      <c r="HO85" s="100"/>
      <c r="HP85" s="100"/>
      <c r="HQ85" s="100"/>
      <c r="HR85" s="100"/>
      <c r="HS85" s="100"/>
      <c r="HT85" s="100"/>
      <c r="HU85" s="100"/>
      <c r="HV85" s="100"/>
      <c r="HW85" s="100"/>
      <c r="HX85" s="100"/>
      <c r="HY85" s="100"/>
      <c r="HZ85" s="100"/>
      <c r="IA85" s="100"/>
      <c r="IB85" s="100"/>
      <c r="IC85" s="100"/>
      <c r="ID85" s="100"/>
      <c r="IE85" s="100"/>
      <c r="IF85" s="100"/>
      <c r="IG85" s="100"/>
      <c r="IH85" s="100"/>
      <c r="II85" s="100"/>
      <c r="IJ85" s="100"/>
      <c r="IK85" s="100"/>
      <c r="IL85" s="100"/>
      <c r="IM85" s="100"/>
      <c r="IN85" s="100"/>
      <c r="IO85" s="100"/>
      <c r="IP85" s="100"/>
      <c r="IQ85" s="100"/>
      <c r="IR85" s="100"/>
      <c r="IS85" s="100"/>
      <c r="IT85" s="100"/>
      <c r="IU85" s="100"/>
      <c r="IV85" s="100"/>
      <c r="IW85" s="100"/>
    </row>
    <row r="86" customFormat="false" ht="12.75" hidden="false" customHeight="false" outlineLevel="0" collapsed="false">
      <c r="A86" s="736"/>
      <c r="B86" s="100" t="s">
        <v>712</v>
      </c>
      <c r="C86" s="100" t="n">
        <f aca="false">SUM(D86:AG86)</f>
        <v>12383.4312927461</v>
      </c>
      <c r="D86" s="100" t="n">
        <f aca="false">D62+SUM(D66:D68)+SUM(D70:D74)</f>
        <v>330.550559286958</v>
      </c>
      <c r="E86" s="100" t="n">
        <f aca="false">E62+SUM(E66:E68)+SUM(E70:E74)</f>
        <v>357.259065138095</v>
      </c>
      <c r="F86" s="100" t="n">
        <f aca="false">F62+SUM(F66:F68)+SUM(F70:F74)</f>
        <v>390.153141912035</v>
      </c>
      <c r="G86" s="100" t="n">
        <f aca="false">G62+SUM(G66:G68)+SUM(G70:G74)</f>
        <v>432.845614864111</v>
      </c>
      <c r="H86" s="100" t="n">
        <f aca="false">H62+SUM(H66:H68)+SUM(H70:H74)</f>
        <v>476.0129038382</v>
      </c>
      <c r="I86" s="100" t="n">
        <f aca="false">I62+SUM(I66:I68)+SUM(I70:I74)</f>
        <v>523.247166498167</v>
      </c>
      <c r="J86" s="100" t="n">
        <f aca="false">J62+SUM(J66:J68)+SUM(J70:J74)</f>
        <v>565.34502878223</v>
      </c>
      <c r="K86" s="100" t="n">
        <f aca="false">K62+SUM(K66:K68)+SUM(K70:K74)</f>
        <v>617.165788479718</v>
      </c>
      <c r="L86" s="100" t="n">
        <f aca="false">L62+SUM(L66:L68)+SUM(L70:L74)</f>
        <v>670.881664166665</v>
      </c>
      <c r="M86" s="100" t="n">
        <f aca="false">M62+SUM(M66:M68)+SUM(M70:M74)</f>
        <v>729.56155456986</v>
      </c>
      <c r="N86" s="100" t="n">
        <f aca="false">N62+SUM(N66:N68)+SUM(N70:N74)</f>
        <v>824.443687350428</v>
      </c>
      <c r="O86" s="100" t="n">
        <f aca="false">O62+SUM(O66:O68)+SUM(O70:O74)</f>
        <v>899.694298576593</v>
      </c>
      <c r="P86" s="100" t="n">
        <f aca="false">P62+SUM(P66:P68)+SUM(P70:P74)</f>
        <v>979.416366510816</v>
      </c>
      <c r="Q86" s="100" t="n">
        <f aca="false">Q62+SUM(Q66:Q68)+SUM(Q70:Q74)</f>
        <v>1066.20557498777</v>
      </c>
      <c r="R86" s="100" t="n">
        <f aca="false">R62+SUM(R66:R68)+SUM(R70:R74)</f>
        <v>1159.56709979602</v>
      </c>
      <c r="S86" s="100" t="n">
        <f aca="false">S62+SUM(S66:S68)+SUM(S70:S74)</f>
        <v>1263.44904034946</v>
      </c>
      <c r="T86" s="100" t="n">
        <f aca="false">T62+SUM(T66:T68)+SUM(T70:T74)</f>
        <v>1295.13273763893</v>
      </c>
      <c r="U86" s="100" t="n">
        <f aca="false">U62+SUM(U66:U68)+SUM(U70:U74)</f>
        <v>0</v>
      </c>
      <c r="V86" s="100" t="n">
        <f aca="false">V62+SUM(V66:V68)+SUM(V70:V74)</f>
        <v>0</v>
      </c>
      <c r="W86" s="100" t="n">
        <f aca="false">W62+SUM(W66:W68)+SUM(W70:W74)</f>
        <v>-197.5</v>
      </c>
      <c r="X86" s="100" t="n">
        <f aca="false">X62+SUM(X66:X68)+SUM(X70:X74)</f>
        <v>0</v>
      </c>
      <c r="Y86" s="100" t="n">
        <f aca="false">Y62+SUM(Y66:Y68)+SUM(Y70:Y74)</f>
        <v>0</v>
      </c>
      <c r="Z86" s="100" t="n">
        <f aca="false">Z62+SUM(Z66:Z68)+SUM(Z70:Z74)</f>
        <v>0</v>
      </c>
      <c r="AA86" s="100" t="n">
        <f aca="false">AA62+SUM(AA66:AA68)+SUM(AA70:AA74)</f>
        <v>0</v>
      </c>
      <c r="AB86" s="100" t="n">
        <f aca="false">AB62+SUM(AB66:AB68)+SUM(AB70:AB74)</f>
        <v>0</v>
      </c>
      <c r="AC86" s="100" t="n">
        <f aca="false">AC62+SUM(AC66:AC68)+SUM(AC70:AC74)</f>
        <v>0</v>
      </c>
      <c r="AD86" s="100" t="n">
        <f aca="false">AD62+SUM(AD66:AD68)+SUM(AD70:AD74)</f>
        <v>0</v>
      </c>
      <c r="AE86" s="100" t="n">
        <f aca="false">AE62+SUM(AE66:AE68)+SUM(AE70:AE74)</f>
        <v>0</v>
      </c>
      <c r="AF86" s="100" t="n">
        <f aca="false">AF62+SUM(AF66:AF68)+SUM(AF70:AF74)</f>
        <v>0</v>
      </c>
      <c r="AG86" s="100" t="n">
        <f aca="false">AG62+SUM(AG66:AG68)+SUM(AG70:AG74)</f>
        <v>0</v>
      </c>
      <c r="AH86" s="100"/>
      <c r="AI86" s="100"/>
      <c r="AJ86" s="100"/>
      <c r="AK86" s="100"/>
      <c r="AL86" s="100"/>
      <c r="AM86" s="100"/>
      <c r="AN86" s="100"/>
      <c r="AO86" s="100"/>
      <c r="AP86" s="100"/>
      <c r="AQ86" s="100"/>
      <c r="AR86" s="100"/>
      <c r="AS86" s="100"/>
      <c r="AT86" s="100"/>
      <c r="AU86" s="100"/>
      <c r="AV86" s="100"/>
      <c r="AW86" s="100"/>
      <c r="AX86" s="100"/>
      <c r="AY86" s="100"/>
      <c r="AZ86" s="100"/>
      <c r="BA86" s="100"/>
      <c r="BB86" s="100"/>
      <c r="BC86" s="100"/>
      <c r="BD86" s="100"/>
      <c r="BE86" s="100"/>
      <c r="BF86" s="100"/>
      <c r="BG86" s="100"/>
      <c r="BH86" s="100"/>
      <c r="BI86" s="100"/>
      <c r="BJ86" s="100"/>
      <c r="BK86" s="100"/>
      <c r="BL86" s="100"/>
      <c r="BM86" s="100"/>
      <c r="BN86" s="100"/>
      <c r="BO86" s="100"/>
      <c r="BP86" s="100"/>
      <c r="BQ86" s="100"/>
      <c r="BR86" s="100"/>
      <c r="BS86" s="100"/>
      <c r="BT86" s="100"/>
      <c r="BU86" s="100"/>
      <c r="BV86" s="100"/>
      <c r="BW86" s="100"/>
      <c r="BX86" s="100"/>
      <c r="BY86" s="100"/>
      <c r="BZ86" s="100"/>
      <c r="CA86" s="100"/>
      <c r="CB86" s="100"/>
      <c r="CC86" s="100"/>
      <c r="CD86" s="100"/>
      <c r="CE86" s="100"/>
      <c r="CF86" s="100"/>
      <c r="CG86" s="100"/>
      <c r="CH86" s="100"/>
      <c r="CI86" s="100"/>
      <c r="CJ86" s="100"/>
      <c r="CK86" s="100"/>
      <c r="CL86" s="100"/>
      <c r="CM86" s="100"/>
      <c r="CN86" s="100"/>
      <c r="CO86" s="100"/>
      <c r="CP86" s="100"/>
      <c r="CQ86" s="100"/>
      <c r="CR86" s="100"/>
      <c r="CS86" s="100"/>
      <c r="CT86" s="100"/>
      <c r="CU86" s="100"/>
      <c r="CV86" s="100"/>
      <c r="CW86" s="100"/>
      <c r="CX86" s="100"/>
      <c r="CY86" s="100"/>
      <c r="CZ86" s="100"/>
      <c r="DA86" s="100"/>
      <c r="DB86" s="100"/>
      <c r="DC86" s="100"/>
      <c r="DD86" s="100"/>
      <c r="DE86" s="100"/>
      <c r="DF86" s="100"/>
      <c r="DG86" s="100"/>
      <c r="DH86" s="100"/>
      <c r="DI86" s="100"/>
      <c r="DJ86" s="100"/>
      <c r="DK86" s="100"/>
      <c r="DL86" s="100"/>
      <c r="DM86" s="100"/>
      <c r="DN86" s="100"/>
      <c r="DO86" s="100"/>
      <c r="DP86" s="100"/>
      <c r="DQ86" s="100"/>
      <c r="DR86" s="100"/>
      <c r="DS86" s="100"/>
      <c r="DT86" s="100"/>
      <c r="DU86" s="100"/>
      <c r="DV86" s="100"/>
      <c r="DW86" s="100"/>
      <c r="DX86" s="100"/>
      <c r="DY86" s="100"/>
      <c r="DZ86" s="100"/>
      <c r="EA86" s="100"/>
      <c r="EB86" s="100"/>
      <c r="EC86" s="100"/>
      <c r="ED86" s="100"/>
      <c r="EE86" s="100"/>
      <c r="EF86" s="100"/>
      <c r="EG86" s="100"/>
      <c r="EH86" s="100"/>
      <c r="EI86" s="100"/>
      <c r="EJ86" s="100"/>
      <c r="EK86" s="100"/>
      <c r="EL86" s="100"/>
      <c r="EM86" s="100"/>
      <c r="EN86" s="100"/>
      <c r="EO86" s="100"/>
      <c r="EP86" s="100"/>
      <c r="EQ86" s="100"/>
      <c r="ER86" s="100"/>
      <c r="ES86" s="100"/>
      <c r="ET86" s="100"/>
      <c r="EU86" s="100"/>
      <c r="EV86" s="100"/>
      <c r="EW86" s="100"/>
      <c r="EX86" s="100"/>
      <c r="EY86" s="100"/>
      <c r="EZ86" s="100"/>
      <c r="FA86" s="100"/>
      <c r="FB86" s="100"/>
      <c r="FC86" s="100"/>
      <c r="FD86" s="100"/>
      <c r="FE86" s="100"/>
      <c r="FF86" s="100"/>
      <c r="FG86" s="100"/>
      <c r="FH86" s="100"/>
      <c r="FI86" s="100"/>
      <c r="FJ86" s="100"/>
      <c r="FK86" s="100"/>
      <c r="FL86" s="100"/>
      <c r="FM86" s="100"/>
      <c r="FN86" s="100"/>
      <c r="FO86" s="100"/>
      <c r="FP86" s="100"/>
      <c r="FQ86" s="100"/>
      <c r="FR86" s="100"/>
      <c r="FS86" s="100"/>
      <c r="FT86" s="100"/>
      <c r="FU86" s="100"/>
      <c r="FV86" s="100"/>
      <c r="FW86" s="100"/>
      <c r="FX86" s="100"/>
      <c r="FY86" s="100"/>
      <c r="FZ86" s="100"/>
      <c r="GA86" s="100"/>
      <c r="GB86" s="100"/>
      <c r="GC86" s="100"/>
      <c r="GD86" s="100"/>
      <c r="GE86" s="100"/>
      <c r="GF86" s="100"/>
      <c r="GG86" s="100"/>
      <c r="GH86" s="100"/>
      <c r="GI86" s="100"/>
      <c r="GJ86" s="100"/>
      <c r="GK86" s="100"/>
      <c r="GL86" s="100"/>
      <c r="GM86" s="100"/>
      <c r="GN86" s="100"/>
      <c r="GO86" s="100"/>
      <c r="GP86" s="100"/>
      <c r="GQ86" s="100"/>
      <c r="GR86" s="100"/>
      <c r="GS86" s="100"/>
      <c r="GT86" s="100"/>
      <c r="GU86" s="100"/>
      <c r="GV86" s="100"/>
      <c r="GW86" s="100"/>
      <c r="GX86" s="100"/>
      <c r="GY86" s="100"/>
      <c r="GZ86" s="100"/>
      <c r="HA86" s="100"/>
      <c r="HB86" s="100"/>
      <c r="HC86" s="100"/>
      <c r="HD86" s="100"/>
      <c r="HE86" s="100"/>
      <c r="HF86" s="100"/>
      <c r="HG86" s="100"/>
      <c r="HH86" s="100"/>
      <c r="HI86" s="100"/>
      <c r="HJ86" s="100"/>
      <c r="HK86" s="100"/>
      <c r="HL86" s="100"/>
      <c r="HM86" s="100"/>
      <c r="HN86" s="100"/>
      <c r="HO86" s="100"/>
      <c r="HP86" s="100"/>
      <c r="HQ86" s="100"/>
      <c r="HR86" s="100"/>
      <c r="HS86" s="100"/>
      <c r="HT86" s="100"/>
      <c r="HU86" s="100"/>
      <c r="HV86" s="100"/>
      <c r="HW86" s="100"/>
      <c r="HX86" s="100"/>
      <c r="HY86" s="100"/>
      <c r="HZ86" s="100"/>
      <c r="IA86" s="100"/>
      <c r="IB86" s="100"/>
      <c r="IC86" s="100"/>
      <c r="ID86" s="100"/>
      <c r="IE86" s="100"/>
      <c r="IF86" s="100"/>
      <c r="IG86" s="100"/>
      <c r="IH86" s="100"/>
      <c r="II86" s="100"/>
      <c r="IJ86" s="100"/>
      <c r="IK86" s="100"/>
      <c r="IL86" s="100"/>
      <c r="IM86" s="100"/>
      <c r="IN86" s="100"/>
      <c r="IO86" s="100"/>
      <c r="IP86" s="100"/>
      <c r="IQ86" s="100"/>
      <c r="IR86" s="100"/>
      <c r="IS86" s="100"/>
      <c r="IT86" s="100"/>
      <c r="IU86" s="100"/>
      <c r="IV86" s="100"/>
      <c r="IW86" s="100"/>
    </row>
    <row r="87" customFormat="false" ht="12.75" hidden="false" customHeight="false" outlineLevel="0" collapsed="false">
      <c r="A87" s="736"/>
      <c r="B87" s="100" t="s">
        <v>713</v>
      </c>
      <c r="C87" s="100" t="n">
        <f aca="false">C84-C86</f>
        <v>197.500000000002</v>
      </c>
      <c r="D87" s="100" t="n">
        <f aca="false">D86-D84</f>
        <v>0</v>
      </c>
      <c r="E87" s="100" t="n">
        <f aca="false">E86-E84</f>
        <v>0</v>
      </c>
      <c r="F87" s="100" t="n">
        <f aca="false">F86-F84</f>
        <v>0</v>
      </c>
      <c r="G87" s="100" t="n">
        <f aca="false">G86-G84</f>
        <v>0</v>
      </c>
      <c r="H87" s="100" t="n">
        <f aca="false">H86-H84</f>
        <v>0</v>
      </c>
      <c r="I87" s="100" t="n">
        <f aca="false">I86-I84</f>
        <v>0</v>
      </c>
      <c r="J87" s="100" t="n">
        <f aca="false">J86-J84</f>
        <v>0</v>
      </c>
      <c r="K87" s="100" t="n">
        <f aca="false">K86-K84</f>
        <v>0</v>
      </c>
      <c r="L87" s="100" t="n">
        <f aca="false">L86-L84</f>
        <v>0</v>
      </c>
      <c r="M87" s="100" t="n">
        <f aca="false">M86-M84</f>
        <v>0</v>
      </c>
      <c r="N87" s="100" t="n">
        <f aca="false">N86-N84</f>
        <v>0</v>
      </c>
      <c r="O87" s="100" t="n">
        <f aca="false">O86-O84</f>
        <v>0</v>
      </c>
      <c r="P87" s="100" t="n">
        <f aca="false">P86-P84</f>
        <v>0</v>
      </c>
      <c r="Q87" s="100" t="n">
        <f aca="false">Q86-Q84</f>
        <v>0</v>
      </c>
      <c r="R87" s="100" t="n">
        <f aca="false">R86-R84</f>
        <v>0</v>
      </c>
      <c r="S87" s="100" t="n">
        <f aca="false">S86-S84</f>
        <v>0</v>
      </c>
      <c r="T87" s="100" t="n">
        <f aca="false">T86-T84</f>
        <v>0</v>
      </c>
      <c r="U87" s="100" t="n">
        <f aca="false">U86-U84</f>
        <v>0</v>
      </c>
      <c r="V87" s="100" t="n">
        <f aca="false">V86-V84</f>
        <v>0</v>
      </c>
      <c r="W87" s="100" t="n">
        <f aca="false">W86-W84</f>
        <v>-197.5</v>
      </c>
      <c r="X87" s="100" t="n">
        <f aca="false">X86-X84</f>
        <v>0</v>
      </c>
      <c r="Y87" s="100" t="n">
        <f aca="false">Y86-Y84</f>
        <v>0</v>
      </c>
      <c r="Z87" s="100" t="n">
        <f aca="false">Z86-Z84</f>
        <v>0</v>
      </c>
      <c r="AA87" s="100" t="n">
        <f aca="false">AA86-AA84</f>
        <v>0</v>
      </c>
      <c r="AB87" s="100" t="n">
        <f aca="false">AB86-AB84</f>
        <v>0</v>
      </c>
      <c r="AC87" s="100" t="n">
        <f aca="false">AC86-AC84</f>
        <v>0</v>
      </c>
      <c r="AD87" s="100" t="n">
        <f aca="false">AD86-AD84</f>
        <v>0</v>
      </c>
      <c r="AE87" s="100" t="n">
        <f aca="false">AE86-AE84</f>
        <v>0</v>
      </c>
      <c r="AF87" s="100" t="n">
        <f aca="false">AF86-AF84</f>
        <v>0</v>
      </c>
      <c r="AG87" s="100" t="n">
        <f aca="false">AG86-AG84</f>
        <v>0</v>
      </c>
      <c r="AH87" s="100"/>
      <c r="AI87" s="100"/>
      <c r="AJ87" s="100"/>
      <c r="AK87" s="100"/>
      <c r="AL87" s="100"/>
      <c r="AM87" s="100"/>
      <c r="AN87" s="100"/>
      <c r="AO87" s="100"/>
      <c r="AP87" s="100"/>
      <c r="AQ87" s="100"/>
      <c r="AR87" s="100"/>
      <c r="AS87" s="100"/>
      <c r="AT87" s="100"/>
      <c r="AU87" s="100"/>
      <c r="AV87" s="100"/>
      <c r="AW87" s="100"/>
      <c r="AX87" s="100"/>
      <c r="AY87" s="100"/>
      <c r="AZ87" s="100"/>
      <c r="BA87" s="100"/>
      <c r="BB87" s="100"/>
      <c r="BC87" s="100"/>
      <c r="BD87" s="100"/>
      <c r="BE87" s="100"/>
      <c r="BF87" s="100"/>
      <c r="BG87" s="100"/>
      <c r="BH87" s="100"/>
      <c r="BI87" s="100"/>
      <c r="BJ87" s="100"/>
      <c r="BK87" s="100"/>
      <c r="BL87" s="100"/>
      <c r="BM87" s="100"/>
      <c r="BN87" s="100"/>
      <c r="BO87" s="100"/>
      <c r="BP87" s="100"/>
      <c r="BQ87" s="100"/>
      <c r="BR87" s="100"/>
      <c r="BS87" s="100"/>
      <c r="BT87" s="100"/>
      <c r="BU87" s="100"/>
      <c r="BV87" s="100"/>
      <c r="BW87" s="100"/>
      <c r="BX87" s="100"/>
      <c r="BY87" s="100"/>
      <c r="BZ87" s="100"/>
      <c r="CA87" s="100"/>
      <c r="CB87" s="100"/>
      <c r="CC87" s="100"/>
      <c r="CD87" s="100"/>
      <c r="CE87" s="100"/>
      <c r="CF87" s="100"/>
      <c r="CG87" s="100"/>
      <c r="CH87" s="100"/>
      <c r="CI87" s="100"/>
      <c r="CJ87" s="100"/>
      <c r="CK87" s="100"/>
      <c r="CL87" s="100"/>
      <c r="CM87" s="100"/>
      <c r="CN87" s="100"/>
      <c r="CO87" s="100"/>
      <c r="CP87" s="100"/>
      <c r="CQ87" s="100"/>
      <c r="CR87" s="100"/>
      <c r="CS87" s="100"/>
      <c r="CT87" s="100"/>
      <c r="CU87" s="100"/>
      <c r="CV87" s="100"/>
      <c r="CW87" s="100"/>
      <c r="CX87" s="100"/>
      <c r="CY87" s="100"/>
      <c r="CZ87" s="100"/>
      <c r="DA87" s="100"/>
      <c r="DB87" s="100"/>
      <c r="DC87" s="100"/>
      <c r="DD87" s="100"/>
      <c r="DE87" s="100"/>
      <c r="DF87" s="100"/>
      <c r="DG87" s="100"/>
      <c r="DH87" s="100"/>
      <c r="DI87" s="100"/>
      <c r="DJ87" s="100"/>
      <c r="DK87" s="100"/>
      <c r="DL87" s="100"/>
      <c r="DM87" s="100"/>
      <c r="DN87" s="100"/>
      <c r="DO87" s="100"/>
      <c r="DP87" s="100"/>
      <c r="DQ87" s="100"/>
      <c r="DR87" s="100"/>
      <c r="DS87" s="100"/>
      <c r="DT87" s="100"/>
      <c r="DU87" s="100"/>
      <c r="DV87" s="100"/>
      <c r="DW87" s="100"/>
      <c r="DX87" s="100"/>
      <c r="DY87" s="100"/>
      <c r="DZ87" s="100"/>
      <c r="EA87" s="100"/>
      <c r="EB87" s="100"/>
      <c r="EC87" s="100"/>
      <c r="ED87" s="100"/>
      <c r="EE87" s="100"/>
      <c r="EF87" s="100"/>
      <c r="EG87" s="100"/>
      <c r="EH87" s="100"/>
      <c r="EI87" s="100"/>
      <c r="EJ87" s="100"/>
      <c r="EK87" s="100"/>
      <c r="EL87" s="100"/>
      <c r="EM87" s="100"/>
      <c r="EN87" s="100"/>
      <c r="EO87" s="100"/>
      <c r="EP87" s="100"/>
      <c r="EQ87" s="100"/>
      <c r="ER87" s="100"/>
      <c r="ES87" s="100"/>
      <c r="ET87" s="100"/>
      <c r="EU87" s="100"/>
      <c r="EV87" s="100"/>
      <c r="EW87" s="100"/>
      <c r="EX87" s="100"/>
      <c r="EY87" s="100"/>
      <c r="EZ87" s="100"/>
      <c r="FA87" s="100"/>
      <c r="FB87" s="100"/>
      <c r="FC87" s="100"/>
      <c r="FD87" s="100"/>
      <c r="FE87" s="100"/>
      <c r="FF87" s="100"/>
      <c r="FG87" s="100"/>
      <c r="FH87" s="100"/>
      <c r="FI87" s="100"/>
      <c r="FJ87" s="100"/>
      <c r="FK87" s="100"/>
      <c r="FL87" s="100"/>
      <c r="FM87" s="100"/>
      <c r="FN87" s="100"/>
      <c r="FO87" s="100"/>
      <c r="FP87" s="100"/>
      <c r="FQ87" s="100"/>
      <c r="FR87" s="100"/>
      <c r="FS87" s="100"/>
      <c r="FT87" s="100"/>
      <c r="FU87" s="100"/>
      <c r="FV87" s="100"/>
      <c r="FW87" s="100"/>
      <c r="FX87" s="100"/>
      <c r="FY87" s="100"/>
      <c r="FZ87" s="100"/>
      <c r="GA87" s="100"/>
      <c r="GB87" s="100"/>
      <c r="GC87" s="100"/>
      <c r="GD87" s="100"/>
      <c r="GE87" s="100"/>
      <c r="GF87" s="100"/>
      <c r="GG87" s="100"/>
      <c r="GH87" s="100"/>
      <c r="GI87" s="100"/>
      <c r="GJ87" s="100"/>
      <c r="GK87" s="100"/>
      <c r="GL87" s="100"/>
      <c r="GM87" s="100"/>
      <c r="GN87" s="100"/>
      <c r="GO87" s="100"/>
      <c r="GP87" s="100"/>
      <c r="GQ87" s="100"/>
      <c r="GR87" s="100"/>
      <c r="GS87" s="100"/>
      <c r="GT87" s="100"/>
      <c r="GU87" s="100"/>
      <c r="GV87" s="100"/>
      <c r="GW87" s="100"/>
      <c r="GX87" s="100"/>
      <c r="GY87" s="100"/>
      <c r="GZ87" s="100"/>
      <c r="HA87" s="100"/>
      <c r="HB87" s="100"/>
      <c r="HC87" s="100"/>
      <c r="HD87" s="100"/>
      <c r="HE87" s="100"/>
      <c r="HF87" s="100"/>
      <c r="HG87" s="100"/>
      <c r="HH87" s="100"/>
      <c r="HI87" s="100"/>
      <c r="HJ87" s="100"/>
      <c r="HK87" s="100"/>
      <c r="HL87" s="100"/>
      <c r="HM87" s="100"/>
      <c r="HN87" s="100"/>
      <c r="HO87" s="100"/>
      <c r="HP87" s="100"/>
      <c r="HQ87" s="100"/>
      <c r="HR87" s="100"/>
      <c r="HS87" s="100"/>
      <c r="HT87" s="100"/>
      <c r="HU87" s="100"/>
      <c r="HV87" s="100"/>
      <c r="HW87" s="100"/>
      <c r="HX87" s="100"/>
      <c r="HY87" s="100"/>
      <c r="HZ87" s="100"/>
      <c r="IA87" s="100"/>
      <c r="IB87" s="100"/>
      <c r="IC87" s="100"/>
      <c r="ID87" s="100"/>
      <c r="IE87" s="100"/>
      <c r="IF87" s="100"/>
      <c r="IG87" s="100"/>
      <c r="IH87" s="100"/>
      <c r="II87" s="100"/>
      <c r="IJ87" s="100"/>
      <c r="IK87" s="100"/>
      <c r="IL87" s="100"/>
      <c r="IM87" s="100"/>
      <c r="IN87" s="100"/>
      <c r="IO87" s="100"/>
      <c r="IP87" s="100"/>
      <c r="IQ87" s="100"/>
      <c r="IR87" s="100"/>
      <c r="IS87" s="100"/>
      <c r="IT87" s="100"/>
      <c r="IU87" s="100"/>
      <c r="IV87" s="100"/>
      <c r="IW87" s="100"/>
    </row>
    <row r="88" customFormat="false" ht="12.75" hidden="false" customHeight="false" outlineLevel="0" collapsed="false">
      <c r="A88" s="736"/>
      <c r="B88" s="100"/>
      <c r="C88" s="100"/>
      <c r="D88" s="100"/>
      <c r="E88" s="100"/>
      <c r="F88" s="100"/>
      <c r="G88" s="100"/>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c r="AE88" s="100"/>
      <c r="AF88" s="100"/>
      <c r="AG88" s="100"/>
      <c r="AH88" s="100"/>
      <c r="AI88" s="100"/>
      <c r="AJ88" s="100"/>
      <c r="AK88" s="100"/>
      <c r="AL88" s="100"/>
      <c r="AM88" s="100"/>
      <c r="AN88" s="100"/>
      <c r="AO88" s="100"/>
      <c r="AP88" s="100"/>
      <c r="AQ88" s="100"/>
      <c r="AR88" s="100"/>
      <c r="AS88" s="100"/>
      <c r="AT88" s="100"/>
      <c r="AU88" s="100"/>
      <c r="AV88" s="100"/>
      <c r="AW88" s="100"/>
      <c r="AX88" s="100"/>
      <c r="AY88" s="100"/>
      <c r="AZ88" s="100"/>
      <c r="BA88" s="100"/>
      <c r="BB88" s="100"/>
      <c r="BC88" s="100"/>
      <c r="BD88" s="100"/>
      <c r="BE88" s="100"/>
      <c r="BF88" s="100"/>
      <c r="BG88" s="100"/>
      <c r="BH88" s="100"/>
      <c r="BI88" s="100"/>
      <c r="BJ88" s="100"/>
      <c r="BK88" s="100"/>
      <c r="BL88" s="100"/>
      <c r="BM88" s="100"/>
      <c r="BN88" s="100"/>
      <c r="BO88" s="100"/>
      <c r="BP88" s="100"/>
      <c r="BQ88" s="100"/>
      <c r="BR88" s="100"/>
      <c r="BS88" s="100"/>
      <c r="BT88" s="100"/>
      <c r="BU88" s="100"/>
      <c r="BV88" s="100"/>
      <c r="BW88" s="100"/>
      <c r="BX88" s="100"/>
      <c r="BY88" s="100"/>
      <c r="BZ88" s="100"/>
      <c r="CA88" s="100"/>
      <c r="CB88" s="100"/>
      <c r="CC88" s="100"/>
      <c r="CD88" s="100"/>
      <c r="CE88" s="100"/>
      <c r="CF88" s="100"/>
      <c r="CG88" s="100"/>
      <c r="CH88" s="100"/>
      <c r="CI88" s="100"/>
      <c r="CJ88" s="100"/>
      <c r="CK88" s="100"/>
      <c r="CL88" s="100"/>
      <c r="CM88" s="100"/>
      <c r="CN88" s="100"/>
      <c r="CO88" s="100"/>
      <c r="CP88" s="100"/>
      <c r="CQ88" s="100"/>
      <c r="CR88" s="100"/>
      <c r="CS88" s="100"/>
      <c r="CT88" s="100"/>
      <c r="CU88" s="100"/>
      <c r="CV88" s="100"/>
      <c r="CW88" s="100"/>
      <c r="CX88" s="100"/>
      <c r="CY88" s="100"/>
      <c r="CZ88" s="100"/>
      <c r="DA88" s="100"/>
      <c r="DB88" s="100"/>
      <c r="DC88" s="100"/>
      <c r="DD88" s="100"/>
      <c r="DE88" s="100"/>
      <c r="DF88" s="100"/>
      <c r="DG88" s="100"/>
      <c r="DH88" s="100"/>
      <c r="DI88" s="100"/>
      <c r="DJ88" s="100"/>
      <c r="DK88" s="100"/>
      <c r="DL88" s="100"/>
      <c r="DM88" s="100"/>
      <c r="DN88" s="100"/>
      <c r="DO88" s="100"/>
      <c r="DP88" s="100"/>
      <c r="DQ88" s="100"/>
      <c r="DR88" s="100"/>
      <c r="DS88" s="100"/>
      <c r="DT88" s="100"/>
      <c r="DU88" s="100"/>
      <c r="DV88" s="100"/>
      <c r="DW88" s="100"/>
      <c r="DX88" s="100"/>
      <c r="DY88" s="100"/>
      <c r="DZ88" s="100"/>
      <c r="EA88" s="100"/>
      <c r="EB88" s="100"/>
      <c r="EC88" s="100"/>
      <c r="ED88" s="100"/>
      <c r="EE88" s="100"/>
      <c r="EF88" s="100"/>
      <c r="EG88" s="100"/>
      <c r="EH88" s="100"/>
      <c r="EI88" s="100"/>
      <c r="EJ88" s="100"/>
      <c r="EK88" s="100"/>
      <c r="EL88" s="100"/>
      <c r="EM88" s="100"/>
      <c r="EN88" s="100"/>
      <c r="EO88" s="100"/>
      <c r="EP88" s="100"/>
      <c r="EQ88" s="100"/>
      <c r="ER88" s="100"/>
      <c r="ES88" s="100"/>
      <c r="ET88" s="100"/>
      <c r="EU88" s="100"/>
      <c r="EV88" s="100"/>
      <c r="EW88" s="100"/>
      <c r="EX88" s="100"/>
      <c r="EY88" s="100"/>
      <c r="EZ88" s="100"/>
      <c r="FA88" s="100"/>
      <c r="FB88" s="100"/>
      <c r="FC88" s="100"/>
      <c r="FD88" s="100"/>
      <c r="FE88" s="100"/>
      <c r="FF88" s="100"/>
      <c r="FG88" s="100"/>
      <c r="FH88" s="100"/>
      <c r="FI88" s="100"/>
      <c r="FJ88" s="100"/>
      <c r="FK88" s="100"/>
      <c r="FL88" s="100"/>
      <c r="FM88" s="100"/>
      <c r="FN88" s="100"/>
      <c r="FO88" s="100"/>
      <c r="FP88" s="100"/>
      <c r="FQ88" s="100"/>
      <c r="FR88" s="100"/>
      <c r="FS88" s="100"/>
      <c r="FT88" s="100"/>
      <c r="FU88" s="100"/>
      <c r="FV88" s="100"/>
      <c r="FW88" s="100"/>
      <c r="FX88" s="100"/>
      <c r="FY88" s="100"/>
      <c r="FZ88" s="100"/>
      <c r="GA88" s="100"/>
      <c r="GB88" s="100"/>
      <c r="GC88" s="100"/>
      <c r="GD88" s="100"/>
      <c r="GE88" s="100"/>
      <c r="GF88" s="100"/>
      <c r="GG88" s="100"/>
      <c r="GH88" s="100"/>
      <c r="GI88" s="100"/>
      <c r="GJ88" s="100"/>
      <c r="GK88" s="100"/>
      <c r="GL88" s="100"/>
      <c r="GM88" s="100"/>
      <c r="GN88" s="100"/>
      <c r="GO88" s="100"/>
      <c r="GP88" s="100"/>
      <c r="GQ88" s="100"/>
      <c r="GR88" s="100"/>
      <c r="GS88" s="100"/>
      <c r="GT88" s="100"/>
      <c r="GU88" s="100"/>
      <c r="GV88" s="100"/>
      <c r="GW88" s="100"/>
      <c r="GX88" s="100"/>
      <c r="GY88" s="100"/>
      <c r="GZ88" s="100"/>
      <c r="HA88" s="100"/>
      <c r="HB88" s="100"/>
      <c r="HC88" s="100"/>
      <c r="HD88" s="100"/>
      <c r="HE88" s="100"/>
      <c r="HF88" s="100"/>
      <c r="HG88" s="100"/>
      <c r="HH88" s="100"/>
      <c r="HI88" s="100"/>
      <c r="HJ88" s="100"/>
      <c r="HK88" s="100"/>
      <c r="HL88" s="100"/>
      <c r="HM88" s="100"/>
      <c r="HN88" s="100"/>
      <c r="HO88" s="100"/>
      <c r="HP88" s="100"/>
      <c r="HQ88" s="100"/>
      <c r="HR88" s="100"/>
      <c r="HS88" s="100"/>
      <c r="HT88" s="100"/>
      <c r="HU88" s="100"/>
      <c r="HV88" s="100"/>
      <c r="HW88" s="100"/>
      <c r="HX88" s="100"/>
      <c r="HY88" s="100"/>
      <c r="HZ88" s="100"/>
      <c r="IA88" s="100"/>
      <c r="IB88" s="100"/>
      <c r="IC88" s="100"/>
      <c r="ID88" s="100"/>
      <c r="IE88" s="100"/>
      <c r="IF88" s="100"/>
      <c r="IG88" s="100"/>
      <c r="IH88" s="100"/>
      <c r="II88" s="100"/>
      <c r="IJ88" s="100"/>
      <c r="IK88" s="100"/>
      <c r="IL88" s="100"/>
      <c r="IM88" s="100"/>
      <c r="IN88" s="100"/>
      <c r="IO88" s="100"/>
      <c r="IP88" s="100"/>
      <c r="IQ88" s="100"/>
      <c r="IR88" s="100"/>
      <c r="IS88" s="100"/>
      <c r="IT88" s="100"/>
      <c r="IU88" s="100"/>
      <c r="IV88" s="100"/>
      <c r="IW88" s="100"/>
    </row>
    <row r="89" customFormat="false" ht="12.75" hidden="false" customHeight="false" outlineLevel="0" collapsed="false">
      <c r="A89" s="736"/>
      <c r="B89" s="100" t="s">
        <v>714</v>
      </c>
      <c r="C89" s="100" t="n">
        <f aca="false">D10+D36</f>
        <v>26495.8086355692</v>
      </c>
      <c r="D89" s="100"/>
      <c r="E89" s="100" t="n">
        <f aca="false">SUM(D87:AG87)</f>
        <v>-197.5</v>
      </c>
      <c r="F89" s="100" t="s">
        <v>715</v>
      </c>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100"/>
      <c r="AL89" s="100"/>
      <c r="AM89" s="100"/>
      <c r="AN89" s="100"/>
      <c r="AO89" s="100"/>
      <c r="AP89" s="100"/>
      <c r="AQ89" s="100"/>
      <c r="AR89" s="100"/>
      <c r="AS89" s="100"/>
      <c r="AT89" s="100"/>
      <c r="AU89" s="100"/>
      <c r="AV89" s="100"/>
      <c r="AW89" s="100"/>
      <c r="AX89" s="100"/>
      <c r="AY89" s="100"/>
      <c r="AZ89" s="100"/>
      <c r="BA89" s="100"/>
      <c r="BB89" s="100"/>
      <c r="BC89" s="100"/>
      <c r="BD89" s="100"/>
      <c r="BE89" s="100"/>
      <c r="BF89" s="100"/>
      <c r="BG89" s="100"/>
      <c r="BH89" s="100"/>
      <c r="BI89" s="100"/>
      <c r="BJ89" s="100"/>
      <c r="BK89" s="100"/>
      <c r="BL89" s="100"/>
      <c r="BM89" s="100"/>
      <c r="BN89" s="100"/>
      <c r="BO89" s="100"/>
      <c r="BP89" s="100"/>
      <c r="BQ89" s="100"/>
      <c r="BR89" s="100"/>
      <c r="BS89" s="100"/>
      <c r="BT89" s="100"/>
      <c r="BU89" s="100"/>
      <c r="BV89" s="100"/>
      <c r="BW89" s="100"/>
      <c r="BX89" s="100"/>
      <c r="BY89" s="100"/>
      <c r="BZ89" s="100"/>
      <c r="CA89" s="100"/>
      <c r="CB89" s="100"/>
      <c r="CC89" s="100"/>
      <c r="CD89" s="100"/>
      <c r="CE89" s="100"/>
      <c r="CF89" s="100"/>
      <c r="CG89" s="100"/>
      <c r="CH89" s="100"/>
      <c r="CI89" s="100"/>
      <c r="CJ89" s="100"/>
      <c r="CK89" s="100"/>
      <c r="CL89" s="100"/>
      <c r="CM89" s="100"/>
      <c r="CN89" s="100"/>
      <c r="CO89" s="100"/>
      <c r="CP89" s="100"/>
      <c r="CQ89" s="100"/>
      <c r="CR89" s="100"/>
      <c r="CS89" s="100"/>
      <c r="CT89" s="100"/>
      <c r="CU89" s="100"/>
      <c r="CV89" s="100"/>
      <c r="CW89" s="100"/>
      <c r="CX89" s="100"/>
      <c r="CY89" s="100"/>
      <c r="CZ89" s="100"/>
      <c r="DA89" s="100"/>
      <c r="DB89" s="100"/>
      <c r="DC89" s="100"/>
      <c r="DD89" s="100"/>
      <c r="DE89" s="100"/>
      <c r="DF89" s="100"/>
      <c r="DG89" s="100"/>
      <c r="DH89" s="100"/>
      <c r="DI89" s="100"/>
      <c r="DJ89" s="100"/>
      <c r="DK89" s="100"/>
      <c r="DL89" s="100"/>
      <c r="DM89" s="100"/>
      <c r="DN89" s="100"/>
      <c r="DO89" s="100"/>
      <c r="DP89" s="100"/>
      <c r="DQ89" s="100"/>
      <c r="DR89" s="100"/>
      <c r="DS89" s="100"/>
      <c r="DT89" s="100"/>
      <c r="DU89" s="100"/>
      <c r="DV89" s="100"/>
      <c r="DW89" s="100"/>
      <c r="DX89" s="100"/>
      <c r="DY89" s="100"/>
      <c r="DZ89" s="100"/>
      <c r="EA89" s="100"/>
      <c r="EB89" s="100"/>
      <c r="EC89" s="100"/>
      <c r="ED89" s="100"/>
      <c r="EE89" s="100"/>
      <c r="EF89" s="100"/>
      <c r="EG89" s="100"/>
      <c r="EH89" s="100"/>
      <c r="EI89" s="100"/>
      <c r="EJ89" s="100"/>
      <c r="EK89" s="100"/>
      <c r="EL89" s="100"/>
      <c r="EM89" s="100"/>
      <c r="EN89" s="100"/>
      <c r="EO89" s="100"/>
      <c r="EP89" s="100"/>
      <c r="EQ89" s="100"/>
      <c r="ER89" s="100"/>
      <c r="ES89" s="100"/>
      <c r="ET89" s="100"/>
      <c r="EU89" s="100"/>
      <c r="EV89" s="100"/>
      <c r="EW89" s="100"/>
      <c r="EX89" s="100"/>
      <c r="EY89" s="100"/>
      <c r="EZ89" s="100"/>
      <c r="FA89" s="100"/>
      <c r="FB89" s="100"/>
      <c r="FC89" s="100"/>
      <c r="FD89" s="100"/>
      <c r="FE89" s="100"/>
      <c r="FF89" s="100"/>
      <c r="FG89" s="100"/>
      <c r="FH89" s="100"/>
      <c r="FI89" s="100"/>
      <c r="FJ89" s="100"/>
      <c r="FK89" s="100"/>
      <c r="FL89" s="100"/>
      <c r="FM89" s="100"/>
      <c r="FN89" s="100"/>
      <c r="FO89" s="100"/>
      <c r="FP89" s="100"/>
      <c r="FQ89" s="100"/>
      <c r="FR89" s="100"/>
      <c r="FS89" s="100"/>
      <c r="FT89" s="100"/>
      <c r="FU89" s="100"/>
      <c r="FV89" s="100"/>
      <c r="FW89" s="100"/>
      <c r="FX89" s="100"/>
      <c r="FY89" s="100"/>
      <c r="FZ89" s="100"/>
      <c r="GA89" s="100"/>
      <c r="GB89" s="100"/>
      <c r="GC89" s="100"/>
      <c r="GD89" s="100"/>
      <c r="GE89" s="100"/>
      <c r="GF89" s="100"/>
      <c r="GG89" s="100"/>
      <c r="GH89" s="100"/>
      <c r="GI89" s="100"/>
      <c r="GJ89" s="100"/>
      <c r="GK89" s="100"/>
      <c r="GL89" s="100"/>
      <c r="GM89" s="100"/>
      <c r="GN89" s="100"/>
      <c r="GO89" s="100"/>
      <c r="GP89" s="100"/>
      <c r="GQ89" s="100"/>
      <c r="GR89" s="100"/>
      <c r="GS89" s="100"/>
      <c r="GT89" s="100"/>
      <c r="GU89" s="100"/>
      <c r="GV89" s="100"/>
      <c r="GW89" s="100"/>
      <c r="GX89" s="100"/>
      <c r="GY89" s="100"/>
      <c r="GZ89" s="100"/>
      <c r="HA89" s="100"/>
      <c r="HB89" s="100"/>
      <c r="HC89" s="100"/>
      <c r="HD89" s="100"/>
      <c r="HE89" s="100"/>
      <c r="HF89" s="100"/>
      <c r="HG89" s="100"/>
      <c r="HH89" s="100"/>
      <c r="HI89" s="100"/>
      <c r="HJ89" s="100"/>
      <c r="HK89" s="100"/>
      <c r="HL89" s="100"/>
      <c r="HM89" s="100"/>
      <c r="HN89" s="100"/>
      <c r="HO89" s="100"/>
      <c r="HP89" s="100"/>
      <c r="HQ89" s="100"/>
      <c r="HR89" s="100"/>
      <c r="HS89" s="100"/>
      <c r="HT89" s="100"/>
      <c r="HU89" s="100"/>
      <c r="HV89" s="100"/>
      <c r="HW89" s="100"/>
      <c r="HX89" s="100"/>
      <c r="HY89" s="100"/>
      <c r="HZ89" s="100"/>
      <c r="IA89" s="100"/>
      <c r="IB89" s="100"/>
      <c r="IC89" s="100"/>
      <c r="ID89" s="100"/>
      <c r="IE89" s="100"/>
      <c r="IF89" s="100"/>
      <c r="IG89" s="100"/>
      <c r="IH89" s="100"/>
      <c r="II89" s="100"/>
      <c r="IJ89" s="100"/>
      <c r="IK89" s="100"/>
      <c r="IL89" s="100"/>
      <c r="IM89" s="100"/>
      <c r="IN89" s="100"/>
      <c r="IO89" s="100"/>
      <c r="IP89" s="100"/>
      <c r="IQ89" s="100"/>
      <c r="IR89" s="100"/>
      <c r="IS89" s="100"/>
      <c r="IT89" s="100"/>
      <c r="IU89" s="100"/>
      <c r="IV89" s="100"/>
      <c r="IW89" s="100"/>
    </row>
    <row r="90" customFormat="false" ht="12.75" hidden="false" customHeight="false" outlineLevel="0" collapsed="false">
      <c r="A90" s="736"/>
      <c r="B90" s="100" t="s">
        <v>716</v>
      </c>
      <c r="C90" s="100" t="n">
        <f aca="false">C86+C89</f>
        <v>38879.2399283153</v>
      </c>
      <c r="D90" s="100"/>
      <c r="E90" s="100"/>
      <c r="F90" s="100"/>
      <c r="G90" s="100"/>
      <c r="H90" s="100"/>
      <c r="I90" s="100"/>
      <c r="J90" s="100"/>
      <c r="K90" s="100"/>
      <c r="L90" s="100"/>
      <c r="M90" s="100"/>
      <c r="N90" s="100"/>
      <c r="O90" s="100"/>
      <c r="P90" s="100"/>
      <c r="Q90" s="100"/>
      <c r="R90" s="100"/>
      <c r="S90" s="100"/>
      <c r="T90" s="100"/>
      <c r="U90" s="100"/>
      <c r="V90" s="100"/>
      <c r="W90" s="100"/>
      <c r="X90" s="100"/>
      <c r="Y90" s="100"/>
      <c r="Z90" s="100"/>
      <c r="AA90" s="100"/>
      <c r="AB90" s="100"/>
      <c r="AC90" s="100"/>
      <c r="AD90" s="100"/>
      <c r="AE90" s="100"/>
      <c r="AF90" s="100"/>
      <c r="AG90" s="100"/>
      <c r="AH90" s="100"/>
      <c r="AI90" s="100"/>
      <c r="AJ90" s="100"/>
      <c r="AK90" s="100"/>
      <c r="AL90" s="100"/>
      <c r="AM90" s="100"/>
      <c r="AN90" s="100"/>
      <c r="AO90" s="100"/>
      <c r="AP90" s="100"/>
      <c r="AQ90" s="100"/>
      <c r="AR90" s="100"/>
      <c r="AS90" s="100"/>
      <c r="AT90" s="100"/>
      <c r="AU90" s="100"/>
      <c r="AV90" s="100"/>
      <c r="AW90" s="100"/>
      <c r="AX90" s="100"/>
      <c r="AY90" s="100"/>
      <c r="AZ90" s="100"/>
      <c r="BA90" s="100"/>
      <c r="BB90" s="100"/>
      <c r="BC90" s="100"/>
      <c r="BD90" s="100"/>
      <c r="BE90" s="100"/>
      <c r="BF90" s="100"/>
      <c r="BG90" s="100"/>
      <c r="BH90" s="100"/>
      <c r="BI90" s="100"/>
      <c r="BJ90" s="100"/>
      <c r="BK90" s="100"/>
      <c r="BL90" s="100"/>
      <c r="BM90" s="100"/>
      <c r="BN90" s="100"/>
      <c r="BO90" s="100"/>
      <c r="BP90" s="100"/>
      <c r="BQ90" s="100"/>
      <c r="BR90" s="100"/>
      <c r="BS90" s="100"/>
      <c r="BT90" s="100"/>
      <c r="BU90" s="100"/>
      <c r="BV90" s="100"/>
      <c r="BW90" s="100"/>
      <c r="BX90" s="100"/>
      <c r="BY90" s="100"/>
      <c r="BZ90" s="100"/>
      <c r="CA90" s="100"/>
      <c r="CB90" s="100"/>
      <c r="CC90" s="100"/>
      <c r="CD90" s="100"/>
      <c r="CE90" s="100"/>
      <c r="CF90" s="100"/>
      <c r="CG90" s="100"/>
      <c r="CH90" s="100"/>
      <c r="CI90" s="100"/>
      <c r="CJ90" s="100"/>
      <c r="CK90" s="100"/>
      <c r="CL90" s="100"/>
      <c r="CM90" s="100"/>
      <c r="CN90" s="100"/>
      <c r="CO90" s="100"/>
      <c r="CP90" s="100"/>
      <c r="CQ90" s="100"/>
      <c r="CR90" s="100"/>
      <c r="CS90" s="100"/>
      <c r="CT90" s="100"/>
      <c r="CU90" s="100"/>
      <c r="CV90" s="100"/>
      <c r="CW90" s="100"/>
      <c r="CX90" s="100"/>
      <c r="CY90" s="100"/>
      <c r="CZ90" s="100"/>
      <c r="DA90" s="100"/>
      <c r="DB90" s="100"/>
      <c r="DC90" s="100"/>
      <c r="DD90" s="100"/>
      <c r="DE90" s="100"/>
      <c r="DF90" s="100"/>
      <c r="DG90" s="100"/>
      <c r="DH90" s="100"/>
      <c r="DI90" s="100"/>
      <c r="DJ90" s="100"/>
      <c r="DK90" s="100"/>
      <c r="DL90" s="100"/>
      <c r="DM90" s="100"/>
      <c r="DN90" s="100"/>
      <c r="DO90" s="100"/>
      <c r="DP90" s="100"/>
      <c r="DQ90" s="100"/>
      <c r="DR90" s="100"/>
      <c r="DS90" s="100"/>
      <c r="DT90" s="100"/>
      <c r="DU90" s="100"/>
      <c r="DV90" s="100"/>
      <c r="DW90" s="100"/>
      <c r="DX90" s="100"/>
      <c r="DY90" s="100"/>
      <c r="DZ90" s="100"/>
      <c r="EA90" s="100"/>
      <c r="EB90" s="100"/>
      <c r="EC90" s="100"/>
      <c r="ED90" s="100"/>
      <c r="EE90" s="100"/>
      <c r="EF90" s="100"/>
      <c r="EG90" s="100"/>
      <c r="EH90" s="100"/>
      <c r="EI90" s="100"/>
      <c r="EJ90" s="100"/>
      <c r="EK90" s="100"/>
      <c r="EL90" s="100"/>
      <c r="EM90" s="100"/>
      <c r="EN90" s="100"/>
      <c r="EO90" s="100"/>
      <c r="EP90" s="100"/>
      <c r="EQ90" s="100"/>
      <c r="ER90" s="100"/>
      <c r="ES90" s="100"/>
      <c r="ET90" s="100"/>
      <c r="EU90" s="100"/>
      <c r="EV90" s="100"/>
      <c r="EW90" s="100"/>
      <c r="EX90" s="100"/>
      <c r="EY90" s="100"/>
      <c r="EZ90" s="100"/>
      <c r="FA90" s="100"/>
      <c r="FB90" s="100"/>
      <c r="FC90" s="100"/>
      <c r="FD90" s="100"/>
      <c r="FE90" s="100"/>
      <c r="FF90" s="100"/>
      <c r="FG90" s="100"/>
      <c r="FH90" s="100"/>
      <c r="FI90" s="100"/>
      <c r="FJ90" s="100"/>
      <c r="FK90" s="100"/>
      <c r="FL90" s="100"/>
      <c r="FM90" s="100"/>
      <c r="FN90" s="100"/>
      <c r="FO90" s="100"/>
      <c r="FP90" s="100"/>
      <c r="FQ90" s="100"/>
      <c r="FR90" s="100"/>
      <c r="FS90" s="100"/>
      <c r="FT90" s="100"/>
      <c r="FU90" s="100"/>
      <c r="FV90" s="100"/>
      <c r="FW90" s="100"/>
      <c r="FX90" s="100"/>
      <c r="FY90" s="100"/>
      <c r="FZ90" s="100"/>
      <c r="GA90" s="100"/>
      <c r="GB90" s="100"/>
      <c r="GC90" s="100"/>
      <c r="GD90" s="100"/>
      <c r="GE90" s="100"/>
      <c r="GF90" s="100"/>
      <c r="GG90" s="100"/>
      <c r="GH90" s="100"/>
      <c r="GI90" s="100"/>
      <c r="GJ90" s="100"/>
      <c r="GK90" s="100"/>
      <c r="GL90" s="100"/>
      <c r="GM90" s="100"/>
      <c r="GN90" s="100"/>
      <c r="GO90" s="100"/>
      <c r="GP90" s="100"/>
      <c r="GQ90" s="100"/>
      <c r="GR90" s="100"/>
      <c r="GS90" s="100"/>
      <c r="GT90" s="100"/>
      <c r="GU90" s="100"/>
      <c r="GV90" s="100"/>
      <c r="GW90" s="100"/>
      <c r="GX90" s="100"/>
      <c r="GY90" s="100"/>
      <c r="GZ90" s="100"/>
      <c r="HA90" s="100"/>
      <c r="HB90" s="100"/>
      <c r="HC90" s="100"/>
      <c r="HD90" s="100"/>
      <c r="HE90" s="100"/>
      <c r="HF90" s="100"/>
      <c r="HG90" s="100"/>
      <c r="HH90" s="100"/>
      <c r="HI90" s="100"/>
      <c r="HJ90" s="100"/>
      <c r="HK90" s="100"/>
      <c r="HL90" s="100"/>
      <c r="HM90" s="100"/>
      <c r="HN90" s="100"/>
      <c r="HO90" s="100"/>
      <c r="HP90" s="100"/>
      <c r="HQ90" s="100"/>
      <c r="HR90" s="100"/>
      <c r="HS90" s="100"/>
      <c r="HT90" s="100"/>
      <c r="HU90" s="100"/>
      <c r="HV90" s="100"/>
      <c r="HW90" s="100"/>
      <c r="HX90" s="100"/>
      <c r="HY90" s="100"/>
      <c r="HZ90" s="100"/>
      <c r="IA90" s="100"/>
      <c r="IB90" s="100"/>
      <c r="IC90" s="100"/>
      <c r="ID90" s="100"/>
      <c r="IE90" s="100"/>
      <c r="IF90" s="100"/>
      <c r="IG90" s="100"/>
      <c r="IH90" s="100"/>
      <c r="II90" s="100"/>
      <c r="IJ90" s="100"/>
      <c r="IK90" s="100"/>
      <c r="IL90" s="100"/>
      <c r="IM90" s="100"/>
      <c r="IN90" s="100"/>
      <c r="IO90" s="100"/>
      <c r="IP90" s="100"/>
      <c r="IQ90" s="100"/>
      <c r="IR90" s="100"/>
      <c r="IS90" s="100"/>
      <c r="IT90" s="100"/>
      <c r="IU90" s="100"/>
      <c r="IV90" s="100"/>
      <c r="IW90" s="100"/>
    </row>
    <row r="91" customFormat="false" ht="12.75" hidden="false" customHeight="false" outlineLevel="0" collapsed="false">
      <c r="A91" s="736"/>
      <c r="B91" s="100" t="s">
        <v>717</v>
      </c>
      <c r="C91" s="100" t="n">
        <f aca="false">Srcs_Uses!E12</f>
        <v>39076.7399283153</v>
      </c>
      <c r="D91" s="100"/>
      <c r="E91" s="100"/>
      <c r="F91" s="100"/>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00"/>
      <c r="AN91" s="100"/>
      <c r="AO91" s="100"/>
      <c r="AP91" s="100"/>
      <c r="AQ91" s="100"/>
      <c r="AR91" s="100"/>
      <c r="AS91" s="100"/>
      <c r="AT91" s="100"/>
      <c r="AU91" s="100"/>
      <c r="AV91" s="100"/>
      <c r="AW91" s="100"/>
      <c r="AX91" s="100"/>
      <c r="AY91" s="100"/>
      <c r="AZ91" s="100"/>
      <c r="BA91" s="100"/>
      <c r="BB91" s="100"/>
      <c r="BC91" s="100"/>
      <c r="BD91" s="100"/>
      <c r="BE91" s="100"/>
      <c r="BF91" s="100"/>
      <c r="BG91" s="100"/>
      <c r="BH91" s="100"/>
      <c r="BI91" s="100"/>
      <c r="BJ91" s="100"/>
      <c r="BK91" s="100"/>
      <c r="BL91" s="100"/>
      <c r="BM91" s="100"/>
      <c r="BN91" s="100"/>
      <c r="BO91" s="100"/>
      <c r="BP91" s="100"/>
      <c r="BQ91" s="100"/>
      <c r="BR91" s="100"/>
      <c r="BS91" s="100"/>
      <c r="BT91" s="100"/>
      <c r="BU91" s="100"/>
      <c r="BV91" s="100"/>
      <c r="BW91" s="100"/>
      <c r="BX91" s="100"/>
      <c r="BY91" s="100"/>
      <c r="BZ91" s="100"/>
      <c r="CA91" s="100"/>
      <c r="CB91" s="100"/>
      <c r="CC91" s="100"/>
      <c r="CD91" s="100"/>
      <c r="CE91" s="100"/>
      <c r="CF91" s="100"/>
      <c r="CG91" s="100"/>
      <c r="CH91" s="100"/>
      <c r="CI91" s="100"/>
      <c r="CJ91" s="100"/>
      <c r="CK91" s="100"/>
      <c r="CL91" s="100"/>
      <c r="CM91" s="100"/>
      <c r="CN91" s="100"/>
      <c r="CO91" s="100"/>
      <c r="CP91" s="100"/>
      <c r="CQ91" s="100"/>
      <c r="CR91" s="100"/>
      <c r="CS91" s="100"/>
      <c r="CT91" s="100"/>
      <c r="CU91" s="100"/>
      <c r="CV91" s="100"/>
      <c r="CW91" s="100"/>
      <c r="CX91" s="100"/>
      <c r="CY91" s="100"/>
      <c r="CZ91" s="100"/>
      <c r="DA91" s="100"/>
      <c r="DB91" s="100"/>
      <c r="DC91" s="100"/>
      <c r="DD91" s="100"/>
      <c r="DE91" s="100"/>
      <c r="DF91" s="100"/>
      <c r="DG91" s="100"/>
      <c r="DH91" s="100"/>
      <c r="DI91" s="100"/>
      <c r="DJ91" s="100"/>
      <c r="DK91" s="100"/>
      <c r="DL91" s="100"/>
      <c r="DM91" s="100"/>
      <c r="DN91" s="100"/>
      <c r="DO91" s="100"/>
      <c r="DP91" s="100"/>
      <c r="DQ91" s="100"/>
      <c r="DR91" s="100"/>
      <c r="DS91" s="100"/>
      <c r="DT91" s="100"/>
      <c r="DU91" s="100"/>
      <c r="DV91" s="100"/>
      <c r="DW91" s="100"/>
      <c r="DX91" s="100"/>
      <c r="DY91" s="100"/>
      <c r="DZ91" s="100"/>
      <c r="EA91" s="100"/>
      <c r="EB91" s="100"/>
      <c r="EC91" s="100"/>
      <c r="ED91" s="100"/>
      <c r="EE91" s="100"/>
      <c r="EF91" s="100"/>
      <c r="EG91" s="100"/>
      <c r="EH91" s="100"/>
      <c r="EI91" s="100"/>
      <c r="EJ91" s="100"/>
      <c r="EK91" s="100"/>
      <c r="EL91" s="100"/>
      <c r="EM91" s="100"/>
      <c r="EN91" s="100"/>
      <c r="EO91" s="100"/>
      <c r="EP91" s="100"/>
      <c r="EQ91" s="100"/>
      <c r="ER91" s="100"/>
      <c r="ES91" s="100"/>
      <c r="ET91" s="100"/>
      <c r="EU91" s="100"/>
      <c r="EV91" s="100"/>
      <c r="EW91" s="100"/>
      <c r="EX91" s="100"/>
      <c r="EY91" s="100"/>
      <c r="EZ91" s="100"/>
      <c r="FA91" s="100"/>
      <c r="FB91" s="100"/>
      <c r="FC91" s="100"/>
      <c r="FD91" s="100"/>
      <c r="FE91" s="100"/>
      <c r="FF91" s="100"/>
      <c r="FG91" s="100"/>
      <c r="FH91" s="100"/>
      <c r="FI91" s="100"/>
      <c r="FJ91" s="100"/>
      <c r="FK91" s="100"/>
      <c r="FL91" s="100"/>
      <c r="FM91" s="100"/>
      <c r="FN91" s="100"/>
      <c r="FO91" s="100"/>
      <c r="FP91" s="100"/>
      <c r="FQ91" s="100"/>
      <c r="FR91" s="100"/>
      <c r="FS91" s="100"/>
      <c r="FT91" s="100"/>
      <c r="FU91" s="100"/>
      <c r="FV91" s="100"/>
      <c r="FW91" s="100"/>
      <c r="FX91" s="100"/>
      <c r="FY91" s="100"/>
      <c r="FZ91" s="100"/>
      <c r="GA91" s="100"/>
      <c r="GB91" s="100"/>
      <c r="GC91" s="100"/>
      <c r="GD91" s="100"/>
      <c r="GE91" s="100"/>
      <c r="GF91" s="100"/>
      <c r="GG91" s="100"/>
      <c r="GH91" s="100"/>
      <c r="GI91" s="100"/>
      <c r="GJ91" s="100"/>
      <c r="GK91" s="100"/>
      <c r="GL91" s="100"/>
      <c r="GM91" s="100"/>
      <c r="GN91" s="100"/>
      <c r="GO91" s="100"/>
      <c r="GP91" s="100"/>
      <c r="GQ91" s="100"/>
      <c r="GR91" s="100"/>
      <c r="GS91" s="100"/>
      <c r="GT91" s="100"/>
      <c r="GU91" s="100"/>
      <c r="GV91" s="100"/>
      <c r="GW91" s="100"/>
      <c r="GX91" s="100"/>
      <c r="GY91" s="100"/>
      <c r="GZ91" s="100"/>
      <c r="HA91" s="100"/>
      <c r="HB91" s="100"/>
      <c r="HC91" s="100"/>
      <c r="HD91" s="100"/>
      <c r="HE91" s="100"/>
      <c r="HF91" s="100"/>
      <c r="HG91" s="100"/>
      <c r="HH91" s="100"/>
      <c r="HI91" s="100"/>
      <c r="HJ91" s="100"/>
      <c r="HK91" s="100"/>
      <c r="HL91" s="100"/>
      <c r="HM91" s="100"/>
      <c r="HN91" s="100"/>
      <c r="HO91" s="100"/>
      <c r="HP91" s="100"/>
      <c r="HQ91" s="100"/>
      <c r="HR91" s="100"/>
      <c r="HS91" s="100"/>
      <c r="HT91" s="100"/>
      <c r="HU91" s="100"/>
      <c r="HV91" s="100"/>
      <c r="HW91" s="100"/>
      <c r="HX91" s="100"/>
      <c r="HY91" s="100"/>
      <c r="HZ91" s="100"/>
      <c r="IA91" s="100"/>
      <c r="IB91" s="100"/>
      <c r="IC91" s="100"/>
      <c r="ID91" s="100"/>
      <c r="IE91" s="100"/>
      <c r="IF91" s="100"/>
      <c r="IG91" s="100"/>
      <c r="IH91" s="100"/>
      <c r="II91" s="100"/>
      <c r="IJ91" s="100"/>
      <c r="IK91" s="100"/>
      <c r="IL91" s="100"/>
      <c r="IM91" s="100"/>
      <c r="IN91" s="100"/>
      <c r="IO91" s="100"/>
      <c r="IP91" s="100"/>
      <c r="IQ91" s="100"/>
      <c r="IR91" s="100"/>
      <c r="IS91" s="100"/>
      <c r="IT91" s="100"/>
      <c r="IU91" s="100"/>
      <c r="IV91" s="100"/>
      <c r="IW91" s="100"/>
    </row>
    <row r="92" customFormat="false" ht="12.75" hidden="false" customHeight="false" outlineLevel="0" collapsed="false">
      <c r="A92" s="736"/>
      <c r="B92" s="100" t="s">
        <v>718</v>
      </c>
      <c r="C92" s="100" t="n">
        <f aca="false">C90-C91</f>
        <v>-197.5</v>
      </c>
      <c r="D92" s="1073"/>
      <c r="E92" s="100"/>
      <c r="F92" s="100"/>
      <c r="G92" s="100"/>
      <c r="H92" s="100"/>
      <c r="I92" s="100"/>
      <c r="J92" s="100"/>
      <c r="K92" s="100"/>
      <c r="L92" s="100"/>
      <c r="M92" s="100"/>
      <c r="N92" s="100"/>
      <c r="O92" s="100"/>
      <c r="P92" s="100"/>
      <c r="Q92" s="100"/>
      <c r="R92" s="100"/>
      <c r="S92" s="100"/>
      <c r="T92" s="100"/>
      <c r="U92" s="100"/>
      <c r="V92" s="100"/>
      <c r="W92" s="100"/>
      <c r="X92" s="100"/>
      <c r="Y92" s="100"/>
      <c r="Z92" s="100"/>
      <c r="AA92" s="100"/>
      <c r="AB92" s="100"/>
      <c r="AC92" s="100"/>
      <c r="AD92" s="100"/>
      <c r="AE92" s="100"/>
      <c r="AF92" s="100"/>
      <c r="AG92" s="100"/>
      <c r="AH92" s="100"/>
      <c r="AI92" s="100"/>
      <c r="AJ92" s="100"/>
      <c r="AK92" s="100"/>
      <c r="AL92" s="100"/>
      <c r="AM92" s="100"/>
      <c r="AN92" s="100"/>
      <c r="AO92" s="100"/>
      <c r="AP92" s="100"/>
      <c r="AQ92" s="100"/>
      <c r="AR92" s="100"/>
      <c r="AS92" s="100"/>
      <c r="AT92" s="100"/>
      <c r="AU92" s="100"/>
      <c r="AV92" s="100"/>
      <c r="AW92" s="100"/>
      <c r="AX92" s="100"/>
      <c r="AY92" s="100"/>
      <c r="AZ92" s="100"/>
      <c r="BA92" s="100"/>
      <c r="BB92" s="100"/>
      <c r="BC92" s="100"/>
      <c r="BD92" s="100"/>
      <c r="BE92" s="100"/>
      <c r="BF92" s="100"/>
      <c r="BG92" s="100"/>
      <c r="BH92" s="100"/>
      <c r="BI92" s="100"/>
      <c r="BJ92" s="100"/>
      <c r="BK92" s="100"/>
      <c r="BL92" s="100"/>
      <c r="BM92" s="100"/>
      <c r="BN92" s="100"/>
      <c r="BO92" s="100"/>
      <c r="BP92" s="100"/>
      <c r="BQ92" s="100"/>
      <c r="BR92" s="100"/>
      <c r="BS92" s="100"/>
      <c r="BT92" s="100"/>
      <c r="BU92" s="100"/>
      <c r="BV92" s="100"/>
      <c r="BW92" s="100"/>
      <c r="BX92" s="100"/>
      <c r="BY92" s="100"/>
      <c r="BZ92" s="100"/>
      <c r="CA92" s="100"/>
      <c r="CB92" s="100"/>
      <c r="CC92" s="100"/>
      <c r="CD92" s="100"/>
      <c r="CE92" s="100"/>
      <c r="CF92" s="100"/>
      <c r="CG92" s="100"/>
      <c r="CH92" s="100"/>
      <c r="CI92" s="100"/>
      <c r="CJ92" s="100"/>
      <c r="CK92" s="100"/>
      <c r="CL92" s="100"/>
      <c r="CM92" s="100"/>
      <c r="CN92" s="100"/>
      <c r="CO92" s="100"/>
      <c r="CP92" s="100"/>
      <c r="CQ92" s="100"/>
      <c r="CR92" s="100"/>
      <c r="CS92" s="100"/>
      <c r="CT92" s="100"/>
      <c r="CU92" s="100"/>
      <c r="CV92" s="100"/>
      <c r="CW92" s="100"/>
      <c r="CX92" s="100"/>
      <c r="CY92" s="100"/>
      <c r="CZ92" s="100"/>
      <c r="DA92" s="100"/>
      <c r="DB92" s="100"/>
      <c r="DC92" s="100"/>
      <c r="DD92" s="100"/>
      <c r="DE92" s="100"/>
      <c r="DF92" s="100"/>
      <c r="DG92" s="100"/>
      <c r="DH92" s="100"/>
      <c r="DI92" s="100"/>
      <c r="DJ92" s="100"/>
      <c r="DK92" s="100"/>
      <c r="DL92" s="100"/>
      <c r="DM92" s="100"/>
      <c r="DN92" s="100"/>
      <c r="DO92" s="100"/>
      <c r="DP92" s="100"/>
      <c r="DQ92" s="100"/>
      <c r="DR92" s="100"/>
      <c r="DS92" s="100"/>
      <c r="DT92" s="100"/>
      <c r="DU92" s="100"/>
      <c r="DV92" s="100"/>
      <c r="DW92" s="100"/>
      <c r="DX92" s="100"/>
      <c r="DY92" s="100"/>
      <c r="DZ92" s="100"/>
      <c r="EA92" s="100"/>
      <c r="EB92" s="100"/>
      <c r="EC92" s="100"/>
      <c r="ED92" s="100"/>
      <c r="EE92" s="100"/>
      <c r="EF92" s="100"/>
      <c r="EG92" s="100"/>
      <c r="EH92" s="100"/>
      <c r="EI92" s="100"/>
      <c r="EJ92" s="100"/>
      <c r="EK92" s="100"/>
      <c r="EL92" s="100"/>
      <c r="EM92" s="100"/>
      <c r="EN92" s="100"/>
      <c r="EO92" s="100"/>
      <c r="EP92" s="100"/>
      <c r="EQ92" s="100"/>
      <c r="ER92" s="100"/>
      <c r="ES92" s="100"/>
      <c r="ET92" s="100"/>
      <c r="EU92" s="100"/>
      <c r="EV92" s="100"/>
      <c r="EW92" s="100"/>
      <c r="EX92" s="100"/>
      <c r="EY92" s="100"/>
      <c r="EZ92" s="100"/>
      <c r="FA92" s="100"/>
      <c r="FB92" s="100"/>
      <c r="FC92" s="100"/>
      <c r="FD92" s="100"/>
      <c r="FE92" s="100"/>
      <c r="FF92" s="100"/>
      <c r="FG92" s="100"/>
      <c r="FH92" s="100"/>
      <c r="FI92" s="100"/>
      <c r="FJ92" s="100"/>
      <c r="FK92" s="100"/>
      <c r="FL92" s="100"/>
      <c r="FM92" s="100"/>
      <c r="FN92" s="100"/>
      <c r="FO92" s="100"/>
      <c r="FP92" s="100"/>
      <c r="FQ92" s="100"/>
      <c r="FR92" s="100"/>
      <c r="FS92" s="100"/>
      <c r="FT92" s="100"/>
      <c r="FU92" s="100"/>
      <c r="FV92" s="100"/>
      <c r="FW92" s="100"/>
      <c r="FX92" s="100"/>
      <c r="FY92" s="100"/>
      <c r="FZ92" s="100"/>
      <c r="GA92" s="100"/>
      <c r="GB92" s="100"/>
      <c r="GC92" s="100"/>
      <c r="GD92" s="100"/>
      <c r="GE92" s="100"/>
      <c r="GF92" s="100"/>
      <c r="GG92" s="100"/>
      <c r="GH92" s="100"/>
      <c r="GI92" s="100"/>
      <c r="GJ92" s="100"/>
      <c r="GK92" s="100"/>
      <c r="GL92" s="100"/>
      <c r="GM92" s="100"/>
      <c r="GN92" s="100"/>
      <c r="GO92" s="100"/>
      <c r="GP92" s="100"/>
      <c r="GQ92" s="100"/>
      <c r="GR92" s="100"/>
      <c r="GS92" s="100"/>
      <c r="GT92" s="100"/>
      <c r="GU92" s="100"/>
      <c r="GV92" s="100"/>
      <c r="GW92" s="100"/>
      <c r="GX92" s="100"/>
      <c r="GY92" s="100"/>
      <c r="GZ92" s="100"/>
      <c r="HA92" s="100"/>
      <c r="HB92" s="100"/>
      <c r="HC92" s="100"/>
      <c r="HD92" s="100"/>
      <c r="HE92" s="100"/>
      <c r="HF92" s="100"/>
      <c r="HG92" s="100"/>
      <c r="HH92" s="100"/>
      <c r="HI92" s="100"/>
      <c r="HJ92" s="100"/>
      <c r="HK92" s="100"/>
      <c r="HL92" s="100"/>
      <c r="HM92" s="100"/>
      <c r="HN92" s="100"/>
      <c r="HO92" s="100"/>
      <c r="HP92" s="100"/>
      <c r="HQ92" s="100"/>
      <c r="HR92" s="100"/>
      <c r="HS92" s="100"/>
      <c r="HT92" s="100"/>
      <c r="HU92" s="100"/>
      <c r="HV92" s="100"/>
      <c r="HW92" s="100"/>
      <c r="HX92" s="100"/>
      <c r="HY92" s="100"/>
      <c r="HZ92" s="100"/>
      <c r="IA92" s="100"/>
      <c r="IB92" s="100"/>
      <c r="IC92" s="100"/>
      <c r="ID92" s="100"/>
      <c r="IE92" s="100"/>
      <c r="IF92" s="100"/>
      <c r="IG92" s="100"/>
      <c r="IH92" s="100"/>
      <c r="II92" s="100"/>
      <c r="IJ92" s="100"/>
      <c r="IK92" s="100"/>
      <c r="IL92" s="100"/>
      <c r="IM92" s="100"/>
      <c r="IN92" s="100"/>
      <c r="IO92" s="100"/>
      <c r="IP92" s="100"/>
      <c r="IQ92" s="100"/>
      <c r="IR92" s="100"/>
      <c r="IS92" s="100"/>
      <c r="IT92" s="100"/>
      <c r="IU92" s="100"/>
      <c r="IV92" s="100"/>
      <c r="IW92" s="100"/>
    </row>
    <row r="93" customFormat="false" ht="12.75" hidden="false" customHeight="false" outlineLevel="0" collapsed="false">
      <c r="A93" s="736"/>
      <c r="B93" s="100"/>
      <c r="C93" s="100"/>
      <c r="D93" s="100"/>
      <c r="E93" s="100"/>
      <c r="F93" s="100"/>
      <c r="G93" s="100"/>
      <c r="H93" s="100"/>
      <c r="I93" s="100"/>
      <c r="J93" s="100"/>
      <c r="K93" s="100"/>
      <c r="L93" s="100"/>
      <c r="M93" s="100"/>
      <c r="N93" s="100"/>
      <c r="O93" s="100"/>
      <c r="P93" s="100"/>
      <c r="Q93" s="100"/>
      <c r="R93" s="100"/>
      <c r="S93" s="100"/>
      <c r="T93" s="100"/>
      <c r="U93" s="100"/>
      <c r="V93" s="100"/>
      <c r="W93" s="100"/>
      <c r="X93" s="100"/>
      <c r="Y93" s="100"/>
      <c r="Z93" s="100"/>
      <c r="AA93" s="100"/>
      <c r="AB93" s="100"/>
      <c r="AC93" s="100"/>
      <c r="AD93" s="100"/>
      <c r="AE93" s="100"/>
      <c r="AF93" s="100"/>
      <c r="AG93" s="100"/>
      <c r="AH93" s="100"/>
      <c r="AI93" s="100"/>
      <c r="AJ93" s="100"/>
      <c r="AK93" s="100"/>
      <c r="AL93" s="100"/>
      <c r="AM93" s="100"/>
      <c r="AN93" s="100"/>
      <c r="AO93" s="100"/>
      <c r="AP93" s="100"/>
      <c r="AQ93" s="100"/>
      <c r="AR93" s="100"/>
      <c r="AS93" s="100"/>
      <c r="AT93" s="100"/>
      <c r="AU93" s="100"/>
      <c r="AV93" s="100"/>
      <c r="AW93" s="100"/>
      <c r="AX93" s="100"/>
      <c r="AY93" s="100"/>
      <c r="AZ93" s="100"/>
      <c r="BA93" s="100"/>
      <c r="BB93" s="100"/>
      <c r="BC93" s="100"/>
      <c r="BD93" s="100"/>
      <c r="BE93" s="100"/>
      <c r="BF93" s="100"/>
      <c r="BG93" s="100"/>
      <c r="BH93" s="100"/>
      <c r="BI93" s="100"/>
      <c r="BJ93" s="100"/>
      <c r="BK93" s="100"/>
      <c r="BL93" s="100"/>
      <c r="BM93" s="100"/>
      <c r="BN93" s="100"/>
      <c r="BO93" s="100"/>
      <c r="BP93" s="100"/>
      <c r="BQ93" s="100"/>
      <c r="BR93" s="100"/>
      <c r="BS93" s="100"/>
      <c r="BT93" s="100"/>
      <c r="BU93" s="100"/>
      <c r="BV93" s="100"/>
      <c r="BW93" s="100"/>
      <c r="BX93" s="100"/>
      <c r="BY93" s="100"/>
      <c r="BZ93" s="100"/>
      <c r="CA93" s="100"/>
      <c r="CB93" s="100"/>
      <c r="CC93" s="100"/>
      <c r="CD93" s="100"/>
      <c r="CE93" s="100"/>
      <c r="CF93" s="100"/>
      <c r="CG93" s="100"/>
      <c r="CH93" s="100"/>
      <c r="CI93" s="100"/>
      <c r="CJ93" s="100"/>
      <c r="CK93" s="100"/>
      <c r="CL93" s="100"/>
      <c r="CM93" s="100"/>
      <c r="CN93" s="100"/>
      <c r="CO93" s="100"/>
      <c r="CP93" s="100"/>
      <c r="CQ93" s="100"/>
      <c r="CR93" s="100"/>
      <c r="CS93" s="100"/>
      <c r="CT93" s="100"/>
      <c r="CU93" s="100"/>
      <c r="CV93" s="100"/>
      <c r="CW93" s="100"/>
      <c r="CX93" s="100"/>
      <c r="CY93" s="100"/>
      <c r="CZ93" s="100"/>
      <c r="DA93" s="100"/>
      <c r="DB93" s="100"/>
      <c r="DC93" s="100"/>
      <c r="DD93" s="100"/>
      <c r="DE93" s="100"/>
      <c r="DF93" s="100"/>
      <c r="DG93" s="100"/>
      <c r="DH93" s="100"/>
      <c r="DI93" s="100"/>
      <c r="DJ93" s="100"/>
      <c r="DK93" s="100"/>
      <c r="DL93" s="100"/>
      <c r="DM93" s="100"/>
      <c r="DN93" s="100"/>
      <c r="DO93" s="100"/>
      <c r="DP93" s="100"/>
      <c r="DQ93" s="100"/>
      <c r="DR93" s="100"/>
      <c r="DS93" s="100"/>
      <c r="DT93" s="100"/>
      <c r="DU93" s="100"/>
      <c r="DV93" s="100"/>
      <c r="DW93" s="100"/>
      <c r="DX93" s="100"/>
      <c r="DY93" s="100"/>
      <c r="DZ93" s="100"/>
      <c r="EA93" s="100"/>
      <c r="EB93" s="100"/>
      <c r="EC93" s="100"/>
      <c r="ED93" s="100"/>
      <c r="EE93" s="100"/>
      <c r="EF93" s="100"/>
      <c r="EG93" s="100"/>
      <c r="EH93" s="100"/>
      <c r="EI93" s="100"/>
      <c r="EJ93" s="100"/>
      <c r="EK93" s="100"/>
      <c r="EL93" s="100"/>
      <c r="EM93" s="100"/>
      <c r="EN93" s="100"/>
      <c r="EO93" s="100"/>
      <c r="EP93" s="100"/>
      <c r="EQ93" s="100"/>
      <c r="ER93" s="100"/>
      <c r="ES93" s="100"/>
      <c r="ET93" s="100"/>
      <c r="EU93" s="100"/>
      <c r="EV93" s="100"/>
      <c r="EW93" s="100"/>
      <c r="EX93" s="100"/>
      <c r="EY93" s="100"/>
      <c r="EZ93" s="100"/>
      <c r="FA93" s="100"/>
      <c r="FB93" s="100"/>
      <c r="FC93" s="100"/>
      <c r="FD93" s="100"/>
      <c r="FE93" s="100"/>
      <c r="FF93" s="100"/>
      <c r="FG93" s="100"/>
      <c r="FH93" s="100"/>
      <c r="FI93" s="100"/>
      <c r="FJ93" s="100"/>
      <c r="FK93" s="100"/>
      <c r="FL93" s="100"/>
      <c r="FM93" s="100"/>
      <c r="FN93" s="100"/>
      <c r="FO93" s="100"/>
      <c r="FP93" s="100"/>
      <c r="FQ93" s="100"/>
      <c r="FR93" s="100"/>
      <c r="FS93" s="100"/>
      <c r="FT93" s="100"/>
      <c r="FU93" s="100"/>
      <c r="FV93" s="100"/>
      <c r="FW93" s="100"/>
      <c r="FX93" s="100"/>
      <c r="FY93" s="100"/>
      <c r="FZ93" s="100"/>
      <c r="GA93" s="100"/>
      <c r="GB93" s="100"/>
      <c r="GC93" s="100"/>
      <c r="GD93" s="100"/>
      <c r="GE93" s="100"/>
      <c r="GF93" s="100"/>
      <c r="GG93" s="100"/>
      <c r="GH93" s="100"/>
      <c r="GI93" s="100"/>
      <c r="GJ93" s="100"/>
      <c r="GK93" s="100"/>
      <c r="GL93" s="100"/>
      <c r="GM93" s="100"/>
      <c r="GN93" s="100"/>
      <c r="GO93" s="100"/>
      <c r="GP93" s="100"/>
      <c r="GQ93" s="100"/>
      <c r="GR93" s="100"/>
      <c r="GS93" s="100"/>
      <c r="GT93" s="100"/>
      <c r="GU93" s="100"/>
      <c r="GV93" s="100"/>
      <c r="GW93" s="100"/>
      <c r="GX93" s="100"/>
      <c r="GY93" s="100"/>
      <c r="GZ93" s="100"/>
      <c r="HA93" s="100"/>
      <c r="HB93" s="100"/>
      <c r="HC93" s="100"/>
      <c r="HD93" s="100"/>
      <c r="HE93" s="100"/>
      <c r="HF93" s="100"/>
      <c r="HG93" s="100"/>
      <c r="HH93" s="100"/>
      <c r="HI93" s="100"/>
      <c r="HJ93" s="100"/>
      <c r="HK93" s="100"/>
      <c r="HL93" s="100"/>
      <c r="HM93" s="100"/>
      <c r="HN93" s="100"/>
      <c r="HO93" s="100"/>
      <c r="HP93" s="100"/>
      <c r="HQ93" s="100"/>
      <c r="HR93" s="100"/>
      <c r="HS93" s="100"/>
      <c r="HT93" s="100"/>
      <c r="HU93" s="100"/>
      <c r="HV93" s="100"/>
      <c r="HW93" s="100"/>
      <c r="HX93" s="100"/>
      <c r="HY93" s="100"/>
      <c r="HZ93" s="100"/>
      <c r="IA93" s="100"/>
      <c r="IB93" s="100"/>
      <c r="IC93" s="100"/>
      <c r="ID93" s="100"/>
      <c r="IE93" s="100"/>
      <c r="IF93" s="100"/>
      <c r="IG93" s="100"/>
      <c r="IH93" s="100"/>
      <c r="II93" s="100"/>
      <c r="IJ93" s="100"/>
      <c r="IK93" s="100"/>
      <c r="IL93" s="100"/>
      <c r="IM93" s="100"/>
      <c r="IN93" s="100"/>
      <c r="IO93" s="100"/>
      <c r="IP93" s="100"/>
      <c r="IQ93" s="100"/>
      <c r="IR93" s="100"/>
      <c r="IS93" s="100"/>
      <c r="IT93" s="100"/>
      <c r="IU93" s="100"/>
      <c r="IV93" s="100"/>
      <c r="IW93" s="100"/>
    </row>
    <row r="94" customFormat="false" ht="12.75" hidden="false" customHeight="false" outlineLevel="0" collapsed="false">
      <c r="A94" s="736"/>
      <c r="B94" s="100" t="s">
        <v>719</v>
      </c>
      <c r="C94" s="100" t="n">
        <f aca="false">-SUM(D18:AG18)-SUM(D44:AG44)</f>
        <v>38879.2399283153</v>
      </c>
      <c r="D94" s="100"/>
      <c r="E94" s="100"/>
      <c r="F94" s="100"/>
      <c r="G94" s="100"/>
      <c r="H94" s="100"/>
      <c r="I94" s="100"/>
      <c r="J94" s="100"/>
      <c r="K94" s="100"/>
      <c r="L94" s="100"/>
      <c r="M94" s="100"/>
      <c r="N94" s="100"/>
      <c r="O94" s="100"/>
      <c r="P94" s="100"/>
      <c r="Q94" s="100"/>
      <c r="R94" s="100"/>
      <c r="S94" s="100"/>
      <c r="T94" s="100"/>
      <c r="U94" s="100"/>
      <c r="V94" s="100"/>
      <c r="W94" s="100"/>
      <c r="X94" s="100"/>
      <c r="Y94" s="100"/>
      <c r="Z94" s="100"/>
      <c r="AA94" s="100"/>
      <c r="AB94" s="100"/>
      <c r="AC94" s="100"/>
      <c r="AD94" s="100"/>
      <c r="AE94" s="100"/>
      <c r="AF94" s="100"/>
      <c r="AG94" s="100"/>
      <c r="AH94" s="100"/>
      <c r="AI94" s="100"/>
      <c r="AJ94" s="100"/>
      <c r="AK94" s="100"/>
      <c r="AL94" s="100"/>
      <c r="AM94" s="100"/>
      <c r="AN94" s="100"/>
      <c r="AO94" s="100"/>
      <c r="AP94" s="100"/>
      <c r="AQ94" s="100"/>
      <c r="AR94" s="100"/>
      <c r="AS94" s="100"/>
      <c r="AT94" s="100"/>
      <c r="AU94" s="100"/>
      <c r="AV94" s="100"/>
      <c r="AW94" s="100"/>
      <c r="AX94" s="100"/>
      <c r="AY94" s="100"/>
      <c r="AZ94" s="100"/>
      <c r="BA94" s="100"/>
      <c r="BB94" s="100"/>
      <c r="BC94" s="100"/>
      <c r="BD94" s="100"/>
      <c r="BE94" s="100"/>
      <c r="BF94" s="100"/>
      <c r="BG94" s="100"/>
      <c r="BH94" s="100"/>
      <c r="BI94" s="100"/>
      <c r="BJ94" s="100"/>
      <c r="BK94" s="100"/>
      <c r="BL94" s="100"/>
      <c r="BM94" s="100"/>
      <c r="BN94" s="100"/>
      <c r="BO94" s="100"/>
      <c r="BP94" s="100"/>
      <c r="BQ94" s="100"/>
      <c r="BR94" s="100"/>
      <c r="BS94" s="100"/>
      <c r="BT94" s="100"/>
      <c r="BU94" s="100"/>
      <c r="BV94" s="100"/>
      <c r="BW94" s="100"/>
      <c r="BX94" s="100"/>
      <c r="BY94" s="100"/>
      <c r="BZ94" s="100"/>
      <c r="CA94" s="100"/>
      <c r="CB94" s="100"/>
      <c r="CC94" s="100"/>
      <c r="CD94" s="100"/>
      <c r="CE94" s="100"/>
      <c r="CF94" s="100"/>
      <c r="CG94" s="100"/>
      <c r="CH94" s="100"/>
      <c r="CI94" s="100"/>
      <c r="CJ94" s="100"/>
      <c r="CK94" s="100"/>
      <c r="CL94" s="100"/>
      <c r="CM94" s="100"/>
      <c r="CN94" s="100"/>
      <c r="CO94" s="100"/>
      <c r="CP94" s="100"/>
      <c r="CQ94" s="100"/>
      <c r="CR94" s="100"/>
      <c r="CS94" s="100"/>
      <c r="CT94" s="100"/>
      <c r="CU94" s="100"/>
      <c r="CV94" s="100"/>
      <c r="CW94" s="100"/>
      <c r="CX94" s="100"/>
      <c r="CY94" s="100"/>
      <c r="CZ94" s="100"/>
      <c r="DA94" s="100"/>
      <c r="DB94" s="100"/>
      <c r="DC94" s="100"/>
      <c r="DD94" s="100"/>
      <c r="DE94" s="100"/>
      <c r="DF94" s="100"/>
      <c r="DG94" s="100"/>
      <c r="DH94" s="100"/>
      <c r="DI94" s="100"/>
      <c r="DJ94" s="100"/>
      <c r="DK94" s="100"/>
      <c r="DL94" s="100"/>
      <c r="DM94" s="100"/>
      <c r="DN94" s="100"/>
      <c r="DO94" s="100"/>
      <c r="DP94" s="100"/>
      <c r="DQ94" s="100"/>
      <c r="DR94" s="100"/>
      <c r="DS94" s="100"/>
      <c r="DT94" s="100"/>
      <c r="DU94" s="100"/>
      <c r="DV94" s="100"/>
      <c r="DW94" s="100"/>
      <c r="DX94" s="100"/>
      <c r="DY94" s="100"/>
      <c r="DZ94" s="100"/>
      <c r="EA94" s="100"/>
      <c r="EB94" s="100"/>
      <c r="EC94" s="100"/>
      <c r="ED94" s="100"/>
      <c r="EE94" s="100"/>
      <c r="EF94" s="100"/>
      <c r="EG94" s="100"/>
      <c r="EH94" s="100"/>
      <c r="EI94" s="100"/>
      <c r="EJ94" s="100"/>
      <c r="EK94" s="100"/>
      <c r="EL94" s="100"/>
      <c r="EM94" s="100"/>
      <c r="EN94" s="100"/>
      <c r="EO94" s="100"/>
      <c r="EP94" s="100"/>
      <c r="EQ94" s="100"/>
      <c r="ER94" s="100"/>
      <c r="ES94" s="100"/>
      <c r="ET94" s="100"/>
      <c r="EU94" s="100"/>
      <c r="EV94" s="100"/>
      <c r="EW94" s="100"/>
      <c r="EX94" s="100"/>
      <c r="EY94" s="100"/>
      <c r="EZ94" s="100"/>
      <c r="FA94" s="100"/>
      <c r="FB94" s="100"/>
      <c r="FC94" s="100"/>
      <c r="FD94" s="100"/>
      <c r="FE94" s="100"/>
      <c r="FF94" s="100"/>
      <c r="FG94" s="100"/>
      <c r="FH94" s="100"/>
      <c r="FI94" s="100"/>
      <c r="FJ94" s="100"/>
      <c r="FK94" s="100"/>
      <c r="FL94" s="100"/>
      <c r="FM94" s="100"/>
      <c r="FN94" s="100"/>
      <c r="FO94" s="100"/>
      <c r="FP94" s="100"/>
      <c r="FQ94" s="100"/>
      <c r="FR94" s="100"/>
      <c r="FS94" s="100"/>
      <c r="FT94" s="100"/>
      <c r="FU94" s="100"/>
      <c r="FV94" s="100"/>
      <c r="FW94" s="100"/>
      <c r="FX94" s="100"/>
      <c r="FY94" s="100"/>
      <c r="FZ94" s="100"/>
      <c r="GA94" s="100"/>
      <c r="GB94" s="100"/>
      <c r="GC94" s="100"/>
      <c r="GD94" s="100"/>
      <c r="GE94" s="100"/>
      <c r="GF94" s="100"/>
      <c r="GG94" s="100"/>
      <c r="GH94" s="100"/>
      <c r="GI94" s="100"/>
      <c r="GJ94" s="100"/>
      <c r="GK94" s="100"/>
      <c r="GL94" s="100"/>
      <c r="GM94" s="100"/>
      <c r="GN94" s="100"/>
      <c r="GO94" s="100"/>
      <c r="GP94" s="100"/>
      <c r="GQ94" s="100"/>
      <c r="GR94" s="100"/>
      <c r="GS94" s="100"/>
      <c r="GT94" s="100"/>
      <c r="GU94" s="100"/>
      <c r="GV94" s="100"/>
      <c r="GW94" s="100"/>
      <c r="GX94" s="100"/>
      <c r="GY94" s="100"/>
      <c r="GZ94" s="100"/>
      <c r="HA94" s="100"/>
      <c r="HB94" s="100"/>
      <c r="HC94" s="100"/>
      <c r="HD94" s="100"/>
      <c r="HE94" s="100"/>
      <c r="HF94" s="100"/>
      <c r="HG94" s="100"/>
      <c r="HH94" s="100"/>
      <c r="HI94" s="100"/>
      <c r="HJ94" s="100"/>
      <c r="HK94" s="100"/>
      <c r="HL94" s="100"/>
      <c r="HM94" s="100"/>
      <c r="HN94" s="100"/>
      <c r="HO94" s="100"/>
      <c r="HP94" s="100"/>
      <c r="HQ94" s="100"/>
      <c r="HR94" s="100"/>
      <c r="HS94" s="100"/>
      <c r="HT94" s="100"/>
      <c r="HU94" s="100"/>
      <c r="HV94" s="100"/>
      <c r="HW94" s="100"/>
      <c r="HX94" s="100"/>
      <c r="HY94" s="100"/>
      <c r="HZ94" s="100"/>
      <c r="IA94" s="100"/>
      <c r="IB94" s="100"/>
      <c r="IC94" s="100"/>
      <c r="ID94" s="100"/>
      <c r="IE94" s="100"/>
      <c r="IF94" s="100"/>
      <c r="IG94" s="100"/>
      <c r="IH94" s="100"/>
      <c r="II94" s="100"/>
      <c r="IJ94" s="100"/>
      <c r="IK94" s="100"/>
      <c r="IL94" s="100"/>
      <c r="IM94" s="100"/>
      <c r="IN94" s="100"/>
      <c r="IO94" s="100"/>
      <c r="IP94" s="100"/>
      <c r="IQ94" s="100"/>
      <c r="IR94" s="100"/>
      <c r="IS94" s="100"/>
      <c r="IT94" s="100"/>
      <c r="IU94" s="100"/>
      <c r="IV94" s="100"/>
      <c r="IW94" s="100"/>
    </row>
    <row r="95" customFormat="false" ht="12.75" hidden="false" customHeight="false" outlineLevel="0" collapsed="false">
      <c r="A95" s="736"/>
      <c r="B95" s="100" t="s">
        <v>720</v>
      </c>
      <c r="C95" s="100" t="n">
        <f aca="false">AG51+AG25</f>
        <v>1.19690923838789E-011</v>
      </c>
      <c r="D95" s="100"/>
      <c r="E95" s="100"/>
      <c r="F95" s="100"/>
      <c r="G95" s="100"/>
      <c r="H95" s="100"/>
      <c r="I95" s="100"/>
      <c r="J95" s="100"/>
      <c r="K95" s="100"/>
      <c r="L95" s="100"/>
      <c r="M95" s="100"/>
      <c r="N95" s="100"/>
      <c r="O95" s="100"/>
      <c r="P95" s="100"/>
      <c r="Q95" s="100"/>
      <c r="R95" s="100"/>
      <c r="S95" s="100"/>
      <c r="T95" s="100"/>
      <c r="U95" s="100"/>
      <c r="V95" s="100"/>
      <c r="W95" s="100"/>
      <c r="X95" s="100"/>
      <c r="Y95" s="100"/>
      <c r="Z95" s="100"/>
      <c r="AA95" s="100"/>
      <c r="AB95" s="100"/>
      <c r="AC95" s="100"/>
      <c r="AD95" s="100"/>
      <c r="AE95" s="100"/>
      <c r="AF95" s="100"/>
      <c r="AG95" s="100"/>
      <c r="AH95" s="100"/>
      <c r="AI95" s="100"/>
      <c r="AJ95" s="100"/>
      <c r="AK95" s="100"/>
      <c r="AL95" s="100"/>
      <c r="AM95" s="100"/>
      <c r="AN95" s="100"/>
      <c r="AO95" s="100"/>
      <c r="AP95" s="100"/>
      <c r="AQ95" s="100"/>
      <c r="AR95" s="100"/>
      <c r="AS95" s="100"/>
      <c r="AT95" s="100"/>
      <c r="AU95" s="100"/>
      <c r="AV95" s="100"/>
      <c r="AW95" s="100"/>
      <c r="AX95" s="100"/>
      <c r="AY95" s="100"/>
      <c r="AZ95" s="100"/>
      <c r="BA95" s="100"/>
      <c r="BB95" s="100"/>
      <c r="BC95" s="100"/>
      <c r="BD95" s="100"/>
      <c r="BE95" s="100"/>
      <c r="BF95" s="100"/>
      <c r="BG95" s="100"/>
      <c r="BH95" s="100"/>
      <c r="BI95" s="100"/>
      <c r="BJ95" s="100"/>
      <c r="BK95" s="100"/>
      <c r="BL95" s="100"/>
      <c r="BM95" s="100"/>
      <c r="BN95" s="100"/>
      <c r="BO95" s="100"/>
      <c r="BP95" s="100"/>
      <c r="BQ95" s="100"/>
      <c r="BR95" s="100"/>
      <c r="BS95" s="100"/>
      <c r="BT95" s="100"/>
      <c r="BU95" s="100"/>
      <c r="BV95" s="100"/>
      <c r="BW95" s="100"/>
      <c r="BX95" s="100"/>
      <c r="BY95" s="100"/>
      <c r="BZ95" s="100"/>
      <c r="CA95" s="100"/>
      <c r="CB95" s="100"/>
      <c r="CC95" s="100"/>
      <c r="CD95" s="100"/>
      <c r="CE95" s="100"/>
      <c r="CF95" s="100"/>
      <c r="CG95" s="100"/>
      <c r="CH95" s="100"/>
      <c r="CI95" s="100"/>
      <c r="CJ95" s="100"/>
      <c r="CK95" s="100"/>
      <c r="CL95" s="100"/>
      <c r="CM95" s="100"/>
      <c r="CN95" s="100"/>
      <c r="CO95" s="100"/>
      <c r="CP95" s="100"/>
      <c r="CQ95" s="100"/>
      <c r="CR95" s="100"/>
      <c r="CS95" s="100"/>
      <c r="CT95" s="100"/>
      <c r="CU95" s="100"/>
      <c r="CV95" s="100"/>
      <c r="CW95" s="100"/>
      <c r="CX95" s="100"/>
      <c r="CY95" s="100"/>
      <c r="CZ95" s="100"/>
      <c r="DA95" s="100"/>
      <c r="DB95" s="100"/>
      <c r="DC95" s="100"/>
      <c r="DD95" s="100"/>
      <c r="DE95" s="100"/>
      <c r="DF95" s="100"/>
      <c r="DG95" s="100"/>
      <c r="DH95" s="100"/>
      <c r="DI95" s="100"/>
      <c r="DJ95" s="100"/>
      <c r="DK95" s="100"/>
      <c r="DL95" s="100"/>
      <c r="DM95" s="100"/>
      <c r="DN95" s="100"/>
      <c r="DO95" s="100"/>
      <c r="DP95" s="100"/>
      <c r="DQ95" s="100"/>
      <c r="DR95" s="100"/>
      <c r="DS95" s="100"/>
      <c r="DT95" s="100"/>
      <c r="DU95" s="100"/>
      <c r="DV95" s="100"/>
      <c r="DW95" s="100"/>
      <c r="DX95" s="100"/>
      <c r="DY95" s="100"/>
      <c r="DZ95" s="100"/>
      <c r="EA95" s="100"/>
      <c r="EB95" s="100"/>
      <c r="EC95" s="100"/>
      <c r="ED95" s="100"/>
      <c r="EE95" s="100"/>
      <c r="EF95" s="100"/>
      <c r="EG95" s="100"/>
      <c r="EH95" s="100"/>
      <c r="EI95" s="100"/>
      <c r="EJ95" s="100"/>
      <c r="EK95" s="100"/>
      <c r="EL95" s="100"/>
      <c r="EM95" s="100"/>
      <c r="EN95" s="100"/>
      <c r="EO95" s="100"/>
      <c r="EP95" s="100"/>
      <c r="EQ95" s="100"/>
      <c r="ER95" s="100"/>
      <c r="ES95" s="100"/>
      <c r="ET95" s="100"/>
      <c r="EU95" s="100"/>
      <c r="EV95" s="100"/>
      <c r="EW95" s="100"/>
      <c r="EX95" s="100"/>
      <c r="EY95" s="100"/>
      <c r="EZ95" s="100"/>
      <c r="FA95" s="100"/>
      <c r="FB95" s="100"/>
      <c r="FC95" s="100"/>
      <c r="FD95" s="100"/>
      <c r="FE95" s="100"/>
      <c r="FF95" s="100"/>
      <c r="FG95" s="100"/>
      <c r="FH95" s="100"/>
      <c r="FI95" s="100"/>
      <c r="FJ95" s="100"/>
      <c r="FK95" s="100"/>
      <c r="FL95" s="100"/>
      <c r="FM95" s="100"/>
      <c r="FN95" s="100"/>
      <c r="FO95" s="100"/>
      <c r="FP95" s="100"/>
      <c r="FQ95" s="100"/>
      <c r="FR95" s="100"/>
      <c r="FS95" s="100"/>
      <c r="FT95" s="100"/>
      <c r="FU95" s="100"/>
      <c r="FV95" s="100"/>
      <c r="FW95" s="100"/>
      <c r="FX95" s="100"/>
      <c r="FY95" s="100"/>
      <c r="FZ95" s="100"/>
      <c r="GA95" s="100"/>
      <c r="GB95" s="100"/>
      <c r="GC95" s="100"/>
      <c r="GD95" s="100"/>
      <c r="GE95" s="100"/>
      <c r="GF95" s="100"/>
      <c r="GG95" s="100"/>
      <c r="GH95" s="100"/>
      <c r="GI95" s="100"/>
      <c r="GJ95" s="100"/>
      <c r="GK95" s="100"/>
      <c r="GL95" s="100"/>
      <c r="GM95" s="100"/>
      <c r="GN95" s="100"/>
      <c r="GO95" s="100"/>
      <c r="GP95" s="100"/>
      <c r="GQ95" s="100"/>
      <c r="GR95" s="100"/>
      <c r="GS95" s="100"/>
      <c r="GT95" s="100"/>
      <c r="GU95" s="100"/>
      <c r="GV95" s="100"/>
      <c r="GW95" s="100"/>
      <c r="GX95" s="100"/>
      <c r="GY95" s="100"/>
      <c r="GZ95" s="100"/>
      <c r="HA95" s="100"/>
      <c r="HB95" s="100"/>
      <c r="HC95" s="100"/>
      <c r="HD95" s="100"/>
      <c r="HE95" s="100"/>
      <c r="HF95" s="100"/>
      <c r="HG95" s="100"/>
      <c r="HH95" s="100"/>
      <c r="HI95" s="100"/>
      <c r="HJ95" s="100"/>
      <c r="HK95" s="100"/>
      <c r="HL95" s="100"/>
      <c r="HM95" s="100"/>
      <c r="HN95" s="100"/>
      <c r="HO95" s="100"/>
      <c r="HP95" s="100"/>
      <c r="HQ95" s="100"/>
      <c r="HR95" s="100"/>
      <c r="HS95" s="100"/>
      <c r="HT95" s="100"/>
      <c r="HU95" s="100"/>
      <c r="HV95" s="100"/>
      <c r="HW95" s="100"/>
      <c r="HX95" s="100"/>
      <c r="HY95" s="100"/>
      <c r="HZ95" s="100"/>
      <c r="IA95" s="100"/>
      <c r="IB95" s="100"/>
      <c r="IC95" s="100"/>
      <c r="ID95" s="100"/>
      <c r="IE95" s="100"/>
      <c r="IF95" s="100"/>
      <c r="IG95" s="100"/>
      <c r="IH95" s="100"/>
      <c r="II95" s="100"/>
      <c r="IJ95" s="100"/>
      <c r="IK95" s="100"/>
      <c r="IL95" s="100"/>
      <c r="IM95" s="100"/>
      <c r="IN95" s="100"/>
      <c r="IO95" s="100"/>
      <c r="IP95" s="100"/>
      <c r="IQ95" s="100"/>
      <c r="IR95" s="100"/>
      <c r="IS95" s="100"/>
      <c r="IT95" s="100"/>
      <c r="IU95" s="100"/>
      <c r="IV95" s="100"/>
      <c r="IW95" s="100"/>
    </row>
    <row r="96" customFormat="false" ht="12.75" hidden="false" customHeight="false" outlineLevel="0" collapsed="false">
      <c r="A96" s="736"/>
      <c r="B96" s="100" t="s">
        <v>721</v>
      </c>
      <c r="C96" s="100" t="n">
        <f aca="false">C91-C94</f>
        <v>197.500000000007</v>
      </c>
      <c r="D96" s="100"/>
      <c r="E96" s="100"/>
      <c r="F96" s="100"/>
      <c r="G96" s="100"/>
      <c r="H96" s="100"/>
      <c r="I96" s="100"/>
      <c r="J96" s="100"/>
      <c r="K96" s="100"/>
      <c r="L96" s="100"/>
      <c r="M96" s="100"/>
      <c r="N96" s="100"/>
      <c r="O96" s="100"/>
      <c r="P96" s="100"/>
      <c r="Q96" s="100"/>
      <c r="R96" s="100"/>
      <c r="S96" s="100"/>
      <c r="T96" s="100"/>
      <c r="U96" s="100"/>
      <c r="V96" s="100"/>
      <c r="W96" s="100"/>
      <c r="X96" s="100"/>
      <c r="Y96" s="100"/>
      <c r="Z96" s="100"/>
      <c r="AA96" s="100"/>
      <c r="AB96" s="100"/>
      <c r="AC96" s="100"/>
      <c r="AD96" s="100"/>
      <c r="AE96" s="100"/>
      <c r="AF96" s="100"/>
      <c r="AG96" s="100"/>
      <c r="AH96" s="100"/>
      <c r="AI96" s="100"/>
      <c r="AJ96" s="100"/>
      <c r="AK96" s="100"/>
      <c r="AL96" s="100"/>
      <c r="AM96" s="100"/>
      <c r="AN96" s="100"/>
      <c r="AO96" s="100"/>
      <c r="AP96" s="100"/>
      <c r="AQ96" s="100"/>
      <c r="AR96" s="100"/>
      <c r="AS96" s="100"/>
      <c r="AT96" s="100"/>
      <c r="AU96" s="100"/>
      <c r="AV96" s="100"/>
      <c r="AW96" s="100"/>
      <c r="AX96" s="100"/>
      <c r="AY96" s="100"/>
      <c r="AZ96" s="100"/>
      <c r="BA96" s="100"/>
      <c r="BB96" s="100"/>
      <c r="BC96" s="100"/>
      <c r="BD96" s="100"/>
      <c r="BE96" s="100"/>
      <c r="BF96" s="100"/>
      <c r="BG96" s="100"/>
      <c r="BH96" s="100"/>
      <c r="BI96" s="100"/>
      <c r="BJ96" s="100"/>
      <c r="BK96" s="100"/>
      <c r="BL96" s="100"/>
      <c r="BM96" s="100"/>
      <c r="BN96" s="100"/>
      <c r="BO96" s="100"/>
      <c r="BP96" s="100"/>
      <c r="BQ96" s="100"/>
      <c r="BR96" s="100"/>
      <c r="BS96" s="100"/>
      <c r="BT96" s="100"/>
      <c r="BU96" s="100"/>
      <c r="BV96" s="100"/>
      <c r="BW96" s="100"/>
      <c r="BX96" s="100"/>
      <c r="BY96" s="100"/>
      <c r="BZ96" s="100"/>
      <c r="CA96" s="100"/>
      <c r="CB96" s="100"/>
      <c r="CC96" s="100"/>
      <c r="CD96" s="100"/>
      <c r="CE96" s="100"/>
      <c r="CF96" s="100"/>
      <c r="CG96" s="100"/>
      <c r="CH96" s="100"/>
      <c r="CI96" s="100"/>
      <c r="CJ96" s="100"/>
      <c r="CK96" s="100"/>
      <c r="CL96" s="100"/>
      <c r="CM96" s="100"/>
      <c r="CN96" s="100"/>
      <c r="CO96" s="100"/>
      <c r="CP96" s="100"/>
      <c r="CQ96" s="100"/>
      <c r="CR96" s="100"/>
      <c r="CS96" s="100"/>
      <c r="CT96" s="100"/>
      <c r="CU96" s="100"/>
      <c r="CV96" s="100"/>
      <c r="CW96" s="100"/>
      <c r="CX96" s="100"/>
      <c r="CY96" s="100"/>
      <c r="CZ96" s="100"/>
      <c r="DA96" s="100"/>
      <c r="DB96" s="100"/>
      <c r="DC96" s="100"/>
      <c r="DD96" s="100"/>
      <c r="DE96" s="100"/>
      <c r="DF96" s="100"/>
      <c r="DG96" s="100"/>
      <c r="DH96" s="100"/>
      <c r="DI96" s="100"/>
      <c r="DJ96" s="100"/>
      <c r="DK96" s="100"/>
      <c r="DL96" s="100"/>
      <c r="DM96" s="100"/>
      <c r="DN96" s="100"/>
      <c r="DO96" s="100"/>
      <c r="DP96" s="100"/>
      <c r="DQ96" s="100"/>
      <c r="DR96" s="100"/>
      <c r="DS96" s="100"/>
      <c r="DT96" s="100"/>
      <c r="DU96" s="100"/>
      <c r="DV96" s="100"/>
      <c r="DW96" s="100"/>
      <c r="DX96" s="100"/>
      <c r="DY96" s="100"/>
      <c r="DZ96" s="100"/>
      <c r="EA96" s="100"/>
      <c r="EB96" s="100"/>
      <c r="EC96" s="100"/>
      <c r="ED96" s="100"/>
      <c r="EE96" s="100"/>
      <c r="EF96" s="100"/>
      <c r="EG96" s="100"/>
      <c r="EH96" s="100"/>
      <c r="EI96" s="100"/>
      <c r="EJ96" s="100"/>
      <c r="EK96" s="100"/>
      <c r="EL96" s="100"/>
      <c r="EM96" s="100"/>
      <c r="EN96" s="100"/>
      <c r="EO96" s="100"/>
      <c r="EP96" s="100"/>
      <c r="EQ96" s="100"/>
      <c r="ER96" s="100"/>
      <c r="ES96" s="100"/>
      <c r="ET96" s="100"/>
      <c r="EU96" s="100"/>
      <c r="EV96" s="100"/>
      <c r="EW96" s="100"/>
      <c r="EX96" s="100"/>
      <c r="EY96" s="100"/>
      <c r="EZ96" s="100"/>
      <c r="FA96" s="100"/>
      <c r="FB96" s="100"/>
      <c r="FC96" s="100"/>
      <c r="FD96" s="100"/>
      <c r="FE96" s="100"/>
      <c r="FF96" s="100"/>
      <c r="FG96" s="100"/>
      <c r="FH96" s="100"/>
      <c r="FI96" s="100"/>
      <c r="FJ96" s="100"/>
      <c r="FK96" s="100"/>
      <c r="FL96" s="100"/>
      <c r="FM96" s="100"/>
      <c r="FN96" s="100"/>
      <c r="FO96" s="100"/>
      <c r="FP96" s="100"/>
      <c r="FQ96" s="100"/>
      <c r="FR96" s="100"/>
      <c r="FS96" s="100"/>
      <c r="FT96" s="100"/>
      <c r="FU96" s="100"/>
      <c r="FV96" s="100"/>
      <c r="FW96" s="100"/>
      <c r="FX96" s="100"/>
      <c r="FY96" s="100"/>
      <c r="FZ96" s="100"/>
      <c r="GA96" s="100"/>
      <c r="GB96" s="100"/>
      <c r="GC96" s="100"/>
      <c r="GD96" s="100"/>
      <c r="GE96" s="100"/>
      <c r="GF96" s="100"/>
      <c r="GG96" s="100"/>
      <c r="GH96" s="100"/>
      <c r="GI96" s="100"/>
      <c r="GJ96" s="100"/>
      <c r="GK96" s="100"/>
      <c r="GL96" s="100"/>
      <c r="GM96" s="100"/>
      <c r="GN96" s="100"/>
      <c r="GO96" s="100"/>
      <c r="GP96" s="100"/>
      <c r="GQ96" s="100"/>
      <c r="GR96" s="100"/>
      <c r="GS96" s="100"/>
      <c r="GT96" s="100"/>
      <c r="GU96" s="100"/>
      <c r="GV96" s="100"/>
      <c r="GW96" s="100"/>
      <c r="GX96" s="100"/>
      <c r="GY96" s="100"/>
      <c r="GZ96" s="100"/>
      <c r="HA96" s="100"/>
      <c r="HB96" s="100"/>
      <c r="HC96" s="100"/>
      <c r="HD96" s="100"/>
      <c r="HE96" s="100"/>
      <c r="HF96" s="100"/>
      <c r="HG96" s="100"/>
      <c r="HH96" s="100"/>
      <c r="HI96" s="100"/>
      <c r="HJ96" s="100"/>
      <c r="HK96" s="100"/>
      <c r="HL96" s="100"/>
      <c r="HM96" s="100"/>
      <c r="HN96" s="100"/>
      <c r="HO96" s="100"/>
      <c r="HP96" s="100"/>
      <c r="HQ96" s="100"/>
      <c r="HR96" s="100"/>
      <c r="HS96" s="100"/>
      <c r="HT96" s="100"/>
      <c r="HU96" s="100"/>
      <c r="HV96" s="100"/>
      <c r="HW96" s="100"/>
      <c r="HX96" s="100"/>
      <c r="HY96" s="100"/>
      <c r="HZ96" s="100"/>
      <c r="IA96" s="100"/>
      <c r="IB96" s="100"/>
      <c r="IC96" s="100"/>
      <c r="ID96" s="100"/>
      <c r="IE96" s="100"/>
      <c r="IF96" s="100"/>
      <c r="IG96" s="100"/>
      <c r="IH96" s="100"/>
      <c r="II96" s="100"/>
      <c r="IJ96" s="100"/>
      <c r="IK96" s="100"/>
      <c r="IL96" s="100"/>
      <c r="IM96" s="100"/>
      <c r="IN96" s="100"/>
      <c r="IO96" s="100"/>
      <c r="IP96" s="100"/>
      <c r="IQ96" s="100"/>
      <c r="IR96" s="100"/>
      <c r="IS96" s="100"/>
      <c r="IT96" s="100"/>
      <c r="IU96" s="100"/>
      <c r="IV96" s="100"/>
      <c r="IW96" s="100"/>
    </row>
    <row r="97" customFormat="false" ht="12.75" hidden="false" customHeight="false" outlineLevel="0" collapsed="false">
      <c r="A97" s="736"/>
      <c r="B97" s="100" t="s">
        <v>718</v>
      </c>
      <c r="C97" s="100" t="n">
        <f aca="false">C95-C96</f>
        <v>-197.499999999995</v>
      </c>
      <c r="D97" s="100"/>
      <c r="E97" s="100"/>
      <c r="F97" s="100"/>
      <c r="G97" s="100"/>
      <c r="H97" s="100"/>
      <c r="I97" s="100"/>
      <c r="J97" s="100"/>
      <c r="K97" s="100"/>
      <c r="L97" s="100"/>
      <c r="M97" s="100"/>
      <c r="N97" s="100"/>
      <c r="O97" s="100"/>
      <c r="P97" s="100"/>
      <c r="Q97" s="100"/>
      <c r="R97" s="100"/>
      <c r="S97" s="100"/>
      <c r="T97" s="100"/>
      <c r="U97" s="100"/>
      <c r="V97" s="100"/>
      <c r="W97" s="100"/>
      <c r="X97" s="100"/>
      <c r="Y97" s="100"/>
      <c r="Z97" s="100"/>
      <c r="AA97" s="100"/>
      <c r="AB97" s="100"/>
      <c r="AC97" s="100"/>
      <c r="AD97" s="100"/>
      <c r="AE97" s="100"/>
      <c r="AF97" s="100"/>
      <c r="AG97" s="100"/>
      <c r="AH97" s="100"/>
      <c r="AI97" s="100"/>
      <c r="AJ97" s="100"/>
      <c r="AK97" s="100"/>
      <c r="AL97" s="100"/>
      <c r="AM97" s="100"/>
      <c r="AN97" s="100"/>
      <c r="AO97" s="100"/>
      <c r="AP97" s="100"/>
      <c r="AQ97" s="100"/>
      <c r="AR97" s="100"/>
      <c r="AS97" s="100"/>
      <c r="AT97" s="100"/>
      <c r="AU97" s="100"/>
      <c r="AV97" s="100"/>
      <c r="AW97" s="100"/>
      <c r="AX97" s="100"/>
      <c r="AY97" s="100"/>
      <c r="AZ97" s="100"/>
      <c r="BA97" s="100"/>
      <c r="BB97" s="100"/>
      <c r="BC97" s="100"/>
      <c r="BD97" s="100"/>
      <c r="BE97" s="100"/>
      <c r="BF97" s="100"/>
      <c r="BG97" s="100"/>
      <c r="BH97" s="100"/>
      <c r="BI97" s="100"/>
      <c r="BJ97" s="100"/>
      <c r="BK97" s="100"/>
      <c r="BL97" s="100"/>
      <c r="BM97" s="100"/>
      <c r="BN97" s="100"/>
      <c r="BO97" s="100"/>
      <c r="BP97" s="100"/>
      <c r="BQ97" s="100"/>
      <c r="BR97" s="100"/>
      <c r="BS97" s="100"/>
      <c r="BT97" s="100"/>
      <c r="BU97" s="100"/>
      <c r="BV97" s="100"/>
      <c r="BW97" s="100"/>
      <c r="BX97" s="100"/>
      <c r="BY97" s="100"/>
      <c r="BZ97" s="100"/>
      <c r="CA97" s="100"/>
      <c r="CB97" s="100"/>
      <c r="CC97" s="100"/>
      <c r="CD97" s="100"/>
      <c r="CE97" s="100"/>
      <c r="CF97" s="100"/>
      <c r="CG97" s="100"/>
      <c r="CH97" s="100"/>
      <c r="CI97" s="100"/>
      <c r="CJ97" s="100"/>
      <c r="CK97" s="100"/>
      <c r="CL97" s="100"/>
      <c r="CM97" s="100"/>
      <c r="CN97" s="100"/>
      <c r="CO97" s="100"/>
      <c r="CP97" s="100"/>
      <c r="CQ97" s="100"/>
      <c r="CR97" s="100"/>
      <c r="CS97" s="100"/>
      <c r="CT97" s="100"/>
      <c r="CU97" s="100"/>
      <c r="CV97" s="100"/>
      <c r="CW97" s="100"/>
      <c r="CX97" s="100"/>
      <c r="CY97" s="100"/>
      <c r="CZ97" s="100"/>
      <c r="DA97" s="100"/>
      <c r="DB97" s="100"/>
      <c r="DC97" s="100"/>
      <c r="DD97" s="100"/>
      <c r="DE97" s="100"/>
      <c r="DF97" s="100"/>
      <c r="DG97" s="100"/>
      <c r="DH97" s="100"/>
      <c r="DI97" s="100"/>
      <c r="DJ97" s="100"/>
      <c r="DK97" s="100"/>
      <c r="DL97" s="100"/>
      <c r="DM97" s="100"/>
      <c r="DN97" s="100"/>
      <c r="DO97" s="100"/>
      <c r="DP97" s="100"/>
      <c r="DQ97" s="100"/>
      <c r="DR97" s="100"/>
      <c r="DS97" s="100"/>
      <c r="DT97" s="100"/>
      <c r="DU97" s="100"/>
      <c r="DV97" s="100"/>
      <c r="DW97" s="100"/>
      <c r="DX97" s="100"/>
      <c r="DY97" s="100"/>
      <c r="DZ97" s="100"/>
      <c r="EA97" s="100"/>
      <c r="EB97" s="100"/>
      <c r="EC97" s="100"/>
      <c r="ED97" s="100"/>
      <c r="EE97" s="100"/>
      <c r="EF97" s="100"/>
      <c r="EG97" s="100"/>
      <c r="EH97" s="100"/>
      <c r="EI97" s="100"/>
      <c r="EJ97" s="100"/>
      <c r="EK97" s="100"/>
      <c r="EL97" s="100"/>
      <c r="EM97" s="100"/>
      <c r="EN97" s="100"/>
      <c r="EO97" s="100"/>
      <c r="EP97" s="100"/>
      <c r="EQ97" s="100"/>
      <c r="ER97" s="100"/>
      <c r="ES97" s="100"/>
      <c r="ET97" s="100"/>
      <c r="EU97" s="100"/>
      <c r="EV97" s="100"/>
      <c r="EW97" s="100"/>
      <c r="EX97" s="100"/>
      <c r="EY97" s="100"/>
      <c r="EZ97" s="100"/>
      <c r="FA97" s="100"/>
      <c r="FB97" s="100"/>
      <c r="FC97" s="100"/>
      <c r="FD97" s="100"/>
      <c r="FE97" s="100"/>
      <c r="FF97" s="100"/>
      <c r="FG97" s="100"/>
      <c r="FH97" s="100"/>
      <c r="FI97" s="100"/>
      <c r="FJ97" s="100"/>
      <c r="FK97" s="100"/>
      <c r="FL97" s="100"/>
      <c r="FM97" s="100"/>
      <c r="FN97" s="100"/>
      <c r="FO97" s="100"/>
      <c r="FP97" s="100"/>
      <c r="FQ97" s="100"/>
      <c r="FR97" s="100"/>
      <c r="FS97" s="100"/>
      <c r="FT97" s="100"/>
      <c r="FU97" s="100"/>
      <c r="FV97" s="100"/>
      <c r="FW97" s="100"/>
      <c r="FX97" s="100"/>
      <c r="FY97" s="100"/>
      <c r="FZ97" s="100"/>
      <c r="GA97" s="100"/>
      <c r="GB97" s="100"/>
      <c r="GC97" s="100"/>
      <c r="GD97" s="100"/>
      <c r="GE97" s="100"/>
      <c r="GF97" s="100"/>
      <c r="GG97" s="100"/>
      <c r="GH97" s="100"/>
      <c r="GI97" s="100"/>
      <c r="GJ97" s="100"/>
      <c r="GK97" s="100"/>
      <c r="GL97" s="100"/>
      <c r="GM97" s="100"/>
      <c r="GN97" s="100"/>
      <c r="GO97" s="100"/>
      <c r="GP97" s="100"/>
      <c r="GQ97" s="100"/>
      <c r="GR97" s="100"/>
      <c r="GS97" s="100"/>
      <c r="GT97" s="100"/>
      <c r="GU97" s="100"/>
      <c r="GV97" s="100"/>
      <c r="GW97" s="100"/>
      <c r="GX97" s="100"/>
      <c r="GY97" s="100"/>
      <c r="GZ97" s="100"/>
      <c r="HA97" s="100"/>
      <c r="HB97" s="100"/>
      <c r="HC97" s="100"/>
      <c r="HD97" s="100"/>
      <c r="HE97" s="100"/>
      <c r="HF97" s="100"/>
      <c r="HG97" s="100"/>
      <c r="HH97" s="100"/>
      <c r="HI97" s="100"/>
      <c r="HJ97" s="100"/>
      <c r="HK97" s="100"/>
      <c r="HL97" s="100"/>
      <c r="HM97" s="100"/>
      <c r="HN97" s="100"/>
      <c r="HO97" s="100"/>
      <c r="HP97" s="100"/>
      <c r="HQ97" s="100"/>
      <c r="HR97" s="100"/>
      <c r="HS97" s="100"/>
      <c r="HT97" s="100"/>
      <c r="HU97" s="100"/>
      <c r="HV97" s="100"/>
      <c r="HW97" s="100"/>
      <c r="HX97" s="100"/>
      <c r="HY97" s="100"/>
      <c r="HZ97" s="100"/>
      <c r="IA97" s="100"/>
      <c r="IB97" s="100"/>
      <c r="IC97" s="100"/>
      <c r="ID97" s="100"/>
      <c r="IE97" s="100"/>
      <c r="IF97" s="100"/>
      <c r="IG97" s="100"/>
      <c r="IH97" s="100"/>
      <c r="II97" s="100"/>
      <c r="IJ97" s="100"/>
      <c r="IK97" s="100"/>
      <c r="IL97" s="100"/>
      <c r="IM97" s="100"/>
      <c r="IN97" s="100"/>
      <c r="IO97" s="100"/>
      <c r="IP97" s="100"/>
      <c r="IQ97" s="100"/>
      <c r="IR97" s="100"/>
      <c r="IS97" s="100"/>
      <c r="IT97" s="100"/>
      <c r="IU97" s="100"/>
      <c r="IV97" s="100"/>
      <c r="IW97" s="100"/>
    </row>
    <row r="98" customFormat="false" ht="12.75" hidden="false" customHeight="false" outlineLevel="0" collapsed="false">
      <c r="A98" s="736"/>
      <c r="B98" s="100"/>
      <c r="C98" s="100"/>
      <c r="D98" s="100"/>
      <c r="E98" s="100"/>
      <c r="F98" s="100"/>
      <c r="G98" s="100"/>
      <c r="H98" s="100"/>
      <c r="I98" s="100"/>
      <c r="J98" s="100"/>
      <c r="K98" s="100"/>
      <c r="L98" s="100"/>
      <c r="M98" s="100"/>
      <c r="N98" s="100"/>
      <c r="O98" s="100"/>
      <c r="P98" s="100"/>
      <c r="Q98" s="100"/>
      <c r="R98" s="100"/>
      <c r="S98" s="100"/>
      <c r="T98" s="100"/>
      <c r="U98" s="100"/>
      <c r="V98" s="100"/>
      <c r="W98" s="100"/>
      <c r="X98" s="100"/>
      <c r="Y98" s="100"/>
      <c r="Z98" s="100"/>
      <c r="AA98" s="100"/>
      <c r="AB98" s="100"/>
      <c r="AC98" s="100"/>
      <c r="AD98" s="100"/>
      <c r="AE98" s="100"/>
      <c r="AF98" s="100"/>
      <c r="AG98" s="100"/>
      <c r="AH98" s="100"/>
      <c r="AI98" s="100"/>
      <c r="AJ98" s="100"/>
      <c r="AK98" s="100"/>
      <c r="AL98" s="100"/>
      <c r="AM98" s="100"/>
      <c r="AN98" s="100"/>
      <c r="AO98" s="100"/>
      <c r="AP98" s="100"/>
      <c r="AQ98" s="100"/>
      <c r="AR98" s="100"/>
      <c r="AS98" s="100"/>
      <c r="AT98" s="100"/>
      <c r="AU98" s="100"/>
      <c r="AV98" s="100"/>
      <c r="AW98" s="100"/>
      <c r="AX98" s="100"/>
      <c r="AY98" s="100"/>
      <c r="AZ98" s="100"/>
      <c r="BA98" s="100"/>
      <c r="BB98" s="100"/>
      <c r="BC98" s="100"/>
      <c r="BD98" s="100"/>
      <c r="BE98" s="100"/>
      <c r="BF98" s="100"/>
      <c r="BG98" s="100"/>
      <c r="BH98" s="100"/>
      <c r="BI98" s="100"/>
      <c r="BJ98" s="100"/>
      <c r="BK98" s="100"/>
      <c r="BL98" s="100"/>
      <c r="BM98" s="100"/>
      <c r="BN98" s="100"/>
      <c r="BO98" s="100"/>
      <c r="BP98" s="100"/>
      <c r="BQ98" s="100"/>
      <c r="BR98" s="100"/>
      <c r="BS98" s="100"/>
      <c r="BT98" s="100"/>
      <c r="BU98" s="100"/>
      <c r="BV98" s="100"/>
      <c r="BW98" s="100"/>
      <c r="BX98" s="100"/>
      <c r="BY98" s="100"/>
      <c r="BZ98" s="100"/>
      <c r="CA98" s="100"/>
      <c r="CB98" s="100"/>
      <c r="CC98" s="100"/>
      <c r="CD98" s="100"/>
      <c r="CE98" s="100"/>
      <c r="CF98" s="100"/>
      <c r="CG98" s="100"/>
      <c r="CH98" s="100"/>
      <c r="CI98" s="100"/>
      <c r="CJ98" s="100"/>
      <c r="CK98" s="100"/>
      <c r="CL98" s="100"/>
      <c r="CM98" s="100"/>
      <c r="CN98" s="100"/>
      <c r="CO98" s="100"/>
      <c r="CP98" s="100"/>
      <c r="CQ98" s="100"/>
      <c r="CR98" s="100"/>
      <c r="CS98" s="100"/>
      <c r="CT98" s="100"/>
      <c r="CU98" s="100"/>
      <c r="CV98" s="100"/>
      <c r="CW98" s="100"/>
      <c r="CX98" s="100"/>
      <c r="CY98" s="100"/>
      <c r="CZ98" s="100"/>
      <c r="DA98" s="100"/>
      <c r="DB98" s="100"/>
      <c r="DC98" s="100"/>
      <c r="DD98" s="100"/>
      <c r="DE98" s="100"/>
      <c r="DF98" s="100"/>
      <c r="DG98" s="100"/>
      <c r="DH98" s="100"/>
      <c r="DI98" s="100"/>
      <c r="DJ98" s="100"/>
      <c r="DK98" s="100"/>
      <c r="DL98" s="100"/>
      <c r="DM98" s="100"/>
      <c r="DN98" s="100"/>
      <c r="DO98" s="100"/>
      <c r="DP98" s="100"/>
      <c r="DQ98" s="100"/>
      <c r="DR98" s="100"/>
      <c r="DS98" s="100"/>
      <c r="DT98" s="100"/>
      <c r="DU98" s="100"/>
      <c r="DV98" s="100"/>
      <c r="DW98" s="100"/>
      <c r="DX98" s="100"/>
      <c r="DY98" s="100"/>
      <c r="DZ98" s="100"/>
      <c r="EA98" s="100"/>
      <c r="EB98" s="100"/>
      <c r="EC98" s="100"/>
      <c r="ED98" s="100"/>
      <c r="EE98" s="100"/>
      <c r="EF98" s="100"/>
      <c r="EG98" s="100"/>
      <c r="EH98" s="100"/>
      <c r="EI98" s="100"/>
      <c r="EJ98" s="100"/>
      <c r="EK98" s="100"/>
      <c r="EL98" s="100"/>
      <c r="EM98" s="100"/>
      <c r="EN98" s="100"/>
      <c r="EO98" s="100"/>
      <c r="EP98" s="100"/>
      <c r="EQ98" s="100"/>
      <c r="ER98" s="100"/>
      <c r="ES98" s="100"/>
      <c r="ET98" s="100"/>
      <c r="EU98" s="100"/>
      <c r="EV98" s="100"/>
      <c r="EW98" s="100"/>
      <c r="EX98" s="100"/>
      <c r="EY98" s="100"/>
      <c r="EZ98" s="100"/>
      <c r="FA98" s="100"/>
      <c r="FB98" s="100"/>
      <c r="FC98" s="100"/>
      <c r="FD98" s="100"/>
      <c r="FE98" s="100"/>
      <c r="FF98" s="100"/>
      <c r="FG98" s="100"/>
      <c r="FH98" s="100"/>
      <c r="FI98" s="100"/>
      <c r="FJ98" s="100"/>
      <c r="FK98" s="100"/>
      <c r="FL98" s="100"/>
      <c r="FM98" s="100"/>
      <c r="FN98" s="100"/>
      <c r="FO98" s="100"/>
      <c r="FP98" s="100"/>
      <c r="FQ98" s="100"/>
      <c r="FR98" s="100"/>
      <c r="FS98" s="100"/>
      <c r="FT98" s="100"/>
      <c r="FU98" s="100"/>
      <c r="FV98" s="100"/>
      <c r="FW98" s="100"/>
      <c r="FX98" s="100"/>
      <c r="FY98" s="100"/>
      <c r="FZ98" s="100"/>
      <c r="GA98" s="100"/>
      <c r="GB98" s="100"/>
      <c r="GC98" s="100"/>
      <c r="GD98" s="100"/>
      <c r="GE98" s="100"/>
      <c r="GF98" s="100"/>
      <c r="GG98" s="100"/>
      <c r="GH98" s="100"/>
      <c r="GI98" s="100"/>
      <c r="GJ98" s="100"/>
      <c r="GK98" s="100"/>
      <c r="GL98" s="100"/>
      <c r="GM98" s="100"/>
      <c r="GN98" s="100"/>
      <c r="GO98" s="100"/>
      <c r="GP98" s="100"/>
      <c r="GQ98" s="100"/>
      <c r="GR98" s="100"/>
      <c r="GS98" s="100"/>
      <c r="GT98" s="100"/>
      <c r="GU98" s="100"/>
      <c r="GV98" s="100"/>
      <c r="GW98" s="100"/>
      <c r="GX98" s="100"/>
      <c r="GY98" s="100"/>
      <c r="GZ98" s="100"/>
      <c r="HA98" s="100"/>
      <c r="HB98" s="100"/>
      <c r="HC98" s="100"/>
      <c r="HD98" s="100"/>
      <c r="HE98" s="100"/>
      <c r="HF98" s="100"/>
      <c r="HG98" s="100"/>
      <c r="HH98" s="100"/>
      <c r="HI98" s="100"/>
      <c r="HJ98" s="100"/>
      <c r="HK98" s="100"/>
      <c r="HL98" s="100"/>
      <c r="HM98" s="100"/>
      <c r="HN98" s="100"/>
      <c r="HO98" s="100"/>
      <c r="HP98" s="100"/>
      <c r="HQ98" s="100"/>
      <c r="HR98" s="100"/>
      <c r="HS98" s="100"/>
      <c r="HT98" s="100"/>
      <c r="HU98" s="100"/>
      <c r="HV98" s="100"/>
      <c r="HW98" s="100"/>
      <c r="HX98" s="100"/>
      <c r="HY98" s="100"/>
      <c r="HZ98" s="100"/>
      <c r="IA98" s="100"/>
      <c r="IB98" s="100"/>
      <c r="IC98" s="100"/>
      <c r="ID98" s="100"/>
      <c r="IE98" s="100"/>
      <c r="IF98" s="100"/>
      <c r="IG98" s="100"/>
      <c r="IH98" s="100"/>
      <c r="II98" s="100"/>
      <c r="IJ98" s="100"/>
      <c r="IK98" s="100"/>
      <c r="IL98" s="100"/>
      <c r="IM98" s="100"/>
      <c r="IN98" s="100"/>
      <c r="IO98" s="100"/>
      <c r="IP98" s="100"/>
      <c r="IQ98" s="100"/>
      <c r="IR98" s="100"/>
      <c r="IS98" s="100"/>
      <c r="IT98" s="100"/>
      <c r="IU98" s="100"/>
      <c r="IV98" s="100"/>
      <c r="IW98" s="100"/>
    </row>
    <row r="99" customFormat="false" ht="12.75" hidden="false" customHeight="false" outlineLevel="0" collapsed="false">
      <c r="A99" s="736"/>
      <c r="B99" s="100" t="s">
        <v>722</v>
      </c>
      <c r="C99" s="100" t="n">
        <f aca="false">Srcs_Uses!E12</f>
        <v>39076.7399283153</v>
      </c>
      <c r="D99" s="100"/>
      <c r="E99" s="100"/>
      <c r="F99" s="100"/>
      <c r="G99" s="100"/>
      <c r="H99" s="100"/>
      <c r="I99" s="100"/>
      <c r="J99" s="100"/>
      <c r="K99" s="100"/>
      <c r="L99" s="100"/>
      <c r="M99" s="100"/>
      <c r="N99" s="100"/>
      <c r="O99" s="100"/>
      <c r="P99" s="100"/>
      <c r="Q99" s="100"/>
      <c r="R99" s="100"/>
      <c r="S99" s="100"/>
      <c r="T99" s="100"/>
      <c r="U99" s="100"/>
      <c r="V99" s="100"/>
      <c r="W99" s="100"/>
      <c r="X99" s="100"/>
      <c r="Y99" s="100"/>
      <c r="Z99" s="100"/>
      <c r="AA99" s="100"/>
      <c r="AB99" s="100"/>
      <c r="AC99" s="100"/>
      <c r="AD99" s="100"/>
      <c r="AE99" s="100"/>
      <c r="AF99" s="100"/>
      <c r="AG99" s="100"/>
      <c r="AH99" s="100"/>
      <c r="AI99" s="100"/>
      <c r="AJ99" s="100"/>
      <c r="AK99" s="100"/>
      <c r="AL99" s="100"/>
      <c r="AM99" s="100"/>
      <c r="AN99" s="100"/>
      <c r="AO99" s="100"/>
      <c r="AP99" s="100"/>
      <c r="AQ99" s="100"/>
      <c r="AR99" s="100"/>
      <c r="AS99" s="100"/>
      <c r="AT99" s="100"/>
      <c r="AU99" s="100"/>
      <c r="AV99" s="100"/>
      <c r="AW99" s="100"/>
      <c r="AX99" s="100"/>
      <c r="AY99" s="100"/>
      <c r="AZ99" s="100"/>
      <c r="BA99" s="100"/>
      <c r="BB99" s="100"/>
      <c r="BC99" s="100"/>
      <c r="BD99" s="100"/>
      <c r="BE99" s="100"/>
      <c r="BF99" s="100"/>
      <c r="BG99" s="100"/>
      <c r="BH99" s="100"/>
      <c r="BI99" s="100"/>
      <c r="BJ99" s="100"/>
      <c r="BK99" s="100"/>
      <c r="BL99" s="100"/>
      <c r="BM99" s="100"/>
      <c r="BN99" s="100"/>
      <c r="BO99" s="100"/>
      <c r="BP99" s="100"/>
      <c r="BQ99" s="100"/>
      <c r="BR99" s="100"/>
      <c r="BS99" s="100"/>
      <c r="BT99" s="100"/>
      <c r="BU99" s="100"/>
      <c r="BV99" s="100"/>
      <c r="BW99" s="100"/>
      <c r="BX99" s="100"/>
      <c r="BY99" s="100"/>
      <c r="BZ99" s="100"/>
      <c r="CA99" s="100"/>
      <c r="CB99" s="100"/>
      <c r="CC99" s="100"/>
      <c r="CD99" s="100"/>
      <c r="CE99" s="100"/>
      <c r="CF99" s="100"/>
      <c r="CG99" s="100"/>
      <c r="CH99" s="100"/>
      <c r="CI99" s="100"/>
      <c r="CJ99" s="100"/>
      <c r="CK99" s="100"/>
      <c r="CL99" s="100"/>
      <c r="CM99" s="100"/>
      <c r="CN99" s="100"/>
      <c r="CO99" s="100"/>
      <c r="CP99" s="100"/>
      <c r="CQ99" s="100"/>
      <c r="CR99" s="100"/>
      <c r="CS99" s="100"/>
      <c r="CT99" s="100"/>
      <c r="CU99" s="100"/>
      <c r="CV99" s="100"/>
      <c r="CW99" s="100"/>
      <c r="CX99" s="100"/>
      <c r="CY99" s="100"/>
      <c r="CZ99" s="100"/>
      <c r="DA99" s="100"/>
      <c r="DB99" s="100"/>
      <c r="DC99" s="100"/>
      <c r="DD99" s="100"/>
      <c r="DE99" s="100"/>
      <c r="DF99" s="100"/>
      <c r="DG99" s="100"/>
      <c r="DH99" s="100"/>
      <c r="DI99" s="100"/>
      <c r="DJ99" s="100"/>
      <c r="DK99" s="100"/>
      <c r="DL99" s="100"/>
      <c r="DM99" s="100"/>
      <c r="DN99" s="100"/>
      <c r="DO99" s="100"/>
      <c r="DP99" s="100"/>
      <c r="DQ99" s="100"/>
      <c r="DR99" s="100"/>
      <c r="DS99" s="100"/>
      <c r="DT99" s="100"/>
      <c r="DU99" s="100"/>
      <c r="DV99" s="100"/>
      <c r="DW99" s="100"/>
      <c r="DX99" s="100"/>
      <c r="DY99" s="100"/>
      <c r="DZ99" s="100"/>
      <c r="EA99" s="100"/>
      <c r="EB99" s="100"/>
      <c r="EC99" s="100"/>
      <c r="ED99" s="100"/>
      <c r="EE99" s="100"/>
      <c r="EF99" s="100"/>
      <c r="EG99" s="100"/>
      <c r="EH99" s="100"/>
      <c r="EI99" s="100"/>
      <c r="EJ99" s="100"/>
      <c r="EK99" s="100"/>
      <c r="EL99" s="100"/>
      <c r="EM99" s="100"/>
      <c r="EN99" s="100"/>
      <c r="EO99" s="100"/>
      <c r="EP99" s="100"/>
      <c r="EQ99" s="100"/>
      <c r="ER99" s="100"/>
      <c r="ES99" s="100"/>
      <c r="ET99" s="100"/>
      <c r="EU99" s="100"/>
      <c r="EV99" s="100"/>
      <c r="EW99" s="100"/>
      <c r="EX99" s="100"/>
      <c r="EY99" s="100"/>
      <c r="EZ99" s="100"/>
      <c r="FA99" s="100"/>
      <c r="FB99" s="100"/>
      <c r="FC99" s="100"/>
      <c r="FD99" s="100"/>
      <c r="FE99" s="100"/>
      <c r="FF99" s="100"/>
      <c r="FG99" s="100"/>
      <c r="FH99" s="100"/>
      <c r="FI99" s="100"/>
      <c r="FJ99" s="100"/>
      <c r="FK99" s="100"/>
      <c r="FL99" s="100"/>
      <c r="FM99" s="100"/>
      <c r="FN99" s="100"/>
      <c r="FO99" s="100"/>
      <c r="FP99" s="100"/>
      <c r="FQ99" s="100"/>
      <c r="FR99" s="100"/>
      <c r="FS99" s="100"/>
      <c r="FT99" s="100"/>
      <c r="FU99" s="100"/>
      <c r="FV99" s="100"/>
      <c r="FW99" s="100"/>
      <c r="FX99" s="100"/>
      <c r="FY99" s="100"/>
      <c r="FZ99" s="100"/>
      <c r="GA99" s="100"/>
      <c r="GB99" s="100"/>
      <c r="GC99" s="100"/>
      <c r="GD99" s="100"/>
      <c r="GE99" s="100"/>
      <c r="GF99" s="100"/>
      <c r="GG99" s="100"/>
      <c r="GH99" s="100"/>
      <c r="GI99" s="100"/>
      <c r="GJ99" s="100"/>
      <c r="GK99" s="100"/>
      <c r="GL99" s="100"/>
      <c r="GM99" s="100"/>
      <c r="GN99" s="100"/>
      <c r="GO99" s="100"/>
      <c r="GP99" s="100"/>
      <c r="GQ99" s="100"/>
      <c r="GR99" s="100"/>
      <c r="GS99" s="100"/>
      <c r="GT99" s="100"/>
      <c r="GU99" s="100"/>
      <c r="GV99" s="100"/>
      <c r="GW99" s="100"/>
      <c r="GX99" s="100"/>
      <c r="GY99" s="100"/>
      <c r="GZ99" s="100"/>
      <c r="HA99" s="100"/>
      <c r="HB99" s="100"/>
      <c r="HC99" s="100"/>
      <c r="HD99" s="100"/>
      <c r="HE99" s="100"/>
      <c r="HF99" s="100"/>
      <c r="HG99" s="100"/>
      <c r="HH99" s="100"/>
      <c r="HI99" s="100"/>
      <c r="HJ99" s="100"/>
      <c r="HK99" s="100"/>
      <c r="HL99" s="100"/>
      <c r="HM99" s="100"/>
      <c r="HN99" s="100"/>
      <c r="HO99" s="100"/>
      <c r="HP99" s="100"/>
      <c r="HQ99" s="100"/>
      <c r="HR99" s="100"/>
      <c r="HS99" s="100"/>
      <c r="HT99" s="100"/>
      <c r="HU99" s="100"/>
      <c r="HV99" s="100"/>
      <c r="HW99" s="100"/>
      <c r="HX99" s="100"/>
      <c r="HY99" s="100"/>
      <c r="HZ99" s="100"/>
      <c r="IA99" s="100"/>
      <c r="IB99" s="100"/>
      <c r="IC99" s="100"/>
      <c r="ID99" s="100"/>
      <c r="IE99" s="100"/>
      <c r="IF99" s="100"/>
      <c r="IG99" s="100"/>
      <c r="IH99" s="100"/>
      <c r="II99" s="100"/>
      <c r="IJ99" s="100"/>
      <c r="IK99" s="100"/>
      <c r="IL99" s="100"/>
      <c r="IM99" s="100"/>
      <c r="IN99" s="100"/>
      <c r="IO99" s="100"/>
      <c r="IP99" s="100"/>
      <c r="IQ99" s="100"/>
      <c r="IR99" s="100"/>
      <c r="IS99" s="100"/>
      <c r="IT99" s="100"/>
      <c r="IU99" s="100"/>
      <c r="IV99" s="100"/>
      <c r="IW99" s="100"/>
    </row>
    <row r="100" customFormat="false" ht="12.75" hidden="false" customHeight="false" outlineLevel="0" collapsed="false">
      <c r="A100" s="736"/>
      <c r="B100" s="100" t="s">
        <v>723</v>
      </c>
      <c r="C100" s="100" t="n">
        <f aca="false">Income!E12</f>
        <v>38879.2399283153</v>
      </c>
      <c r="D100" s="100"/>
      <c r="E100" s="100"/>
      <c r="F100" s="100"/>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c r="AE100" s="100"/>
      <c r="AF100" s="100"/>
      <c r="AG100" s="100"/>
      <c r="AH100" s="100"/>
      <c r="AI100" s="100"/>
      <c r="AJ100" s="100"/>
      <c r="AK100" s="100"/>
      <c r="AL100" s="100"/>
      <c r="AM100" s="100"/>
      <c r="AN100" s="100"/>
      <c r="AO100" s="100"/>
      <c r="AP100" s="100"/>
      <c r="AQ100" s="100"/>
      <c r="AR100" s="100"/>
      <c r="AS100" s="100"/>
      <c r="AT100" s="100"/>
      <c r="AU100" s="100"/>
      <c r="AV100" s="100"/>
      <c r="AW100" s="100"/>
      <c r="AX100" s="100"/>
      <c r="AY100" s="100"/>
      <c r="AZ100" s="100"/>
      <c r="BA100" s="100"/>
      <c r="BB100" s="100"/>
      <c r="BC100" s="100"/>
      <c r="BD100" s="100"/>
      <c r="BE100" s="100"/>
      <c r="BF100" s="100"/>
      <c r="BG100" s="100"/>
      <c r="BH100" s="100"/>
      <c r="BI100" s="100"/>
      <c r="BJ100" s="100"/>
      <c r="BK100" s="100"/>
      <c r="BL100" s="100"/>
      <c r="BM100" s="100"/>
      <c r="BN100" s="100"/>
      <c r="BO100" s="100"/>
      <c r="BP100" s="100"/>
      <c r="BQ100" s="100"/>
      <c r="BR100" s="100"/>
      <c r="BS100" s="100"/>
      <c r="BT100" s="100"/>
      <c r="BU100" s="100"/>
      <c r="BV100" s="100"/>
      <c r="BW100" s="100"/>
      <c r="BX100" s="100"/>
      <c r="BY100" s="100"/>
      <c r="BZ100" s="100"/>
      <c r="CA100" s="100"/>
      <c r="CB100" s="100"/>
      <c r="CC100" s="100"/>
      <c r="CD100" s="100"/>
      <c r="CE100" s="100"/>
      <c r="CF100" s="100"/>
      <c r="CG100" s="100"/>
      <c r="CH100" s="100"/>
      <c r="CI100" s="100"/>
      <c r="CJ100" s="100"/>
      <c r="CK100" s="100"/>
      <c r="CL100" s="100"/>
      <c r="CM100" s="100"/>
      <c r="CN100" s="100"/>
      <c r="CO100" s="100"/>
      <c r="CP100" s="100"/>
      <c r="CQ100" s="100"/>
      <c r="CR100" s="100"/>
      <c r="CS100" s="100"/>
      <c r="CT100" s="100"/>
      <c r="CU100" s="100"/>
      <c r="CV100" s="100"/>
      <c r="CW100" s="100"/>
      <c r="CX100" s="100"/>
      <c r="CY100" s="100"/>
      <c r="CZ100" s="100"/>
      <c r="DA100" s="100"/>
      <c r="DB100" s="100"/>
      <c r="DC100" s="100"/>
      <c r="DD100" s="100"/>
      <c r="DE100" s="100"/>
      <c r="DF100" s="100"/>
      <c r="DG100" s="100"/>
      <c r="DH100" s="100"/>
      <c r="DI100" s="100"/>
      <c r="DJ100" s="100"/>
      <c r="DK100" s="100"/>
      <c r="DL100" s="100"/>
      <c r="DM100" s="100"/>
      <c r="DN100" s="100"/>
      <c r="DO100" s="100"/>
      <c r="DP100" s="100"/>
      <c r="DQ100" s="100"/>
      <c r="DR100" s="100"/>
      <c r="DS100" s="100"/>
      <c r="DT100" s="100"/>
      <c r="DU100" s="100"/>
      <c r="DV100" s="100"/>
      <c r="DW100" s="100"/>
      <c r="DX100" s="100"/>
      <c r="DY100" s="100"/>
      <c r="DZ100" s="100"/>
      <c r="EA100" s="100"/>
      <c r="EB100" s="100"/>
      <c r="EC100" s="100"/>
      <c r="ED100" s="100"/>
      <c r="EE100" s="100"/>
      <c r="EF100" s="100"/>
      <c r="EG100" s="100"/>
      <c r="EH100" s="100"/>
      <c r="EI100" s="100"/>
      <c r="EJ100" s="100"/>
      <c r="EK100" s="100"/>
      <c r="EL100" s="100"/>
      <c r="EM100" s="100"/>
      <c r="EN100" s="100"/>
      <c r="EO100" s="100"/>
      <c r="EP100" s="100"/>
      <c r="EQ100" s="100"/>
      <c r="ER100" s="100"/>
      <c r="ES100" s="100"/>
      <c r="ET100" s="100"/>
      <c r="EU100" s="100"/>
      <c r="EV100" s="100"/>
      <c r="EW100" s="100"/>
      <c r="EX100" s="100"/>
      <c r="EY100" s="100"/>
      <c r="EZ100" s="100"/>
      <c r="FA100" s="100"/>
      <c r="FB100" s="100"/>
      <c r="FC100" s="100"/>
      <c r="FD100" s="100"/>
      <c r="FE100" s="100"/>
      <c r="FF100" s="100"/>
      <c r="FG100" s="100"/>
      <c r="FH100" s="100"/>
      <c r="FI100" s="100"/>
      <c r="FJ100" s="100"/>
      <c r="FK100" s="100"/>
      <c r="FL100" s="100"/>
      <c r="FM100" s="100"/>
      <c r="FN100" s="100"/>
      <c r="FO100" s="100"/>
      <c r="FP100" s="100"/>
      <c r="FQ100" s="100"/>
      <c r="FR100" s="100"/>
      <c r="FS100" s="100"/>
      <c r="FT100" s="100"/>
      <c r="FU100" s="100"/>
      <c r="FV100" s="100"/>
      <c r="FW100" s="100"/>
      <c r="FX100" s="100"/>
      <c r="FY100" s="100"/>
      <c r="FZ100" s="100"/>
      <c r="GA100" s="100"/>
      <c r="GB100" s="100"/>
      <c r="GC100" s="100"/>
      <c r="GD100" s="100"/>
      <c r="GE100" s="100"/>
      <c r="GF100" s="100"/>
      <c r="GG100" s="100"/>
      <c r="GH100" s="100"/>
      <c r="GI100" s="100"/>
      <c r="GJ100" s="100"/>
      <c r="GK100" s="100"/>
      <c r="GL100" s="100"/>
      <c r="GM100" s="100"/>
      <c r="GN100" s="100"/>
      <c r="GO100" s="100"/>
      <c r="GP100" s="100"/>
      <c r="GQ100" s="100"/>
      <c r="GR100" s="100"/>
      <c r="GS100" s="100"/>
      <c r="GT100" s="100"/>
      <c r="GU100" s="100"/>
      <c r="GV100" s="100"/>
      <c r="GW100" s="100"/>
      <c r="GX100" s="100"/>
      <c r="GY100" s="100"/>
      <c r="GZ100" s="100"/>
      <c r="HA100" s="100"/>
      <c r="HB100" s="100"/>
      <c r="HC100" s="100"/>
      <c r="HD100" s="100"/>
      <c r="HE100" s="100"/>
      <c r="HF100" s="100"/>
      <c r="HG100" s="100"/>
      <c r="HH100" s="100"/>
      <c r="HI100" s="100"/>
      <c r="HJ100" s="100"/>
      <c r="HK100" s="100"/>
      <c r="HL100" s="100"/>
      <c r="HM100" s="100"/>
      <c r="HN100" s="100"/>
      <c r="HO100" s="100"/>
      <c r="HP100" s="100"/>
      <c r="HQ100" s="100"/>
      <c r="HR100" s="100"/>
      <c r="HS100" s="100"/>
      <c r="HT100" s="100"/>
      <c r="HU100" s="100"/>
      <c r="HV100" s="100"/>
      <c r="HW100" s="100"/>
      <c r="HX100" s="100"/>
      <c r="HY100" s="100"/>
      <c r="HZ100" s="100"/>
      <c r="IA100" s="100"/>
      <c r="IB100" s="100"/>
      <c r="IC100" s="100"/>
      <c r="ID100" s="100"/>
      <c r="IE100" s="100"/>
      <c r="IF100" s="100"/>
      <c r="IG100" s="100"/>
      <c r="IH100" s="100"/>
      <c r="II100" s="100"/>
      <c r="IJ100" s="100"/>
      <c r="IK100" s="100"/>
      <c r="IL100" s="100"/>
      <c r="IM100" s="100"/>
      <c r="IN100" s="100"/>
      <c r="IO100" s="100"/>
      <c r="IP100" s="100"/>
      <c r="IQ100" s="100"/>
      <c r="IR100" s="100"/>
      <c r="IS100" s="100"/>
      <c r="IT100" s="100"/>
      <c r="IU100" s="100"/>
      <c r="IV100" s="100"/>
      <c r="IW100" s="100"/>
    </row>
    <row r="101" customFormat="false" ht="12.75" hidden="false" customHeight="false" outlineLevel="0" collapsed="false">
      <c r="A101" s="736"/>
      <c r="B101" s="100" t="s">
        <v>724</v>
      </c>
      <c r="C101" s="100" t="n">
        <f aca="false">C99-C100</f>
        <v>197.500000000007</v>
      </c>
      <c r="D101" s="100"/>
      <c r="E101" s="100"/>
      <c r="F101" s="100"/>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100"/>
      <c r="AD101" s="100"/>
      <c r="AE101" s="100"/>
      <c r="AF101" s="100"/>
      <c r="AG101" s="100"/>
      <c r="AH101" s="100"/>
      <c r="AI101" s="100"/>
      <c r="AJ101" s="100"/>
      <c r="AK101" s="100"/>
      <c r="AL101" s="100"/>
      <c r="AM101" s="100"/>
      <c r="AN101" s="100"/>
      <c r="AO101" s="100"/>
      <c r="AP101" s="100"/>
      <c r="AQ101" s="100"/>
      <c r="AR101" s="100"/>
      <c r="AS101" s="100"/>
      <c r="AT101" s="100"/>
      <c r="AU101" s="100"/>
      <c r="AV101" s="100"/>
      <c r="AW101" s="100"/>
      <c r="AX101" s="100"/>
      <c r="AY101" s="100"/>
      <c r="AZ101" s="100"/>
      <c r="BA101" s="100"/>
      <c r="BB101" s="100"/>
      <c r="BC101" s="100"/>
      <c r="BD101" s="100"/>
      <c r="BE101" s="100"/>
      <c r="BF101" s="100"/>
      <c r="BG101" s="100"/>
      <c r="BH101" s="100"/>
      <c r="BI101" s="100"/>
      <c r="BJ101" s="100"/>
      <c r="BK101" s="100"/>
      <c r="BL101" s="100"/>
      <c r="BM101" s="100"/>
      <c r="BN101" s="100"/>
      <c r="BO101" s="100"/>
      <c r="BP101" s="100"/>
      <c r="BQ101" s="100"/>
      <c r="BR101" s="100"/>
      <c r="BS101" s="100"/>
      <c r="BT101" s="100"/>
      <c r="BU101" s="100"/>
      <c r="BV101" s="100"/>
      <c r="BW101" s="100"/>
      <c r="BX101" s="100"/>
      <c r="BY101" s="100"/>
      <c r="BZ101" s="100"/>
      <c r="CA101" s="100"/>
      <c r="CB101" s="100"/>
      <c r="CC101" s="100"/>
      <c r="CD101" s="100"/>
      <c r="CE101" s="100"/>
      <c r="CF101" s="100"/>
      <c r="CG101" s="100"/>
      <c r="CH101" s="100"/>
      <c r="CI101" s="100"/>
      <c r="CJ101" s="100"/>
      <c r="CK101" s="100"/>
      <c r="CL101" s="100"/>
      <c r="CM101" s="100"/>
      <c r="CN101" s="100"/>
      <c r="CO101" s="100"/>
      <c r="CP101" s="100"/>
      <c r="CQ101" s="100"/>
      <c r="CR101" s="100"/>
      <c r="CS101" s="100"/>
      <c r="CT101" s="100"/>
      <c r="CU101" s="100"/>
      <c r="CV101" s="100"/>
      <c r="CW101" s="100"/>
      <c r="CX101" s="100"/>
      <c r="CY101" s="100"/>
      <c r="CZ101" s="100"/>
      <c r="DA101" s="100"/>
      <c r="DB101" s="100"/>
      <c r="DC101" s="100"/>
      <c r="DD101" s="100"/>
      <c r="DE101" s="100"/>
      <c r="DF101" s="100"/>
      <c r="DG101" s="100"/>
      <c r="DH101" s="100"/>
      <c r="DI101" s="100"/>
      <c r="DJ101" s="100"/>
      <c r="DK101" s="100"/>
      <c r="DL101" s="100"/>
      <c r="DM101" s="100"/>
      <c r="DN101" s="100"/>
      <c r="DO101" s="100"/>
      <c r="DP101" s="100"/>
      <c r="DQ101" s="100"/>
      <c r="DR101" s="100"/>
      <c r="DS101" s="100"/>
      <c r="DT101" s="100"/>
      <c r="DU101" s="100"/>
      <c r="DV101" s="100"/>
      <c r="DW101" s="100"/>
      <c r="DX101" s="100"/>
      <c r="DY101" s="100"/>
      <c r="DZ101" s="100"/>
      <c r="EA101" s="100"/>
      <c r="EB101" s="100"/>
      <c r="EC101" s="100"/>
      <c r="ED101" s="100"/>
      <c r="EE101" s="100"/>
      <c r="EF101" s="100"/>
      <c r="EG101" s="100"/>
      <c r="EH101" s="100"/>
      <c r="EI101" s="100"/>
      <c r="EJ101" s="100"/>
      <c r="EK101" s="100"/>
      <c r="EL101" s="100"/>
      <c r="EM101" s="100"/>
      <c r="EN101" s="100"/>
      <c r="EO101" s="100"/>
      <c r="EP101" s="100"/>
      <c r="EQ101" s="100"/>
      <c r="ER101" s="100"/>
      <c r="ES101" s="100"/>
      <c r="ET101" s="100"/>
      <c r="EU101" s="100"/>
      <c r="EV101" s="100"/>
      <c r="EW101" s="100"/>
      <c r="EX101" s="100"/>
      <c r="EY101" s="100"/>
      <c r="EZ101" s="100"/>
      <c r="FA101" s="100"/>
      <c r="FB101" s="100"/>
      <c r="FC101" s="100"/>
      <c r="FD101" s="100"/>
      <c r="FE101" s="100"/>
      <c r="FF101" s="100"/>
      <c r="FG101" s="100"/>
      <c r="FH101" s="100"/>
      <c r="FI101" s="100"/>
      <c r="FJ101" s="100"/>
      <c r="FK101" s="100"/>
      <c r="FL101" s="100"/>
      <c r="FM101" s="100"/>
      <c r="FN101" s="100"/>
      <c r="FO101" s="100"/>
      <c r="FP101" s="100"/>
      <c r="FQ101" s="100"/>
      <c r="FR101" s="100"/>
      <c r="FS101" s="100"/>
      <c r="FT101" s="100"/>
      <c r="FU101" s="100"/>
      <c r="FV101" s="100"/>
      <c r="FW101" s="100"/>
      <c r="FX101" s="100"/>
      <c r="FY101" s="100"/>
      <c r="FZ101" s="100"/>
      <c r="GA101" s="100"/>
      <c r="GB101" s="100"/>
      <c r="GC101" s="100"/>
      <c r="GD101" s="100"/>
      <c r="GE101" s="100"/>
      <c r="GF101" s="100"/>
      <c r="GG101" s="100"/>
      <c r="GH101" s="100"/>
      <c r="GI101" s="100"/>
      <c r="GJ101" s="100"/>
      <c r="GK101" s="100"/>
      <c r="GL101" s="100"/>
      <c r="GM101" s="100"/>
      <c r="GN101" s="100"/>
      <c r="GO101" s="100"/>
      <c r="GP101" s="100"/>
      <c r="GQ101" s="100"/>
      <c r="GR101" s="100"/>
      <c r="GS101" s="100"/>
      <c r="GT101" s="100"/>
      <c r="GU101" s="100"/>
      <c r="GV101" s="100"/>
      <c r="GW101" s="100"/>
      <c r="GX101" s="100"/>
      <c r="GY101" s="100"/>
      <c r="GZ101" s="100"/>
      <c r="HA101" s="100"/>
      <c r="HB101" s="100"/>
      <c r="HC101" s="100"/>
      <c r="HD101" s="100"/>
      <c r="HE101" s="100"/>
      <c r="HF101" s="100"/>
      <c r="HG101" s="100"/>
      <c r="HH101" s="100"/>
      <c r="HI101" s="100"/>
      <c r="HJ101" s="100"/>
      <c r="HK101" s="100"/>
      <c r="HL101" s="100"/>
      <c r="HM101" s="100"/>
      <c r="HN101" s="100"/>
      <c r="HO101" s="100"/>
      <c r="HP101" s="100"/>
      <c r="HQ101" s="100"/>
      <c r="HR101" s="100"/>
      <c r="HS101" s="100"/>
      <c r="HT101" s="100"/>
      <c r="HU101" s="100"/>
      <c r="HV101" s="100"/>
      <c r="HW101" s="100"/>
      <c r="HX101" s="100"/>
      <c r="HY101" s="100"/>
      <c r="HZ101" s="100"/>
      <c r="IA101" s="100"/>
      <c r="IB101" s="100"/>
      <c r="IC101" s="100"/>
      <c r="ID101" s="100"/>
      <c r="IE101" s="100"/>
      <c r="IF101" s="100"/>
      <c r="IG101" s="100"/>
      <c r="IH101" s="100"/>
      <c r="II101" s="100"/>
      <c r="IJ101" s="100"/>
      <c r="IK101" s="100"/>
      <c r="IL101" s="100"/>
      <c r="IM101" s="100"/>
      <c r="IN101" s="100"/>
      <c r="IO101" s="100"/>
      <c r="IP101" s="100"/>
      <c r="IQ101" s="100"/>
      <c r="IR101" s="100"/>
      <c r="IS101" s="100"/>
      <c r="IT101" s="100"/>
      <c r="IU101" s="100"/>
      <c r="IV101" s="100"/>
      <c r="IW101" s="100"/>
    </row>
    <row r="102" customFormat="false" ht="12.75" hidden="false" customHeight="false" outlineLevel="0" collapsed="false">
      <c r="A102" s="736"/>
      <c r="B102" s="100" t="s">
        <v>725</v>
      </c>
      <c r="C102" s="100" t="n">
        <f aca="false">Srcs_Uses!E24</f>
        <v>197.5</v>
      </c>
      <c r="D102" s="100"/>
      <c r="E102" s="100"/>
      <c r="F102" s="100"/>
      <c r="G102" s="100"/>
      <c r="H102" s="100"/>
      <c r="I102" s="100"/>
      <c r="J102" s="100"/>
      <c r="K102" s="100"/>
      <c r="L102" s="100"/>
      <c r="M102" s="100"/>
      <c r="N102" s="100"/>
      <c r="O102" s="100"/>
      <c r="P102" s="100"/>
      <c r="Q102" s="100"/>
      <c r="R102" s="100"/>
      <c r="S102" s="100"/>
      <c r="T102" s="100"/>
      <c r="U102" s="100"/>
      <c r="V102" s="100"/>
      <c r="W102" s="100"/>
      <c r="X102" s="100"/>
      <c r="Y102" s="100"/>
      <c r="Z102" s="100"/>
      <c r="AA102" s="100"/>
      <c r="AB102" s="100"/>
      <c r="AC102" s="100"/>
      <c r="AD102" s="100"/>
      <c r="AE102" s="100"/>
      <c r="AF102" s="100"/>
      <c r="AG102" s="100"/>
      <c r="AH102" s="100"/>
      <c r="AI102" s="100"/>
      <c r="AJ102" s="100"/>
      <c r="AK102" s="100"/>
      <c r="AL102" s="100"/>
      <c r="AM102" s="100"/>
      <c r="AN102" s="100"/>
      <c r="AO102" s="100"/>
      <c r="AP102" s="100"/>
      <c r="AQ102" s="100"/>
      <c r="AR102" s="100"/>
      <c r="AS102" s="100"/>
      <c r="AT102" s="100"/>
      <c r="AU102" s="100"/>
      <c r="AV102" s="100"/>
      <c r="AW102" s="100"/>
      <c r="AX102" s="100"/>
      <c r="AY102" s="100"/>
      <c r="AZ102" s="100"/>
      <c r="BA102" s="100"/>
      <c r="BB102" s="100"/>
      <c r="BC102" s="100"/>
      <c r="BD102" s="100"/>
      <c r="BE102" s="100"/>
      <c r="BF102" s="100"/>
      <c r="BG102" s="100"/>
      <c r="BH102" s="100"/>
      <c r="BI102" s="100"/>
      <c r="BJ102" s="100"/>
      <c r="BK102" s="100"/>
      <c r="BL102" s="100"/>
      <c r="BM102" s="100"/>
      <c r="BN102" s="100"/>
      <c r="BO102" s="100"/>
      <c r="BP102" s="100"/>
      <c r="BQ102" s="100"/>
      <c r="BR102" s="100"/>
      <c r="BS102" s="100"/>
      <c r="BT102" s="100"/>
      <c r="BU102" s="100"/>
      <c r="BV102" s="100"/>
      <c r="BW102" s="100"/>
      <c r="BX102" s="100"/>
      <c r="BY102" s="100"/>
      <c r="BZ102" s="100"/>
      <c r="CA102" s="100"/>
      <c r="CB102" s="100"/>
      <c r="CC102" s="100"/>
      <c r="CD102" s="100"/>
      <c r="CE102" s="100"/>
      <c r="CF102" s="100"/>
      <c r="CG102" s="100"/>
      <c r="CH102" s="100"/>
      <c r="CI102" s="100"/>
      <c r="CJ102" s="100"/>
      <c r="CK102" s="100"/>
      <c r="CL102" s="100"/>
      <c r="CM102" s="100"/>
      <c r="CN102" s="100"/>
      <c r="CO102" s="100"/>
      <c r="CP102" s="100"/>
      <c r="CQ102" s="100"/>
      <c r="CR102" s="100"/>
      <c r="CS102" s="100"/>
      <c r="CT102" s="100"/>
      <c r="CU102" s="100"/>
      <c r="CV102" s="100"/>
      <c r="CW102" s="100"/>
      <c r="CX102" s="100"/>
      <c r="CY102" s="100"/>
      <c r="CZ102" s="100"/>
      <c r="DA102" s="100"/>
      <c r="DB102" s="100"/>
      <c r="DC102" s="100"/>
      <c r="DD102" s="100"/>
      <c r="DE102" s="100"/>
      <c r="DF102" s="100"/>
      <c r="DG102" s="100"/>
      <c r="DH102" s="100"/>
      <c r="DI102" s="100"/>
      <c r="DJ102" s="100"/>
      <c r="DK102" s="100"/>
      <c r="DL102" s="100"/>
      <c r="DM102" s="100"/>
      <c r="DN102" s="100"/>
      <c r="DO102" s="100"/>
      <c r="DP102" s="100"/>
      <c r="DQ102" s="100"/>
      <c r="DR102" s="100"/>
      <c r="DS102" s="100"/>
      <c r="DT102" s="100"/>
      <c r="DU102" s="100"/>
      <c r="DV102" s="100"/>
      <c r="DW102" s="100"/>
      <c r="DX102" s="100"/>
      <c r="DY102" s="100"/>
      <c r="DZ102" s="100"/>
      <c r="EA102" s="100"/>
      <c r="EB102" s="100"/>
      <c r="EC102" s="100"/>
      <c r="ED102" s="100"/>
      <c r="EE102" s="100"/>
      <c r="EF102" s="100"/>
      <c r="EG102" s="100"/>
      <c r="EH102" s="100"/>
      <c r="EI102" s="100"/>
      <c r="EJ102" s="100"/>
      <c r="EK102" s="100"/>
      <c r="EL102" s="100"/>
      <c r="EM102" s="100"/>
      <c r="EN102" s="100"/>
      <c r="EO102" s="100"/>
      <c r="EP102" s="100"/>
      <c r="EQ102" s="100"/>
      <c r="ER102" s="100"/>
      <c r="ES102" s="100"/>
      <c r="ET102" s="100"/>
      <c r="EU102" s="100"/>
      <c r="EV102" s="100"/>
      <c r="EW102" s="100"/>
      <c r="EX102" s="100"/>
      <c r="EY102" s="100"/>
      <c r="EZ102" s="100"/>
      <c r="FA102" s="100"/>
      <c r="FB102" s="100"/>
      <c r="FC102" s="100"/>
      <c r="FD102" s="100"/>
      <c r="FE102" s="100"/>
      <c r="FF102" s="100"/>
      <c r="FG102" s="100"/>
      <c r="FH102" s="100"/>
      <c r="FI102" s="100"/>
      <c r="FJ102" s="100"/>
      <c r="FK102" s="100"/>
      <c r="FL102" s="100"/>
      <c r="FM102" s="100"/>
      <c r="FN102" s="100"/>
      <c r="FO102" s="100"/>
      <c r="FP102" s="100"/>
      <c r="FQ102" s="100"/>
      <c r="FR102" s="100"/>
      <c r="FS102" s="100"/>
      <c r="FT102" s="100"/>
      <c r="FU102" s="100"/>
      <c r="FV102" s="100"/>
      <c r="FW102" s="100"/>
      <c r="FX102" s="100"/>
      <c r="FY102" s="100"/>
      <c r="FZ102" s="100"/>
      <c r="GA102" s="100"/>
      <c r="GB102" s="100"/>
      <c r="GC102" s="100"/>
      <c r="GD102" s="100"/>
      <c r="GE102" s="100"/>
      <c r="GF102" s="100"/>
      <c r="GG102" s="100"/>
      <c r="GH102" s="100"/>
      <c r="GI102" s="100"/>
      <c r="GJ102" s="100"/>
      <c r="GK102" s="100"/>
      <c r="GL102" s="100"/>
      <c r="GM102" s="100"/>
      <c r="GN102" s="100"/>
      <c r="GO102" s="100"/>
      <c r="GP102" s="100"/>
      <c r="GQ102" s="100"/>
      <c r="GR102" s="100"/>
      <c r="GS102" s="100"/>
      <c r="GT102" s="100"/>
      <c r="GU102" s="100"/>
      <c r="GV102" s="100"/>
      <c r="GW102" s="100"/>
      <c r="GX102" s="100"/>
      <c r="GY102" s="100"/>
      <c r="GZ102" s="100"/>
      <c r="HA102" s="100"/>
      <c r="HB102" s="100"/>
      <c r="HC102" s="100"/>
      <c r="HD102" s="100"/>
      <c r="HE102" s="100"/>
      <c r="HF102" s="100"/>
      <c r="HG102" s="100"/>
      <c r="HH102" s="100"/>
      <c r="HI102" s="100"/>
      <c r="HJ102" s="100"/>
      <c r="HK102" s="100"/>
      <c r="HL102" s="100"/>
      <c r="HM102" s="100"/>
      <c r="HN102" s="100"/>
      <c r="HO102" s="100"/>
      <c r="HP102" s="100"/>
      <c r="HQ102" s="100"/>
      <c r="HR102" s="100"/>
      <c r="HS102" s="100"/>
      <c r="HT102" s="100"/>
      <c r="HU102" s="100"/>
      <c r="HV102" s="100"/>
      <c r="HW102" s="100"/>
      <c r="HX102" s="100"/>
      <c r="HY102" s="100"/>
      <c r="HZ102" s="100"/>
      <c r="IA102" s="100"/>
      <c r="IB102" s="100"/>
      <c r="IC102" s="100"/>
      <c r="ID102" s="100"/>
      <c r="IE102" s="100"/>
      <c r="IF102" s="100"/>
      <c r="IG102" s="100"/>
      <c r="IH102" s="100"/>
      <c r="II102" s="100"/>
      <c r="IJ102" s="100"/>
      <c r="IK102" s="100"/>
      <c r="IL102" s="100"/>
      <c r="IM102" s="100"/>
      <c r="IN102" s="100"/>
      <c r="IO102" s="100"/>
      <c r="IP102" s="100"/>
      <c r="IQ102" s="100"/>
      <c r="IR102" s="100"/>
      <c r="IS102" s="100"/>
      <c r="IT102" s="100"/>
      <c r="IU102" s="100"/>
      <c r="IV102" s="100"/>
      <c r="IW102" s="100"/>
    </row>
    <row r="103" customFormat="false" ht="12.75" hidden="false" customHeight="false" outlineLevel="0" collapsed="false">
      <c r="A103" s="736"/>
      <c r="B103" s="100" t="s">
        <v>726</v>
      </c>
      <c r="C103" s="100" t="n">
        <f aca="false">AG25+AG51</f>
        <v>1.19690923838789E-011</v>
      </c>
      <c r="D103" s="100"/>
      <c r="E103" s="100"/>
      <c r="F103" s="100"/>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c r="AE103" s="100"/>
      <c r="AF103" s="100"/>
      <c r="AG103" s="100"/>
      <c r="AH103" s="100"/>
      <c r="AI103" s="100"/>
      <c r="AJ103" s="100"/>
      <c r="AK103" s="100"/>
      <c r="AL103" s="100"/>
      <c r="AM103" s="100"/>
      <c r="AN103" s="100"/>
      <c r="AO103" s="100"/>
      <c r="AP103" s="100"/>
      <c r="AQ103" s="100"/>
      <c r="AR103" s="100"/>
      <c r="AS103" s="100"/>
      <c r="AT103" s="100"/>
      <c r="AU103" s="100"/>
      <c r="AV103" s="100"/>
      <c r="AW103" s="100"/>
      <c r="AX103" s="100"/>
      <c r="AY103" s="100"/>
      <c r="AZ103" s="100"/>
      <c r="BA103" s="100"/>
      <c r="BB103" s="100"/>
      <c r="BC103" s="100"/>
      <c r="BD103" s="100"/>
      <c r="BE103" s="100"/>
      <c r="BF103" s="100"/>
      <c r="BG103" s="100"/>
      <c r="BH103" s="100"/>
      <c r="BI103" s="100"/>
      <c r="BJ103" s="100"/>
      <c r="BK103" s="100"/>
      <c r="BL103" s="100"/>
      <c r="BM103" s="100"/>
      <c r="BN103" s="100"/>
      <c r="BO103" s="100"/>
      <c r="BP103" s="100"/>
      <c r="BQ103" s="100"/>
      <c r="BR103" s="100"/>
      <c r="BS103" s="100"/>
      <c r="BT103" s="100"/>
      <c r="BU103" s="100"/>
      <c r="BV103" s="100"/>
      <c r="BW103" s="100"/>
      <c r="BX103" s="100"/>
      <c r="BY103" s="100"/>
      <c r="BZ103" s="100"/>
      <c r="CA103" s="100"/>
      <c r="CB103" s="100"/>
      <c r="CC103" s="100"/>
      <c r="CD103" s="100"/>
      <c r="CE103" s="100"/>
      <c r="CF103" s="100"/>
      <c r="CG103" s="100"/>
      <c r="CH103" s="100"/>
      <c r="CI103" s="100"/>
      <c r="CJ103" s="100"/>
      <c r="CK103" s="100"/>
      <c r="CL103" s="100"/>
      <c r="CM103" s="100"/>
      <c r="CN103" s="100"/>
      <c r="CO103" s="100"/>
      <c r="CP103" s="100"/>
      <c r="CQ103" s="100"/>
      <c r="CR103" s="100"/>
      <c r="CS103" s="100"/>
      <c r="CT103" s="100"/>
      <c r="CU103" s="100"/>
      <c r="CV103" s="100"/>
      <c r="CW103" s="100"/>
      <c r="CX103" s="100"/>
      <c r="CY103" s="100"/>
      <c r="CZ103" s="100"/>
      <c r="DA103" s="100"/>
      <c r="DB103" s="100"/>
      <c r="DC103" s="100"/>
      <c r="DD103" s="100"/>
      <c r="DE103" s="100"/>
      <c r="DF103" s="100"/>
      <c r="DG103" s="100"/>
      <c r="DH103" s="100"/>
      <c r="DI103" s="100"/>
      <c r="DJ103" s="100"/>
      <c r="DK103" s="100"/>
      <c r="DL103" s="100"/>
      <c r="DM103" s="100"/>
      <c r="DN103" s="100"/>
      <c r="DO103" s="100"/>
      <c r="DP103" s="100"/>
      <c r="DQ103" s="100"/>
      <c r="DR103" s="100"/>
      <c r="DS103" s="100"/>
      <c r="DT103" s="100"/>
      <c r="DU103" s="100"/>
      <c r="DV103" s="100"/>
      <c r="DW103" s="100"/>
      <c r="DX103" s="100"/>
      <c r="DY103" s="100"/>
      <c r="DZ103" s="100"/>
      <c r="EA103" s="100"/>
      <c r="EB103" s="100"/>
      <c r="EC103" s="100"/>
      <c r="ED103" s="100"/>
      <c r="EE103" s="100"/>
      <c r="EF103" s="100"/>
      <c r="EG103" s="100"/>
      <c r="EH103" s="100"/>
      <c r="EI103" s="100"/>
      <c r="EJ103" s="100"/>
      <c r="EK103" s="100"/>
      <c r="EL103" s="100"/>
      <c r="EM103" s="100"/>
      <c r="EN103" s="100"/>
      <c r="EO103" s="100"/>
      <c r="EP103" s="100"/>
      <c r="EQ103" s="100"/>
      <c r="ER103" s="100"/>
      <c r="ES103" s="100"/>
      <c r="ET103" s="100"/>
      <c r="EU103" s="100"/>
      <c r="EV103" s="100"/>
      <c r="EW103" s="100"/>
      <c r="EX103" s="100"/>
      <c r="EY103" s="100"/>
      <c r="EZ103" s="100"/>
      <c r="FA103" s="100"/>
      <c r="FB103" s="100"/>
      <c r="FC103" s="100"/>
      <c r="FD103" s="100"/>
      <c r="FE103" s="100"/>
      <c r="FF103" s="100"/>
      <c r="FG103" s="100"/>
      <c r="FH103" s="100"/>
      <c r="FI103" s="100"/>
      <c r="FJ103" s="100"/>
      <c r="FK103" s="100"/>
      <c r="FL103" s="100"/>
      <c r="FM103" s="100"/>
      <c r="FN103" s="100"/>
      <c r="FO103" s="100"/>
      <c r="FP103" s="100"/>
      <c r="FQ103" s="100"/>
      <c r="FR103" s="100"/>
      <c r="FS103" s="100"/>
      <c r="FT103" s="100"/>
      <c r="FU103" s="100"/>
      <c r="FV103" s="100"/>
      <c r="FW103" s="100"/>
      <c r="FX103" s="100"/>
      <c r="FY103" s="100"/>
      <c r="FZ103" s="100"/>
      <c r="GA103" s="100"/>
      <c r="GB103" s="100"/>
      <c r="GC103" s="100"/>
      <c r="GD103" s="100"/>
      <c r="GE103" s="100"/>
      <c r="GF103" s="100"/>
      <c r="GG103" s="100"/>
      <c r="GH103" s="100"/>
      <c r="GI103" s="100"/>
      <c r="GJ103" s="100"/>
      <c r="GK103" s="100"/>
      <c r="GL103" s="100"/>
      <c r="GM103" s="100"/>
      <c r="GN103" s="100"/>
      <c r="GO103" s="100"/>
      <c r="GP103" s="100"/>
      <c r="GQ103" s="100"/>
      <c r="GR103" s="100"/>
      <c r="GS103" s="100"/>
      <c r="GT103" s="100"/>
      <c r="GU103" s="100"/>
      <c r="GV103" s="100"/>
      <c r="GW103" s="100"/>
      <c r="GX103" s="100"/>
      <c r="GY103" s="100"/>
      <c r="GZ103" s="100"/>
      <c r="HA103" s="100"/>
      <c r="HB103" s="100"/>
      <c r="HC103" s="100"/>
      <c r="HD103" s="100"/>
      <c r="HE103" s="100"/>
      <c r="HF103" s="100"/>
      <c r="HG103" s="100"/>
      <c r="HH103" s="100"/>
      <c r="HI103" s="100"/>
      <c r="HJ103" s="100"/>
      <c r="HK103" s="100"/>
      <c r="HL103" s="100"/>
      <c r="HM103" s="100"/>
      <c r="HN103" s="100"/>
      <c r="HO103" s="100"/>
      <c r="HP103" s="100"/>
      <c r="HQ103" s="100"/>
      <c r="HR103" s="100"/>
      <c r="HS103" s="100"/>
      <c r="HT103" s="100"/>
      <c r="HU103" s="100"/>
      <c r="HV103" s="100"/>
      <c r="HW103" s="100"/>
      <c r="HX103" s="100"/>
      <c r="HY103" s="100"/>
      <c r="HZ103" s="100"/>
      <c r="IA103" s="100"/>
      <c r="IB103" s="100"/>
      <c r="IC103" s="100"/>
      <c r="ID103" s="100"/>
      <c r="IE103" s="100"/>
      <c r="IF103" s="100"/>
      <c r="IG103" s="100"/>
      <c r="IH103" s="100"/>
      <c r="II103" s="100"/>
      <c r="IJ103" s="100"/>
      <c r="IK103" s="100"/>
      <c r="IL103" s="100"/>
      <c r="IM103" s="100"/>
      <c r="IN103" s="100"/>
      <c r="IO103" s="100"/>
      <c r="IP103" s="100"/>
      <c r="IQ103" s="100"/>
      <c r="IR103" s="100"/>
      <c r="IS103" s="100"/>
      <c r="IT103" s="100"/>
      <c r="IU103" s="100"/>
      <c r="IV103" s="100"/>
      <c r="IW103" s="100"/>
    </row>
    <row r="104" customFormat="false" ht="12.75" hidden="false" customHeight="false" outlineLevel="0" collapsed="false">
      <c r="A104" s="736"/>
      <c r="B104" s="100"/>
      <c r="C104" s="100"/>
      <c r="D104" s="100"/>
      <c r="E104" s="100"/>
      <c r="F104" s="100"/>
      <c r="G104" s="100"/>
      <c r="H104" s="100"/>
      <c r="I104" s="100"/>
      <c r="J104" s="100"/>
      <c r="K104" s="100"/>
      <c r="L104" s="100"/>
      <c r="M104" s="100"/>
      <c r="N104" s="100"/>
      <c r="O104" s="100"/>
      <c r="P104" s="100"/>
      <c r="Q104" s="100"/>
      <c r="R104" s="100"/>
      <c r="S104" s="100"/>
      <c r="T104" s="100"/>
      <c r="U104" s="100"/>
      <c r="V104" s="100"/>
      <c r="W104" s="100"/>
      <c r="X104" s="100"/>
      <c r="Y104" s="100"/>
      <c r="Z104" s="100"/>
      <c r="AA104" s="100"/>
      <c r="AB104" s="100"/>
      <c r="AC104" s="100"/>
      <c r="AD104" s="100"/>
      <c r="AE104" s="100"/>
      <c r="AF104" s="100"/>
      <c r="AG104" s="100"/>
      <c r="AH104" s="100"/>
      <c r="AI104" s="100"/>
      <c r="AJ104" s="100"/>
      <c r="AK104" s="100"/>
      <c r="AL104" s="100"/>
      <c r="AM104" s="100"/>
      <c r="AN104" s="100"/>
      <c r="AO104" s="100"/>
      <c r="AP104" s="100"/>
      <c r="AQ104" s="100"/>
      <c r="AR104" s="100"/>
      <c r="AS104" s="100"/>
      <c r="AT104" s="100"/>
      <c r="AU104" s="100"/>
      <c r="AV104" s="100"/>
      <c r="AW104" s="100"/>
      <c r="AX104" s="100"/>
      <c r="AY104" s="100"/>
      <c r="AZ104" s="100"/>
      <c r="BA104" s="100"/>
      <c r="BB104" s="100"/>
      <c r="BC104" s="100"/>
      <c r="BD104" s="100"/>
      <c r="BE104" s="100"/>
      <c r="BF104" s="100"/>
      <c r="BG104" s="100"/>
      <c r="BH104" s="100"/>
      <c r="BI104" s="100"/>
      <c r="BJ104" s="100"/>
      <c r="BK104" s="100"/>
      <c r="BL104" s="100"/>
      <c r="BM104" s="100"/>
      <c r="BN104" s="100"/>
      <c r="BO104" s="100"/>
      <c r="BP104" s="100"/>
      <c r="BQ104" s="100"/>
      <c r="BR104" s="100"/>
      <c r="BS104" s="100"/>
      <c r="BT104" s="100"/>
      <c r="BU104" s="100"/>
      <c r="BV104" s="100"/>
      <c r="BW104" s="100"/>
      <c r="BX104" s="100"/>
      <c r="BY104" s="100"/>
      <c r="BZ104" s="100"/>
      <c r="CA104" s="100"/>
      <c r="CB104" s="100"/>
      <c r="CC104" s="100"/>
      <c r="CD104" s="100"/>
      <c r="CE104" s="100"/>
      <c r="CF104" s="100"/>
      <c r="CG104" s="100"/>
      <c r="CH104" s="100"/>
      <c r="CI104" s="100"/>
      <c r="CJ104" s="100"/>
      <c r="CK104" s="100"/>
      <c r="CL104" s="100"/>
      <c r="CM104" s="100"/>
      <c r="CN104" s="100"/>
      <c r="CO104" s="100"/>
      <c r="CP104" s="100"/>
      <c r="CQ104" s="100"/>
      <c r="CR104" s="100"/>
      <c r="CS104" s="100"/>
      <c r="CT104" s="100"/>
      <c r="CU104" s="100"/>
      <c r="CV104" s="100"/>
      <c r="CW104" s="100"/>
      <c r="CX104" s="100"/>
      <c r="CY104" s="100"/>
      <c r="CZ104" s="100"/>
      <c r="DA104" s="100"/>
      <c r="DB104" s="100"/>
      <c r="DC104" s="100"/>
      <c r="DD104" s="100"/>
      <c r="DE104" s="100"/>
      <c r="DF104" s="100"/>
      <c r="DG104" s="100"/>
      <c r="DH104" s="100"/>
      <c r="DI104" s="100"/>
      <c r="DJ104" s="100"/>
      <c r="DK104" s="100"/>
      <c r="DL104" s="100"/>
      <c r="DM104" s="100"/>
      <c r="DN104" s="100"/>
      <c r="DO104" s="100"/>
      <c r="DP104" s="100"/>
      <c r="DQ104" s="100"/>
      <c r="DR104" s="100"/>
      <c r="DS104" s="100"/>
      <c r="DT104" s="100"/>
      <c r="DU104" s="100"/>
      <c r="DV104" s="100"/>
      <c r="DW104" s="100"/>
      <c r="DX104" s="100"/>
      <c r="DY104" s="100"/>
      <c r="DZ104" s="100"/>
      <c r="EA104" s="100"/>
      <c r="EB104" s="100"/>
      <c r="EC104" s="100"/>
      <c r="ED104" s="100"/>
      <c r="EE104" s="100"/>
      <c r="EF104" s="100"/>
      <c r="EG104" s="100"/>
      <c r="EH104" s="100"/>
      <c r="EI104" s="100"/>
      <c r="EJ104" s="100"/>
      <c r="EK104" s="100"/>
      <c r="EL104" s="100"/>
      <c r="EM104" s="100"/>
      <c r="EN104" s="100"/>
      <c r="EO104" s="100"/>
      <c r="EP104" s="100"/>
      <c r="EQ104" s="100"/>
      <c r="ER104" s="100"/>
      <c r="ES104" s="100"/>
      <c r="ET104" s="100"/>
      <c r="EU104" s="100"/>
      <c r="EV104" s="100"/>
      <c r="EW104" s="100"/>
      <c r="EX104" s="100"/>
      <c r="EY104" s="100"/>
      <c r="EZ104" s="100"/>
      <c r="FA104" s="100"/>
      <c r="FB104" s="100"/>
      <c r="FC104" s="100"/>
      <c r="FD104" s="100"/>
      <c r="FE104" s="100"/>
      <c r="FF104" s="100"/>
      <c r="FG104" s="100"/>
      <c r="FH104" s="100"/>
      <c r="FI104" s="100"/>
      <c r="FJ104" s="100"/>
      <c r="FK104" s="100"/>
      <c r="FL104" s="100"/>
      <c r="FM104" s="100"/>
      <c r="FN104" s="100"/>
      <c r="FO104" s="100"/>
      <c r="FP104" s="100"/>
      <c r="FQ104" s="100"/>
      <c r="FR104" s="100"/>
      <c r="FS104" s="100"/>
      <c r="FT104" s="100"/>
      <c r="FU104" s="100"/>
      <c r="FV104" s="100"/>
      <c r="FW104" s="100"/>
      <c r="FX104" s="100"/>
      <c r="FY104" s="100"/>
      <c r="FZ104" s="100"/>
      <c r="GA104" s="100"/>
      <c r="GB104" s="100"/>
      <c r="GC104" s="100"/>
      <c r="GD104" s="100"/>
      <c r="GE104" s="100"/>
      <c r="GF104" s="100"/>
      <c r="GG104" s="100"/>
      <c r="GH104" s="100"/>
      <c r="GI104" s="100"/>
      <c r="GJ104" s="100"/>
      <c r="GK104" s="100"/>
      <c r="GL104" s="100"/>
      <c r="GM104" s="100"/>
      <c r="GN104" s="100"/>
      <c r="GO104" s="100"/>
      <c r="GP104" s="100"/>
      <c r="GQ104" s="100"/>
      <c r="GR104" s="100"/>
      <c r="GS104" s="100"/>
      <c r="GT104" s="100"/>
      <c r="GU104" s="100"/>
      <c r="GV104" s="100"/>
      <c r="GW104" s="100"/>
      <c r="GX104" s="100"/>
      <c r="GY104" s="100"/>
      <c r="GZ104" s="100"/>
      <c r="HA104" s="100"/>
      <c r="HB104" s="100"/>
      <c r="HC104" s="100"/>
      <c r="HD104" s="100"/>
      <c r="HE104" s="100"/>
      <c r="HF104" s="100"/>
      <c r="HG104" s="100"/>
      <c r="HH104" s="100"/>
      <c r="HI104" s="100"/>
      <c r="HJ104" s="100"/>
      <c r="HK104" s="100"/>
      <c r="HL104" s="100"/>
      <c r="HM104" s="100"/>
      <c r="HN104" s="100"/>
      <c r="HO104" s="100"/>
      <c r="HP104" s="100"/>
      <c r="HQ104" s="100"/>
      <c r="HR104" s="100"/>
      <c r="HS104" s="100"/>
      <c r="HT104" s="100"/>
      <c r="HU104" s="100"/>
      <c r="HV104" s="100"/>
      <c r="HW104" s="100"/>
      <c r="HX104" s="100"/>
      <c r="HY104" s="100"/>
      <c r="HZ104" s="100"/>
      <c r="IA104" s="100"/>
      <c r="IB104" s="100"/>
      <c r="IC104" s="100"/>
      <c r="ID104" s="100"/>
      <c r="IE104" s="100"/>
      <c r="IF104" s="100"/>
      <c r="IG104" s="100"/>
      <c r="IH104" s="100"/>
      <c r="II104" s="100"/>
      <c r="IJ104" s="100"/>
      <c r="IK104" s="100"/>
      <c r="IL104" s="100"/>
      <c r="IM104" s="100"/>
      <c r="IN104" s="100"/>
      <c r="IO104" s="100"/>
      <c r="IP104" s="100"/>
      <c r="IQ104" s="100"/>
      <c r="IR104" s="100"/>
      <c r="IS104" s="100"/>
      <c r="IT104" s="100"/>
      <c r="IU104" s="100"/>
      <c r="IV104" s="100"/>
      <c r="IW104" s="100"/>
    </row>
    <row r="105" customFormat="false" ht="12.75" hidden="false" customHeight="false" outlineLevel="0" collapsed="false">
      <c r="A105" s="736"/>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100"/>
      <c r="BR105" s="100"/>
      <c r="BS105" s="100"/>
      <c r="BT105" s="100"/>
      <c r="BU105" s="100"/>
      <c r="BV105" s="100"/>
      <c r="BW105" s="100"/>
      <c r="BX105" s="100"/>
      <c r="BY105" s="100"/>
      <c r="BZ105" s="100"/>
      <c r="CA105" s="100"/>
      <c r="CB105" s="100"/>
      <c r="CC105" s="100"/>
      <c r="CD105" s="100"/>
      <c r="CE105" s="100"/>
      <c r="CF105" s="100"/>
      <c r="CG105" s="100"/>
      <c r="CH105" s="100"/>
      <c r="CI105" s="100"/>
      <c r="CJ105" s="100"/>
      <c r="CK105" s="100"/>
      <c r="CL105" s="100"/>
      <c r="CM105" s="100"/>
      <c r="CN105" s="100"/>
      <c r="CO105" s="100"/>
      <c r="CP105" s="100"/>
      <c r="CQ105" s="100"/>
      <c r="CR105" s="100"/>
      <c r="CS105" s="100"/>
      <c r="CT105" s="100"/>
      <c r="CU105" s="100"/>
      <c r="CV105" s="100"/>
      <c r="CW105" s="100"/>
      <c r="CX105" s="100"/>
      <c r="CY105" s="100"/>
      <c r="CZ105" s="100"/>
      <c r="DA105" s="100"/>
      <c r="DB105" s="100"/>
      <c r="DC105" s="100"/>
      <c r="DD105" s="100"/>
      <c r="DE105" s="100"/>
      <c r="DF105" s="100"/>
      <c r="DG105" s="100"/>
      <c r="DH105" s="100"/>
      <c r="DI105" s="100"/>
      <c r="DJ105" s="100"/>
      <c r="DK105" s="100"/>
      <c r="DL105" s="100"/>
      <c r="DM105" s="100"/>
      <c r="DN105" s="100"/>
      <c r="DO105" s="100"/>
      <c r="DP105" s="100"/>
      <c r="DQ105" s="100"/>
      <c r="DR105" s="100"/>
      <c r="DS105" s="100"/>
      <c r="DT105" s="100"/>
      <c r="DU105" s="100"/>
      <c r="DV105" s="100"/>
      <c r="DW105" s="100"/>
      <c r="DX105" s="100"/>
      <c r="DY105" s="100"/>
      <c r="DZ105" s="100"/>
      <c r="EA105" s="100"/>
      <c r="EB105" s="100"/>
      <c r="EC105" s="100"/>
      <c r="ED105" s="100"/>
      <c r="EE105" s="100"/>
      <c r="EF105" s="100"/>
      <c r="EG105" s="100"/>
      <c r="EH105" s="100"/>
      <c r="EI105" s="100"/>
      <c r="EJ105" s="100"/>
      <c r="EK105" s="100"/>
      <c r="EL105" s="100"/>
      <c r="EM105" s="100"/>
      <c r="EN105" s="100"/>
      <c r="EO105" s="100"/>
      <c r="EP105" s="100"/>
      <c r="EQ105" s="100"/>
      <c r="ER105" s="100"/>
      <c r="ES105" s="100"/>
      <c r="ET105" s="100"/>
      <c r="EU105" s="100"/>
      <c r="EV105" s="100"/>
      <c r="EW105" s="100"/>
      <c r="EX105" s="100"/>
      <c r="EY105" s="100"/>
      <c r="EZ105" s="100"/>
      <c r="FA105" s="100"/>
      <c r="FB105" s="100"/>
      <c r="FC105" s="100"/>
      <c r="FD105" s="100"/>
      <c r="FE105" s="100"/>
      <c r="FF105" s="100"/>
      <c r="FG105" s="100"/>
      <c r="FH105" s="100"/>
      <c r="FI105" s="100"/>
      <c r="FJ105" s="100"/>
      <c r="FK105" s="100"/>
      <c r="FL105" s="100"/>
      <c r="FM105" s="100"/>
      <c r="FN105" s="100"/>
      <c r="FO105" s="100"/>
      <c r="FP105" s="100"/>
      <c r="FQ105" s="100"/>
      <c r="FR105" s="100"/>
      <c r="FS105" s="100"/>
      <c r="FT105" s="100"/>
      <c r="FU105" s="100"/>
      <c r="FV105" s="100"/>
      <c r="FW105" s="100"/>
      <c r="FX105" s="100"/>
      <c r="FY105" s="100"/>
      <c r="FZ105" s="100"/>
      <c r="GA105" s="100"/>
      <c r="GB105" s="100"/>
      <c r="GC105" s="100"/>
      <c r="GD105" s="100"/>
      <c r="GE105" s="100"/>
      <c r="GF105" s="100"/>
      <c r="GG105" s="100"/>
      <c r="GH105" s="100"/>
      <c r="GI105" s="100"/>
      <c r="GJ105" s="100"/>
      <c r="GK105" s="100"/>
      <c r="GL105" s="100"/>
      <c r="GM105" s="100"/>
      <c r="GN105" s="100"/>
      <c r="GO105" s="100"/>
      <c r="GP105" s="100"/>
      <c r="GQ105" s="100"/>
      <c r="GR105" s="100"/>
      <c r="GS105" s="100"/>
      <c r="GT105" s="100"/>
      <c r="GU105" s="100"/>
      <c r="GV105" s="100"/>
      <c r="GW105" s="100"/>
      <c r="GX105" s="100"/>
      <c r="GY105" s="100"/>
      <c r="GZ105" s="100"/>
      <c r="HA105" s="100"/>
      <c r="HB105" s="100"/>
      <c r="HC105" s="100"/>
      <c r="HD105" s="100"/>
      <c r="HE105" s="100"/>
      <c r="HF105" s="100"/>
      <c r="HG105" s="100"/>
      <c r="HH105" s="100"/>
      <c r="HI105" s="100"/>
      <c r="HJ105" s="100"/>
      <c r="HK105" s="100"/>
      <c r="HL105" s="100"/>
      <c r="HM105" s="100"/>
      <c r="HN105" s="100"/>
      <c r="HO105" s="100"/>
      <c r="HP105" s="100"/>
      <c r="HQ105" s="100"/>
      <c r="HR105" s="100"/>
      <c r="HS105" s="100"/>
      <c r="HT105" s="100"/>
      <c r="HU105" s="100"/>
      <c r="HV105" s="100"/>
      <c r="HW105" s="100"/>
      <c r="HX105" s="100"/>
      <c r="HY105" s="100"/>
      <c r="HZ105" s="100"/>
      <c r="IA105" s="100"/>
      <c r="IB105" s="100"/>
      <c r="IC105" s="100"/>
      <c r="ID105" s="100"/>
      <c r="IE105" s="100"/>
      <c r="IF105" s="100"/>
      <c r="IG105" s="100"/>
      <c r="IH105" s="100"/>
      <c r="II105" s="100"/>
      <c r="IJ105" s="100"/>
      <c r="IK105" s="100"/>
      <c r="IL105" s="100"/>
      <c r="IM105" s="100"/>
      <c r="IN105" s="100"/>
      <c r="IO105" s="100"/>
      <c r="IP105" s="100"/>
      <c r="IQ105" s="100"/>
      <c r="IR105" s="100"/>
      <c r="IS105" s="100"/>
      <c r="IT105" s="100"/>
      <c r="IU105" s="100"/>
      <c r="IV105" s="100"/>
      <c r="IW105" s="100"/>
    </row>
    <row r="106" customFormat="false" ht="12.75" hidden="false" customHeight="false" outlineLevel="0" collapsed="false">
      <c r="A106" s="736"/>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100"/>
      <c r="BR106" s="100"/>
      <c r="BS106" s="100"/>
      <c r="BT106" s="100"/>
      <c r="BU106" s="100"/>
      <c r="BV106" s="100"/>
      <c r="BW106" s="100"/>
      <c r="BX106" s="100"/>
      <c r="BY106" s="100"/>
      <c r="BZ106" s="100"/>
      <c r="CA106" s="100"/>
      <c r="CB106" s="100"/>
      <c r="CC106" s="100"/>
      <c r="CD106" s="100"/>
      <c r="CE106" s="100"/>
      <c r="CF106" s="100"/>
      <c r="CG106" s="100"/>
      <c r="CH106" s="100"/>
      <c r="CI106" s="100"/>
      <c r="CJ106" s="100"/>
      <c r="CK106" s="100"/>
      <c r="CL106" s="100"/>
      <c r="CM106" s="100"/>
      <c r="CN106" s="100"/>
      <c r="CO106" s="100"/>
      <c r="CP106" s="100"/>
      <c r="CQ106" s="100"/>
      <c r="CR106" s="100"/>
      <c r="CS106" s="100"/>
      <c r="CT106" s="100"/>
      <c r="CU106" s="100"/>
      <c r="CV106" s="100"/>
      <c r="CW106" s="100"/>
      <c r="CX106" s="100"/>
      <c r="CY106" s="100"/>
      <c r="CZ106" s="100"/>
      <c r="DA106" s="100"/>
      <c r="DB106" s="100"/>
      <c r="DC106" s="100"/>
      <c r="DD106" s="100"/>
      <c r="DE106" s="100"/>
      <c r="DF106" s="100"/>
      <c r="DG106" s="100"/>
      <c r="DH106" s="100"/>
      <c r="DI106" s="100"/>
      <c r="DJ106" s="100"/>
      <c r="DK106" s="100"/>
      <c r="DL106" s="100"/>
      <c r="DM106" s="100"/>
      <c r="DN106" s="100"/>
      <c r="DO106" s="100"/>
      <c r="DP106" s="100"/>
      <c r="DQ106" s="100"/>
      <c r="DR106" s="100"/>
      <c r="DS106" s="100"/>
      <c r="DT106" s="100"/>
      <c r="DU106" s="100"/>
      <c r="DV106" s="100"/>
      <c r="DW106" s="100"/>
      <c r="DX106" s="100"/>
      <c r="DY106" s="100"/>
      <c r="DZ106" s="100"/>
      <c r="EA106" s="100"/>
      <c r="EB106" s="100"/>
      <c r="EC106" s="100"/>
      <c r="ED106" s="100"/>
      <c r="EE106" s="100"/>
      <c r="EF106" s="100"/>
      <c r="EG106" s="100"/>
      <c r="EH106" s="100"/>
      <c r="EI106" s="100"/>
      <c r="EJ106" s="100"/>
      <c r="EK106" s="100"/>
      <c r="EL106" s="100"/>
      <c r="EM106" s="100"/>
      <c r="EN106" s="100"/>
      <c r="EO106" s="100"/>
      <c r="EP106" s="100"/>
      <c r="EQ106" s="100"/>
      <c r="ER106" s="100"/>
      <c r="ES106" s="100"/>
      <c r="ET106" s="100"/>
      <c r="EU106" s="100"/>
      <c r="EV106" s="100"/>
      <c r="EW106" s="100"/>
      <c r="EX106" s="100"/>
      <c r="EY106" s="100"/>
      <c r="EZ106" s="100"/>
      <c r="FA106" s="100"/>
      <c r="FB106" s="100"/>
      <c r="FC106" s="100"/>
      <c r="FD106" s="100"/>
      <c r="FE106" s="100"/>
      <c r="FF106" s="100"/>
      <c r="FG106" s="100"/>
      <c r="FH106" s="100"/>
      <c r="FI106" s="100"/>
      <c r="FJ106" s="100"/>
      <c r="FK106" s="100"/>
      <c r="FL106" s="100"/>
      <c r="FM106" s="100"/>
      <c r="FN106" s="100"/>
      <c r="FO106" s="100"/>
      <c r="FP106" s="100"/>
      <c r="FQ106" s="100"/>
      <c r="FR106" s="100"/>
      <c r="FS106" s="100"/>
      <c r="FT106" s="100"/>
      <c r="FU106" s="100"/>
      <c r="FV106" s="100"/>
      <c r="FW106" s="100"/>
      <c r="FX106" s="100"/>
      <c r="FY106" s="100"/>
      <c r="FZ106" s="100"/>
      <c r="GA106" s="100"/>
      <c r="GB106" s="100"/>
      <c r="GC106" s="100"/>
      <c r="GD106" s="100"/>
      <c r="GE106" s="100"/>
      <c r="GF106" s="100"/>
      <c r="GG106" s="100"/>
      <c r="GH106" s="100"/>
      <c r="GI106" s="100"/>
      <c r="GJ106" s="100"/>
      <c r="GK106" s="100"/>
      <c r="GL106" s="100"/>
      <c r="GM106" s="100"/>
      <c r="GN106" s="100"/>
      <c r="GO106" s="100"/>
      <c r="GP106" s="100"/>
      <c r="GQ106" s="100"/>
      <c r="GR106" s="100"/>
      <c r="GS106" s="100"/>
      <c r="GT106" s="100"/>
      <c r="GU106" s="100"/>
      <c r="GV106" s="100"/>
      <c r="GW106" s="100"/>
      <c r="GX106" s="100"/>
      <c r="GY106" s="100"/>
      <c r="GZ106" s="100"/>
      <c r="HA106" s="100"/>
      <c r="HB106" s="100"/>
      <c r="HC106" s="100"/>
      <c r="HD106" s="100"/>
      <c r="HE106" s="100"/>
      <c r="HF106" s="100"/>
      <c r="HG106" s="100"/>
      <c r="HH106" s="100"/>
      <c r="HI106" s="100"/>
      <c r="HJ106" s="100"/>
      <c r="HK106" s="100"/>
      <c r="HL106" s="100"/>
      <c r="HM106" s="100"/>
      <c r="HN106" s="100"/>
      <c r="HO106" s="100"/>
      <c r="HP106" s="100"/>
      <c r="HQ106" s="100"/>
      <c r="HR106" s="100"/>
      <c r="HS106" s="100"/>
      <c r="HT106" s="100"/>
      <c r="HU106" s="100"/>
      <c r="HV106" s="100"/>
      <c r="HW106" s="100"/>
      <c r="HX106" s="100"/>
      <c r="HY106" s="100"/>
      <c r="HZ106" s="100"/>
      <c r="IA106" s="100"/>
      <c r="IB106" s="100"/>
      <c r="IC106" s="100"/>
      <c r="ID106" s="100"/>
      <c r="IE106" s="100"/>
      <c r="IF106" s="100"/>
      <c r="IG106" s="100"/>
      <c r="IH106" s="100"/>
      <c r="II106" s="100"/>
      <c r="IJ106" s="100"/>
      <c r="IK106" s="100"/>
      <c r="IL106" s="100"/>
      <c r="IM106" s="100"/>
      <c r="IN106" s="100"/>
      <c r="IO106" s="100"/>
      <c r="IP106" s="100"/>
      <c r="IQ106" s="100"/>
      <c r="IR106" s="100"/>
      <c r="IS106" s="100"/>
      <c r="IT106" s="100"/>
      <c r="IU106" s="100"/>
      <c r="IV106" s="100"/>
      <c r="IW106" s="100"/>
    </row>
  </sheetData>
  <printOptions headings="true" gridLines="false" gridLinesSet="true" horizontalCentered="false" verticalCentered="false"/>
  <pageMargins left="0.25" right="0.320138888888889" top="0.579861111111111" bottom="0.62986111111111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89"/>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W40"/>
    </sheetView>
  </sheetViews>
  <sheetFormatPr defaultColWidth="8.84765625" defaultRowHeight="12.75" customHeight="true" zeroHeight="false" outlineLevelRow="0" outlineLevelCol="0"/>
  <cols>
    <col collapsed="false" customWidth="false" hidden="false" outlineLevel="0" max="1" min="1" style="21" width="8.85"/>
    <col collapsed="false" customWidth="true" hidden="false" outlineLevel="0" max="2" min="2" style="0" width="47.41"/>
    <col collapsed="false" customWidth="true" hidden="false" outlineLevel="0" max="3" min="3" style="0" width="13.41"/>
    <col collapsed="false" customWidth="true" hidden="false" outlineLevel="0" max="14" min="4" style="0" width="10.28"/>
    <col collapsed="false" customWidth="true" hidden="false" outlineLevel="0" max="33" min="15" style="0" width="8.99"/>
  </cols>
  <sheetData>
    <row r="1" customFormat="false" ht="15.75" hidden="false" customHeight="false" outlineLevel="0" collapsed="false">
      <c r="A1" s="148"/>
      <c r="B1" s="2" t="str">
        <f aca="false">ExecSum!$E$4</f>
        <v>SMUD - Solano 34.50MW Project</v>
      </c>
      <c r="D1" s="4" t="n">
        <v>1</v>
      </c>
      <c r="E1" s="5" t="n">
        <v>2</v>
      </c>
      <c r="F1" s="5" t="n">
        <v>3</v>
      </c>
      <c r="G1" s="5" t="n">
        <v>4</v>
      </c>
      <c r="H1" s="5" t="n">
        <v>5</v>
      </c>
      <c r="I1" s="5" t="n">
        <v>6</v>
      </c>
      <c r="J1" s="5" t="n">
        <v>7</v>
      </c>
      <c r="K1" s="5" t="n">
        <v>8</v>
      </c>
      <c r="L1" s="5" t="n">
        <v>9</v>
      </c>
      <c r="M1" s="5" t="n">
        <v>10</v>
      </c>
      <c r="N1" s="5" t="n">
        <v>11</v>
      </c>
      <c r="O1" s="5" t="n">
        <v>12</v>
      </c>
      <c r="P1" s="5" t="n">
        <v>13</v>
      </c>
      <c r="Q1" s="5" t="n">
        <v>14</v>
      </c>
      <c r="R1" s="5" t="n">
        <v>15</v>
      </c>
      <c r="S1" s="5" t="n">
        <v>16</v>
      </c>
      <c r="T1" s="5" t="n">
        <v>17</v>
      </c>
      <c r="U1" s="5" t="n">
        <v>18</v>
      </c>
      <c r="V1" s="5" t="n">
        <v>19</v>
      </c>
      <c r="W1" s="5" t="n">
        <v>20</v>
      </c>
      <c r="X1" s="5" t="n">
        <v>21</v>
      </c>
      <c r="Y1" s="5" t="n">
        <v>22</v>
      </c>
      <c r="Z1" s="5" t="n">
        <v>23</v>
      </c>
      <c r="AA1" s="5" t="n">
        <v>24</v>
      </c>
      <c r="AB1" s="5" t="n">
        <v>25</v>
      </c>
      <c r="AC1" s="5" t="n">
        <v>26</v>
      </c>
      <c r="AD1" s="5" t="n">
        <v>27</v>
      </c>
      <c r="AE1" s="5" t="n">
        <v>28</v>
      </c>
      <c r="AF1" s="5" t="n">
        <v>29</v>
      </c>
      <c r="AG1" s="5" t="n">
        <v>30</v>
      </c>
      <c r="AH1" s="6" t="n">
        <v>31</v>
      </c>
    </row>
    <row r="2" customFormat="false" ht="15.75" hidden="false" customHeight="false" outlineLevel="0" collapsed="false">
      <c r="A2" s="148"/>
      <c r="B2" s="1072" t="s">
        <v>727</v>
      </c>
      <c r="D2" s="7" t="n">
        <f aca="false">Assum!$H$25</f>
        <v>2002</v>
      </c>
      <c r="E2" s="8" t="n">
        <f aca="false">D2+1</f>
        <v>2003</v>
      </c>
      <c r="F2" s="8" t="n">
        <f aca="false">E2+1</f>
        <v>2004</v>
      </c>
      <c r="G2" s="8" t="n">
        <f aca="false">F2+1</f>
        <v>2005</v>
      </c>
      <c r="H2" s="8" t="n">
        <f aca="false">G2+1</f>
        <v>2006</v>
      </c>
      <c r="I2" s="8" t="n">
        <f aca="false">H2+1</f>
        <v>2007</v>
      </c>
      <c r="J2" s="8" t="n">
        <f aca="false">I2+1</f>
        <v>2008</v>
      </c>
      <c r="K2" s="8" t="n">
        <f aca="false">J2+1</f>
        <v>2009</v>
      </c>
      <c r="L2" s="8" t="n">
        <f aca="false">K2+1</f>
        <v>2010</v>
      </c>
      <c r="M2" s="8" t="n">
        <f aca="false">L2+1</f>
        <v>2011</v>
      </c>
      <c r="N2" s="8" t="n">
        <f aca="false">M2+1</f>
        <v>2012</v>
      </c>
      <c r="O2" s="8" t="n">
        <f aca="false">N2+1</f>
        <v>2013</v>
      </c>
      <c r="P2" s="8" t="n">
        <f aca="false">O2+1</f>
        <v>2014</v>
      </c>
      <c r="Q2" s="8" t="n">
        <f aca="false">P2+1</f>
        <v>2015</v>
      </c>
      <c r="R2" s="8" t="n">
        <f aca="false">Q2+1</f>
        <v>2016</v>
      </c>
      <c r="S2" s="8" t="n">
        <f aca="false">R2+1</f>
        <v>2017</v>
      </c>
      <c r="T2" s="8" t="n">
        <f aca="false">S2+1</f>
        <v>2018</v>
      </c>
      <c r="U2" s="8" t="n">
        <f aca="false">T2+1</f>
        <v>2019</v>
      </c>
      <c r="V2" s="8" t="n">
        <f aca="false">U2+1</f>
        <v>2020</v>
      </c>
      <c r="W2" s="8" t="n">
        <f aca="false">V2+1</f>
        <v>2021</v>
      </c>
      <c r="X2" s="8" t="n">
        <f aca="false">W2+1</f>
        <v>2022</v>
      </c>
      <c r="Y2" s="8" t="n">
        <f aca="false">X2+1</f>
        <v>2023</v>
      </c>
      <c r="Z2" s="8" t="n">
        <f aca="false">Y2+1</f>
        <v>2024</v>
      </c>
      <c r="AA2" s="8" t="n">
        <f aca="false">Z2+1</f>
        <v>2025</v>
      </c>
      <c r="AB2" s="8" t="n">
        <f aca="false">AA2+1</f>
        <v>2026</v>
      </c>
      <c r="AC2" s="8" t="n">
        <f aca="false">AB2+1</f>
        <v>2027</v>
      </c>
      <c r="AD2" s="8" t="n">
        <f aca="false">AC2+1</f>
        <v>2028</v>
      </c>
      <c r="AE2" s="8" t="n">
        <f aca="false">AD2+1</f>
        <v>2029</v>
      </c>
      <c r="AF2" s="8" t="n">
        <f aca="false">AE2+1</f>
        <v>2030</v>
      </c>
      <c r="AG2" s="8" t="n">
        <f aca="false">AF2+1</f>
        <v>2031</v>
      </c>
      <c r="AH2" s="9" t="n">
        <f aca="false">AG2+1</f>
        <v>2032</v>
      </c>
    </row>
    <row r="3" customFormat="false" ht="12.75" hidden="false" customHeight="false" outlineLevel="0" collapsed="false">
      <c r="A3" s="148"/>
    </row>
    <row r="4" customFormat="false" ht="12.75" hidden="false" customHeight="false" outlineLevel="0" collapsed="false">
      <c r="A4" s="148"/>
      <c r="B4" s="1120" t="s">
        <v>494</v>
      </c>
    </row>
    <row r="5" customFormat="false" ht="12.75" hidden="false" customHeight="false" outlineLevel="0" collapsed="false">
      <c r="A5" s="148"/>
    </row>
    <row r="6" customFormat="false" ht="12.75" hidden="false" customHeight="true" outlineLevel="0" collapsed="false">
      <c r="A6" s="736"/>
      <c r="B6" s="266" t="s">
        <v>728</v>
      </c>
      <c r="C6" s="1121"/>
      <c r="D6" s="267" t="n">
        <v>0</v>
      </c>
      <c r="E6" s="267" t="n">
        <f aca="false">D16</f>
        <v>31266.3727318181</v>
      </c>
      <c r="F6" s="267" t="n">
        <f aca="false">E16</f>
        <v>19458.8619162944</v>
      </c>
      <c r="G6" s="267" t="n">
        <f aca="false">F16</f>
        <v>12331.7895203011</v>
      </c>
      <c r="H6" s="267" t="n">
        <f aca="false">G16</f>
        <v>8012.98017602588</v>
      </c>
      <c r="I6" s="267" t="n">
        <f aca="false">H16</f>
        <v>3694.17083175069</v>
      </c>
      <c r="J6" s="267" t="n">
        <f aca="false">I16</f>
        <v>1481.55877626415</v>
      </c>
      <c r="K6" s="267" t="n">
        <f aca="false">J16</f>
        <v>1375.14400956623</v>
      </c>
      <c r="L6" s="267" t="n">
        <f aca="false">K16</f>
        <v>1268.72924286832</v>
      </c>
      <c r="M6" s="267" t="n">
        <f aca="false">L16</f>
        <v>1162.31447617041</v>
      </c>
      <c r="N6" s="267" t="n">
        <f aca="false">M16</f>
        <v>1055.8997094725</v>
      </c>
      <c r="O6" s="267" t="n">
        <f aca="false">N16</f>
        <v>949.484942774585</v>
      </c>
      <c r="P6" s="267" t="n">
        <f aca="false">O16</f>
        <v>843.070176076673</v>
      </c>
      <c r="Q6" s="267" t="n">
        <f aca="false">P16</f>
        <v>736.655409378761</v>
      </c>
      <c r="R6" s="267" t="n">
        <f aca="false">Q16</f>
        <v>630.240642680848</v>
      </c>
      <c r="S6" s="267" t="n">
        <f aca="false">R16</f>
        <v>523.825875982936</v>
      </c>
      <c r="T6" s="267" t="n">
        <f aca="false">S16</f>
        <v>417.411109285024</v>
      </c>
      <c r="U6" s="267" t="n">
        <f aca="false">T16</f>
        <v>310.996342587107</v>
      </c>
      <c r="V6" s="267" t="n">
        <f aca="false">U16</f>
        <v>272.505895058076</v>
      </c>
      <c r="W6" s="267" t="n">
        <f aca="false">V16</f>
        <v>234.015447529043</v>
      </c>
      <c r="X6" s="267" t="n">
        <f aca="false">W16</f>
        <v>0</v>
      </c>
      <c r="Y6" s="267" t="n">
        <f aca="false">X16</f>
        <v>0</v>
      </c>
      <c r="Z6" s="267" t="n">
        <f aca="false">Y16</f>
        <v>0</v>
      </c>
      <c r="AA6" s="267" t="n">
        <f aca="false">Z16</f>
        <v>0</v>
      </c>
      <c r="AB6" s="267" t="n">
        <f aca="false">AA16</f>
        <v>0</v>
      </c>
      <c r="AC6" s="267" t="n">
        <f aca="false">AB16</f>
        <v>0</v>
      </c>
      <c r="AD6" s="267" t="n">
        <f aca="false">AC16</f>
        <v>0</v>
      </c>
      <c r="AE6" s="267" t="n">
        <f aca="false">AD16</f>
        <v>0</v>
      </c>
      <c r="AF6" s="267" t="n">
        <f aca="false">AE16</f>
        <v>0</v>
      </c>
      <c r="AG6" s="267" t="n">
        <f aca="false">AF16</f>
        <v>0</v>
      </c>
      <c r="AH6" s="268" t="n">
        <f aca="false">AG16</f>
        <v>0</v>
      </c>
      <c r="AI6" s="313"/>
      <c r="AJ6" s="313"/>
      <c r="AK6" s="313"/>
      <c r="AL6" s="313"/>
      <c r="AM6" s="313"/>
      <c r="AN6" s="313"/>
      <c r="AO6" s="313"/>
      <c r="AP6" s="313"/>
      <c r="AQ6" s="313"/>
      <c r="AR6" s="313"/>
      <c r="AS6" s="313"/>
      <c r="AT6" s="313"/>
      <c r="AU6" s="313"/>
      <c r="AV6" s="313"/>
      <c r="AW6" s="313"/>
      <c r="AX6" s="313"/>
      <c r="AY6" s="313"/>
      <c r="AZ6" s="313"/>
      <c r="BA6" s="313"/>
      <c r="BB6" s="313"/>
      <c r="BC6" s="313"/>
      <c r="BD6" s="313"/>
      <c r="BE6" s="313"/>
      <c r="BF6" s="313"/>
      <c r="BG6" s="313"/>
      <c r="BH6" s="313"/>
      <c r="BI6" s="313"/>
      <c r="BJ6" s="313"/>
      <c r="BK6" s="313"/>
      <c r="BL6" s="313"/>
      <c r="BM6" s="313"/>
      <c r="BN6" s="313"/>
      <c r="BO6" s="313"/>
      <c r="BP6" s="313"/>
      <c r="BQ6" s="313"/>
      <c r="BR6" s="313"/>
      <c r="BS6" s="313"/>
      <c r="BT6" s="313"/>
      <c r="BU6" s="313"/>
      <c r="BV6" s="313"/>
      <c r="BW6" s="313"/>
      <c r="BX6" s="313"/>
      <c r="BY6" s="313"/>
      <c r="BZ6" s="313"/>
      <c r="CA6" s="313"/>
      <c r="CB6" s="313"/>
      <c r="CC6" s="313"/>
      <c r="CD6" s="313"/>
      <c r="CE6" s="313"/>
      <c r="CF6" s="313"/>
      <c r="CG6" s="313"/>
      <c r="CH6" s="313"/>
      <c r="CI6" s="313"/>
      <c r="CJ6" s="313"/>
      <c r="CK6" s="313"/>
      <c r="CL6" s="313"/>
      <c r="CM6" s="313"/>
      <c r="CN6" s="313"/>
      <c r="CO6" s="313"/>
      <c r="CP6" s="313"/>
      <c r="CQ6" s="313"/>
      <c r="CR6" s="313"/>
      <c r="CS6" s="313"/>
      <c r="CT6" s="313"/>
      <c r="CU6" s="313"/>
      <c r="CV6" s="313"/>
      <c r="CW6" s="313"/>
      <c r="CX6" s="313"/>
      <c r="CY6" s="313"/>
      <c r="CZ6" s="313"/>
      <c r="DA6" s="313"/>
      <c r="DB6" s="313"/>
      <c r="DC6" s="313"/>
      <c r="DD6" s="313"/>
      <c r="DE6" s="313"/>
      <c r="DF6" s="313"/>
      <c r="DG6" s="313"/>
      <c r="DH6" s="313"/>
      <c r="DI6" s="313"/>
      <c r="DJ6" s="313"/>
      <c r="DK6" s="313"/>
      <c r="DL6" s="313"/>
      <c r="DM6" s="313"/>
      <c r="DN6" s="313"/>
      <c r="DO6" s="313"/>
      <c r="DP6" s="313"/>
      <c r="DQ6" s="313"/>
      <c r="DR6" s="313"/>
      <c r="DS6" s="313"/>
      <c r="DT6" s="313"/>
      <c r="DU6" s="313"/>
      <c r="DV6" s="313"/>
      <c r="DW6" s="313"/>
      <c r="DX6" s="313"/>
      <c r="DY6" s="313"/>
      <c r="DZ6" s="313"/>
      <c r="EA6" s="313"/>
      <c r="EB6" s="313"/>
      <c r="EC6" s="313"/>
      <c r="ED6" s="313"/>
      <c r="EE6" s="313"/>
      <c r="EF6" s="313"/>
      <c r="EG6" s="313"/>
      <c r="EH6" s="313"/>
      <c r="EI6" s="313"/>
      <c r="EJ6" s="313"/>
      <c r="EK6" s="313"/>
      <c r="EL6" s="313"/>
      <c r="EM6" s="313"/>
      <c r="EN6" s="313"/>
      <c r="EO6" s="313"/>
      <c r="EP6" s="313"/>
      <c r="EQ6" s="313"/>
      <c r="ER6" s="313"/>
      <c r="ES6" s="313"/>
      <c r="ET6" s="313"/>
      <c r="EU6" s="313"/>
      <c r="EV6" s="313"/>
      <c r="EW6" s="313"/>
      <c r="EX6" s="313"/>
      <c r="EY6" s="313"/>
      <c r="EZ6" s="313"/>
      <c r="FA6" s="313"/>
      <c r="FB6" s="313"/>
      <c r="FC6" s="313"/>
      <c r="FD6" s="313"/>
      <c r="FE6" s="313"/>
      <c r="FF6" s="313"/>
      <c r="FG6" s="313"/>
      <c r="FH6" s="313"/>
      <c r="FI6" s="313"/>
      <c r="FJ6" s="313"/>
      <c r="FK6" s="313"/>
      <c r="FL6" s="313"/>
      <c r="FM6" s="313"/>
      <c r="FN6" s="313"/>
      <c r="FO6" s="313"/>
      <c r="FP6" s="313"/>
      <c r="FQ6" s="313"/>
      <c r="FR6" s="313"/>
      <c r="FS6" s="313"/>
      <c r="FT6" s="313"/>
      <c r="FU6" s="313"/>
      <c r="FV6" s="313"/>
      <c r="FW6" s="313"/>
      <c r="FX6" s="313"/>
      <c r="FY6" s="313"/>
      <c r="FZ6" s="313"/>
      <c r="GA6" s="313"/>
      <c r="GB6" s="313"/>
      <c r="GC6" s="313"/>
      <c r="GD6" s="313"/>
      <c r="GE6" s="313"/>
      <c r="GF6" s="313"/>
      <c r="GG6" s="313"/>
      <c r="GH6" s="313"/>
      <c r="GI6" s="313"/>
      <c r="GJ6" s="313"/>
      <c r="GK6" s="313"/>
      <c r="GL6" s="313"/>
      <c r="GM6" s="313"/>
      <c r="GN6" s="313"/>
      <c r="GO6" s="313"/>
      <c r="GP6" s="313"/>
      <c r="GQ6" s="313"/>
      <c r="GR6" s="313"/>
      <c r="GS6" s="313"/>
      <c r="GT6" s="313"/>
      <c r="GU6" s="313"/>
      <c r="GV6" s="313"/>
      <c r="GW6" s="313"/>
      <c r="GX6" s="313"/>
      <c r="GY6" s="313"/>
      <c r="GZ6" s="313"/>
      <c r="HA6" s="313"/>
      <c r="HB6" s="313"/>
      <c r="HC6" s="313"/>
      <c r="HD6" s="313"/>
      <c r="HE6" s="313"/>
      <c r="HF6" s="313"/>
      <c r="HG6" s="313"/>
      <c r="HH6" s="313"/>
      <c r="HI6" s="313"/>
      <c r="HJ6" s="313"/>
      <c r="HK6" s="313"/>
      <c r="HL6" s="313"/>
      <c r="HM6" s="313"/>
      <c r="HN6" s="313"/>
      <c r="HO6" s="313"/>
      <c r="HP6" s="313"/>
      <c r="HQ6" s="313"/>
      <c r="HR6" s="313"/>
      <c r="HS6" s="313"/>
      <c r="HT6" s="313"/>
      <c r="HU6" s="313"/>
      <c r="HV6" s="313"/>
      <c r="HW6" s="313"/>
      <c r="HX6" s="313"/>
      <c r="HY6" s="313"/>
      <c r="HZ6" s="313"/>
      <c r="IA6" s="313"/>
      <c r="IB6" s="313"/>
      <c r="IC6" s="313"/>
      <c r="ID6" s="313"/>
      <c r="IE6" s="313"/>
      <c r="IF6" s="313"/>
      <c r="IG6" s="313"/>
      <c r="IH6" s="313"/>
      <c r="II6" s="313"/>
      <c r="IJ6" s="313"/>
      <c r="IK6" s="313"/>
      <c r="IL6" s="313"/>
      <c r="IM6" s="313"/>
      <c r="IN6" s="313"/>
      <c r="IO6" s="313"/>
      <c r="IP6" s="313"/>
      <c r="IQ6" s="313"/>
      <c r="IR6" s="313"/>
      <c r="IS6" s="313"/>
      <c r="IT6" s="313"/>
      <c r="IU6" s="313"/>
      <c r="IV6" s="313"/>
      <c r="IW6" s="313"/>
    </row>
    <row r="7" customFormat="false" ht="12.75" hidden="false" customHeight="false" outlineLevel="0" collapsed="false">
      <c r="A7" s="736"/>
      <c r="B7" s="1122" t="s">
        <v>729</v>
      </c>
      <c r="C7" s="313"/>
      <c r="D7" s="313"/>
      <c r="E7" s="313" t="n">
        <f aca="false">D13</f>
        <v>19138.4958056936</v>
      </c>
      <c r="F7" s="313" t="n">
        <f aca="false">E13</f>
        <v>7684.67146465663</v>
      </c>
      <c r="G7" s="313" t="n">
        <f aca="false">F13</f>
        <v>943.850679156174</v>
      </c>
      <c r="H7" s="313" t="n">
        <f aca="false">G13</f>
        <v>-2946.44150640354</v>
      </c>
      <c r="I7" s="313" t="n">
        <f aca="false">H13</f>
        <v>-6793.99807587891</v>
      </c>
      <c r="J7" s="313" t="n">
        <f aca="false">I13</f>
        <v>-8488.59543653227</v>
      </c>
      <c r="K7" s="313" t="n">
        <f aca="false">J13</f>
        <v>-8035.31862473577</v>
      </c>
      <c r="L7" s="313" t="n">
        <f aca="false">K13</f>
        <v>-7530.73926083877</v>
      </c>
      <c r="M7" s="313" t="n">
        <f aca="false">L13</f>
        <v>-6972.98118001168</v>
      </c>
      <c r="N7" s="313" t="n">
        <f aca="false">M13</f>
        <v>-6357.13000768543</v>
      </c>
      <c r="O7" s="313" t="n">
        <f aca="false">N13</f>
        <v>-5647.34552390642</v>
      </c>
      <c r="P7" s="313" t="n">
        <f aca="false">O13</f>
        <v>-4863.06293501351</v>
      </c>
      <c r="Q7" s="313" t="n">
        <f aca="false">P13</f>
        <v>-3999.85549886571</v>
      </c>
      <c r="R7" s="313" t="n">
        <f aca="false">Q13</f>
        <v>-3050.72674632573</v>
      </c>
      <c r="S7" s="313" t="n">
        <f aca="false">R13</f>
        <v>-2009.17008422558</v>
      </c>
      <c r="T7" s="313" t="n">
        <f aca="false">S13</f>
        <v>-864.770300977525</v>
      </c>
      <c r="U7" s="313" t="n">
        <f aca="false">T13</f>
        <v>310.996342587107</v>
      </c>
      <c r="V7" s="313" t="n">
        <f aca="false">U13</f>
        <v>272.505895058076</v>
      </c>
      <c r="W7" s="313" t="n">
        <f aca="false">V13</f>
        <v>234.015447529043</v>
      </c>
      <c r="X7" s="313" t="n">
        <f aca="false">W13</f>
        <v>0</v>
      </c>
      <c r="Y7" s="313" t="n">
        <f aca="false">X13</f>
        <v>0</v>
      </c>
      <c r="Z7" s="313" t="n">
        <f aca="false">Y13</f>
        <v>0</v>
      </c>
      <c r="AA7" s="313" t="n">
        <f aca="false">Z13</f>
        <v>0</v>
      </c>
      <c r="AB7" s="313" t="n">
        <f aca="false">AA13</f>
        <v>0</v>
      </c>
      <c r="AC7" s="313" t="n">
        <f aca="false">AB13</f>
        <v>0</v>
      </c>
      <c r="AD7" s="313" t="n">
        <f aca="false">AC13</f>
        <v>0</v>
      </c>
      <c r="AE7" s="313" t="n">
        <f aca="false">AD13</f>
        <v>0</v>
      </c>
      <c r="AF7" s="313" t="n">
        <f aca="false">AE13</f>
        <v>0</v>
      </c>
      <c r="AG7" s="313" t="n">
        <f aca="false">AF13</f>
        <v>0</v>
      </c>
      <c r="AH7" s="1123" t="n">
        <f aca="false">AG13</f>
        <v>0</v>
      </c>
      <c r="AI7" s="313"/>
      <c r="AJ7" s="313"/>
      <c r="AK7" s="313"/>
      <c r="AL7" s="313"/>
      <c r="AM7" s="313"/>
      <c r="AN7" s="313"/>
      <c r="AO7" s="313"/>
      <c r="AP7" s="313"/>
      <c r="AQ7" s="313"/>
      <c r="AR7" s="313"/>
      <c r="AS7" s="313"/>
      <c r="AT7" s="313"/>
      <c r="AU7" s="313"/>
      <c r="AV7" s="313"/>
      <c r="AW7" s="313"/>
      <c r="AX7" s="313"/>
      <c r="AY7" s="313"/>
      <c r="AZ7" s="313"/>
      <c r="BA7" s="313"/>
      <c r="BB7" s="313"/>
      <c r="BC7" s="313"/>
      <c r="BD7" s="313"/>
      <c r="BE7" s="313"/>
      <c r="BF7" s="313"/>
      <c r="BG7" s="313"/>
      <c r="BH7" s="313"/>
      <c r="BI7" s="313"/>
      <c r="BJ7" s="313"/>
      <c r="BK7" s="313"/>
      <c r="BL7" s="313"/>
      <c r="BM7" s="313"/>
      <c r="BN7" s="313"/>
      <c r="BO7" s="313"/>
      <c r="BP7" s="313"/>
      <c r="BQ7" s="313"/>
      <c r="BR7" s="313"/>
      <c r="BS7" s="313"/>
      <c r="BT7" s="313"/>
      <c r="BU7" s="313"/>
      <c r="BV7" s="313"/>
      <c r="BW7" s="313"/>
      <c r="BX7" s="313"/>
      <c r="BY7" s="313"/>
      <c r="BZ7" s="313"/>
      <c r="CA7" s="313"/>
      <c r="CB7" s="313"/>
      <c r="CC7" s="313"/>
      <c r="CD7" s="313"/>
      <c r="CE7" s="313"/>
      <c r="CF7" s="313"/>
      <c r="CG7" s="313"/>
      <c r="CH7" s="313"/>
      <c r="CI7" s="313"/>
      <c r="CJ7" s="313"/>
      <c r="CK7" s="313"/>
      <c r="CL7" s="313"/>
      <c r="CM7" s="313"/>
      <c r="CN7" s="313"/>
      <c r="CO7" s="313"/>
      <c r="CP7" s="313"/>
      <c r="CQ7" s="313"/>
      <c r="CR7" s="313"/>
      <c r="CS7" s="313"/>
      <c r="CT7" s="313"/>
      <c r="CU7" s="313"/>
      <c r="CV7" s="313"/>
      <c r="CW7" s="313"/>
      <c r="CX7" s="313"/>
      <c r="CY7" s="313"/>
      <c r="CZ7" s="313"/>
      <c r="DA7" s="313"/>
      <c r="DB7" s="313"/>
      <c r="DC7" s="313"/>
      <c r="DD7" s="313"/>
      <c r="DE7" s="313"/>
      <c r="DF7" s="313"/>
      <c r="DG7" s="313"/>
      <c r="DH7" s="313"/>
      <c r="DI7" s="313"/>
      <c r="DJ7" s="313"/>
      <c r="DK7" s="313"/>
      <c r="DL7" s="313"/>
      <c r="DM7" s="313"/>
      <c r="DN7" s="313"/>
      <c r="DO7" s="313"/>
      <c r="DP7" s="313"/>
      <c r="DQ7" s="313"/>
      <c r="DR7" s="313"/>
      <c r="DS7" s="313"/>
      <c r="DT7" s="313"/>
      <c r="DU7" s="313"/>
      <c r="DV7" s="313"/>
      <c r="DW7" s="313"/>
      <c r="DX7" s="313"/>
      <c r="DY7" s="313"/>
      <c r="DZ7" s="313"/>
      <c r="EA7" s="313"/>
      <c r="EB7" s="313"/>
      <c r="EC7" s="313"/>
      <c r="ED7" s="313"/>
      <c r="EE7" s="313"/>
      <c r="EF7" s="313"/>
      <c r="EG7" s="313"/>
      <c r="EH7" s="313"/>
      <c r="EI7" s="313"/>
      <c r="EJ7" s="313"/>
      <c r="EK7" s="313"/>
      <c r="EL7" s="313"/>
      <c r="EM7" s="313"/>
      <c r="EN7" s="313"/>
      <c r="EO7" s="313"/>
      <c r="EP7" s="313"/>
      <c r="EQ7" s="313"/>
      <c r="ER7" s="313"/>
      <c r="ES7" s="313"/>
      <c r="ET7" s="313"/>
      <c r="EU7" s="313"/>
      <c r="EV7" s="313"/>
      <c r="EW7" s="313"/>
      <c r="EX7" s="313"/>
      <c r="EY7" s="313"/>
      <c r="EZ7" s="313"/>
      <c r="FA7" s="313"/>
      <c r="FB7" s="313"/>
      <c r="FC7" s="313"/>
      <c r="FD7" s="313"/>
      <c r="FE7" s="313"/>
      <c r="FF7" s="313"/>
      <c r="FG7" s="313"/>
      <c r="FH7" s="313"/>
      <c r="FI7" s="313"/>
      <c r="FJ7" s="313"/>
      <c r="FK7" s="313"/>
      <c r="FL7" s="313"/>
      <c r="FM7" s="313"/>
      <c r="FN7" s="313"/>
      <c r="FO7" s="313"/>
      <c r="FP7" s="313"/>
      <c r="FQ7" s="313"/>
      <c r="FR7" s="313"/>
      <c r="FS7" s="313"/>
      <c r="FT7" s="313"/>
      <c r="FU7" s="313"/>
      <c r="FV7" s="313"/>
      <c r="FW7" s="313"/>
      <c r="FX7" s="313"/>
      <c r="FY7" s="313"/>
      <c r="FZ7" s="313"/>
      <c r="GA7" s="313"/>
      <c r="GB7" s="313"/>
      <c r="GC7" s="313"/>
      <c r="GD7" s="313"/>
      <c r="GE7" s="313"/>
      <c r="GF7" s="313"/>
      <c r="GG7" s="313"/>
      <c r="GH7" s="313"/>
      <c r="GI7" s="313"/>
      <c r="GJ7" s="313"/>
      <c r="GK7" s="313"/>
      <c r="GL7" s="313"/>
      <c r="GM7" s="313"/>
      <c r="GN7" s="313"/>
      <c r="GO7" s="313"/>
      <c r="GP7" s="313"/>
      <c r="GQ7" s="313"/>
      <c r="GR7" s="313"/>
      <c r="GS7" s="313"/>
      <c r="GT7" s="313"/>
      <c r="GU7" s="313"/>
      <c r="GV7" s="313"/>
      <c r="GW7" s="313"/>
      <c r="GX7" s="313"/>
      <c r="GY7" s="313"/>
      <c r="GZ7" s="313"/>
      <c r="HA7" s="313"/>
      <c r="HB7" s="313"/>
      <c r="HC7" s="313"/>
      <c r="HD7" s="313"/>
      <c r="HE7" s="313"/>
      <c r="HF7" s="313"/>
      <c r="HG7" s="313"/>
      <c r="HH7" s="313"/>
      <c r="HI7" s="313"/>
      <c r="HJ7" s="313"/>
      <c r="HK7" s="313"/>
      <c r="HL7" s="313"/>
      <c r="HM7" s="313"/>
      <c r="HN7" s="313"/>
      <c r="HO7" s="313"/>
      <c r="HP7" s="313"/>
      <c r="HQ7" s="313"/>
      <c r="HR7" s="313"/>
      <c r="HS7" s="313"/>
      <c r="HT7" s="313"/>
      <c r="HU7" s="313"/>
      <c r="HV7" s="313"/>
      <c r="HW7" s="313"/>
      <c r="HX7" s="313"/>
      <c r="HY7" s="313"/>
      <c r="HZ7" s="313"/>
      <c r="IA7" s="313"/>
      <c r="IB7" s="313"/>
      <c r="IC7" s="313"/>
      <c r="ID7" s="313"/>
      <c r="IE7" s="313"/>
      <c r="IF7" s="313"/>
      <c r="IG7" s="313"/>
      <c r="IH7" s="313"/>
      <c r="II7" s="313"/>
      <c r="IJ7" s="313"/>
      <c r="IK7" s="313"/>
      <c r="IL7" s="313"/>
      <c r="IM7" s="313"/>
      <c r="IN7" s="313"/>
      <c r="IO7" s="313"/>
      <c r="IP7" s="313"/>
      <c r="IQ7" s="313"/>
      <c r="IR7" s="313"/>
      <c r="IS7" s="313"/>
      <c r="IT7" s="313"/>
      <c r="IU7" s="313"/>
      <c r="IV7" s="313"/>
      <c r="IW7" s="313"/>
    </row>
    <row r="8" customFormat="false" ht="12.75" hidden="false" customHeight="false" outlineLevel="0" collapsed="false">
      <c r="A8" s="736"/>
      <c r="B8" s="1115" t="s">
        <v>730</v>
      </c>
      <c r="C8" s="100"/>
      <c r="D8" s="100"/>
      <c r="E8" s="100"/>
      <c r="F8" s="100"/>
      <c r="G8" s="100"/>
      <c r="H8" s="100"/>
      <c r="I8" s="10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88"/>
      <c r="AI8" s="100"/>
      <c r="AJ8" s="100"/>
      <c r="AK8" s="100"/>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0"/>
      <c r="BJ8" s="100"/>
      <c r="BK8" s="100"/>
      <c r="BL8" s="100"/>
      <c r="BM8" s="100"/>
      <c r="BN8" s="100"/>
      <c r="BO8" s="100"/>
      <c r="BP8" s="100"/>
      <c r="BQ8" s="100"/>
      <c r="BR8" s="100"/>
      <c r="BS8" s="100"/>
      <c r="BT8" s="100"/>
      <c r="BU8" s="100"/>
      <c r="BV8" s="100"/>
      <c r="BW8" s="100"/>
      <c r="BX8" s="100"/>
      <c r="BY8" s="100"/>
      <c r="BZ8" s="100"/>
      <c r="CA8" s="100"/>
      <c r="CB8" s="100"/>
      <c r="CC8" s="100"/>
      <c r="CD8" s="100"/>
      <c r="CE8" s="100"/>
      <c r="CF8" s="100"/>
      <c r="CG8" s="100"/>
      <c r="CH8" s="100"/>
      <c r="CI8" s="100"/>
      <c r="CJ8" s="100"/>
      <c r="CK8" s="100"/>
      <c r="CL8" s="100"/>
      <c r="CM8" s="100"/>
      <c r="CN8" s="100"/>
      <c r="CO8" s="100"/>
      <c r="CP8" s="100"/>
      <c r="CQ8" s="100"/>
      <c r="CR8" s="100"/>
      <c r="CS8" s="100"/>
      <c r="CT8" s="100"/>
      <c r="CU8" s="100"/>
      <c r="CV8" s="100"/>
      <c r="CW8" s="100"/>
      <c r="CX8" s="100"/>
      <c r="CY8" s="100"/>
      <c r="CZ8" s="100"/>
      <c r="DA8" s="100"/>
      <c r="DB8" s="100"/>
      <c r="DC8" s="100"/>
      <c r="DD8" s="100"/>
      <c r="DE8" s="100"/>
      <c r="DF8" s="100"/>
      <c r="DG8" s="100"/>
      <c r="DH8" s="100"/>
      <c r="DI8" s="100"/>
      <c r="DJ8" s="100"/>
      <c r="DK8" s="100"/>
      <c r="DL8" s="100"/>
      <c r="DM8" s="100"/>
      <c r="DN8" s="100"/>
      <c r="DO8" s="100"/>
      <c r="DP8" s="100"/>
      <c r="DQ8" s="100"/>
      <c r="DR8" s="100"/>
      <c r="DS8" s="100"/>
      <c r="DT8" s="100"/>
      <c r="DU8" s="100"/>
      <c r="DV8" s="100"/>
      <c r="DW8" s="100"/>
      <c r="DX8" s="100"/>
      <c r="DY8" s="100"/>
      <c r="DZ8" s="100"/>
      <c r="EA8" s="100"/>
      <c r="EB8" s="100"/>
      <c r="EC8" s="100"/>
      <c r="ED8" s="100"/>
      <c r="EE8" s="100"/>
      <c r="EF8" s="100"/>
      <c r="EG8" s="100"/>
      <c r="EH8" s="100"/>
      <c r="EI8" s="100"/>
      <c r="EJ8" s="100"/>
      <c r="EK8" s="100"/>
      <c r="EL8" s="100"/>
      <c r="EM8" s="100"/>
      <c r="EN8" s="100"/>
      <c r="EO8" s="100"/>
      <c r="EP8" s="100"/>
      <c r="EQ8" s="100"/>
      <c r="ER8" s="100"/>
      <c r="ES8" s="100"/>
      <c r="ET8" s="100"/>
      <c r="EU8" s="100"/>
      <c r="EV8" s="100"/>
      <c r="EW8" s="100"/>
      <c r="EX8" s="100"/>
      <c r="EY8" s="100"/>
      <c r="EZ8" s="100"/>
      <c r="FA8" s="100"/>
      <c r="FB8" s="100"/>
      <c r="FC8" s="100"/>
      <c r="FD8" s="100"/>
      <c r="FE8" s="100"/>
      <c r="FF8" s="100"/>
      <c r="FG8" s="100"/>
      <c r="FH8" s="100"/>
      <c r="FI8" s="100"/>
      <c r="FJ8" s="100"/>
      <c r="FK8" s="100"/>
      <c r="FL8" s="100"/>
      <c r="FM8" s="100"/>
      <c r="FN8" s="100"/>
      <c r="FO8" s="100"/>
      <c r="FP8" s="100"/>
      <c r="FQ8" s="100"/>
      <c r="FR8" s="100"/>
      <c r="FS8" s="100"/>
      <c r="FT8" s="100"/>
      <c r="FU8" s="100"/>
      <c r="FV8" s="100"/>
      <c r="FW8" s="100"/>
      <c r="FX8" s="100"/>
      <c r="FY8" s="100"/>
      <c r="FZ8" s="100"/>
      <c r="GA8" s="100"/>
      <c r="GB8" s="100"/>
      <c r="GC8" s="100"/>
      <c r="GD8" s="100"/>
      <c r="GE8" s="100"/>
      <c r="GF8" s="100"/>
      <c r="GG8" s="100"/>
      <c r="GH8" s="100"/>
      <c r="GI8" s="100"/>
      <c r="GJ8" s="100"/>
      <c r="GK8" s="100"/>
      <c r="GL8" s="100"/>
      <c r="GM8" s="100"/>
      <c r="GN8" s="100"/>
      <c r="GO8" s="100"/>
      <c r="GP8" s="100"/>
      <c r="GQ8" s="100"/>
      <c r="GR8" s="100"/>
      <c r="GS8" s="100"/>
      <c r="GT8" s="100"/>
      <c r="GU8" s="100"/>
      <c r="GV8" s="100"/>
      <c r="GW8" s="100"/>
      <c r="GX8" s="100"/>
      <c r="GY8" s="100"/>
      <c r="GZ8" s="100"/>
      <c r="HA8" s="100"/>
      <c r="HB8" s="100"/>
      <c r="HC8" s="100"/>
      <c r="HD8" s="100"/>
      <c r="HE8" s="100"/>
      <c r="HF8" s="100"/>
      <c r="HG8" s="100"/>
      <c r="HH8" s="100"/>
      <c r="HI8" s="100"/>
      <c r="HJ8" s="100"/>
      <c r="HK8" s="100"/>
      <c r="HL8" s="100"/>
      <c r="HM8" s="100"/>
      <c r="HN8" s="100"/>
      <c r="HO8" s="100"/>
      <c r="HP8" s="100"/>
      <c r="HQ8" s="100"/>
      <c r="HR8" s="100"/>
      <c r="HS8" s="100"/>
      <c r="HT8" s="100"/>
      <c r="HU8" s="100"/>
      <c r="HV8" s="100"/>
      <c r="HW8" s="100"/>
      <c r="HX8" s="100"/>
      <c r="HY8" s="100"/>
      <c r="HZ8" s="100"/>
      <c r="IA8" s="100"/>
      <c r="IB8" s="100"/>
      <c r="IC8" s="100"/>
      <c r="ID8" s="100"/>
      <c r="IE8" s="100"/>
      <c r="IF8" s="100"/>
      <c r="IG8" s="100"/>
      <c r="IH8" s="100"/>
      <c r="II8" s="100"/>
      <c r="IJ8" s="100"/>
      <c r="IK8" s="100"/>
      <c r="IL8" s="100"/>
      <c r="IM8" s="100"/>
      <c r="IN8" s="100"/>
      <c r="IO8" s="100"/>
      <c r="IP8" s="100"/>
      <c r="IQ8" s="100"/>
      <c r="IR8" s="100"/>
      <c r="IS8" s="100"/>
      <c r="IT8" s="100"/>
      <c r="IU8" s="100"/>
      <c r="IV8" s="100"/>
      <c r="IW8" s="100"/>
    </row>
    <row r="9" customFormat="false" ht="12.75" hidden="false" customHeight="false" outlineLevel="0" collapsed="false">
      <c r="A9" s="736"/>
      <c r="B9" s="1115" t="s">
        <v>731</v>
      </c>
      <c r="C9" s="100"/>
      <c r="D9" s="100" t="n">
        <f aca="false">Srcs_Uses!E6</f>
        <v>26230.8505492135</v>
      </c>
      <c r="E9" s="100"/>
      <c r="F9" s="100"/>
      <c r="G9" s="100"/>
      <c r="H9" s="100"/>
      <c r="I9" s="100"/>
      <c r="J9" s="100"/>
      <c r="K9" s="100"/>
      <c r="L9" s="100"/>
      <c r="M9" s="100"/>
      <c r="N9" s="100"/>
      <c r="O9" s="100"/>
      <c r="P9" s="100"/>
      <c r="Q9" s="100"/>
      <c r="R9" s="100"/>
      <c r="S9" s="100"/>
      <c r="T9" s="100"/>
      <c r="U9" s="100"/>
      <c r="V9" s="100"/>
      <c r="W9" s="100"/>
      <c r="X9" s="100"/>
      <c r="Y9" s="100"/>
      <c r="Z9" s="100"/>
      <c r="AA9" s="100"/>
      <c r="AB9" s="100"/>
      <c r="AC9" s="100"/>
      <c r="AD9" s="100"/>
      <c r="AE9" s="100"/>
      <c r="AF9" s="100"/>
      <c r="AG9" s="100"/>
      <c r="AH9" s="1088"/>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100"/>
      <c r="BQ9" s="100"/>
      <c r="BR9" s="100"/>
      <c r="BS9" s="100"/>
      <c r="BT9" s="100"/>
      <c r="BU9" s="100"/>
      <c r="BV9" s="100"/>
      <c r="BW9" s="100"/>
      <c r="BX9" s="100"/>
      <c r="BY9" s="100"/>
      <c r="BZ9" s="100"/>
      <c r="CA9" s="100"/>
      <c r="CB9" s="100"/>
      <c r="CC9" s="100"/>
      <c r="CD9" s="100"/>
      <c r="CE9" s="100"/>
      <c r="CF9" s="100"/>
      <c r="CG9" s="100"/>
      <c r="CH9" s="100"/>
      <c r="CI9" s="100"/>
      <c r="CJ9" s="100"/>
      <c r="CK9" s="100"/>
      <c r="CL9" s="100"/>
      <c r="CM9" s="100"/>
      <c r="CN9" s="100"/>
      <c r="CO9" s="100"/>
      <c r="CP9" s="100"/>
      <c r="CQ9" s="100"/>
      <c r="CR9" s="100"/>
      <c r="CS9" s="100"/>
      <c r="CT9" s="100"/>
      <c r="CU9" s="100"/>
      <c r="CV9" s="100"/>
      <c r="CW9" s="100"/>
      <c r="CX9" s="100"/>
      <c r="CY9" s="100"/>
      <c r="CZ9" s="100"/>
      <c r="DA9" s="100"/>
      <c r="DB9" s="100"/>
      <c r="DC9" s="100"/>
      <c r="DD9" s="100"/>
      <c r="DE9" s="100"/>
      <c r="DF9" s="100"/>
      <c r="DG9" s="100"/>
      <c r="DH9" s="100"/>
      <c r="DI9" s="100"/>
      <c r="DJ9" s="100"/>
      <c r="DK9" s="100"/>
      <c r="DL9" s="100"/>
      <c r="DM9" s="100"/>
      <c r="DN9" s="100"/>
      <c r="DO9" s="100"/>
      <c r="DP9" s="100"/>
      <c r="DQ9" s="100"/>
      <c r="DR9" s="100"/>
      <c r="DS9" s="100"/>
      <c r="DT9" s="100"/>
      <c r="DU9" s="100"/>
      <c r="DV9" s="100"/>
      <c r="DW9" s="100"/>
      <c r="DX9" s="100"/>
      <c r="DY9" s="100"/>
      <c r="DZ9" s="100"/>
      <c r="EA9" s="100"/>
      <c r="EB9" s="100"/>
      <c r="EC9" s="100"/>
      <c r="ED9" s="100"/>
      <c r="EE9" s="100"/>
      <c r="EF9" s="100"/>
      <c r="EG9" s="100"/>
      <c r="EH9" s="100"/>
      <c r="EI9" s="100"/>
      <c r="EJ9" s="100"/>
      <c r="EK9" s="100"/>
      <c r="EL9" s="100"/>
      <c r="EM9" s="100"/>
      <c r="EN9" s="100"/>
      <c r="EO9" s="100"/>
      <c r="EP9" s="100"/>
      <c r="EQ9" s="100"/>
      <c r="ER9" s="100"/>
      <c r="ES9" s="100"/>
      <c r="ET9" s="100"/>
      <c r="EU9" s="100"/>
      <c r="EV9" s="100"/>
      <c r="EW9" s="100"/>
      <c r="EX9" s="100"/>
      <c r="EY9" s="100"/>
      <c r="EZ9" s="100"/>
      <c r="FA9" s="100"/>
      <c r="FB9" s="100"/>
      <c r="FC9" s="100"/>
      <c r="FD9" s="100"/>
      <c r="FE9" s="100"/>
      <c r="FF9" s="100"/>
      <c r="FG9" s="100"/>
      <c r="FH9" s="100"/>
      <c r="FI9" s="100"/>
      <c r="FJ9" s="100"/>
      <c r="FK9" s="100"/>
      <c r="FL9" s="100"/>
      <c r="FM9" s="100"/>
      <c r="FN9" s="100"/>
      <c r="FO9" s="100"/>
      <c r="FP9" s="100"/>
      <c r="FQ9" s="100"/>
      <c r="FR9" s="100"/>
      <c r="FS9" s="100"/>
      <c r="FT9" s="100"/>
      <c r="FU9" s="100"/>
      <c r="FV9" s="100"/>
      <c r="FW9" s="100"/>
      <c r="FX9" s="100"/>
      <c r="FY9" s="100"/>
      <c r="FZ9" s="100"/>
      <c r="GA9" s="100"/>
      <c r="GB9" s="100"/>
      <c r="GC9" s="100"/>
      <c r="GD9" s="100"/>
      <c r="GE9" s="100"/>
      <c r="GF9" s="100"/>
      <c r="GG9" s="100"/>
      <c r="GH9" s="100"/>
      <c r="GI9" s="100"/>
      <c r="GJ9" s="100"/>
      <c r="GK9" s="100"/>
      <c r="GL9" s="100"/>
      <c r="GM9" s="100"/>
      <c r="GN9" s="100"/>
      <c r="GO9" s="100"/>
      <c r="GP9" s="100"/>
      <c r="GQ9" s="100"/>
      <c r="GR9" s="100"/>
      <c r="GS9" s="100"/>
      <c r="GT9" s="100"/>
      <c r="GU9" s="100"/>
      <c r="GV9" s="100"/>
      <c r="GW9" s="100"/>
      <c r="GX9" s="100"/>
      <c r="GY9" s="100"/>
      <c r="GZ9" s="100"/>
      <c r="HA9" s="100"/>
      <c r="HB9" s="100"/>
      <c r="HC9" s="100"/>
      <c r="HD9" s="100"/>
      <c r="HE9" s="100"/>
      <c r="HF9" s="100"/>
      <c r="HG9" s="100"/>
      <c r="HH9" s="100"/>
      <c r="HI9" s="100"/>
      <c r="HJ9" s="100"/>
      <c r="HK9" s="100"/>
      <c r="HL9" s="100"/>
      <c r="HM9" s="100"/>
      <c r="HN9" s="100"/>
      <c r="HO9" s="100"/>
      <c r="HP9" s="100"/>
      <c r="HQ9" s="100"/>
      <c r="HR9" s="100"/>
      <c r="HS9" s="100"/>
      <c r="HT9" s="100"/>
      <c r="HU9" s="100"/>
      <c r="HV9" s="100"/>
      <c r="HW9" s="100"/>
      <c r="HX9" s="100"/>
      <c r="HY9" s="100"/>
      <c r="HZ9" s="100"/>
      <c r="IA9" s="100"/>
      <c r="IB9" s="100"/>
      <c r="IC9" s="100"/>
      <c r="ID9" s="100"/>
      <c r="IE9" s="100"/>
      <c r="IF9" s="100"/>
      <c r="IG9" s="100"/>
      <c r="IH9" s="100"/>
      <c r="II9" s="100"/>
      <c r="IJ9" s="100"/>
      <c r="IK9" s="100"/>
      <c r="IL9" s="100"/>
      <c r="IM9" s="100"/>
      <c r="IN9" s="100"/>
      <c r="IO9" s="100"/>
      <c r="IP9" s="100"/>
      <c r="IQ9" s="100"/>
      <c r="IR9" s="100"/>
      <c r="IS9" s="100"/>
      <c r="IT9" s="100"/>
      <c r="IU9" s="100"/>
      <c r="IV9" s="100"/>
      <c r="IW9" s="100"/>
    </row>
    <row r="10" customFormat="false" ht="12.75" hidden="false" customHeight="false" outlineLevel="0" collapsed="false">
      <c r="A10" s="736"/>
      <c r="B10" s="1115" t="s">
        <v>551</v>
      </c>
      <c r="C10" s="100"/>
      <c r="D10" s="100" t="n">
        <f aca="false">CashFlow!E42</f>
        <v>0</v>
      </c>
      <c r="E10" s="100" t="n">
        <f aca="false">CashFlow!F42</f>
        <v>0</v>
      </c>
      <c r="F10" s="100" t="n">
        <f aca="false">CashFlow!G42</f>
        <v>0</v>
      </c>
      <c r="G10" s="100" t="n">
        <f aca="false">CashFlow!H42</f>
        <v>0</v>
      </c>
      <c r="H10" s="100" t="n">
        <f aca="false">CashFlow!I42</f>
        <v>0</v>
      </c>
      <c r="I10" s="100" t="n">
        <f aca="false">CashFlow!J42</f>
        <v>0</v>
      </c>
      <c r="J10" s="100" t="n">
        <f aca="false">CashFlow!K42</f>
        <v>0</v>
      </c>
      <c r="K10" s="100" t="n">
        <f aca="false">CashFlow!L42</f>
        <v>0</v>
      </c>
      <c r="L10" s="100" t="n">
        <f aca="false">CashFlow!M42</f>
        <v>0</v>
      </c>
      <c r="M10" s="100" t="n">
        <f aca="false">CashFlow!N42</f>
        <v>0</v>
      </c>
      <c r="N10" s="100" t="n">
        <f aca="false">CashFlow!O42</f>
        <v>0</v>
      </c>
      <c r="O10" s="100" t="n">
        <f aca="false">CashFlow!P42</f>
        <v>0</v>
      </c>
      <c r="P10" s="100" t="n">
        <f aca="false">CashFlow!Q42</f>
        <v>0</v>
      </c>
      <c r="Q10" s="100" t="n">
        <f aca="false">CashFlow!R42</f>
        <v>0</v>
      </c>
      <c r="R10" s="100" t="n">
        <f aca="false">CashFlow!S42</f>
        <v>0</v>
      </c>
      <c r="S10" s="100" t="n">
        <f aca="false">CashFlow!T42</f>
        <v>0</v>
      </c>
      <c r="T10" s="100" t="n">
        <f aca="false">CashFlow!U42</f>
        <v>0</v>
      </c>
      <c r="U10" s="100" t="n">
        <f aca="false">CashFlow!V42</f>
        <v>0</v>
      </c>
      <c r="V10" s="100" t="n">
        <f aca="false">CashFlow!W42</f>
        <v>0</v>
      </c>
      <c r="W10" s="100" t="n">
        <f aca="false">CashFlow!X42</f>
        <v>0</v>
      </c>
      <c r="X10" s="100" t="n">
        <f aca="false">CashFlow!Y42</f>
        <v>0</v>
      </c>
      <c r="Y10" s="100" t="n">
        <f aca="false">CashFlow!Z42</f>
        <v>0</v>
      </c>
      <c r="Z10" s="100" t="n">
        <f aca="false">CashFlow!AA42</f>
        <v>0</v>
      </c>
      <c r="AA10" s="100" t="n">
        <f aca="false">CashFlow!AB42</f>
        <v>0</v>
      </c>
      <c r="AB10" s="100" t="n">
        <f aca="false">CashFlow!AC42</f>
        <v>0</v>
      </c>
      <c r="AC10" s="100" t="n">
        <f aca="false">CashFlow!AD42</f>
        <v>0</v>
      </c>
      <c r="AD10" s="100" t="n">
        <f aca="false">CashFlow!AE42</f>
        <v>0</v>
      </c>
      <c r="AE10" s="100" t="n">
        <f aca="false">CashFlow!AF42</f>
        <v>0</v>
      </c>
      <c r="AF10" s="100" t="n">
        <f aca="false">CashFlow!AG42</f>
        <v>0</v>
      </c>
      <c r="AG10" s="100" t="n">
        <f aca="false">CashFlow!AH42</f>
        <v>0</v>
      </c>
      <c r="AH10" s="1088" t="n">
        <f aca="false">CashFlow!AI42</f>
        <v>0</v>
      </c>
      <c r="AI10" s="100"/>
      <c r="AJ10" s="100"/>
      <c r="AK10" s="100"/>
      <c r="AL10" s="100"/>
      <c r="AM10" s="100"/>
      <c r="AN10" s="100"/>
      <c r="AO10" s="100"/>
      <c r="AP10" s="100"/>
      <c r="AQ10" s="100"/>
      <c r="AR10" s="100"/>
      <c r="AS10" s="100"/>
      <c r="AT10" s="100"/>
      <c r="AU10" s="100"/>
      <c r="AV10" s="100"/>
      <c r="AW10" s="100"/>
      <c r="AX10" s="100"/>
      <c r="AY10" s="100"/>
      <c r="AZ10" s="100"/>
      <c r="BA10" s="100"/>
      <c r="BB10" s="100"/>
      <c r="BC10" s="100"/>
      <c r="BD10" s="100"/>
      <c r="BE10" s="100"/>
      <c r="BF10" s="100"/>
      <c r="BG10" s="100"/>
      <c r="BH10" s="100"/>
      <c r="BI10" s="100"/>
      <c r="BJ10" s="100"/>
      <c r="BK10" s="100"/>
      <c r="BL10" s="100"/>
      <c r="BM10" s="100"/>
      <c r="BN10" s="100"/>
      <c r="BO10" s="100"/>
      <c r="BP10" s="100"/>
      <c r="BQ10" s="100"/>
      <c r="BR10" s="100"/>
      <c r="BS10" s="100"/>
      <c r="BT10" s="100"/>
      <c r="BU10" s="100"/>
      <c r="BV10" s="100"/>
      <c r="BW10" s="100"/>
      <c r="BX10" s="100"/>
      <c r="BY10" s="100"/>
      <c r="BZ10" s="100"/>
      <c r="CA10" s="100"/>
      <c r="CB10" s="100"/>
      <c r="CC10" s="100"/>
      <c r="CD10" s="100"/>
      <c r="CE10" s="100"/>
      <c r="CF10" s="100"/>
      <c r="CG10" s="100"/>
      <c r="CH10" s="100"/>
      <c r="CI10" s="100"/>
      <c r="CJ10" s="100"/>
      <c r="CK10" s="100"/>
      <c r="CL10" s="100"/>
      <c r="CM10" s="100"/>
      <c r="CN10" s="100"/>
      <c r="CO10" s="100"/>
      <c r="CP10" s="100"/>
      <c r="CQ10" s="100"/>
      <c r="CR10" s="100"/>
      <c r="CS10" s="100"/>
      <c r="CT10" s="100"/>
      <c r="CU10" s="100"/>
      <c r="CV10" s="100"/>
      <c r="CW10" s="100"/>
      <c r="CX10" s="100"/>
      <c r="CY10" s="100"/>
      <c r="CZ10" s="100"/>
      <c r="DA10" s="100"/>
      <c r="DB10" s="100"/>
      <c r="DC10" s="100"/>
      <c r="DD10" s="100"/>
      <c r="DE10" s="100"/>
      <c r="DF10" s="100"/>
      <c r="DG10" s="100"/>
      <c r="DH10" s="100"/>
      <c r="DI10" s="100"/>
      <c r="DJ10" s="100"/>
      <c r="DK10" s="100"/>
      <c r="DL10" s="100"/>
      <c r="DM10" s="100"/>
      <c r="DN10" s="100"/>
      <c r="DO10" s="100"/>
      <c r="DP10" s="100"/>
      <c r="DQ10" s="100"/>
      <c r="DR10" s="100"/>
      <c r="DS10" s="100"/>
      <c r="DT10" s="100"/>
      <c r="DU10" s="100"/>
      <c r="DV10" s="100"/>
      <c r="DW10" s="100"/>
      <c r="DX10" s="100"/>
      <c r="DY10" s="100"/>
      <c r="DZ10" s="100"/>
      <c r="EA10" s="100"/>
      <c r="EB10" s="100"/>
      <c r="EC10" s="100"/>
      <c r="ED10" s="100"/>
      <c r="EE10" s="100"/>
      <c r="EF10" s="100"/>
      <c r="EG10" s="100"/>
      <c r="EH10" s="100"/>
      <c r="EI10" s="100"/>
      <c r="EJ10" s="100"/>
      <c r="EK10" s="100"/>
      <c r="EL10" s="100"/>
      <c r="EM10" s="100"/>
      <c r="EN10" s="100"/>
      <c r="EO10" s="100"/>
      <c r="EP10" s="100"/>
      <c r="EQ10" s="100"/>
      <c r="ER10" s="100"/>
      <c r="ES10" s="100"/>
      <c r="ET10" s="100"/>
      <c r="EU10" s="100"/>
      <c r="EV10" s="100"/>
      <c r="EW10" s="100"/>
      <c r="EX10" s="100"/>
      <c r="EY10" s="100"/>
      <c r="EZ10" s="100"/>
      <c r="FA10" s="100"/>
      <c r="FB10" s="100"/>
      <c r="FC10" s="100"/>
      <c r="FD10" s="100"/>
      <c r="FE10" s="100"/>
      <c r="FF10" s="100"/>
      <c r="FG10" s="100"/>
      <c r="FH10" s="100"/>
      <c r="FI10" s="100"/>
      <c r="FJ10" s="100"/>
      <c r="FK10" s="100"/>
      <c r="FL10" s="100"/>
      <c r="FM10" s="100"/>
      <c r="FN10" s="100"/>
      <c r="FO10" s="100"/>
      <c r="FP10" s="100"/>
      <c r="FQ10" s="100"/>
      <c r="FR10" s="100"/>
      <c r="FS10" s="100"/>
      <c r="FT10" s="100"/>
      <c r="FU10" s="100"/>
      <c r="FV10" s="100"/>
      <c r="FW10" s="100"/>
      <c r="FX10" s="100"/>
      <c r="FY10" s="100"/>
      <c r="FZ10" s="100"/>
      <c r="GA10" s="100"/>
      <c r="GB10" s="100"/>
      <c r="GC10" s="100"/>
      <c r="GD10" s="100"/>
      <c r="GE10" s="100"/>
      <c r="GF10" s="100"/>
      <c r="GG10" s="100"/>
      <c r="GH10" s="100"/>
      <c r="GI10" s="100"/>
      <c r="GJ10" s="100"/>
      <c r="GK10" s="100"/>
      <c r="GL10" s="100"/>
      <c r="GM10" s="100"/>
      <c r="GN10" s="100"/>
      <c r="GO10" s="100"/>
      <c r="GP10" s="100"/>
      <c r="GQ10" s="100"/>
      <c r="GR10" s="100"/>
      <c r="GS10" s="100"/>
      <c r="GT10" s="100"/>
      <c r="GU10" s="100"/>
      <c r="GV10" s="100"/>
      <c r="GW10" s="100"/>
      <c r="GX10" s="100"/>
      <c r="GY10" s="100"/>
      <c r="GZ10" s="100"/>
      <c r="HA10" s="100"/>
      <c r="HB10" s="100"/>
      <c r="HC10" s="100"/>
      <c r="HD10" s="100"/>
      <c r="HE10" s="100"/>
      <c r="HF10" s="100"/>
      <c r="HG10" s="100"/>
      <c r="HH10" s="100"/>
      <c r="HI10" s="100"/>
      <c r="HJ10" s="100"/>
      <c r="HK10" s="100"/>
      <c r="HL10" s="100"/>
      <c r="HM10" s="100"/>
      <c r="HN10" s="100"/>
      <c r="HO10" s="100"/>
      <c r="HP10" s="100"/>
      <c r="HQ10" s="100"/>
      <c r="HR10" s="100"/>
      <c r="HS10" s="100"/>
      <c r="HT10" s="100"/>
      <c r="HU10" s="100"/>
      <c r="HV10" s="100"/>
      <c r="HW10" s="100"/>
      <c r="HX10" s="100"/>
      <c r="HY10" s="100"/>
      <c r="HZ10" s="100"/>
      <c r="IA10" s="100"/>
      <c r="IB10" s="100"/>
      <c r="IC10" s="100"/>
      <c r="ID10" s="100"/>
      <c r="IE10" s="100"/>
      <c r="IF10" s="100"/>
      <c r="IG10" s="100"/>
      <c r="IH10" s="100"/>
      <c r="II10" s="100"/>
      <c r="IJ10" s="100"/>
      <c r="IK10" s="100"/>
      <c r="IL10" s="100"/>
      <c r="IM10" s="100"/>
      <c r="IN10" s="100"/>
      <c r="IO10" s="100"/>
      <c r="IP10" s="100"/>
      <c r="IQ10" s="100"/>
      <c r="IR10" s="100"/>
      <c r="IS10" s="100"/>
      <c r="IT10" s="100"/>
      <c r="IU10" s="100"/>
      <c r="IV10" s="100"/>
      <c r="IW10" s="100"/>
    </row>
    <row r="11" customFormat="false" ht="12.75" hidden="false" customHeight="false" outlineLevel="0" collapsed="false">
      <c r="A11" s="736"/>
      <c r="B11" s="1089" t="s">
        <v>732</v>
      </c>
      <c r="C11" s="130"/>
      <c r="D11" s="130" t="n">
        <f aca="false">SUM(CapAcc!D12:D15)</f>
        <v>3666.92260553876</v>
      </c>
      <c r="E11" s="130" t="n">
        <f aca="false">SUM(CapAcc!E12:E15)</f>
        <v>3666.92260553876</v>
      </c>
      <c r="F11" s="130" t="n">
        <f aca="false">SUM(CapAcc!F12:F15)</f>
        <v>3666.92260553876</v>
      </c>
      <c r="G11" s="130" t="n">
        <f aca="false">SUM(CapAcc!G12:G15)</f>
        <v>3666.92260553876</v>
      </c>
      <c r="H11" s="130" t="n">
        <f aca="false">SUM(CapAcc!H12:H15)</f>
        <v>3666.92260553876</v>
      </c>
      <c r="I11" s="130" t="n">
        <f aca="false">SUM(CapAcc!I12:I15)</f>
        <v>3666.92260553876</v>
      </c>
      <c r="J11" s="130" t="n">
        <f aca="false">SUM(CapAcc!J12:J15)</f>
        <v>3666.92260553876</v>
      </c>
      <c r="K11" s="130" t="n">
        <f aca="false">SUM(CapAcc!K12:K15)</f>
        <v>3666.92260553876</v>
      </c>
      <c r="L11" s="130" t="n">
        <f aca="false">SUM(CapAcc!L12:L15)</f>
        <v>3666.92260553876</v>
      </c>
      <c r="M11" s="130" t="n">
        <f aca="false">SUM(CapAcc!M12:M15)</f>
        <v>3666.92260553876</v>
      </c>
      <c r="N11" s="130" t="n">
        <f aca="false">SUM(CapAcc!N12:N15)</f>
        <v>3666.92260553876</v>
      </c>
      <c r="O11" s="130" t="n">
        <f aca="false">SUM(CapAcc!O12:O15)</f>
        <v>3666.92260553876</v>
      </c>
      <c r="P11" s="130" t="n">
        <f aca="false">SUM(CapAcc!P12:P15)</f>
        <v>3666.92260553876</v>
      </c>
      <c r="Q11" s="130" t="n">
        <f aca="false">SUM(CapAcc!Q12:Q15)</f>
        <v>3666.92260553876</v>
      </c>
      <c r="R11" s="130" t="n">
        <f aca="false">SUM(CapAcc!R12:R15)</f>
        <v>3666.92260553876</v>
      </c>
      <c r="S11" s="130" t="n">
        <f aca="false">SUM(CapAcc!S12:S15)</f>
        <v>3666.92260553876</v>
      </c>
      <c r="T11" s="130" t="n">
        <f aca="false">SUM(CapAcc!T12:T15)</f>
        <v>3666.92260553876</v>
      </c>
      <c r="U11" s="130" t="n">
        <f aca="false">SUM(CapAcc!U12:U15)</f>
        <v>3666.92260553876</v>
      </c>
      <c r="V11" s="130" t="n">
        <f aca="false">SUM(CapAcc!V12:V15)</f>
        <v>3666.92260553876</v>
      </c>
      <c r="W11" s="130" t="n">
        <f aca="false">SUM(CapAcc!W12:W15)</f>
        <v>3666.92260553876</v>
      </c>
      <c r="X11" s="130" t="n">
        <f aca="false">SUM(CapAcc!X12:X15)</f>
        <v>0</v>
      </c>
      <c r="Y11" s="130" t="n">
        <f aca="false">SUM(CapAcc!Y12:Y15)</f>
        <v>0</v>
      </c>
      <c r="Z11" s="130" t="n">
        <f aca="false">SUM(CapAcc!Z12:Z15)</f>
        <v>0</v>
      </c>
      <c r="AA11" s="130" t="n">
        <f aca="false">SUM(CapAcc!AA12:AA15)</f>
        <v>0</v>
      </c>
      <c r="AB11" s="130" t="n">
        <f aca="false">SUM(CapAcc!AB12:AB15)</f>
        <v>0</v>
      </c>
      <c r="AC11" s="130" t="n">
        <f aca="false">SUM(CapAcc!AC12:AC15)</f>
        <v>0</v>
      </c>
      <c r="AD11" s="130" t="n">
        <f aca="false">SUM(CapAcc!AD12:AD15)</f>
        <v>0</v>
      </c>
      <c r="AE11" s="130" t="n">
        <f aca="false">SUM(CapAcc!AE12:AE15)</f>
        <v>0</v>
      </c>
      <c r="AF11" s="130" t="n">
        <f aca="false">SUM(CapAcc!AF12:AF15)</f>
        <v>0</v>
      </c>
      <c r="AG11" s="130" t="n">
        <f aca="false">SUM(CapAcc!AG12:AG15)</f>
        <v>0</v>
      </c>
      <c r="AH11" s="130" t="n">
        <f aca="false">SUM(CapAcc!AH12:AH15)</f>
        <v>0</v>
      </c>
      <c r="AI11" s="100"/>
      <c r="AJ11" s="100"/>
      <c r="AK11" s="100"/>
      <c r="AL11" s="100"/>
      <c r="AM11" s="100"/>
      <c r="AN11" s="100"/>
      <c r="AO11" s="100"/>
      <c r="AP11" s="100"/>
      <c r="AQ11" s="100"/>
      <c r="AR11" s="100"/>
      <c r="AS11" s="100"/>
      <c r="AT11" s="100"/>
      <c r="AU11" s="100"/>
      <c r="AV11" s="100"/>
      <c r="AW11" s="100"/>
      <c r="AX11" s="100"/>
      <c r="AY11" s="100"/>
      <c r="AZ11" s="100"/>
      <c r="BA11" s="100"/>
      <c r="BB11" s="100"/>
      <c r="BC11" s="100"/>
      <c r="BD11" s="100"/>
      <c r="BE11" s="100"/>
      <c r="BF11" s="100"/>
      <c r="BG11" s="100"/>
      <c r="BH11" s="100"/>
      <c r="BI11" s="100"/>
      <c r="BJ11" s="100"/>
      <c r="BK11" s="100"/>
      <c r="BL11" s="100"/>
      <c r="BM11" s="100"/>
      <c r="BN11" s="100"/>
      <c r="BO11" s="100"/>
      <c r="BP11" s="100"/>
      <c r="BQ11" s="100"/>
      <c r="BR11" s="100"/>
      <c r="BS11" s="100"/>
      <c r="BT11" s="100"/>
      <c r="BU11" s="100"/>
      <c r="BV11" s="100"/>
      <c r="BW11" s="100"/>
      <c r="BX11" s="100"/>
      <c r="BY11" s="100"/>
      <c r="BZ11" s="100"/>
      <c r="CA11" s="100"/>
      <c r="CB11" s="100"/>
      <c r="CC11" s="100"/>
      <c r="CD11" s="100"/>
      <c r="CE11" s="100"/>
      <c r="CF11" s="100"/>
      <c r="CG11" s="100"/>
      <c r="CH11" s="100"/>
      <c r="CI11" s="100"/>
      <c r="CJ11" s="100"/>
      <c r="CK11" s="100"/>
      <c r="CL11" s="100"/>
      <c r="CM11" s="100"/>
      <c r="CN11" s="100"/>
      <c r="CO11" s="100"/>
      <c r="CP11" s="100"/>
      <c r="CQ11" s="100"/>
      <c r="CR11" s="100"/>
      <c r="CS11" s="100"/>
      <c r="CT11" s="100"/>
      <c r="CU11" s="100"/>
      <c r="CV11" s="100"/>
      <c r="CW11" s="100"/>
      <c r="CX11" s="100"/>
      <c r="CY11" s="100"/>
      <c r="CZ11" s="100"/>
      <c r="DA11" s="100"/>
      <c r="DB11" s="100"/>
      <c r="DC11" s="100"/>
      <c r="DD11" s="100"/>
      <c r="DE11" s="100"/>
      <c r="DF11" s="100"/>
      <c r="DG11" s="100"/>
      <c r="DH11" s="100"/>
      <c r="DI11" s="100"/>
      <c r="DJ11" s="100"/>
      <c r="DK11" s="100"/>
      <c r="DL11" s="100"/>
      <c r="DM11" s="100"/>
      <c r="DN11" s="100"/>
      <c r="DO11" s="100"/>
      <c r="DP11" s="100"/>
      <c r="DQ11" s="100"/>
      <c r="DR11" s="100"/>
      <c r="DS11" s="100"/>
      <c r="DT11" s="100"/>
      <c r="DU11" s="100"/>
      <c r="DV11" s="100"/>
      <c r="DW11" s="100"/>
      <c r="DX11" s="100"/>
      <c r="DY11" s="100"/>
      <c r="DZ11" s="100"/>
      <c r="EA11" s="100"/>
      <c r="EB11" s="100"/>
      <c r="EC11" s="100"/>
      <c r="ED11" s="100"/>
      <c r="EE11" s="100"/>
      <c r="EF11" s="100"/>
      <c r="EG11" s="100"/>
      <c r="EH11" s="100"/>
      <c r="EI11" s="100"/>
      <c r="EJ11" s="100"/>
      <c r="EK11" s="100"/>
      <c r="EL11" s="100"/>
      <c r="EM11" s="100"/>
      <c r="EN11" s="100"/>
      <c r="EO11" s="100"/>
      <c r="EP11" s="100"/>
      <c r="EQ11" s="100"/>
      <c r="ER11" s="100"/>
      <c r="ES11" s="100"/>
      <c r="ET11" s="100"/>
      <c r="EU11" s="100"/>
      <c r="EV11" s="100"/>
      <c r="EW11" s="100"/>
      <c r="EX11" s="100"/>
      <c r="EY11" s="100"/>
      <c r="EZ11" s="100"/>
      <c r="FA11" s="100"/>
      <c r="FB11" s="100"/>
      <c r="FC11" s="100"/>
      <c r="FD11" s="100"/>
      <c r="FE11" s="100"/>
      <c r="FF11" s="100"/>
      <c r="FG11" s="100"/>
      <c r="FH11" s="100"/>
      <c r="FI11" s="100"/>
      <c r="FJ11" s="100"/>
      <c r="FK11" s="100"/>
      <c r="FL11" s="100"/>
      <c r="FM11" s="100"/>
      <c r="FN11" s="100"/>
      <c r="FO11" s="100"/>
      <c r="FP11" s="100"/>
      <c r="FQ11" s="100"/>
      <c r="FR11" s="100"/>
      <c r="FS11" s="100"/>
      <c r="FT11" s="100"/>
      <c r="FU11" s="100"/>
      <c r="FV11" s="100"/>
      <c r="FW11" s="100"/>
      <c r="FX11" s="100"/>
      <c r="FY11" s="100"/>
      <c r="FZ11" s="100"/>
      <c r="GA11" s="100"/>
      <c r="GB11" s="100"/>
      <c r="GC11" s="100"/>
      <c r="GD11" s="100"/>
      <c r="GE11" s="100"/>
      <c r="GF11" s="100"/>
      <c r="GG11" s="100"/>
      <c r="GH11" s="100"/>
      <c r="GI11" s="100"/>
      <c r="GJ11" s="100"/>
      <c r="GK11" s="100"/>
      <c r="GL11" s="100"/>
      <c r="GM11" s="100"/>
      <c r="GN11" s="100"/>
      <c r="GO11" s="100"/>
      <c r="GP11" s="100"/>
      <c r="GQ11" s="100"/>
      <c r="GR11" s="100"/>
      <c r="GS11" s="100"/>
      <c r="GT11" s="100"/>
      <c r="GU11" s="100"/>
      <c r="GV11" s="100"/>
      <c r="GW11" s="100"/>
      <c r="GX11" s="100"/>
      <c r="GY11" s="100"/>
      <c r="GZ11" s="100"/>
      <c r="HA11" s="100"/>
      <c r="HB11" s="100"/>
      <c r="HC11" s="100"/>
      <c r="HD11" s="100"/>
      <c r="HE11" s="100"/>
      <c r="HF11" s="100"/>
      <c r="HG11" s="100"/>
      <c r="HH11" s="100"/>
      <c r="HI11" s="100"/>
      <c r="HJ11" s="100"/>
      <c r="HK11" s="100"/>
      <c r="HL11" s="100"/>
      <c r="HM11" s="100"/>
      <c r="HN11" s="100"/>
      <c r="HO11" s="100"/>
      <c r="HP11" s="100"/>
      <c r="HQ11" s="100"/>
      <c r="HR11" s="100"/>
      <c r="HS11" s="100"/>
      <c r="HT11" s="100"/>
      <c r="HU11" s="100"/>
      <c r="HV11" s="100"/>
      <c r="HW11" s="100"/>
      <c r="HX11" s="100"/>
      <c r="HY11" s="100"/>
      <c r="HZ11" s="100"/>
      <c r="IA11" s="100"/>
      <c r="IB11" s="100"/>
      <c r="IC11" s="100"/>
      <c r="ID11" s="100"/>
      <c r="IE11" s="100"/>
      <c r="IF11" s="100"/>
      <c r="IG11" s="100"/>
      <c r="IH11" s="100"/>
      <c r="II11" s="100"/>
      <c r="IJ11" s="100"/>
      <c r="IK11" s="100"/>
      <c r="IL11" s="100"/>
      <c r="IM11" s="100"/>
      <c r="IN11" s="100"/>
      <c r="IO11" s="100"/>
      <c r="IP11" s="100"/>
      <c r="IQ11" s="100"/>
      <c r="IR11" s="100"/>
      <c r="IS11" s="100"/>
      <c r="IT11" s="100"/>
      <c r="IU11" s="100"/>
      <c r="IV11" s="100"/>
      <c r="IW11" s="100"/>
    </row>
    <row r="12" customFormat="false" ht="12.75" hidden="false" customHeight="false" outlineLevel="0" collapsed="false">
      <c r="A12" s="736"/>
      <c r="B12" s="1115" t="s">
        <v>733</v>
      </c>
      <c r="C12" s="100"/>
      <c r="D12" s="100" t="n">
        <f aca="false">SUM(CapAcc!D16:D23)</f>
        <v>-10759.2773490587</v>
      </c>
      <c r="E12" s="100" t="n">
        <f aca="false">SUM(CapAcc!E16:E23)</f>
        <v>-15120.7469465757</v>
      </c>
      <c r="F12" s="100" t="n">
        <f aca="false">SUM(CapAcc!F16:F23)</f>
        <v>-10407.7433910392</v>
      </c>
      <c r="G12" s="100" t="n">
        <f aca="false">SUM(CapAcc!G16:G23)</f>
        <v>-7557.21479109848</v>
      </c>
      <c r="H12" s="100" t="n">
        <f aca="false">SUM(CapAcc!H16:H23)</f>
        <v>-7514.47917501413</v>
      </c>
      <c r="I12" s="100" t="n">
        <f aca="false">SUM(CapAcc!I16:I23)</f>
        <v>-5361.51996619212</v>
      </c>
      <c r="J12" s="100" t="n">
        <f aca="false">SUM(CapAcc!J16:J23)</f>
        <v>-3213.64579374226</v>
      </c>
      <c r="K12" s="100" t="n">
        <f aca="false">SUM(CapAcc!K16:K23)</f>
        <v>-3162.34324164175</v>
      </c>
      <c r="L12" s="100" t="n">
        <f aca="false">SUM(CapAcc!L16:L23)</f>
        <v>-3109.16452471168</v>
      </c>
      <c r="M12" s="100" t="n">
        <f aca="false">SUM(CapAcc!M16:M23)</f>
        <v>-3051.07143321251</v>
      </c>
      <c r="N12" s="100" t="n">
        <f aca="false">SUM(CapAcc!N16:N23)</f>
        <v>-2957.13812175975</v>
      </c>
      <c r="O12" s="100" t="n">
        <f aca="false">SUM(CapAcc!O16:O23)</f>
        <v>-2882.64001664585</v>
      </c>
      <c r="P12" s="100" t="n">
        <f aca="false">SUM(CapAcc!P16:P23)</f>
        <v>-2803.71516939096</v>
      </c>
      <c r="Q12" s="100" t="n">
        <f aca="false">SUM(CapAcc!Q16:Q23)</f>
        <v>-2717.79385299878</v>
      </c>
      <c r="R12" s="100" t="n">
        <f aca="false">SUM(CapAcc!R16:R23)</f>
        <v>-2625.36594343861</v>
      </c>
      <c r="S12" s="100" t="n">
        <f aca="false">SUM(CapAcc!S16:S23)</f>
        <v>-2522.52282229071</v>
      </c>
      <c r="T12" s="100" t="n">
        <f aca="false">SUM(CapAcc!T16:T23)</f>
        <v>-2491.15596197413</v>
      </c>
      <c r="U12" s="100" t="n">
        <f aca="false">SUM(CapAcc!U16:U23)</f>
        <v>-3705.41305306779</v>
      </c>
      <c r="V12" s="100" t="n">
        <f aca="false">SUM(CapAcc!V16:V23)</f>
        <v>-3705.41305306779</v>
      </c>
      <c r="W12" s="100" t="n">
        <f aca="false">SUM(CapAcc!W16:W23)</f>
        <v>-3900.93805306779</v>
      </c>
      <c r="X12" s="100" t="n">
        <f aca="false">SUM(CapAcc!X16:X23)</f>
        <v>0</v>
      </c>
      <c r="Y12" s="100" t="n">
        <f aca="false">SUM(CapAcc!Y16:Y23)</f>
        <v>0</v>
      </c>
      <c r="Z12" s="100" t="n">
        <f aca="false">SUM(CapAcc!Z16:Z23)</f>
        <v>0</v>
      </c>
      <c r="AA12" s="100" t="n">
        <f aca="false">SUM(CapAcc!AA16:AA23)</f>
        <v>0</v>
      </c>
      <c r="AB12" s="100" t="n">
        <f aca="false">SUM(CapAcc!AB16:AB23)</f>
        <v>0</v>
      </c>
      <c r="AC12" s="100" t="n">
        <f aca="false">SUM(CapAcc!AC16:AC23)</f>
        <v>0</v>
      </c>
      <c r="AD12" s="100" t="n">
        <f aca="false">SUM(CapAcc!AD16:AD23)</f>
        <v>0</v>
      </c>
      <c r="AE12" s="100" t="n">
        <f aca="false">SUM(CapAcc!AE16:AE23)</f>
        <v>0</v>
      </c>
      <c r="AF12" s="100" t="n">
        <f aca="false">SUM(CapAcc!AF16:AF23)</f>
        <v>0</v>
      </c>
      <c r="AG12" s="100" t="n">
        <f aca="false">SUM(CapAcc!AG16:AG23)</f>
        <v>0</v>
      </c>
      <c r="AH12" s="1088" t="n">
        <f aca="false">SUM(CapAcc!AH16:AH23)</f>
        <v>0</v>
      </c>
      <c r="AI12" s="100"/>
      <c r="AJ12" s="100"/>
      <c r="AK12" s="100"/>
      <c r="AL12" s="100"/>
      <c r="AM12" s="100"/>
      <c r="AN12" s="100"/>
      <c r="AO12" s="100"/>
      <c r="AP12" s="100"/>
      <c r="AQ12" s="100"/>
      <c r="AR12" s="100"/>
      <c r="AS12" s="100"/>
      <c r="AT12" s="100"/>
      <c r="AU12" s="100"/>
      <c r="AV12" s="100"/>
      <c r="AW12" s="100"/>
      <c r="AX12" s="100"/>
      <c r="AY12" s="100"/>
      <c r="AZ12" s="100"/>
      <c r="BA12" s="100"/>
      <c r="BB12" s="100"/>
      <c r="BC12" s="100"/>
      <c r="BD12" s="100"/>
      <c r="BE12" s="100"/>
      <c r="BF12" s="100"/>
      <c r="BG12" s="100"/>
      <c r="BH12" s="100"/>
      <c r="BI12" s="100"/>
      <c r="BJ12" s="100"/>
      <c r="BK12" s="100"/>
      <c r="BL12" s="100"/>
      <c r="BM12" s="100"/>
      <c r="BN12" s="100"/>
      <c r="BO12" s="100"/>
      <c r="BP12" s="100"/>
      <c r="BQ12" s="100"/>
      <c r="BR12" s="100"/>
      <c r="BS12" s="100"/>
      <c r="BT12" s="100"/>
      <c r="BU12" s="100"/>
      <c r="BV12" s="100"/>
      <c r="BW12" s="100"/>
      <c r="BX12" s="100"/>
      <c r="BY12" s="100"/>
      <c r="BZ12" s="100"/>
      <c r="CA12" s="100"/>
      <c r="CB12" s="100"/>
      <c r="CC12" s="100"/>
      <c r="CD12" s="100"/>
      <c r="CE12" s="100"/>
      <c r="CF12" s="100"/>
      <c r="CG12" s="100"/>
      <c r="CH12" s="100"/>
      <c r="CI12" s="100"/>
      <c r="CJ12" s="100"/>
      <c r="CK12" s="100"/>
      <c r="CL12" s="100"/>
      <c r="CM12" s="100"/>
      <c r="CN12" s="100"/>
      <c r="CO12" s="100"/>
      <c r="CP12" s="100"/>
      <c r="CQ12" s="100"/>
      <c r="CR12" s="100"/>
      <c r="CS12" s="100"/>
      <c r="CT12" s="100"/>
      <c r="CU12" s="100"/>
      <c r="CV12" s="100"/>
      <c r="CW12" s="100"/>
      <c r="CX12" s="100"/>
      <c r="CY12" s="100"/>
      <c r="CZ12" s="100"/>
      <c r="DA12" s="100"/>
      <c r="DB12" s="100"/>
      <c r="DC12" s="100"/>
      <c r="DD12" s="100"/>
      <c r="DE12" s="100"/>
      <c r="DF12" s="100"/>
      <c r="DG12" s="100"/>
      <c r="DH12" s="100"/>
      <c r="DI12" s="100"/>
      <c r="DJ12" s="100"/>
      <c r="DK12" s="100"/>
      <c r="DL12" s="100"/>
      <c r="DM12" s="100"/>
      <c r="DN12" s="100"/>
      <c r="DO12" s="100"/>
      <c r="DP12" s="100"/>
      <c r="DQ12" s="100"/>
      <c r="DR12" s="100"/>
      <c r="DS12" s="100"/>
      <c r="DT12" s="100"/>
      <c r="DU12" s="100"/>
      <c r="DV12" s="100"/>
      <c r="DW12" s="100"/>
      <c r="DX12" s="100"/>
      <c r="DY12" s="100"/>
      <c r="DZ12" s="100"/>
      <c r="EA12" s="100"/>
      <c r="EB12" s="100"/>
      <c r="EC12" s="100"/>
      <c r="ED12" s="100"/>
      <c r="EE12" s="100"/>
      <c r="EF12" s="100"/>
      <c r="EG12" s="100"/>
      <c r="EH12" s="100"/>
      <c r="EI12" s="100"/>
      <c r="EJ12" s="100"/>
      <c r="EK12" s="100"/>
      <c r="EL12" s="100"/>
      <c r="EM12" s="100"/>
      <c r="EN12" s="100"/>
      <c r="EO12" s="100"/>
      <c r="EP12" s="100"/>
      <c r="EQ12" s="100"/>
      <c r="ER12" s="100"/>
      <c r="ES12" s="100"/>
      <c r="ET12" s="100"/>
      <c r="EU12" s="100"/>
      <c r="EV12" s="100"/>
      <c r="EW12" s="100"/>
      <c r="EX12" s="100"/>
      <c r="EY12" s="100"/>
      <c r="EZ12" s="100"/>
      <c r="FA12" s="100"/>
      <c r="FB12" s="100"/>
      <c r="FC12" s="100"/>
      <c r="FD12" s="100"/>
      <c r="FE12" s="100"/>
      <c r="FF12" s="100"/>
      <c r="FG12" s="100"/>
      <c r="FH12" s="100"/>
      <c r="FI12" s="100"/>
      <c r="FJ12" s="100"/>
      <c r="FK12" s="100"/>
      <c r="FL12" s="100"/>
      <c r="FM12" s="100"/>
      <c r="FN12" s="100"/>
      <c r="FO12" s="100"/>
      <c r="FP12" s="100"/>
      <c r="FQ12" s="100"/>
      <c r="FR12" s="100"/>
      <c r="FS12" s="100"/>
      <c r="FT12" s="100"/>
      <c r="FU12" s="100"/>
      <c r="FV12" s="100"/>
      <c r="FW12" s="100"/>
      <c r="FX12" s="100"/>
      <c r="FY12" s="100"/>
      <c r="FZ12" s="100"/>
      <c r="GA12" s="100"/>
      <c r="GB12" s="100"/>
      <c r="GC12" s="100"/>
      <c r="GD12" s="100"/>
      <c r="GE12" s="100"/>
      <c r="GF12" s="100"/>
      <c r="GG12" s="100"/>
      <c r="GH12" s="100"/>
      <c r="GI12" s="100"/>
      <c r="GJ12" s="100"/>
      <c r="GK12" s="100"/>
      <c r="GL12" s="100"/>
      <c r="GM12" s="100"/>
      <c r="GN12" s="100"/>
      <c r="GO12" s="100"/>
      <c r="GP12" s="100"/>
      <c r="GQ12" s="100"/>
      <c r="GR12" s="100"/>
      <c r="GS12" s="100"/>
      <c r="GT12" s="100"/>
      <c r="GU12" s="100"/>
      <c r="GV12" s="100"/>
      <c r="GW12" s="100"/>
      <c r="GX12" s="100"/>
      <c r="GY12" s="100"/>
      <c r="GZ12" s="100"/>
      <c r="HA12" s="100"/>
      <c r="HB12" s="100"/>
      <c r="HC12" s="100"/>
      <c r="HD12" s="100"/>
      <c r="HE12" s="100"/>
      <c r="HF12" s="100"/>
      <c r="HG12" s="100"/>
      <c r="HH12" s="100"/>
      <c r="HI12" s="100"/>
      <c r="HJ12" s="100"/>
      <c r="HK12" s="100"/>
      <c r="HL12" s="100"/>
      <c r="HM12" s="100"/>
      <c r="HN12" s="100"/>
      <c r="HO12" s="100"/>
      <c r="HP12" s="100"/>
      <c r="HQ12" s="100"/>
      <c r="HR12" s="100"/>
      <c r="HS12" s="100"/>
      <c r="HT12" s="100"/>
      <c r="HU12" s="100"/>
      <c r="HV12" s="100"/>
      <c r="HW12" s="100"/>
      <c r="HX12" s="100"/>
      <c r="HY12" s="100"/>
      <c r="HZ12" s="100"/>
      <c r="IA12" s="100"/>
      <c r="IB12" s="100"/>
      <c r="IC12" s="100"/>
      <c r="ID12" s="100"/>
      <c r="IE12" s="100"/>
      <c r="IF12" s="100"/>
      <c r="IG12" s="100"/>
      <c r="IH12" s="100"/>
      <c r="II12" s="100"/>
      <c r="IJ12" s="100"/>
      <c r="IK12" s="100"/>
      <c r="IL12" s="100"/>
      <c r="IM12" s="100"/>
      <c r="IN12" s="100"/>
      <c r="IO12" s="100"/>
      <c r="IP12" s="100"/>
      <c r="IQ12" s="100"/>
      <c r="IR12" s="100"/>
      <c r="IS12" s="100"/>
      <c r="IT12" s="100"/>
      <c r="IU12" s="100"/>
      <c r="IV12" s="100"/>
      <c r="IW12" s="100"/>
    </row>
    <row r="13" customFormat="false" ht="12.75" hidden="false" customHeight="false" outlineLevel="0" collapsed="false">
      <c r="A13" s="736"/>
      <c r="B13" s="1122" t="s">
        <v>701</v>
      </c>
      <c r="C13" s="313"/>
      <c r="D13" s="313" t="n">
        <f aca="false">SUM(D7:D12)</f>
        <v>19138.4958056936</v>
      </c>
      <c r="E13" s="313" t="n">
        <f aca="false">SUM(E7:E12)</f>
        <v>7684.67146465663</v>
      </c>
      <c r="F13" s="313" t="n">
        <f aca="false">SUM(F7:F12)</f>
        <v>943.850679156174</v>
      </c>
      <c r="G13" s="313" t="n">
        <f aca="false">SUM(G7:G12)</f>
        <v>-2946.44150640354</v>
      </c>
      <c r="H13" s="313" t="n">
        <f aca="false">SUM(H7:H12)</f>
        <v>-6793.99807587891</v>
      </c>
      <c r="I13" s="313" t="n">
        <f aca="false">SUM(I7:I12)</f>
        <v>-8488.59543653227</v>
      </c>
      <c r="J13" s="313" t="n">
        <f aca="false">SUM(J7:J12)</f>
        <v>-8035.31862473577</v>
      </c>
      <c r="K13" s="313" t="n">
        <f aca="false">SUM(K7:K12)</f>
        <v>-7530.73926083877</v>
      </c>
      <c r="L13" s="313" t="n">
        <f aca="false">SUM(L7:L12)</f>
        <v>-6972.98118001168</v>
      </c>
      <c r="M13" s="313" t="n">
        <f aca="false">SUM(M7:M12)</f>
        <v>-6357.13000768543</v>
      </c>
      <c r="N13" s="313" t="n">
        <f aca="false">SUM(N7:N12)</f>
        <v>-5647.34552390642</v>
      </c>
      <c r="O13" s="313" t="n">
        <f aca="false">SUM(O7:O12)</f>
        <v>-4863.06293501351</v>
      </c>
      <c r="P13" s="313" t="n">
        <f aca="false">SUM(P7:P12)</f>
        <v>-3999.85549886571</v>
      </c>
      <c r="Q13" s="313" t="n">
        <f aca="false">SUM(Q7:Q12)</f>
        <v>-3050.72674632573</v>
      </c>
      <c r="R13" s="313" t="n">
        <f aca="false">SUM(R7:R12)</f>
        <v>-2009.17008422558</v>
      </c>
      <c r="S13" s="313" t="n">
        <f aca="false">SUM(S7:S12)</f>
        <v>-864.770300977525</v>
      </c>
      <c r="T13" s="313" t="n">
        <f aca="false">SUM(T7:T12)</f>
        <v>310.996342587107</v>
      </c>
      <c r="U13" s="313" t="n">
        <f aca="false">SUM(U7:U12)</f>
        <v>272.505895058076</v>
      </c>
      <c r="V13" s="313" t="n">
        <f aca="false">SUM(V7:V12)</f>
        <v>234.015447529043</v>
      </c>
      <c r="W13" s="313" t="n">
        <f aca="false">SUM(W7:W12)</f>
        <v>0</v>
      </c>
      <c r="X13" s="313" t="n">
        <f aca="false">SUM(X7:X12)</f>
        <v>0</v>
      </c>
      <c r="Y13" s="313" t="n">
        <f aca="false">SUM(Y7:Y12)</f>
        <v>0</v>
      </c>
      <c r="Z13" s="313" t="n">
        <f aca="false">SUM(Z7:Z12)</f>
        <v>0</v>
      </c>
      <c r="AA13" s="313" t="n">
        <f aca="false">SUM(AA7:AA12)</f>
        <v>0</v>
      </c>
      <c r="AB13" s="313" t="n">
        <f aca="false">SUM(AB7:AB12)</f>
        <v>0</v>
      </c>
      <c r="AC13" s="313" t="n">
        <f aca="false">SUM(AC7:AC12)</f>
        <v>0</v>
      </c>
      <c r="AD13" s="313" t="n">
        <f aca="false">SUM(AD7:AD12)</f>
        <v>0</v>
      </c>
      <c r="AE13" s="313" t="n">
        <f aca="false">SUM(AE7:AE12)</f>
        <v>0</v>
      </c>
      <c r="AF13" s="313" t="n">
        <f aca="false">SUM(AF7:AF12)</f>
        <v>0</v>
      </c>
      <c r="AG13" s="313" t="n">
        <f aca="false">SUM(AG7:AG12)</f>
        <v>0</v>
      </c>
      <c r="AH13" s="1123" t="n">
        <f aca="false">SUM(AH7:AH12)</f>
        <v>0</v>
      </c>
      <c r="AI13" s="313"/>
      <c r="AJ13" s="313"/>
      <c r="AK13" s="313"/>
      <c r="AL13" s="313"/>
      <c r="AM13" s="313"/>
      <c r="AN13" s="313"/>
      <c r="AO13" s="313"/>
      <c r="AP13" s="313"/>
      <c r="AQ13" s="313"/>
      <c r="AR13" s="313"/>
      <c r="AS13" s="313"/>
      <c r="AT13" s="313"/>
      <c r="AU13" s="313"/>
      <c r="AV13" s="313"/>
      <c r="AW13" s="313"/>
      <c r="AX13" s="313"/>
      <c r="AY13" s="313"/>
      <c r="AZ13" s="313"/>
      <c r="BA13" s="313"/>
      <c r="BB13" s="313"/>
      <c r="BC13" s="313"/>
      <c r="BD13" s="313"/>
      <c r="BE13" s="313"/>
      <c r="BF13" s="313"/>
      <c r="BG13" s="313"/>
      <c r="BH13" s="313"/>
      <c r="BI13" s="313"/>
      <c r="BJ13" s="313"/>
      <c r="BK13" s="313"/>
      <c r="BL13" s="313"/>
      <c r="BM13" s="313"/>
      <c r="BN13" s="313"/>
      <c r="BO13" s="313"/>
      <c r="BP13" s="313"/>
      <c r="BQ13" s="313"/>
      <c r="BR13" s="313"/>
      <c r="BS13" s="313"/>
      <c r="BT13" s="313"/>
      <c r="BU13" s="313"/>
      <c r="BV13" s="313"/>
      <c r="BW13" s="313"/>
      <c r="BX13" s="313"/>
      <c r="BY13" s="313"/>
      <c r="BZ13" s="313"/>
      <c r="CA13" s="313"/>
      <c r="CB13" s="313"/>
      <c r="CC13" s="313"/>
      <c r="CD13" s="313"/>
      <c r="CE13" s="313"/>
      <c r="CF13" s="313"/>
      <c r="CG13" s="313"/>
      <c r="CH13" s="313"/>
      <c r="CI13" s="313"/>
      <c r="CJ13" s="313"/>
      <c r="CK13" s="313"/>
      <c r="CL13" s="313"/>
      <c r="CM13" s="313"/>
      <c r="CN13" s="313"/>
      <c r="CO13" s="313"/>
      <c r="CP13" s="313"/>
      <c r="CQ13" s="313"/>
      <c r="CR13" s="313"/>
      <c r="CS13" s="313"/>
      <c r="CT13" s="313"/>
      <c r="CU13" s="313"/>
      <c r="CV13" s="313"/>
      <c r="CW13" s="313"/>
      <c r="CX13" s="313"/>
      <c r="CY13" s="313"/>
      <c r="CZ13" s="313"/>
      <c r="DA13" s="313"/>
      <c r="DB13" s="313"/>
      <c r="DC13" s="313"/>
      <c r="DD13" s="313"/>
      <c r="DE13" s="313"/>
      <c r="DF13" s="313"/>
      <c r="DG13" s="313"/>
      <c r="DH13" s="313"/>
      <c r="DI13" s="313"/>
      <c r="DJ13" s="313"/>
      <c r="DK13" s="313"/>
      <c r="DL13" s="313"/>
      <c r="DM13" s="313"/>
      <c r="DN13" s="313"/>
      <c r="DO13" s="313"/>
      <c r="DP13" s="313"/>
      <c r="DQ13" s="313"/>
      <c r="DR13" s="313"/>
      <c r="DS13" s="313"/>
      <c r="DT13" s="313"/>
      <c r="DU13" s="313"/>
      <c r="DV13" s="313"/>
      <c r="DW13" s="313"/>
      <c r="DX13" s="313"/>
      <c r="DY13" s="313"/>
      <c r="DZ13" s="313"/>
      <c r="EA13" s="313"/>
      <c r="EB13" s="313"/>
      <c r="EC13" s="313"/>
      <c r="ED13" s="313"/>
      <c r="EE13" s="313"/>
      <c r="EF13" s="313"/>
      <c r="EG13" s="313"/>
      <c r="EH13" s="313"/>
      <c r="EI13" s="313"/>
      <c r="EJ13" s="313"/>
      <c r="EK13" s="313"/>
      <c r="EL13" s="313"/>
      <c r="EM13" s="313"/>
      <c r="EN13" s="313"/>
      <c r="EO13" s="313"/>
      <c r="EP13" s="313"/>
      <c r="EQ13" s="313"/>
      <c r="ER13" s="313"/>
      <c r="ES13" s="313"/>
      <c r="ET13" s="313"/>
      <c r="EU13" s="313"/>
      <c r="EV13" s="313"/>
      <c r="EW13" s="313"/>
      <c r="EX13" s="313"/>
      <c r="EY13" s="313"/>
      <c r="EZ13" s="313"/>
      <c r="FA13" s="313"/>
      <c r="FB13" s="313"/>
      <c r="FC13" s="313"/>
      <c r="FD13" s="313"/>
      <c r="FE13" s="313"/>
      <c r="FF13" s="313"/>
      <c r="FG13" s="313"/>
      <c r="FH13" s="313"/>
      <c r="FI13" s="313"/>
      <c r="FJ13" s="313"/>
      <c r="FK13" s="313"/>
      <c r="FL13" s="313"/>
      <c r="FM13" s="313"/>
      <c r="FN13" s="313"/>
      <c r="FO13" s="313"/>
      <c r="FP13" s="313"/>
      <c r="FQ13" s="313"/>
      <c r="FR13" s="313"/>
      <c r="FS13" s="313"/>
      <c r="FT13" s="313"/>
      <c r="FU13" s="313"/>
      <c r="FV13" s="313"/>
      <c r="FW13" s="313"/>
      <c r="FX13" s="313"/>
      <c r="FY13" s="313"/>
      <c r="FZ13" s="313"/>
      <c r="GA13" s="313"/>
      <c r="GB13" s="313"/>
      <c r="GC13" s="313"/>
      <c r="GD13" s="313"/>
      <c r="GE13" s="313"/>
      <c r="GF13" s="313"/>
      <c r="GG13" s="313"/>
      <c r="GH13" s="313"/>
      <c r="GI13" s="313"/>
      <c r="GJ13" s="313"/>
      <c r="GK13" s="313"/>
      <c r="GL13" s="313"/>
      <c r="GM13" s="313"/>
      <c r="GN13" s="313"/>
      <c r="GO13" s="313"/>
      <c r="GP13" s="313"/>
      <c r="GQ13" s="313"/>
      <c r="GR13" s="313"/>
      <c r="GS13" s="313"/>
      <c r="GT13" s="313"/>
      <c r="GU13" s="313"/>
      <c r="GV13" s="313"/>
      <c r="GW13" s="313"/>
      <c r="GX13" s="313"/>
      <c r="GY13" s="313"/>
      <c r="GZ13" s="313"/>
      <c r="HA13" s="313"/>
      <c r="HB13" s="313"/>
      <c r="HC13" s="313"/>
      <c r="HD13" s="313"/>
      <c r="HE13" s="313"/>
      <c r="HF13" s="313"/>
      <c r="HG13" s="313"/>
      <c r="HH13" s="313"/>
      <c r="HI13" s="313"/>
      <c r="HJ13" s="313"/>
      <c r="HK13" s="313"/>
      <c r="HL13" s="313"/>
      <c r="HM13" s="313"/>
      <c r="HN13" s="313"/>
      <c r="HO13" s="313"/>
      <c r="HP13" s="313"/>
      <c r="HQ13" s="313"/>
      <c r="HR13" s="313"/>
      <c r="HS13" s="313"/>
      <c r="HT13" s="313"/>
      <c r="HU13" s="313"/>
      <c r="HV13" s="313"/>
      <c r="HW13" s="313"/>
      <c r="HX13" s="313"/>
      <c r="HY13" s="313"/>
      <c r="HZ13" s="313"/>
      <c r="IA13" s="313"/>
      <c r="IB13" s="313"/>
      <c r="IC13" s="313"/>
      <c r="ID13" s="313"/>
      <c r="IE13" s="313"/>
      <c r="IF13" s="313"/>
      <c r="IG13" s="313"/>
      <c r="IH13" s="313"/>
      <c r="II13" s="313"/>
      <c r="IJ13" s="313"/>
      <c r="IK13" s="313"/>
      <c r="IL13" s="313"/>
      <c r="IM13" s="313"/>
      <c r="IN13" s="313"/>
      <c r="IO13" s="313"/>
      <c r="IP13" s="313"/>
      <c r="IQ13" s="313"/>
      <c r="IR13" s="313"/>
      <c r="IS13" s="313"/>
      <c r="IT13" s="313"/>
      <c r="IU13" s="313"/>
      <c r="IV13" s="313"/>
      <c r="IW13" s="313"/>
    </row>
    <row r="14" customFormat="false" ht="12.75" hidden="false" customHeight="false" outlineLevel="0" collapsed="false">
      <c r="A14" s="736"/>
      <c r="B14" s="1115" t="s">
        <v>734</v>
      </c>
      <c r="C14" s="100"/>
      <c r="D14" s="100" t="n">
        <f aca="false">D75+(D$60-SUM(D$75:D$76))*D56</f>
        <v>12127.8769261245</v>
      </c>
      <c r="E14" s="100" t="n">
        <f aca="false">E75+(E$60-SUM(E$75:E$76))*E56</f>
        <v>11774.1904516378</v>
      </c>
      <c r="F14" s="100" t="n">
        <f aca="false">F75+(F$60-SUM(F$75:F$76))*F56</f>
        <v>11387.9388411449</v>
      </c>
      <c r="G14" s="100" t="n">
        <f aca="false">G75+(G$60-SUM(G$75:G$76))*G56</f>
        <v>10959.4216824294</v>
      </c>
      <c r="H14" s="100" t="n">
        <f aca="false">H75+(H$60-SUM(H$75:H$76))*H56</f>
        <v>10488.1689076296</v>
      </c>
      <c r="I14" s="100" t="n">
        <f aca="false">I75+(I$60-SUM(I$75:I$76))*I56</f>
        <v>9970.15421279642</v>
      </c>
      <c r="J14" s="100" t="n">
        <f aca="false">J75+(J$60-SUM(J$75:J$76))*J56</f>
        <v>9410.46263430201</v>
      </c>
      <c r="K14" s="100" t="n">
        <f aca="false">K75+(K$60-SUM(K$75:K$76))*K56</f>
        <v>8799.46850370709</v>
      </c>
      <c r="L14" s="100" t="n">
        <f aca="false">L75+(L$60-SUM(L$75:L$76))*L56</f>
        <v>8135.29565618209</v>
      </c>
      <c r="M14" s="100" t="n">
        <f aca="false">M75+(M$60-SUM(M$75:M$76))*M56</f>
        <v>7413.02971715793</v>
      </c>
      <c r="N14" s="100" t="n">
        <f aca="false">N75+(N$60-SUM(N$75:N$76))*N56</f>
        <v>6596.83046668101</v>
      </c>
      <c r="O14" s="100" t="n">
        <f aca="false">O75+(O$60-SUM(O$75:O$76))*O56</f>
        <v>5706.13311109018</v>
      </c>
      <c r="P14" s="100" t="n">
        <f aca="false">P75+(P$60-SUM(P$75:P$76))*P56</f>
        <v>4736.51090824447</v>
      </c>
      <c r="Q14" s="100" t="n">
        <f aca="false">Q75+(Q$60-SUM(Q$75:Q$76))*Q56</f>
        <v>3680.96738900657</v>
      </c>
      <c r="R14" s="100" t="n">
        <f aca="false">R75+(R$60-SUM(R$75:R$76))*R56</f>
        <v>2532.99596020851</v>
      </c>
      <c r="S14" s="100" t="n">
        <f aca="false">S75+(S$60-SUM(S$75:S$76))*S56</f>
        <v>1282.18141026255</v>
      </c>
      <c r="T14" s="100" t="n">
        <f aca="false">T75+(T$60-SUM(T$75:T$76))*T56</f>
        <v>0</v>
      </c>
      <c r="U14" s="100" t="n">
        <f aca="false">U75+(U$60-SUM(U$75:U$76))*U56</f>
        <v>0</v>
      </c>
      <c r="V14" s="100" t="n">
        <f aca="false">V75+(V$60-SUM(V$75:V$76))*V56</f>
        <v>0</v>
      </c>
      <c r="W14" s="100" t="n">
        <f aca="false">W75+(W$60-SUM(W$75:W$76))*W56</f>
        <v>0</v>
      </c>
      <c r="X14" s="100" t="n">
        <f aca="false">X75+(X$60-SUM(X$75:X$76))*X56</f>
        <v>0</v>
      </c>
      <c r="Y14" s="100" t="n">
        <f aca="false">Y75+(Y$60-SUM(Y$75:Y$76))*Y56</f>
        <v>0</v>
      </c>
      <c r="Z14" s="100" t="n">
        <f aca="false">Z75+(Z$60-SUM(Z$75:Z$76))*Z56</f>
        <v>0</v>
      </c>
      <c r="AA14" s="100" t="n">
        <f aca="false">AA75+(AA$60-SUM(AA$75:AA$76))*AA56</f>
        <v>0</v>
      </c>
      <c r="AB14" s="100" t="n">
        <f aca="false">AB75+(AB$60-SUM(AB$75:AB$76))*AB56</f>
        <v>0</v>
      </c>
      <c r="AC14" s="100" t="n">
        <f aca="false">AC75+(AC$60-SUM(AC$75:AC$76))*AC56</f>
        <v>0</v>
      </c>
      <c r="AD14" s="100" t="n">
        <f aca="false">AD75+(AD$60-SUM(AD$75:AD$76))*AD56</f>
        <v>0</v>
      </c>
      <c r="AE14" s="100" t="n">
        <f aca="false">AE75+(AE$60-SUM(AE$75:AE$76))*AE56</f>
        <v>0</v>
      </c>
      <c r="AF14" s="100" t="n">
        <f aca="false">AF75+(AF$60-SUM(AF$75:AF$76))*AF56</f>
        <v>0</v>
      </c>
      <c r="AG14" s="100" t="n">
        <f aca="false">AG75+(AG$60-SUM(AG$75:AG$76))*AG56</f>
        <v>0</v>
      </c>
      <c r="AH14" s="100" t="n">
        <f aca="false">AH75+(AH$60-SUM(AH$75:AH$76))*AH56</f>
        <v>0</v>
      </c>
      <c r="AI14" s="100"/>
      <c r="AJ14" s="100"/>
      <c r="AK14" s="100"/>
      <c r="AL14" s="100"/>
      <c r="AM14" s="100"/>
      <c r="AN14" s="100"/>
      <c r="AO14" s="100"/>
      <c r="AP14" s="100"/>
      <c r="AQ14" s="100"/>
      <c r="AR14" s="100"/>
      <c r="AS14" s="100"/>
      <c r="AT14" s="100"/>
      <c r="AU14" s="100"/>
      <c r="AV14" s="100"/>
      <c r="AW14" s="100"/>
      <c r="AX14" s="100"/>
      <c r="AY14" s="100"/>
      <c r="AZ14" s="100"/>
      <c r="BA14" s="100"/>
      <c r="BB14" s="100"/>
      <c r="BC14" s="100"/>
      <c r="BD14" s="100"/>
      <c r="BE14" s="100"/>
      <c r="BF14" s="100"/>
      <c r="BG14" s="100"/>
      <c r="BH14" s="100"/>
      <c r="BI14" s="100"/>
      <c r="BJ14" s="100"/>
      <c r="BK14" s="100"/>
      <c r="BL14" s="100"/>
      <c r="BM14" s="100"/>
      <c r="BN14" s="100"/>
      <c r="BO14" s="100"/>
      <c r="BP14" s="100"/>
      <c r="BQ14" s="100"/>
      <c r="BR14" s="100"/>
      <c r="BS14" s="100"/>
      <c r="BT14" s="100"/>
      <c r="BU14" s="100"/>
      <c r="BV14" s="100"/>
      <c r="BW14" s="100"/>
      <c r="BX14" s="100"/>
      <c r="BY14" s="100"/>
      <c r="BZ14" s="100"/>
      <c r="CA14" s="100"/>
      <c r="CB14" s="100"/>
      <c r="CC14" s="100"/>
      <c r="CD14" s="100"/>
      <c r="CE14" s="100"/>
      <c r="CF14" s="100"/>
      <c r="CG14" s="100"/>
      <c r="CH14" s="100"/>
      <c r="CI14" s="100"/>
      <c r="CJ14" s="100"/>
      <c r="CK14" s="100"/>
      <c r="CL14" s="100"/>
      <c r="CM14" s="100"/>
      <c r="CN14" s="100"/>
      <c r="CO14" s="100"/>
      <c r="CP14" s="100"/>
      <c r="CQ14" s="100"/>
      <c r="CR14" s="100"/>
      <c r="CS14" s="100"/>
      <c r="CT14" s="100"/>
      <c r="CU14" s="100"/>
      <c r="CV14" s="100"/>
      <c r="CW14" s="100"/>
      <c r="CX14" s="100"/>
      <c r="CY14" s="100"/>
      <c r="CZ14" s="100"/>
      <c r="DA14" s="100"/>
      <c r="DB14" s="100"/>
      <c r="DC14" s="100"/>
      <c r="DD14" s="100"/>
      <c r="DE14" s="100"/>
      <c r="DF14" s="100"/>
      <c r="DG14" s="100"/>
      <c r="DH14" s="100"/>
      <c r="DI14" s="100"/>
      <c r="DJ14" s="100"/>
      <c r="DK14" s="100"/>
      <c r="DL14" s="100"/>
      <c r="DM14" s="100"/>
      <c r="DN14" s="100"/>
      <c r="DO14" s="100"/>
      <c r="DP14" s="100"/>
      <c r="DQ14" s="100"/>
      <c r="DR14" s="100"/>
      <c r="DS14" s="100"/>
      <c r="DT14" s="100"/>
      <c r="DU14" s="100"/>
      <c r="DV14" s="100"/>
      <c r="DW14" s="100"/>
      <c r="DX14" s="100"/>
      <c r="DY14" s="100"/>
      <c r="DZ14" s="100"/>
      <c r="EA14" s="100"/>
      <c r="EB14" s="100"/>
      <c r="EC14" s="100"/>
      <c r="ED14" s="100"/>
      <c r="EE14" s="100"/>
      <c r="EF14" s="100"/>
      <c r="EG14" s="100"/>
      <c r="EH14" s="100"/>
      <c r="EI14" s="100"/>
      <c r="EJ14" s="100"/>
      <c r="EK14" s="100"/>
      <c r="EL14" s="100"/>
      <c r="EM14" s="100"/>
      <c r="EN14" s="100"/>
      <c r="EO14" s="100"/>
      <c r="EP14" s="100"/>
      <c r="EQ14" s="100"/>
      <c r="ER14" s="100"/>
      <c r="ES14" s="100"/>
      <c r="ET14" s="100"/>
      <c r="EU14" s="100"/>
      <c r="EV14" s="100"/>
      <c r="EW14" s="100"/>
      <c r="EX14" s="100"/>
      <c r="EY14" s="100"/>
      <c r="EZ14" s="100"/>
      <c r="FA14" s="100"/>
      <c r="FB14" s="100"/>
      <c r="FC14" s="100"/>
      <c r="FD14" s="100"/>
      <c r="FE14" s="100"/>
      <c r="FF14" s="100"/>
      <c r="FG14" s="100"/>
      <c r="FH14" s="100"/>
      <c r="FI14" s="100"/>
      <c r="FJ14" s="100"/>
      <c r="FK14" s="100"/>
      <c r="FL14" s="100"/>
      <c r="FM14" s="100"/>
      <c r="FN14" s="100"/>
      <c r="FO14" s="100"/>
      <c r="FP14" s="100"/>
      <c r="FQ14" s="100"/>
      <c r="FR14" s="100"/>
      <c r="FS14" s="100"/>
      <c r="FT14" s="100"/>
      <c r="FU14" s="100"/>
      <c r="FV14" s="100"/>
      <c r="FW14" s="100"/>
      <c r="FX14" s="100"/>
      <c r="FY14" s="100"/>
      <c r="FZ14" s="100"/>
      <c r="GA14" s="100"/>
      <c r="GB14" s="100"/>
      <c r="GC14" s="100"/>
      <c r="GD14" s="100"/>
      <c r="GE14" s="100"/>
      <c r="GF14" s="100"/>
      <c r="GG14" s="100"/>
      <c r="GH14" s="100"/>
      <c r="GI14" s="100"/>
      <c r="GJ14" s="100"/>
      <c r="GK14" s="100"/>
      <c r="GL14" s="100"/>
      <c r="GM14" s="100"/>
      <c r="GN14" s="100"/>
      <c r="GO14" s="100"/>
      <c r="GP14" s="100"/>
      <c r="GQ14" s="100"/>
      <c r="GR14" s="100"/>
      <c r="GS14" s="100"/>
      <c r="GT14" s="100"/>
      <c r="GU14" s="100"/>
      <c r="GV14" s="100"/>
      <c r="GW14" s="100"/>
      <c r="GX14" s="100"/>
      <c r="GY14" s="100"/>
      <c r="GZ14" s="100"/>
      <c r="HA14" s="100"/>
      <c r="HB14" s="100"/>
      <c r="HC14" s="100"/>
      <c r="HD14" s="100"/>
      <c r="HE14" s="100"/>
      <c r="HF14" s="100"/>
      <c r="HG14" s="100"/>
      <c r="HH14" s="100"/>
      <c r="HI14" s="100"/>
      <c r="HJ14" s="100"/>
      <c r="HK14" s="100"/>
      <c r="HL14" s="100"/>
      <c r="HM14" s="100"/>
      <c r="HN14" s="100"/>
      <c r="HO14" s="100"/>
      <c r="HP14" s="100"/>
      <c r="HQ14" s="100"/>
      <c r="HR14" s="100"/>
      <c r="HS14" s="100"/>
      <c r="HT14" s="100"/>
      <c r="HU14" s="100"/>
      <c r="HV14" s="100"/>
      <c r="HW14" s="100"/>
      <c r="HX14" s="100"/>
      <c r="HY14" s="100"/>
      <c r="HZ14" s="100"/>
      <c r="IA14" s="100"/>
      <c r="IB14" s="100"/>
      <c r="IC14" s="100"/>
      <c r="ID14" s="100"/>
      <c r="IE14" s="100"/>
      <c r="IF14" s="100"/>
      <c r="IG14" s="100"/>
      <c r="IH14" s="100"/>
      <c r="II14" s="100"/>
      <c r="IJ14" s="100"/>
      <c r="IK14" s="100"/>
      <c r="IL14" s="100"/>
      <c r="IM14" s="100"/>
      <c r="IN14" s="100"/>
      <c r="IO14" s="100"/>
      <c r="IP14" s="100"/>
      <c r="IQ14" s="100"/>
      <c r="IR14" s="100"/>
      <c r="IS14" s="100"/>
      <c r="IT14" s="100"/>
      <c r="IU14" s="100"/>
      <c r="IV14" s="100"/>
      <c r="IW14" s="100"/>
    </row>
    <row r="15" customFormat="false" ht="12.75" hidden="false" customHeight="false" outlineLevel="0" collapsed="false">
      <c r="A15" s="736"/>
      <c r="B15" s="1115"/>
      <c r="C15" s="100"/>
      <c r="D15" s="100"/>
      <c r="E15" s="100"/>
      <c r="F15" s="100"/>
      <c r="G15" s="100"/>
      <c r="H15" s="100"/>
      <c r="I15" s="100"/>
      <c r="J15" s="100"/>
      <c r="K15" s="100"/>
      <c r="L15" s="100"/>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c r="BM15" s="100"/>
      <c r="BN15" s="100"/>
      <c r="BO15" s="100"/>
      <c r="BP15" s="100"/>
      <c r="BQ15" s="100"/>
      <c r="BR15" s="100"/>
      <c r="BS15" s="100"/>
      <c r="BT15" s="100"/>
      <c r="BU15" s="100"/>
      <c r="BV15" s="100"/>
      <c r="BW15" s="100"/>
      <c r="BX15" s="100"/>
      <c r="BY15" s="100"/>
      <c r="BZ15" s="100"/>
      <c r="CA15" s="100"/>
      <c r="CB15" s="100"/>
      <c r="CC15" s="100"/>
      <c r="CD15" s="100"/>
      <c r="CE15" s="100"/>
      <c r="CF15" s="100"/>
      <c r="CG15" s="100"/>
      <c r="CH15" s="100"/>
      <c r="CI15" s="100"/>
      <c r="CJ15" s="100"/>
      <c r="CK15" s="100"/>
      <c r="CL15" s="100"/>
      <c r="CM15" s="100"/>
      <c r="CN15" s="100"/>
      <c r="CO15" s="100"/>
      <c r="CP15" s="100"/>
      <c r="CQ15" s="100"/>
      <c r="CR15" s="100"/>
      <c r="CS15" s="100"/>
      <c r="CT15" s="100"/>
      <c r="CU15" s="100"/>
      <c r="CV15" s="100"/>
      <c r="CW15" s="100"/>
      <c r="CX15" s="100"/>
      <c r="CY15" s="100"/>
      <c r="CZ15" s="100"/>
      <c r="DA15" s="100"/>
      <c r="DB15" s="100"/>
      <c r="DC15" s="100"/>
      <c r="DD15" s="100"/>
      <c r="DE15" s="100"/>
      <c r="DF15" s="100"/>
      <c r="DG15" s="100"/>
      <c r="DH15" s="100"/>
      <c r="DI15" s="100"/>
      <c r="DJ15" s="100"/>
      <c r="DK15" s="100"/>
      <c r="DL15" s="100"/>
      <c r="DM15" s="100"/>
      <c r="DN15" s="100"/>
      <c r="DO15" s="100"/>
      <c r="DP15" s="100"/>
      <c r="DQ15" s="100"/>
      <c r="DR15" s="100"/>
      <c r="DS15" s="100"/>
      <c r="DT15" s="100"/>
      <c r="DU15" s="100"/>
      <c r="DV15" s="100"/>
      <c r="DW15" s="100"/>
      <c r="DX15" s="100"/>
      <c r="DY15" s="100"/>
      <c r="DZ15" s="100"/>
      <c r="EA15" s="100"/>
      <c r="EB15" s="100"/>
      <c r="EC15" s="100"/>
      <c r="ED15" s="100"/>
      <c r="EE15" s="100"/>
      <c r="EF15" s="100"/>
      <c r="EG15" s="100"/>
      <c r="EH15" s="100"/>
      <c r="EI15" s="100"/>
      <c r="EJ15" s="100"/>
      <c r="EK15" s="100"/>
      <c r="EL15" s="100"/>
      <c r="EM15" s="100"/>
      <c r="EN15" s="100"/>
      <c r="EO15" s="100"/>
      <c r="EP15" s="100"/>
      <c r="EQ15" s="100"/>
      <c r="ER15" s="100"/>
      <c r="ES15" s="100"/>
      <c r="ET15" s="100"/>
      <c r="EU15" s="100"/>
      <c r="EV15" s="100"/>
      <c r="EW15" s="100"/>
      <c r="EX15" s="100"/>
      <c r="EY15" s="100"/>
      <c r="EZ15" s="100"/>
      <c r="FA15" s="100"/>
      <c r="FB15" s="100"/>
      <c r="FC15" s="100"/>
      <c r="FD15" s="100"/>
      <c r="FE15" s="100"/>
      <c r="FF15" s="100"/>
      <c r="FG15" s="100"/>
      <c r="FH15" s="100"/>
      <c r="FI15" s="100"/>
      <c r="FJ15" s="100"/>
      <c r="FK15" s="100"/>
      <c r="FL15" s="100"/>
      <c r="FM15" s="100"/>
      <c r="FN15" s="100"/>
      <c r="FO15" s="100"/>
      <c r="FP15" s="100"/>
      <c r="FQ15" s="100"/>
      <c r="FR15" s="100"/>
      <c r="FS15" s="100"/>
      <c r="FT15" s="100"/>
      <c r="FU15" s="100"/>
      <c r="FV15" s="100"/>
      <c r="FW15" s="100"/>
      <c r="FX15" s="100"/>
      <c r="FY15" s="100"/>
      <c r="FZ15" s="100"/>
      <c r="GA15" s="100"/>
      <c r="GB15" s="100"/>
      <c r="GC15" s="100"/>
      <c r="GD15" s="100"/>
      <c r="GE15" s="100"/>
      <c r="GF15" s="100"/>
      <c r="GG15" s="100"/>
      <c r="GH15" s="100"/>
      <c r="GI15" s="100"/>
      <c r="GJ15" s="100"/>
      <c r="GK15" s="100"/>
      <c r="GL15" s="100"/>
      <c r="GM15" s="100"/>
      <c r="GN15" s="100"/>
      <c r="GO15" s="100"/>
      <c r="GP15" s="100"/>
      <c r="GQ15" s="100"/>
      <c r="GR15" s="100"/>
      <c r="GS15" s="100"/>
      <c r="GT15" s="100"/>
      <c r="GU15" s="100"/>
      <c r="GV15" s="100"/>
      <c r="GW15" s="100"/>
      <c r="GX15" s="100"/>
      <c r="GY15" s="100"/>
      <c r="GZ15" s="100"/>
      <c r="HA15" s="100"/>
      <c r="HB15" s="100"/>
      <c r="HC15" s="100"/>
      <c r="HD15" s="100"/>
      <c r="HE15" s="100"/>
      <c r="HF15" s="100"/>
      <c r="HG15" s="100"/>
      <c r="HH15" s="100"/>
      <c r="HI15" s="100"/>
      <c r="HJ15" s="100"/>
      <c r="HK15" s="100"/>
      <c r="HL15" s="100"/>
      <c r="HM15" s="100"/>
      <c r="HN15" s="100"/>
      <c r="HO15" s="100"/>
      <c r="HP15" s="100"/>
      <c r="HQ15" s="100"/>
      <c r="HR15" s="100"/>
      <c r="HS15" s="100"/>
      <c r="HT15" s="100"/>
      <c r="HU15" s="100"/>
      <c r="HV15" s="100"/>
      <c r="HW15" s="100"/>
      <c r="HX15" s="100"/>
      <c r="HY15" s="100"/>
      <c r="HZ15" s="100"/>
      <c r="IA15" s="100"/>
      <c r="IB15" s="100"/>
      <c r="IC15" s="100"/>
      <c r="ID15" s="100"/>
      <c r="IE15" s="100"/>
      <c r="IF15" s="100"/>
      <c r="IG15" s="100"/>
      <c r="IH15" s="100"/>
      <c r="II15" s="100"/>
      <c r="IJ15" s="100"/>
      <c r="IK15" s="100"/>
      <c r="IL15" s="100"/>
      <c r="IM15" s="100"/>
      <c r="IN15" s="100"/>
      <c r="IO15" s="100"/>
      <c r="IP15" s="100"/>
      <c r="IQ15" s="100"/>
      <c r="IR15" s="100"/>
      <c r="IS15" s="100"/>
      <c r="IT15" s="100"/>
      <c r="IU15" s="100"/>
      <c r="IV15" s="100"/>
      <c r="IW15" s="100"/>
    </row>
    <row r="16" customFormat="false" ht="12.75" hidden="false" customHeight="false" outlineLevel="0" collapsed="false">
      <c r="A16" s="736"/>
      <c r="B16" s="1124" t="s">
        <v>735</v>
      </c>
      <c r="C16" s="1125"/>
      <c r="D16" s="1085" t="n">
        <f aca="false">SUM(D13:D14)</f>
        <v>31266.3727318181</v>
      </c>
      <c r="E16" s="1085" t="n">
        <f aca="false">SUM(E13:E14)</f>
        <v>19458.8619162944</v>
      </c>
      <c r="F16" s="1085" t="n">
        <f aca="false">SUM(F13:F14)</f>
        <v>12331.7895203011</v>
      </c>
      <c r="G16" s="1085" t="n">
        <f aca="false">SUM(G13:G14)</f>
        <v>8012.98017602588</v>
      </c>
      <c r="H16" s="1085" t="n">
        <f aca="false">SUM(H13:H14)</f>
        <v>3694.17083175069</v>
      </c>
      <c r="I16" s="1085" t="n">
        <f aca="false">SUM(I13:I14)</f>
        <v>1481.55877626415</v>
      </c>
      <c r="J16" s="1085" t="n">
        <f aca="false">SUM(J13:J14)</f>
        <v>1375.14400956623</v>
      </c>
      <c r="K16" s="1085" t="n">
        <f aca="false">SUM(K13:K14)</f>
        <v>1268.72924286832</v>
      </c>
      <c r="L16" s="1085" t="n">
        <f aca="false">SUM(L13:L14)</f>
        <v>1162.31447617041</v>
      </c>
      <c r="M16" s="1085" t="n">
        <f aca="false">SUM(M13:M14)</f>
        <v>1055.8997094725</v>
      </c>
      <c r="N16" s="1085" t="n">
        <f aca="false">SUM(N13:N14)</f>
        <v>949.484942774585</v>
      </c>
      <c r="O16" s="1085" t="n">
        <f aca="false">SUM(O13:O14)</f>
        <v>843.070176076673</v>
      </c>
      <c r="P16" s="1085" t="n">
        <f aca="false">SUM(P13:P14)</f>
        <v>736.655409378761</v>
      </c>
      <c r="Q16" s="1085" t="n">
        <f aca="false">SUM(Q13:Q14)</f>
        <v>630.240642680848</v>
      </c>
      <c r="R16" s="1085" t="n">
        <f aca="false">SUM(R13:R14)</f>
        <v>523.825875982936</v>
      </c>
      <c r="S16" s="1085" t="n">
        <f aca="false">SUM(S13:S14)</f>
        <v>417.411109285024</v>
      </c>
      <c r="T16" s="1085" t="n">
        <f aca="false">SUM(T13:T14)</f>
        <v>310.996342587107</v>
      </c>
      <c r="U16" s="1085" t="n">
        <f aca="false">SUM(U13:U14)</f>
        <v>272.505895058076</v>
      </c>
      <c r="V16" s="1085" t="n">
        <f aca="false">SUM(V13:V14)</f>
        <v>234.015447529043</v>
      </c>
      <c r="W16" s="1085" t="n">
        <f aca="false">SUM(W13:W14)</f>
        <v>0</v>
      </c>
      <c r="X16" s="1085" t="n">
        <f aca="false">SUM(X13:X14)</f>
        <v>0</v>
      </c>
      <c r="Y16" s="1085" t="n">
        <f aca="false">SUM(Y13:Y14)</f>
        <v>0</v>
      </c>
      <c r="Z16" s="1085" t="n">
        <f aca="false">SUM(Z13:Z14)</f>
        <v>0</v>
      </c>
      <c r="AA16" s="1085" t="n">
        <f aca="false">SUM(AA13:AA14)</f>
        <v>0</v>
      </c>
      <c r="AB16" s="1085" t="n">
        <f aca="false">SUM(AB13:AB14)</f>
        <v>0</v>
      </c>
      <c r="AC16" s="1085" t="n">
        <f aca="false">SUM(AC13:AC14)</f>
        <v>0</v>
      </c>
      <c r="AD16" s="1085" t="n">
        <f aca="false">SUM(AD13:AD14)</f>
        <v>0</v>
      </c>
      <c r="AE16" s="1085" t="n">
        <f aca="false">SUM(AE13:AE14)</f>
        <v>0</v>
      </c>
      <c r="AF16" s="1085" t="n">
        <f aca="false">SUM(AF13:AF14)</f>
        <v>0</v>
      </c>
      <c r="AG16" s="1085" t="n">
        <f aca="false">SUM(AG13:AG14)</f>
        <v>0</v>
      </c>
      <c r="AH16" s="1085" t="n">
        <f aca="false">SUM(AH13:AH14)</f>
        <v>0</v>
      </c>
      <c r="AI16" s="100"/>
      <c r="AJ16" s="100"/>
      <c r="AK16" s="100"/>
      <c r="AL16" s="100"/>
      <c r="AM16" s="100"/>
      <c r="AN16" s="100"/>
      <c r="AO16" s="100"/>
      <c r="AP16" s="100"/>
      <c r="AQ16" s="100"/>
      <c r="AR16" s="100"/>
      <c r="AS16" s="100"/>
      <c r="AT16" s="100"/>
      <c r="AU16" s="100"/>
      <c r="AV16" s="100"/>
      <c r="AW16" s="100"/>
      <c r="AX16" s="100"/>
      <c r="AY16" s="100"/>
      <c r="AZ16" s="100"/>
      <c r="BA16" s="100"/>
      <c r="BB16" s="100"/>
      <c r="BC16" s="100"/>
      <c r="BD16" s="100"/>
      <c r="BE16" s="100"/>
      <c r="BF16" s="100"/>
      <c r="BG16" s="100"/>
      <c r="BH16" s="100"/>
      <c r="BI16" s="100"/>
      <c r="BJ16" s="100"/>
      <c r="BK16" s="100"/>
      <c r="BL16" s="100"/>
      <c r="BM16" s="100"/>
      <c r="BN16" s="100"/>
      <c r="BO16" s="100"/>
      <c r="BP16" s="100"/>
      <c r="BQ16" s="100"/>
      <c r="BR16" s="100"/>
      <c r="BS16" s="100"/>
      <c r="BT16" s="100"/>
      <c r="BU16" s="100"/>
      <c r="BV16" s="100"/>
      <c r="BW16" s="100"/>
      <c r="BX16" s="100"/>
      <c r="BY16" s="100"/>
      <c r="BZ16" s="100"/>
      <c r="CA16" s="100"/>
      <c r="CB16" s="100"/>
      <c r="CC16" s="100"/>
      <c r="CD16" s="100"/>
      <c r="CE16" s="100"/>
      <c r="CF16" s="100"/>
      <c r="CG16" s="100"/>
      <c r="CH16" s="100"/>
      <c r="CI16" s="100"/>
      <c r="CJ16" s="100"/>
      <c r="CK16" s="100"/>
      <c r="CL16" s="100"/>
      <c r="CM16" s="100"/>
      <c r="CN16" s="100"/>
      <c r="CO16" s="100"/>
      <c r="CP16" s="100"/>
      <c r="CQ16" s="100"/>
      <c r="CR16" s="100"/>
      <c r="CS16" s="100"/>
      <c r="CT16" s="100"/>
      <c r="CU16" s="100"/>
      <c r="CV16" s="100"/>
      <c r="CW16" s="100"/>
      <c r="CX16" s="100"/>
      <c r="CY16" s="100"/>
      <c r="CZ16" s="100"/>
      <c r="DA16" s="100"/>
      <c r="DB16" s="100"/>
      <c r="DC16" s="100"/>
      <c r="DD16" s="100"/>
      <c r="DE16" s="100"/>
      <c r="DF16" s="100"/>
      <c r="DG16" s="100"/>
      <c r="DH16" s="100"/>
      <c r="DI16" s="100"/>
      <c r="DJ16" s="100"/>
      <c r="DK16" s="100"/>
      <c r="DL16" s="100"/>
      <c r="DM16" s="100"/>
      <c r="DN16" s="100"/>
      <c r="DO16" s="100"/>
      <c r="DP16" s="100"/>
      <c r="DQ16" s="100"/>
      <c r="DR16" s="100"/>
      <c r="DS16" s="100"/>
      <c r="DT16" s="100"/>
      <c r="DU16" s="100"/>
      <c r="DV16" s="100"/>
      <c r="DW16" s="100"/>
      <c r="DX16" s="100"/>
      <c r="DY16" s="100"/>
      <c r="DZ16" s="100"/>
      <c r="EA16" s="100"/>
      <c r="EB16" s="100"/>
      <c r="EC16" s="100"/>
      <c r="ED16" s="100"/>
      <c r="EE16" s="100"/>
      <c r="EF16" s="100"/>
      <c r="EG16" s="100"/>
      <c r="EH16" s="100"/>
      <c r="EI16" s="100"/>
      <c r="EJ16" s="100"/>
      <c r="EK16" s="100"/>
      <c r="EL16" s="100"/>
      <c r="EM16" s="100"/>
      <c r="EN16" s="100"/>
      <c r="EO16" s="100"/>
      <c r="EP16" s="100"/>
      <c r="EQ16" s="100"/>
      <c r="ER16" s="100"/>
      <c r="ES16" s="100"/>
      <c r="ET16" s="100"/>
      <c r="EU16" s="100"/>
      <c r="EV16" s="100"/>
      <c r="EW16" s="100"/>
      <c r="EX16" s="100"/>
      <c r="EY16" s="100"/>
      <c r="EZ16" s="100"/>
      <c r="FA16" s="100"/>
      <c r="FB16" s="100"/>
      <c r="FC16" s="100"/>
      <c r="FD16" s="100"/>
      <c r="FE16" s="100"/>
      <c r="FF16" s="100"/>
      <c r="FG16" s="100"/>
      <c r="FH16" s="100"/>
      <c r="FI16" s="100"/>
      <c r="FJ16" s="100"/>
      <c r="FK16" s="100"/>
      <c r="FL16" s="100"/>
      <c r="FM16" s="100"/>
      <c r="FN16" s="100"/>
      <c r="FO16" s="100"/>
      <c r="FP16" s="100"/>
      <c r="FQ16" s="100"/>
      <c r="FR16" s="100"/>
      <c r="FS16" s="100"/>
      <c r="FT16" s="100"/>
      <c r="FU16" s="100"/>
      <c r="FV16" s="100"/>
      <c r="FW16" s="100"/>
      <c r="FX16" s="100"/>
      <c r="FY16" s="100"/>
      <c r="FZ16" s="100"/>
      <c r="GA16" s="100"/>
      <c r="GB16" s="100"/>
      <c r="GC16" s="100"/>
      <c r="GD16" s="100"/>
      <c r="GE16" s="100"/>
      <c r="GF16" s="100"/>
      <c r="GG16" s="100"/>
      <c r="GH16" s="100"/>
      <c r="GI16" s="100"/>
      <c r="GJ16" s="100"/>
      <c r="GK16" s="100"/>
      <c r="GL16" s="100"/>
      <c r="GM16" s="100"/>
      <c r="GN16" s="100"/>
      <c r="GO16" s="100"/>
      <c r="GP16" s="100"/>
      <c r="GQ16" s="100"/>
      <c r="GR16" s="100"/>
      <c r="GS16" s="100"/>
      <c r="GT16" s="100"/>
      <c r="GU16" s="100"/>
      <c r="GV16" s="100"/>
      <c r="GW16" s="100"/>
      <c r="GX16" s="100"/>
      <c r="GY16" s="100"/>
      <c r="GZ16" s="100"/>
      <c r="HA16" s="100"/>
      <c r="HB16" s="100"/>
      <c r="HC16" s="100"/>
      <c r="HD16" s="100"/>
      <c r="HE16" s="100"/>
      <c r="HF16" s="100"/>
      <c r="HG16" s="100"/>
      <c r="HH16" s="100"/>
      <c r="HI16" s="100"/>
      <c r="HJ16" s="100"/>
      <c r="HK16" s="100"/>
      <c r="HL16" s="100"/>
      <c r="HM16" s="100"/>
      <c r="HN16" s="100"/>
      <c r="HO16" s="100"/>
      <c r="HP16" s="100"/>
      <c r="HQ16" s="100"/>
      <c r="HR16" s="100"/>
      <c r="HS16" s="100"/>
      <c r="HT16" s="100"/>
      <c r="HU16" s="100"/>
      <c r="HV16" s="100"/>
      <c r="HW16" s="100"/>
      <c r="HX16" s="100"/>
      <c r="HY16" s="100"/>
      <c r="HZ16" s="100"/>
      <c r="IA16" s="100"/>
      <c r="IB16" s="100"/>
      <c r="IC16" s="100"/>
      <c r="ID16" s="100"/>
      <c r="IE16" s="100"/>
      <c r="IF16" s="100"/>
      <c r="IG16" s="100"/>
      <c r="IH16" s="100"/>
      <c r="II16" s="100"/>
      <c r="IJ16" s="100"/>
      <c r="IK16" s="100"/>
      <c r="IL16" s="100"/>
      <c r="IM16" s="100"/>
      <c r="IN16" s="100"/>
      <c r="IO16" s="100"/>
      <c r="IP16" s="100"/>
      <c r="IQ16" s="100"/>
      <c r="IR16" s="100"/>
      <c r="IS16" s="100"/>
      <c r="IT16" s="100"/>
      <c r="IU16" s="100"/>
      <c r="IV16" s="100"/>
      <c r="IW16" s="100"/>
    </row>
    <row r="17" customFormat="false" ht="12.75" hidden="false" customHeight="false" outlineLevel="0" collapsed="false">
      <c r="A17" s="736"/>
      <c r="B17" s="1126"/>
      <c r="C17" s="1120"/>
      <c r="D17" s="778"/>
      <c r="E17" s="778"/>
      <c r="F17" s="778"/>
      <c r="G17" s="778"/>
      <c r="H17" s="778"/>
      <c r="I17" s="778"/>
      <c r="J17" s="778"/>
      <c r="K17" s="778"/>
      <c r="L17" s="778"/>
      <c r="M17" s="778"/>
      <c r="N17" s="778"/>
      <c r="O17" s="778"/>
      <c r="P17" s="778"/>
      <c r="Q17" s="778"/>
      <c r="R17" s="778"/>
      <c r="S17" s="778"/>
      <c r="T17" s="778"/>
      <c r="U17" s="778"/>
      <c r="V17" s="778"/>
      <c r="W17" s="778"/>
      <c r="X17" s="778"/>
      <c r="Y17" s="778"/>
      <c r="Z17" s="778"/>
      <c r="AA17" s="778"/>
      <c r="AB17" s="778"/>
      <c r="AC17" s="778"/>
      <c r="AD17" s="778"/>
      <c r="AE17" s="778"/>
      <c r="AF17" s="778"/>
      <c r="AG17" s="778"/>
      <c r="AH17" s="974"/>
      <c r="AI17" s="100"/>
      <c r="AJ17" s="100"/>
      <c r="AK17" s="100"/>
      <c r="AL17" s="100"/>
      <c r="AM17" s="100"/>
      <c r="AN17" s="100"/>
      <c r="AO17" s="100"/>
      <c r="AP17" s="100"/>
      <c r="AQ17" s="100"/>
      <c r="AR17" s="100"/>
      <c r="AS17" s="100"/>
      <c r="AT17" s="100"/>
      <c r="AU17" s="100"/>
      <c r="AV17" s="100"/>
      <c r="AW17" s="100"/>
      <c r="AX17" s="100"/>
      <c r="AY17" s="100"/>
      <c r="AZ17" s="100"/>
      <c r="BA17" s="100"/>
      <c r="BB17" s="100"/>
      <c r="BC17" s="100"/>
      <c r="BD17" s="100"/>
      <c r="BE17" s="100"/>
      <c r="BF17" s="100"/>
      <c r="BG17" s="100"/>
      <c r="BH17" s="100"/>
      <c r="BI17" s="100"/>
      <c r="BJ17" s="100"/>
      <c r="BK17" s="100"/>
      <c r="BL17" s="100"/>
      <c r="BM17" s="100"/>
      <c r="BN17" s="100"/>
      <c r="BO17" s="100"/>
      <c r="BP17" s="100"/>
      <c r="BQ17" s="100"/>
      <c r="BR17" s="100"/>
      <c r="BS17" s="100"/>
      <c r="BT17" s="100"/>
      <c r="BU17" s="100"/>
      <c r="BV17" s="100"/>
      <c r="BW17" s="100"/>
      <c r="BX17" s="100"/>
      <c r="BY17" s="100"/>
      <c r="BZ17" s="100"/>
      <c r="CA17" s="100"/>
      <c r="CB17" s="100"/>
      <c r="CC17" s="100"/>
      <c r="CD17" s="100"/>
      <c r="CE17" s="100"/>
      <c r="CF17" s="100"/>
      <c r="CG17" s="100"/>
      <c r="CH17" s="100"/>
      <c r="CI17" s="100"/>
      <c r="CJ17" s="100"/>
      <c r="CK17" s="100"/>
      <c r="CL17" s="100"/>
      <c r="CM17" s="100"/>
      <c r="CN17" s="100"/>
      <c r="CO17" s="100"/>
      <c r="CP17" s="100"/>
      <c r="CQ17" s="100"/>
      <c r="CR17" s="100"/>
      <c r="CS17" s="100"/>
      <c r="CT17" s="100"/>
      <c r="CU17" s="100"/>
      <c r="CV17" s="100"/>
      <c r="CW17" s="100"/>
      <c r="CX17" s="100"/>
      <c r="CY17" s="100"/>
      <c r="CZ17" s="100"/>
      <c r="DA17" s="100"/>
      <c r="DB17" s="100"/>
      <c r="DC17" s="100"/>
      <c r="DD17" s="100"/>
      <c r="DE17" s="100"/>
      <c r="DF17" s="100"/>
      <c r="DG17" s="100"/>
      <c r="DH17" s="100"/>
      <c r="DI17" s="100"/>
      <c r="DJ17" s="100"/>
      <c r="DK17" s="100"/>
      <c r="DL17" s="100"/>
      <c r="DM17" s="100"/>
      <c r="DN17" s="100"/>
      <c r="DO17" s="100"/>
      <c r="DP17" s="100"/>
      <c r="DQ17" s="100"/>
      <c r="DR17" s="100"/>
      <c r="DS17" s="100"/>
      <c r="DT17" s="100"/>
      <c r="DU17" s="100"/>
      <c r="DV17" s="100"/>
      <c r="DW17" s="100"/>
      <c r="DX17" s="100"/>
      <c r="DY17" s="100"/>
      <c r="DZ17" s="100"/>
      <c r="EA17" s="100"/>
      <c r="EB17" s="100"/>
      <c r="EC17" s="100"/>
      <c r="ED17" s="100"/>
      <c r="EE17" s="100"/>
      <c r="EF17" s="100"/>
      <c r="EG17" s="100"/>
      <c r="EH17" s="100"/>
      <c r="EI17" s="100"/>
      <c r="EJ17" s="100"/>
      <c r="EK17" s="100"/>
      <c r="EL17" s="100"/>
      <c r="EM17" s="100"/>
      <c r="EN17" s="100"/>
      <c r="EO17" s="100"/>
      <c r="EP17" s="100"/>
      <c r="EQ17" s="100"/>
      <c r="ER17" s="100"/>
      <c r="ES17" s="100"/>
      <c r="ET17" s="100"/>
      <c r="EU17" s="100"/>
      <c r="EV17" s="100"/>
      <c r="EW17" s="100"/>
      <c r="EX17" s="100"/>
      <c r="EY17" s="100"/>
      <c r="EZ17" s="100"/>
      <c r="FA17" s="100"/>
      <c r="FB17" s="100"/>
      <c r="FC17" s="100"/>
      <c r="FD17" s="100"/>
      <c r="FE17" s="100"/>
      <c r="FF17" s="100"/>
      <c r="FG17" s="100"/>
      <c r="FH17" s="100"/>
      <c r="FI17" s="100"/>
      <c r="FJ17" s="100"/>
      <c r="FK17" s="100"/>
      <c r="FL17" s="100"/>
      <c r="FM17" s="100"/>
      <c r="FN17" s="100"/>
      <c r="FO17" s="100"/>
      <c r="FP17" s="100"/>
      <c r="FQ17" s="100"/>
      <c r="FR17" s="100"/>
      <c r="FS17" s="100"/>
      <c r="FT17" s="100"/>
      <c r="FU17" s="100"/>
      <c r="FV17" s="100"/>
      <c r="FW17" s="100"/>
      <c r="FX17" s="100"/>
      <c r="FY17" s="100"/>
      <c r="FZ17" s="100"/>
      <c r="GA17" s="100"/>
      <c r="GB17" s="100"/>
      <c r="GC17" s="100"/>
      <c r="GD17" s="100"/>
      <c r="GE17" s="100"/>
      <c r="GF17" s="100"/>
      <c r="GG17" s="100"/>
      <c r="GH17" s="100"/>
      <c r="GI17" s="100"/>
      <c r="GJ17" s="100"/>
      <c r="GK17" s="100"/>
      <c r="GL17" s="100"/>
      <c r="GM17" s="100"/>
      <c r="GN17" s="100"/>
      <c r="GO17" s="100"/>
      <c r="GP17" s="100"/>
      <c r="GQ17" s="100"/>
      <c r="GR17" s="100"/>
      <c r="GS17" s="100"/>
      <c r="GT17" s="100"/>
      <c r="GU17" s="100"/>
      <c r="GV17" s="100"/>
      <c r="GW17" s="100"/>
      <c r="GX17" s="100"/>
      <c r="GY17" s="100"/>
      <c r="GZ17" s="100"/>
      <c r="HA17" s="100"/>
      <c r="HB17" s="100"/>
      <c r="HC17" s="100"/>
      <c r="HD17" s="100"/>
      <c r="HE17" s="100"/>
      <c r="HF17" s="100"/>
      <c r="HG17" s="100"/>
      <c r="HH17" s="100"/>
      <c r="HI17" s="100"/>
      <c r="HJ17" s="100"/>
      <c r="HK17" s="100"/>
      <c r="HL17" s="100"/>
      <c r="HM17" s="100"/>
      <c r="HN17" s="100"/>
      <c r="HO17" s="100"/>
      <c r="HP17" s="100"/>
      <c r="HQ17" s="100"/>
      <c r="HR17" s="100"/>
      <c r="HS17" s="100"/>
      <c r="HT17" s="100"/>
      <c r="HU17" s="100"/>
      <c r="HV17" s="100"/>
      <c r="HW17" s="100"/>
      <c r="HX17" s="100"/>
      <c r="HY17" s="100"/>
      <c r="HZ17" s="100"/>
      <c r="IA17" s="100"/>
      <c r="IB17" s="100"/>
      <c r="IC17" s="100"/>
      <c r="ID17" s="100"/>
      <c r="IE17" s="100"/>
      <c r="IF17" s="100"/>
      <c r="IG17" s="100"/>
      <c r="IH17" s="100"/>
      <c r="II17" s="100"/>
      <c r="IJ17" s="100"/>
      <c r="IK17" s="100"/>
      <c r="IL17" s="100"/>
      <c r="IM17" s="100"/>
      <c r="IN17" s="100"/>
      <c r="IO17" s="100"/>
      <c r="IP17" s="100"/>
      <c r="IQ17" s="100"/>
      <c r="IR17" s="100"/>
      <c r="IS17" s="100"/>
      <c r="IT17" s="100"/>
      <c r="IU17" s="100"/>
      <c r="IV17" s="100"/>
      <c r="IW17" s="100"/>
    </row>
    <row r="18" customFormat="false" ht="12.75" hidden="false" customHeight="false" outlineLevel="0" collapsed="false">
      <c r="A18" s="736"/>
      <c r="B18" s="1122" t="s">
        <v>703</v>
      </c>
      <c r="C18" s="1056"/>
      <c r="D18" s="313" t="n">
        <f aca="false">CapAcc!D28</f>
        <v>-6524.78681631269</v>
      </c>
      <c r="E18" s="313" t="n">
        <f aca="false">CapAcc!E28</f>
        <v>-10887.9328631865</v>
      </c>
      <c r="F18" s="313" t="n">
        <f aca="false">CapAcc!F28</f>
        <v>-6176.78014736453</v>
      </c>
      <c r="G18" s="313" t="n">
        <f aca="false">CapAcc!G28</f>
        <v>-3328.34151014132</v>
      </c>
      <c r="H18" s="313" t="n">
        <f aca="false">CapAcc!H28</f>
        <v>-3287.89948569912</v>
      </c>
      <c r="I18" s="313" t="n">
        <f aca="false">CapAcc!I28</f>
        <v>-1137.34666793222</v>
      </c>
      <c r="J18" s="313" t="n">
        <f aca="false">CapAcc!J28</f>
        <v>1005.36594362656</v>
      </c>
      <c r="K18" s="313" t="n">
        <f aca="false">CapAcc!K28</f>
        <v>1051.28516062916</v>
      </c>
      <c r="L18" s="313" t="n">
        <f aca="false">CapAcc!L28</f>
        <v>1098.85275786567</v>
      </c>
      <c r="M18" s="313" t="n">
        <f aca="false">CapAcc!M28</f>
        <v>1150.84079512203</v>
      </c>
      <c r="N18" s="313" t="n">
        <f aca="false">CapAcc!N28</f>
        <v>1251.35046510752</v>
      </c>
      <c r="O18" s="313" t="n">
        <f aca="false">CapAcc!O28</f>
        <v>1319.31432422641</v>
      </c>
      <c r="P18" s="313" t="n">
        <f aca="false">CapAcc!P28</f>
        <v>1391.19621587427</v>
      </c>
      <c r="Q18" s="313" t="n">
        <f aca="false">CapAcc!Q28</f>
        <v>1469.53362668157</v>
      </c>
      <c r="R18" s="313" t="n">
        <f aca="false">CapAcc!R28</f>
        <v>1553.77850360631</v>
      </c>
      <c r="S18" s="313" t="n">
        <f aca="false">CapAcc!S28</f>
        <v>1648.42038739533</v>
      </c>
      <c r="T18" s="313" t="n">
        <f aca="false">CapAcc!T28</f>
        <v>1760.45527152144</v>
      </c>
      <c r="U18" s="313" t="n">
        <f aca="false">CapAcc!U28</f>
        <v>1972.03100572112</v>
      </c>
      <c r="V18" s="313" t="n">
        <f aca="false">CapAcc!V28</f>
        <v>1941.24725793723</v>
      </c>
      <c r="W18" s="313" t="n">
        <f aca="false">CapAcc!W28</f>
        <v>1910.53952515877</v>
      </c>
      <c r="X18" s="313" t="n">
        <f aca="false">CapAcc!X28</f>
        <v>0</v>
      </c>
      <c r="Y18" s="313" t="n">
        <f aca="false">CapAcc!Y28</f>
        <v>0</v>
      </c>
      <c r="Z18" s="313" t="n">
        <f aca="false">CapAcc!Z28</f>
        <v>0</v>
      </c>
      <c r="AA18" s="313" t="n">
        <f aca="false">CapAcc!AA28</f>
        <v>0</v>
      </c>
      <c r="AB18" s="313" t="n">
        <f aca="false">CapAcc!AB28</f>
        <v>0</v>
      </c>
      <c r="AC18" s="313" t="n">
        <f aca="false">CapAcc!AC28</f>
        <v>0</v>
      </c>
      <c r="AD18" s="313" t="n">
        <f aca="false">CapAcc!AD28</f>
        <v>0</v>
      </c>
      <c r="AE18" s="313" t="n">
        <f aca="false">CapAcc!AE28</f>
        <v>0</v>
      </c>
      <c r="AF18" s="313" t="n">
        <f aca="false">CapAcc!AF28</f>
        <v>0</v>
      </c>
      <c r="AG18" s="313" t="n">
        <f aca="false">CapAcc!AG28</f>
        <v>0</v>
      </c>
      <c r="AH18" s="313" t="n">
        <f aca="false">CapAcc!AH28</f>
        <v>0</v>
      </c>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c r="BM18" s="100"/>
      <c r="BN18" s="100"/>
      <c r="BO18" s="100"/>
      <c r="BP18" s="100"/>
      <c r="BQ18" s="100"/>
      <c r="BR18" s="100"/>
      <c r="BS18" s="100"/>
      <c r="BT18" s="100"/>
      <c r="BU18" s="100"/>
      <c r="BV18" s="100"/>
      <c r="BW18" s="100"/>
      <c r="BX18" s="100"/>
      <c r="BY18" s="100"/>
      <c r="BZ18" s="100"/>
      <c r="CA18" s="100"/>
      <c r="CB18" s="100"/>
      <c r="CC18" s="100"/>
      <c r="CD18" s="100"/>
      <c r="CE18" s="100"/>
      <c r="CF18" s="100"/>
      <c r="CG18" s="100"/>
      <c r="CH18" s="100"/>
      <c r="CI18" s="100"/>
      <c r="CJ18" s="100"/>
      <c r="CK18" s="100"/>
      <c r="CL18" s="100"/>
      <c r="CM18" s="100"/>
      <c r="CN18" s="100"/>
      <c r="CO18" s="100"/>
      <c r="CP18" s="100"/>
      <c r="CQ18" s="100"/>
      <c r="CR18" s="100"/>
      <c r="CS18" s="100"/>
      <c r="CT18" s="100"/>
      <c r="CU18" s="100"/>
      <c r="CV18" s="100"/>
      <c r="CW18" s="100"/>
      <c r="CX18" s="100"/>
      <c r="CY18" s="100"/>
      <c r="CZ18" s="100"/>
      <c r="DA18" s="100"/>
      <c r="DB18" s="100"/>
      <c r="DC18" s="100"/>
      <c r="DD18" s="100"/>
      <c r="DE18" s="100"/>
      <c r="DF18" s="100"/>
      <c r="DG18" s="100"/>
      <c r="DH18" s="100"/>
      <c r="DI18" s="100"/>
      <c r="DJ18" s="100"/>
      <c r="DK18" s="100"/>
      <c r="DL18" s="100"/>
      <c r="DM18" s="100"/>
      <c r="DN18" s="100"/>
      <c r="DO18" s="100"/>
      <c r="DP18" s="100"/>
      <c r="DQ18" s="100"/>
      <c r="DR18" s="100"/>
      <c r="DS18" s="100"/>
      <c r="DT18" s="100"/>
      <c r="DU18" s="100"/>
      <c r="DV18" s="100"/>
      <c r="DW18" s="100"/>
      <c r="DX18" s="100"/>
      <c r="DY18" s="100"/>
      <c r="DZ18" s="100"/>
      <c r="EA18" s="100"/>
      <c r="EB18" s="100"/>
      <c r="EC18" s="100"/>
      <c r="ED18" s="100"/>
      <c r="EE18" s="100"/>
      <c r="EF18" s="100"/>
      <c r="EG18" s="100"/>
      <c r="EH18" s="100"/>
      <c r="EI18" s="100"/>
      <c r="EJ18" s="100"/>
      <c r="EK18" s="100"/>
      <c r="EL18" s="100"/>
      <c r="EM18" s="100"/>
      <c r="EN18" s="100"/>
      <c r="EO18" s="100"/>
      <c r="EP18" s="100"/>
      <c r="EQ18" s="100"/>
      <c r="ER18" s="100"/>
      <c r="ES18" s="100"/>
      <c r="ET18" s="100"/>
      <c r="EU18" s="100"/>
      <c r="EV18" s="100"/>
      <c r="EW18" s="100"/>
      <c r="EX18" s="100"/>
      <c r="EY18" s="100"/>
      <c r="EZ18" s="100"/>
      <c r="FA18" s="100"/>
      <c r="FB18" s="100"/>
      <c r="FC18" s="100"/>
      <c r="FD18" s="100"/>
      <c r="FE18" s="100"/>
      <c r="FF18" s="100"/>
      <c r="FG18" s="100"/>
      <c r="FH18" s="100"/>
      <c r="FI18" s="100"/>
      <c r="FJ18" s="100"/>
      <c r="FK18" s="100"/>
      <c r="FL18" s="100"/>
      <c r="FM18" s="100"/>
      <c r="FN18" s="100"/>
      <c r="FO18" s="100"/>
      <c r="FP18" s="100"/>
      <c r="FQ18" s="100"/>
      <c r="FR18" s="100"/>
      <c r="FS18" s="100"/>
      <c r="FT18" s="100"/>
      <c r="FU18" s="100"/>
      <c r="FV18" s="100"/>
      <c r="FW18" s="100"/>
      <c r="FX18" s="100"/>
      <c r="FY18" s="100"/>
      <c r="FZ18" s="100"/>
      <c r="GA18" s="100"/>
      <c r="GB18" s="100"/>
      <c r="GC18" s="100"/>
      <c r="GD18" s="100"/>
      <c r="GE18" s="100"/>
      <c r="GF18" s="100"/>
      <c r="GG18" s="100"/>
      <c r="GH18" s="100"/>
      <c r="GI18" s="100"/>
      <c r="GJ18" s="100"/>
      <c r="GK18" s="100"/>
      <c r="GL18" s="100"/>
      <c r="GM18" s="100"/>
      <c r="GN18" s="100"/>
      <c r="GO18" s="100"/>
      <c r="GP18" s="100"/>
      <c r="GQ18" s="100"/>
      <c r="GR18" s="100"/>
      <c r="GS18" s="100"/>
      <c r="GT18" s="100"/>
      <c r="GU18" s="100"/>
      <c r="GV18" s="100"/>
      <c r="GW18" s="100"/>
      <c r="GX18" s="100"/>
      <c r="GY18" s="100"/>
      <c r="GZ18" s="100"/>
      <c r="HA18" s="100"/>
      <c r="HB18" s="100"/>
      <c r="HC18" s="100"/>
      <c r="HD18" s="100"/>
      <c r="HE18" s="100"/>
      <c r="HF18" s="100"/>
      <c r="HG18" s="100"/>
      <c r="HH18" s="100"/>
      <c r="HI18" s="100"/>
      <c r="HJ18" s="100"/>
      <c r="HK18" s="100"/>
      <c r="HL18" s="100"/>
      <c r="HM18" s="100"/>
      <c r="HN18" s="100"/>
      <c r="HO18" s="100"/>
      <c r="HP18" s="100"/>
      <c r="HQ18" s="100"/>
      <c r="HR18" s="100"/>
      <c r="HS18" s="100"/>
      <c r="HT18" s="100"/>
      <c r="HU18" s="100"/>
      <c r="HV18" s="100"/>
      <c r="HW18" s="100"/>
      <c r="HX18" s="100"/>
      <c r="HY18" s="100"/>
      <c r="HZ18" s="100"/>
      <c r="IA18" s="100"/>
      <c r="IB18" s="100"/>
      <c r="IC18" s="100"/>
      <c r="ID18" s="100"/>
      <c r="IE18" s="100"/>
      <c r="IF18" s="100"/>
      <c r="IG18" s="100"/>
      <c r="IH18" s="100"/>
      <c r="II18" s="100"/>
      <c r="IJ18" s="100"/>
      <c r="IK18" s="100"/>
      <c r="IL18" s="100"/>
      <c r="IM18" s="100"/>
      <c r="IN18" s="100"/>
      <c r="IO18" s="100"/>
      <c r="IP18" s="100"/>
      <c r="IQ18" s="100"/>
      <c r="IR18" s="100"/>
      <c r="IS18" s="100"/>
      <c r="IT18" s="100"/>
      <c r="IU18" s="100"/>
      <c r="IV18" s="100"/>
      <c r="IW18" s="100"/>
    </row>
    <row r="19" customFormat="false" ht="12.75" hidden="false" customHeight="false" outlineLevel="0" collapsed="false">
      <c r="A19" s="736"/>
      <c r="B19" s="1119" t="s">
        <v>736</v>
      </c>
      <c r="C19" s="1127"/>
      <c r="D19" s="1102" t="n">
        <f aca="false">IF(D18&gt;=0,0,IF(D16&lt;0,-D18,IF(ABS(D18)&lt;D16,0,ABS(D18)-D16)))</f>
        <v>0</v>
      </c>
      <c r="E19" s="1102" t="n">
        <f aca="false">IF(AND(E18&gt;=0,E6&gt;=0),MAX(-E6,-SUM($D19:D19)),IF(AND(E18&lt;0,E6&lt;0),-E18,IF(AND(E18&lt;0,E6&gt;=0),IF(ABS(E18)&lt;=E6,MAX(-E6-E18,-SUM($D19:D19)),ABS(E18)-E6),0)))</f>
        <v>-0</v>
      </c>
      <c r="F19" s="1102" t="n">
        <f aca="false">IF(AND(F18&gt;=0,F6&gt;=0),MAX(-F6,-SUM($D19:E19)),IF(AND(F18&lt;0,F6&lt;0),-F18,IF(AND(F18&lt;0,F6&gt;=0),IF(ABS(F18)&lt;=F6,MAX(-F6-F18,-SUM($D19:E19)),ABS(F18)-F6),0)))</f>
        <v>-0</v>
      </c>
      <c r="G19" s="1102" t="n">
        <f aca="false">IF(AND(G18&gt;=0,G6&gt;=0),MAX(-G6,-SUM($D19:F19)),IF(AND(G18&lt;0,G6&lt;0),-G18,IF(AND(G18&lt;0,G6&gt;=0),IF(ABS(G18)&lt;=G6,MAX(-G6-G18,-SUM($D19:F19)),ABS(G18)-G6),0)))</f>
        <v>-0</v>
      </c>
      <c r="H19" s="1102" t="n">
        <f aca="false">IF(AND(H18&gt;=0,H6&gt;=0),MAX(-H6,-SUM($D19:G19)),IF(AND(H18&lt;0,H6&lt;0),-H18,IF(AND(H18&lt;0,H6&gt;=0),IF(ABS(H18)&lt;=H6,MAX(-H6-H18,-SUM($D19:G19)),ABS(H18)-H6),0)))</f>
        <v>-0</v>
      </c>
      <c r="I19" s="1102" t="n">
        <f aca="false">IF(AND(I18&gt;=0,I6&gt;=0),MAX(-I6,-SUM($D19:H19)),IF(AND(I18&lt;0,I6&lt;0),-I18,IF(AND(I18&lt;0,I6&gt;=0),IF(ABS(I18)&lt;=I6,MAX(-I6-I18,-SUM($D19:H19)),ABS(I18)-I6),0)))</f>
        <v>-0</v>
      </c>
      <c r="J19" s="1102" t="n">
        <f aca="false">IF(AND(J18&gt;=0,J6&gt;=0),MAX(-J6,-SUM($D19:I19)),IF(AND(J18&lt;0,J6&lt;0),-J18,IF(AND(J18&lt;0,J6&gt;=0),IF(ABS(J18)&lt;=J6,MAX(-J6-J18,-SUM($D19:I19)),ABS(J18)-J6),0)))</f>
        <v>-0</v>
      </c>
      <c r="K19" s="1102" t="n">
        <f aca="false">IF(AND(K18&gt;=0,K6&gt;=0),MAX(-K6,-SUM($D19:J19)),IF(AND(K18&lt;0,K6&lt;0),-K18,IF(AND(K18&lt;0,K6&gt;=0),IF(ABS(K18)&lt;=K6,MAX(-K6-K18,-SUM($D19:J19)),ABS(K18)-K6),0)))</f>
        <v>-0</v>
      </c>
      <c r="L19" s="1102" t="n">
        <f aca="false">IF(AND(L18&gt;=0,L6&gt;=0),MAX(-L6,-SUM($D19:K19)),IF(AND(L18&lt;0,L6&lt;0),-L18,IF(AND(L18&lt;0,L6&gt;=0),IF(ABS(L18)&lt;=L6,MAX(-L6-L18,-SUM($D19:K19)),ABS(L18)-L6),0)))</f>
        <v>-0</v>
      </c>
      <c r="M19" s="1102" t="n">
        <f aca="false">IF(AND(M18&gt;=0,M6&gt;=0),MAX(-M6,-SUM($D19:L19)),IF(AND(M18&lt;0,M6&lt;0),-M18,IF(AND(M18&lt;0,M6&gt;=0),IF(ABS(M18)&lt;=M6,MAX(-M6-M18,-SUM($D19:L19)),ABS(M18)-M6),0)))</f>
        <v>-0</v>
      </c>
      <c r="N19" s="1102" t="n">
        <f aca="false">IF(AND(N18&gt;=0,N6&gt;=0),MAX(-N6,-SUM($D19:M19)),IF(AND(N18&lt;0,N6&lt;0),-N18,IF(AND(N18&lt;0,N6&gt;=0),IF(ABS(N18)&lt;=N6,MAX(-N6-N18,-SUM($D19:M19)),ABS(N18)-N6),0)))</f>
        <v>-0</v>
      </c>
      <c r="O19" s="1102" t="n">
        <f aca="false">IF(AND(O18&gt;=0,O6&gt;=0),MAX(-O6,-SUM($D19:N19)),IF(AND(O18&lt;0,O6&lt;0),-O18,IF(AND(O18&lt;0,O6&gt;=0),IF(ABS(O18)&lt;=O6,MAX(-O6-O18,-SUM($D19:N19)),ABS(O18)-O6),0)))</f>
        <v>-0</v>
      </c>
      <c r="P19" s="1102" t="n">
        <f aca="false">IF(AND(P18&gt;=0,P6&gt;=0),MAX(-P6,-SUM($D19:O19)),IF(AND(P18&lt;0,P6&lt;0),-P18,IF(AND(P18&lt;0,P6&gt;=0),IF(ABS(P18)&lt;=P6,MAX(-P6-P18,-SUM($D19:O19)),ABS(P18)-P6),0)))</f>
        <v>-0</v>
      </c>
      <c r="Q19" s="1102" t="n">
        <f aca="false">IF(AND(Q18&gt;=0,Q6&gt;=0),MAX(-Q6,-SUM($D19:P19)),IF(AND(Q18&lt;0,Q6&lt;0),-Q18,IF(AND(Q18&lt;0,Q6&gt;=0),IF(ABS(Q18)&lt;=Q6,MAX(-Q6-Q18,-SUM($D19:P19)),ABS(Q18)-Q6),0)))</f>
        <v>-0</v>
      </c>
      <c r="R19" s="1102" t="n">
        <f aca="false">IF(AND(R18&gt;=0,R6&gt;=0),MAX(-R6,-SUM($D19:Q19)),IF(AND(R18&lt;0,R6&lt;0),-R18,IF(AND(R18&lt;0,R6&gt;=0),IF(ABS(R18)&lt;=R6,MAX(-R6-R18,-SUM($D19:Q19)),ABS(R18)-R6),0)))</f>
        <v>-0</v>
      </c>
      <c r="S19" s="1102" t="n">
        <f aca="false">IF(AND(S18&gt;=0,S6&gt;=0),MAX(-S6,-SUM($D19:R19)),IF(AND(S18&lt;0,S6&lt;0),-S18,IF(AND(S18&lt;0,S6&gt;=0),IF(ABS(S18)&lt;=S6,MAX(-S6-S18,-SUM($D19:R19)),ABS(S18)-S6),0)))</f>
        <v>-0</v>
      </c>
      <c r="T19" s="1102" t="n">
        <f aca="false">IF(AND(T18&gt;=0,T6&gt;=0),MAX(-T6,-SUM($D19:S19)),IF(AND(T18&lt;0,T6&lt;0),-T18,IF(AND(T18&lt;0,T6&gt;=0),IF(ABS(T18)&lt;=T6,MAX(-T6-T18,-SUM($D19:S19)),ABS(T18)-T6),0)))</f>
        <v>-0</v>
      </c>
      <c r="U19" s="1102" t="n">
        <f aca="false">IF(AND(U18&gt;=0,U6&gt;=0),MAX(-U6,-SUM($D19:T19)),IF(AND(U18&lt;0,U6&lt;0),-U18,IF(AND(U18&lt;0,U6&gt;=0),IF(ABS(U18)&lt;=U6,MAX(-U6-U18,-SUM($D19:T19)),ABS(U18)-U6),0)))</f>
        <v>-0</v>
      </c>
      <c r="V19" s="1102" t="n">
        <f aca="false">IF(AND(V18&gt;=0,V6&gt;=0),MAX(-V6,-SUM($D19:U19)),IF(AND(V18&lt;0,V6&lt;0),-V18,IF(AND(V18&lt;0,V6&gt;=0),IF(ABS(V18)&lt;=V6,MAX(-V6-V18,-SUM($D19:U19)),ABS(V18)-V6),0)))</f>
        <v>-0</v>
      </c>
      <c r="W19" s="1102" t="n">
        <f aca="false">IF(AND(W18&gt;=0,W6&gt;=0),MAX(-W6,-SUM($D19:V19)),IF(AND(W18&lt;0,W6&lt;0),-W18,IF(AND(W18&lt;0,W6&gt;=0),IF(ABS(W18)&lt;=W6,MAX(-W6-W18,-SUM($D19:V19)),ABS(W18)-W6),0)))</f>
        <v>-0</v>
      </c>
      <c r="X19" s="1102" t="n">
        <f aca="false">IF(AND(X18&gt;=0,X6&gt;=0),MAX(-X6,-SUM($D19:W19)),IF(AND(X18&lt;0,X6&lt;0),-X18,IF(AND(X18&lt;0,X6&gt;=0),IF(ABS(X18)&lt;=X6,MAX(-X6-X18,-SUM($D19:W19)),ABS(X18)-X6),0)))</f>
        <v>-0</v>
      </c>
      <c r="Y19" s="1102" t="n">
        <f aca="false">IF(AND(Y18&gt;=0,Y6&gt;=0),MAX(-Y6,-SUM($D19:X19)),IF(AND(Y18&lt;0,Y6&lt;0),-Y18,IF(AND(Y18&lt;0,Y6&gt;=0),IF(ABS(Y18)&lt;=Y6,MAX(-Y6-Y18,-SUM($D19:X19)),ABS(Y18)-Y6),0)))</f>
        <v>-0</v>
      </c>
      <c r="Z19" s="1102" t="n">
        <f aca="false">IF(AND(Z18&gt;=0,Z6&gt;=0),MAX(-Z6,-SUM($D19:Y19)),IF(AND(Z18&lt;0,Z6&lt;0),-Z18,IF(AND(Z18&lt;0,Z6&gt;=0),IF(ABS(Z18)&lt;=Z6,MAX(-Z6-Z18,-SUM($D19:Y19)),ABS(Z18)-Z6),0)))</f>
        <v>-0</v>
      </c>
      <c r="AA19" s="1102" t="n">
        <f aca="false">IF(AND(AA18&gt;=0,AA6&gt;=0),MAX(-AA6,-SUM($D19:Z19)),IF(AND(AA18&lt;0,AA6&lt;0),-AA18,IF(AND(AA18&lt;0,AA6&gt;=0),IF(ABS(AA18)&lt;=AA6,MAX(-AA6-AA18,-SUM($D19:Z19)),ABS(AA18)-AA6),0)))</f>
        <v>-0</v>
      </c>
      <c r="AB19" s="1102" t="n">
        <f aca="false">IF(AND(AB18&gt;=0,AB6&gt;=0),MAX(-AB6,-SUM($D19:AA19)),IF(AND(AB18&lt;0,AB6&lt;0),-AB18,IF(AND(AB18&lt;0,AB6&gt;=0),IF(ABS(AB18)&lt;=AB6,MAX(-AB6-AB18,-SUM($D19:AA19)),ABS(AB18)-AB6),0)))</f>
        <v>-0</v>
      </c>
      <c r="AC19" s="1102" t="n">
        <f aca="false">IF(AND(AC18&gt;=0,AC6&gt;=0),MAX(-AC6,-SUM($D19:AB19)),IF(AND(AC18&lt;0,AC6&lt;0),-AC18,IF(AND(AC18&lt;0,AC6&gt;=0),IF(ABS(AC18)&lt;=AC6,MAX(-AC6-AC18,-SUM($D19:AB19)),ABS(AC18)-AC6),0)))</f>
        <v>-0</v>
      </c>
      <c r="AD19" s="1102" t="n">
        <f aca="false">IF(AND(AD18&gt;=0,AD6&gt;=0),MAX(-AD6,-SUM($D19:AC19)),IF(AND(AD18&lt;0,AD6&lt;0),-AD18,IF(AND(AD18&lt;0,AD6&gt;=0),IF(ABS(AD18)&lt;=AD6,MAX(-AD6-AD18,-SUM($D19:AC19)),ABS(AD18)-AD6),0)))</f>
        <v>-0</v>
      </c>
      <c r="AE19" s="1102" t="n">
        <f aca="false">IF(AND(AE18&gt;=0,AE6&gt;=0),MAX(-AE6,-SUM($D19:AD19)),IF(AND(AE18&lt;0,AE6&lt;0),-AE18,IF(AND(AE18&lt;0,AE6&gt;=0),IF(ABS(AE18)&lt;=AE6,MAX(-AE6-AE18,-SUM($D19:AD19)),ABS(AE18)-AE6),0)))</f>
        <v>-0</v>
      </c>
      <c r="AF19" s="1102" t="n">
        <f aca="false">IF(AND(AF18&gt;=0,AF6&gt;=0),MAX(-AF6,-SUM($D19:AE19)),IF(AND(AF18&lt;0,AF6&lt;0),-AF18,IF(AND(AF18&lt;0,AF6&gt;=0),IF(ABS(AF18)&lt;=AF6,MAX(-AF6-AF18,-SUM($D19:AE19)),ABS(AF18)-AF6),0)))</f>
        <v>-0</v>
      </c>
      <c r="AG19" s="1102" t="n">
        <f aca="false">IF(AND(AG18&gt;=0,AG6&gt;=0),MAX(-AG6,-SUM($D19:AF19)),IF(AND(AG18&lt;0,AG6&lt;0),-AG18,IF(AND(AG18&lt;0,AG6&gt;=0),IF(ABS(AG18)&lt;=AG6,MAX(-AG6-AG18,-SUM($D19:AF19)),ABS(AG18)-AG6),0)))</f>
        <v>-0</v>
      </c>
      <c r="AH19" s="1103" t="n">
        <f aca="false">IF(AND(AH18&gt;=0,AH6&gt;=0),MAX(-AH6,-SUM($D19:AG19)),IF(AND(AH18&lt;0,AH6&lt;0),-AH18,IF(AND(AH18&lt;0,AH6&gt;=0),IF(ABS(AH18)&lt;=AH6,MAX(-AH6-AH18,-SUM($D19:AG19)),ABS(AH18)-AH6),0)))</f>
        <v>-0</v>
      </c>
      <c r="AI19" s="100"/>
      <c r="AJ19" s="100"/>
      <c r="AK19" s="100"/>
      <c r="AL19" s="100"/>
      <c r="AM19" s="100"/>
      <c r="AN19" s="100"/>
      <c r="AO19" s="100"/>
      <c r="AP19" s="100"/>
      <c r="AQ19" s="100"/>
      <c r="AR19" s="100"/>
      <c r="AS19" s="100"/>
      <c r="AT19" s="100"/>
      <c r="AU19" s="100"/>
      <c r="AV19" s="100"/>
      <c r="AW19" s="100"/>
      <c r="AX19" s="100"/>
      <c r="AY19" s="100"/>
      <c r="AZ19" s="100"/>
      <c r="BA19" s="100"/>
      <c r="BB19" s="100"/>
      <c r="BC19" s="100"/>
      <c r="BD19" s="100"/>
      <c r="BE19" s="100"/>
      <c r="BF19" s="100"/>
      <c r="BG19" s="100"/>
      <c r="BH19" s="100"/>
      <c r="BI19" s="100"/>
      <c r="BJ19" s="100"/>
      <c r="BK19" s="100"/>
      <c r="BL19" s="100"/>
      <c r="BM19" s="100"/>
      <c r="BN19" s="100"/>
      <c r="BO19" s="100"/>
      <c r="BP19" s="100"/>
      <c r="BQ19" s="100"/>
      <c r="BR19" s="100"/>
      <c r="BS19" s="100"/>
      <c r="BT19" s="100"/>
      <c r="BU19" s="100"/>
      <c r="BV19" s="100"/>
      <c r="BW19" s="100"/>
      <c r="BX19" s="100"/>
      <c r="BY19" s="100"/>
      <c r="BZ19" s="100"/>
      <c r="CA19" s="100"/>
      <c r="CB19" s="100"/>
      <c r="CC19" s="100"/>
      <c r="CD19" s="100"/>
      <c r="CE19" s="100"/>
      <c r="CF19" s="100"/>
      <c r="CG19" s="100"/>
      <c r="CH19" s="100"/>
      <c r="CI19" s="100"/>
      <c r="CJ19" s="100"/>
      <c r="CK19" s="100"/>
      <c r="CL19" s="100"/>
      <c r="CM19" s="100"/>
      <c r="CN19" s="100"/>
      <c r="CO19" s="100"/>
      <c r="CP19" s="100"/>
      <c r="CQ19" s="100"/>
      <c r="CR19" s="100"/>
      <c r="CS19" s="100"/>
      <c r="CT19" s="100"/>
      <c r="CU19" s="100"/>
      <c r="CV19" s="100"/>
      <c r="CW19" s="100"/>
      <c r="CX19" s="100"/>
      <c r="CY19" s="100"/>
      <c r="CZ19" s="100"/>
      <c r="DA19" s="100"/>
      <c r="DB19" s="100"/>
      <c r="DC19" s="100"/>
      <c r="DD19" s="100"/>
      <c r="DE19" s="100"/>
      <c r="DF19" s="100"/>
      <c r="DG19" s="100"/>
      <c r="DH19" s="100"/>
      <c r="DI19" s="100"/>
      <c r="DJ19" s="100"/>
      <c r="DK19" s="100"/>
      <c r="DL19" s="100"/>
      <c r="DM19" s="100"/>
      <c r="DN19" s="100"/>
      <c r="DO19" s="100"/>
      <c r="DP19" s="100"/>
      <c r="DQ19" s="100"/>
      <c r="DR19" s="100"/>
      <c r="DS19" s="100"/>
      <c r="DT19" s="100"/>
      <c r="DU19" s="100"/>
      <c r="DV19" s="100"/>
      <c r="DW19" s="100"/>
      <c r="DX19" s="100"/>
      <c r="DY19" s="100"/>
      <c r="DZ19" s="100"/>
      <c r="EA19" s="100"/>
      <c r="EB19" s="100"/>
      <c r="EC19" s="100"/>
      <c r="ED19" s="100"/>
      <c r="EE19" s="100"/>
      <c r="EF19" s="100"/>
      <c r="EG19" s="100"/>
      <c r="EH19" s="100"/>
      <c r="EI19" s="100"/>
      <c r="EJ19" s="100"/>
      <c r="EK19" s="100"/>
      <c r="EL19" s="100"/>
      <c r="EM19" s="100"/>
      <c r="EN19" s="100"/>
      <c r="EO19" s="100"/>
      <c r="EP19" s="100"/>
      <c r="EQ19" s="100"/>
      <c r="ER19" s="100"/>
      <c r="ES19" s="100"/>
      <c r="ET19" s="100"/>
      <c r="EU19" s="100"/>
      <c r="EV19" s="100"/>
      <c r="EW19" s="100"/>
      <c r="EX19" s="100"/>
      <c r="EY19" s="100"/>
      <c r="EZ19" s="100"/>
      <c r="FA19" s="100"/>
      <c r="FB19" s="100"/>
      <c r="FC19" s="100"/>
      <c r="FD19" s="100"/>
      <c r="FE19" s="100"/>
      <c r="FF19" s="100"/>
      <c r="FG19" s="100"/>
      <c r="FH19" s="100"/>
      <c r="FI19" s="100"/>
      <c r="FJ19" s="100"/>
      <c r="FK19" s="100"/>
      <c r="FL19" s="100"/>
      <c r="FM19" s="100"/>
      <c r="FN19" s="100"/>
      <c r="FO19" s="100"/>
      <c r="FP19" s="100"/>
      <c r="FQ19" s="100"/>
      <c r="FR19" s="100"/>
      <c r="FS19" s="100"/>
      <c r="FT19" s="100"/>
      <c r="FU19" s="100"/>
      <c r="FV19" s="100"/>
      <c r="FW19" s="100"/>
      <c r="FX19" s="100"/>
      <c r="FY19" s="100"/>
      <c r="FZ19" s="100"/>
      <c r="GA19" s="100"/>
      <c r="GB19" s="100"/>
      <c r="GC19" s="100"/>
      <c r="GD19" s="100"/>
      <c r="GE19" s="100"/>
      <c r="GF19" s="100"/>
      <c r="GG19" s="100"/>
      <c r="GH19" s="100"/>
      <c r="GI19" s="100"/>
      <c r="GJ19" s="100"/>
      <c r="GK19" s="100"/>
      <c r="GL19" s="100"/>
      <c r="GM19" s="100"/>
      <c r="GN19" s="100"/>
      <c r="GO19" s="100"/>
      <c r="GP19" s="100"/>
      <c r="GQ19" s="100"/>
      <c r="GR19" s="100"/>
      <c r="GS19" s="100"/>
      <c r="GT19" s="100"/>
      <c r="GU19" s="100"/>
      <c r="GV19" s="100"/>
      <c r="GW19" s="100"/>
      <c r="GX19" s="100"/>
      <c r="GY19" s="100"/>
      <c r="GZ19" s="100"/>
      <c r="HA19" s="100"/>
      <c r="HB19" s="100"/>
      <c r="HC19" s="100"/>
      <c r="HD19" s="100"/>
      <c r="HE19" s="100"/>
      <c r="HF19" s="100"/>
      <c r="HG19" s="100"/>
      <c r="HH19" s="100"/>
      <c r="HI19" s="100"/>
      <c r="HJ19" s="100"/>
      <c r="HK19" s="100"/>
      <c r="HL19" s="100"/>
      <c r="HM19" s="100"/>
      <c r="HN19" s="100"/>
      <c r="HO19" s="100"/>
      <c r="HP19" s="100"/>
      <c r="HQ19" s="100"/>
      <c r="HR19" s="100"/>
      <c r="HS19" s="100"/>
      <c r="HT19" s="100"/>
      <c r="HU19" s="100"/>
      <c r="HV19" s="100"/>
      <c r="HW19" s="100"/>
      <c r="HX19" s="100"/>
      <c r="HY19" s="100"/>
      <c r="HZ19" s="100"/>
      <c r="IA19" s="100"/>
      <c r="IB19" s="100"/>
      <c r="IC19" s="100"/>
      <c r="ID19" s="100"/>
      <c r="IE19" s="100"/>
      <c r="IF19" s="100"/>
      <c r="IG19" s="100"/>
      <c r="IH19" s="100"/>
      <c r="II19" s="100"/>
      <c r="IJ19" s="100"/>
      <c r="IK19" s="100"/>
      <c r="IL19" s="100"/>
      <c r="IM19" s="100"/>
      <c r="IN19" s="100"/>
      <c r="IO19" s="100"/>
      <c r="IP19" s="100"/>
      <c r="IQ19" s="100"/>
      <c r="IR19" s="100"/>
      <c r="IS19" s="100"/>
      <c r="IT19" s="100"/>
      <c r="IU19" s="100"/>
      <c r="IV19" s="100"/>
      <c r="IW19" s="100"/>
    </row>
    <row r="20" customFormat="false" ht="12.75" hidden="false" customHeight="false" outlineLevel="0" collapsed="false">
      <c r="A20" s="736"/>
      <c r="B20" s="100"/>
      <c r="C20" s="100"/>
      <c r="D20" s="100"/>
      <c r="E20" s="100"/>
      <c r="F20" s="100"/>
      <c r="G20" s="100"/>
      <c r="H20" s="100"/>
      <c r="I20" s="100"/>
      <c r="J20" s="100"/>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c r="AW20" s="100"/>
      <c r="AX20" s="100"/>
      <c r="AY20" s="100"/>
      <c r="AZ20" s="100"/>
      <c r="BA20" s="100"/>
      <c r="BB20" s="100"/>
      <c r="BC20" s="100"/>
      <c r="BD20" s="100"/>
      <c r="BE20" s="100"/>
      <c r="BF20" s="100"/>
      <c r="BG20" s="100"/>
      <c r="BH20" s="100"/>
      <c r="BI20" s="100"/>
      <c r="BJ20" s="100"/>
      <c r="BK20" s="100"/>
      <c r="BL20" s="100"/>
      <c r="BM20" s="100"/>
      <c r="BN20" s="100"/>
      <c r="BO20" s="100"/>
      <c r="BP20" s="100"/>
      <c r="BQ20" s="100"/>
      <c r="BR20" s="100"/>
      <c r="BS20" s="100"/>
      <c r="BT20" s="100"/>
      <c r="BU20" s="100"/>
      <c r="BV20" s="100"/>
      <c r="BW20" s="100"/>
      <c r="BX20" s="100"/>
      <c r="BY20" s="100"/>
      <c r="BZ20" s="100"/>
      <c r="CA20" s="100"/>
      <c r="CB20" s="100"/>
      <c r="CC20" s="100"/>
      <c r="CD20" s="100"/>
      <c r="CE20" s="100"/>
      <c r="CF20" s="100"/>
      <c r="CG20" s="100"/>
      <c r="CH20" s="100"/>
      <c r="CI20" s="100"/>
      <c r="CJ20" s="100"/>
      <c r="CK20" s="100"/>
      <c r="CL20" s="100"/>
      <c r="CM20" s="100"/>
      <c r="CN20" s="100"/>
      <c r="CO20" s="100"/>
      <c r="CP20" s="100"/>
      <c r="CQ20" s="100"/>
      <c r="CR20" s="100"/>
      <c r="CS20" s="100"/>
      <c r="CT20" s="100"/>
      <c r="CU20" s="100"/>
      <c r="CV20" s="100"/>
      <c r="CW20" s="100"/>
      <c r="CX20" s="100"/>
      <c r="CY20" s="100"/>
      <c r="CZ20" s="100"/>
      <c r="DA20" s="100"/>
      <c r="DB20" s="100"/>
      <c r="DC20" s="100"/>
      <c r="DD20" s="100"/>
      <c r="DE20" s="100"/>
      <c r="DF20" s="100"/>
      <c r="DG20" s="100"/>
      <c r="DH20" s="100"/>
      <c r="DI20" s="100"/>
      <c r="DJ20" s="100"/>
      <c r="DK20" s="100"/>
      <c r="DL20" s="100"/>
      <c r="DM20" s="100"/>
      <c r="DN20" s="100"/>
      <c r="DO20" s="100"/>
      <c r="DP20" s="100"/>
      <c r="DQ20" s="100"/>
      <c r="DR20" s="100"/>
      <c r="DS20" s="100"/>
      <c r="DT20" s="100"/>
      <c r="DU20" s="100"/>
      <c r="DV20" s="100"/>
      <c r="DW20" s="100"/>
      <c r="DX20" s="100"/>
      <c r="DY20" s="100"/>
      <c r="DZ20" s="100"/>
      <c r="EA20" s="100"/>
      <c r="EB20" s="100"/>
      <c r="EC20" s="100"/>
      <c r="ED20" s="100"/>
      <c r="EE20" s="100"/>
      <c r="EF20" s="100"/>
      <c r="EG20" s="100"/>
      <c r="EH20" s="100"/>
      <c r="EI20" s="100"/>
      <c r="EJ20" s="100"/>
      <c r="EK20" s="100"/>
      <c r="EL20" s="100"/>
      <c r="EM20" s="100"/>
      <c r="EN20" s="100"/>
      <c r="EO20" s="100"/>
      <c r="EP20" s="100"/>
      <c r="EQ20" s="100"/>
      <c r="ER20" s="100"/>
      <c r="ES20" s="100"/>
      <c r="ET20" s="100"/>
      <c r="EU20" s="100"/>
      <c r="EV20" s="100"/>
      <c r="EW20" s="100"/>
      <c r="EX20" s="100"/>
      <c r="EY20" s="100"/>
      <c r="EZ20" s="100"/>
      <c r="FA20" s="100"/>
      <c r="FB20" s="100"/>
      <c r="FC20" s="100"/>
      <c r="FD20" s="100"/>
      <c r="FE20" s="100"/>
      <c r="FF20" s="100"/>
      <c r="FG20" s="100"/>
      <c r="FH20" s="100"/>
      <c r="FI20" s="100"/>
      <c r="FJ20" s="100"/>
      <c r="FK20" s="100"/>
      <c r="FL20" s="100"/>
      <c r="FM20" s="100"/>
      <c r="FN20" s="100"/>
      <c r="FO20" s="100"/>
      <c r="FP20" s="100"/>
      <c r="FQ20" s="100"/>
      <c r="FR20" s="100"/>
      <c r="FS20" s="100"/>
      <c r="FT20" s="100"/>
      <c r="FU20" s="100"/>
      <c r="FV20" s="100"/>
      <c r="FW20" s="100"/>
      <c r="FX20" s="100"/>
      <c r="FY20" s="100"/>
      <c r="FZ20" s="100"/>
      <c r="GA20" s="100"/>
      <c r="GB20" s="100"/>
      <c r="GC20" s="100"/>
      <c r="GD20" s="100"/>
      <c r="GE20" s="100"/>
      <c r="GF20" s="100"/>
      <c r="GG20" s="100"/>
      <c r="GH20" s="100"/>
      <c r="GI20" s="100"/>
      <c r="GJ20" s="100"/>
      <c r="GK20" s="100"/>
      <c r="GL20" s="100"/>
      <c r="GM20" s="100"/>
      <c r="GN20" s="100"/>
      <c r="GO20" s="100"/>
      <c r="GP20" s="100"/>
      <c r="GQ20" s="100"/>
      <c r="GR20" s="100"/>
      <c r="GS20" s="100"/>
      <c r="GT20" s="100"/>
      <c r="GU20" s="100"/>
      <c r="GV20" s="100"/>
      <c r="GW20" s="100"/>
      <c r="GX20" s="100"/>
      <c r="GY20" s="100"/>
      <c r="GZ20" s="100"/>
      <c r="HA20" s="100"/>
      <c r="HB20" s="100"/>
      <c r="HC20" s="100"/>
      <c r="HD20" s="100"/>
      <c r="HE20" s="100"/>
      <c r="HF20" s="100"/>
      <c r="HG20" s="100"/>
      <c r="HH20" s="100"/>
      <c r="HI20" s="100"/>
      <c r="HJ20" s="100"/>
      <c r="HK20" s="100"/>
      <c r="HL20" s="100"/>
      <c r="HM20" s="100"/>
      <c r="HN20" s="100"/>
      <c r="HO20" s="100"/>
      <c r="HP20" s="100"/>
      <c r="HQ20" s="100"/>
      <c r="HR20" s="100"/>
      <c r="HS20" s="100"/>
      <c r="HT20" s="100"/>
      <c r="HU20" s="100"/>
      <c r="HV20" s="100"/>
      <c r="HW20" s="100"/>
      <c r="HX20" s="100"/>
      <c r="HY20" s="100"/>
      <c r="HZ20" s="100"/>
      <c r="IA20" s="100"/>
      <c r="IB20" s="100"/>
      <c r="IC20" s="100"/>
      <c r="ID20" s="100"/>
      <c r="IE20" s="100"/>
      <c r="IF20" s="100"/>
      <c r="IG20" s="100"/>
      <c r="IH20" s="100"/>
      <c r="II20" s="100"/>
      <c r="IJ20" s="100"/>
      <c r="IK20" s="100"/>
      <c r="IL20" s="100"/>
      <c r="IM20" s="100"/>
      <c r="IN20" s="100"/>
      <c r="IO20" s="100"/>
      <c r="IP20" s="100"/>
      <c r="IQ20" s="100"/>
      <c r="IR20" s="100"/>
      <c r="IS20" s="100"/>
      <c r="IT20" s="100"/>
      <c r="IU20" s="100"/>
      <c r="IV20" s="100"/>
      <c r="IW20" s="100"/>
    </row>
    <row r="21" customFormat="false" ht="12.75" hidden="false" customHeight="false" outlineLevel="0" collapsed="false">
      <c r="A21" s="736"/>
      <c r="B21" s="100"/>
      <c r="C21" s="100"/>
      <c r="D21" s="100"/>
      <c r="E21" s="100"/>
      <c r="F21" s="100"/>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c r="BM21" s="100"/>
      <c r="BN21" s="100"/>
      <c r="BO21" s="100"/>
      <c r="BP21" s="100"/>
      <c r="BQ21" s="100"/>
      <c r="BR21" s="100"/>
      <c r="BS21" s="100"/>
      <c r="BT21" s="100"/>
      <c r="BU21" s="100"/>
      <c r="BV21" s="100"/>
      <c r="BW21" s="100"/>
      <c r="BX21" s="100"/>
      <c r="BY21" s="100"/>
      <c r="BZ21" s="100"/>
      <c r="CA21" s="100"/>
      <c r="CB21" s="100"/>
      <c r="CC21" s="100"/>
      <c r="CD21" s="100"/>
      <c r="CE21" s="100"/>
      <c r="CF21" s="100"/>
      <c r="CG21" s="100"/>
      <c r="CH21" s="100"/>
      <c r="CI21" s="100"/>
      <c r="CJ21" s="100"/>
      <c r="CK21" s="100"/>
      <c r="CL21" s="100"/>
      <c r="CM21" s="100"/>
      <c r="CN21" s="100"/>
      <c r="CO21" s="100"/>
      <c r="CP21" s="100"/>
      <c r="CQ21" s="100"/>
      <c r="CR21" s="100"/>
      <c r="CS21" s="100"/>
      <c r="CT21" s="100"/>
      <c r="CU21" s="100"/>
      <c r="CV21" s="100"/>
      <c r="CW21" s="100"/>
      <c r="CX21" s="100"/>
      <c r="CY21" s="100"/>
      <c r="CZ21" s="100"/>
      <c r="DA21" s="100"/>
      <c r="DB21" s="100"/>
      <c r="DC21" s="100"/>
      <c r="DD21" s="100"/>
      <c r="DE21" s="100"/>
      <c r="DF21" s="100"/>
      <c r="DG21" s="100"/>
      <c r="DH21" s="100"/>
      <c r="DI21" s="100"/>
      <c r="DJ21" s="100"/>
      <c r="DK21" s="100"/>
      <c r="DL21" s="100"/>
      <c r="DM21" s="100"/>
      <c r="DN21" s="100"/>
      <c r="DO21" s="100"/>
      <c r="DP21" s="100"/>
      <c r="DQ21" s="100"/>
      <c r="DR21" s="100"/>
      <c r="DS21" s="100"/>
      <c r="DT21" s="100"/>
      <c r="DU21" s="100"/>
      <c r="DV21" s="100"/>
      <c r="DW21" s="100"/>
      <c r="DX21" s="100"/>
      <c r="DY21" s="100"/>
      <c r="DZ21" s="100"/>
      <c r="EA21" s="100"/>
      <c r="EB21" s="100"/>
      <c r="EC21" s="100"/>
      <c r="ED21" s="100"/>
      <c r="EE21" s="100"/>
      <c r="EF21" s="100"/>
      <c r="EG21" s="100"/>
      <c r="EH21" s="100"/>
      <c r="EI21" s="100"/>
      <c r="EJ21" s="100"/>
      <c r="EK21" s="100"/>
      <c r="EL21" s="100"/>
      <c r="EM21" s="100"/>
      <c r="EN21" s="100"/>
      <c r="EO21" s="100"/>
      <c r="EP21" s="100"/>
      <c r="EQ21" s="100"/>
      <c r="ER21" s="100"/>
      <c r="ES21" s="100"/>
      <c r="ET21" s="100"/>
      <c r="EU21" s="100"/>
      <c r="EV21" s="100"/>
      <c r="EW21" s="100"/>
      <c r="EX21" s="100"/>
      <c r="EY21" s="100"/>
      <c r="EZ21" s="100"/>
      <c r="FA21" s="100"/>
      <c r="FB21" s="100"/>
      <c r="FC21" s="100"/>
      <c r="FD21" s="100"/>
      <c r="FE21" s="100"/>
      <c r="FF21" s="100"/>
      <c r="FG21" s="100"/>
      <c r="FH21" s="100"/>
      <c r="FI21" s="100"/>
      <c r="FJ21" s="100"/>
      <c r="FK21" s="100"/>
      <c r="FL21" s="100"/>
      <c r="FM21" s="100"/>
      <c r="FN21" s="100"/>
      <c r="FO21" s="100"/>
      <c r="FP21" s="100"/>
      <c r="FQ21" s="100"/>
      <c r="FR21" s="100"/>
      <c r="FS21" s="100"/>
      <c r="FT21" s="100"/>
      <c r="FU21" s="100"/>
      <c r="FV21" s="100"/>
      <c r="FW21" s="100"/>
      <c r="FX21" s="100"/>
      <c r="FY21" s="100"/>
      <c r="FZ21" s="100"/>
      <c r="GA21" s="100"/>
      <c r="GB21" s="100"/>
      <c r="GC21" s="100"/>
      <c r="GD21" s="100"/>
      <c r="GE21" s="100"/>
      <c r="GF21" s="100"/>
      <c r="GG21" s="100"/>
      <c r="GH21" s="100"/>
      <c r="GI21" s="100"/>
      <c r="GJ21" s="100"/>
      <c r="GK21" s="100"/>
      <c r="GL21" s="100"/>
      <c r="GM21" s="100"/>
      <c r="GN21" s="100"/>
      <c r="GO21" s="100"/>
      <c r="GP21" s="100"/>
      <c r="GQ21" s="100"/>
      <c r="GR21" s="100"/>
      <c r="GS21" s="100"/>
      <c r="GT21" s="100"/>
      <c r="GU21" s="100"/>
      <c r="GV21" s="100"/>
      <c r="GW21" s="100"/>
      <c r="GX21" s="100"/>
      <c r="GY21" s="100"/>
      <c r="GZ21" s="100"/>
      <c r="HA21" s="100"/>
      <c r="HB21" s="100"/>
      <c r="HC21" s="100"/>
      <c r="HD21" s="100"/>
      <c r="HE21" s="100"/>
      <c r="HF21" s="100"/>
      <c r="HG21" s="100"/>
      <c r="HH21" s="100"/>
      <c r="HI21" s="100"/>
      <c r="HJ21" s="100"/>
      <c r="HK21" s="100"/>
      <c r="HL21" s="100"/>
      <c r="HM21" s="100"/>
      <c r="HN21" s="100"/>
      <c r="HO21" s="100"/>
      <c r="HP21" s="100"/>
      <c r="HQ21" s="100"/>
      <c r="HR21" s="100"/>
      <c r="HS21" s="100"/>
      <c r="HT21" s="100"/>
      <c r="HU21" s="100"/>
      <c r="HV21" s="100"/>
      <c r="HW21" s="100"/>
      <c r="HX21" s="100"/>
      <c r="HY21" s="100"/>
      <c r="HZ21" s="100"/>
      <c r="IA21" s="100"/>
      <c r="IB21" s="100"/>
      <c r="IC21" s="100"/>
      <c r="ID21" s="100"/>
      <c r="IE21" s="100"/>
      <c r="IF21" s="100"/>
      <c r="IG21" s="100"/>
      <c r="IH21" s="100"/>
      <c r="II21" s="100"/>
      <c r="IJ21" s="100"/>
      <c r="IK21" s="100"/>
      <c r="IL21" s="100"/>
      <c r="IM21" s="100"/>
      <c r="IN21" s="100"/>
      <c r="IO21" s="100"/>
      <c r="IP21" s="100"/>
      <c r="IQ21" s="100"/>
      <c r="IR21" s="100"/>
      <c r="IS21" s="100"/>
      <c r="IT21" s="100"/>
      <c r="IU21" s="100"/>
      <c r="IV21" s="100"/>
      <c r="IW21" s="100"/>
    </row>
    <row r="22" customFormat="false" ht="12.75" hidden="false" customHeight="false" outlineLevel="0" collapsed="false">
      <c r="A22" s="736"/>
      <c r="B22" s="1120" t="s">
        <v>334</v>
      </c>
      <c r="C22" s="100"/>
      <c r="D22" s="100"/>
      <c r="E22" s="100"/>
      <c r="F22" s="100"/>
      <c r="G22" s="100"/>
      <c r="H22" s="100"/>
      <c r="I22" s="100"/>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c r="AX22" s="100"/>
      <c r="AY22" s="100"/>
      <c r="AZ22" s="100"/>
      <c r="BA22" s="100"/>
      <c r="BB22" s="100"/>
      <c r="BC22" s="100"/>
      <c r="BD22" s="100"/>
      <c r="BE22" s="100"/>
      <c r="BF22" s="100"/>
      <c r="BG22" s="100"/>
      <c r="BH22" s="100"/>
      <c r="BI22" s="100"/>
      <c r="BJ22" s="100"/>
      <c r="BK22" s="100"/>
      <c r="BL22" s="100"/>
      <c r="BM22" s="100"/>
      <c r="BN22" s="100"/>
      <c r="BO22" s="100"/>
      <c r="BP22" s="100"/>
      <c r="BQ22" s="100"/>
      <c r="BR22" s="100"/>
      <c r="BS22" s="100"/>
      <c r="BT22" s="100"/>
      <c r="BU22" s="100"/>
      <c r="BV22" s="100"/>
      <c r="BW22" s="100"/>
      <c r="BX22" s="100"/>
      <c r="BY22" s="100"/>
      <c r="BZ22" s="100"/>
      <c r="CA22" s="100"/>
      <c r="CB22" s="100"/>
      <c r="CC22" s="100"/>
      <c r="CD22" s="100"/>
      <c r="CE22" s="100"/>
      <c r="CF22" s="100"/>
      <c r="CG22" s="100"/>
      <c r="CH22" s="100"/>
      <c r="CI22" s="100"/>
      <c r="CJ22" s="100"/>
      <c r="CK22" s="100"/>
      <c r="CL22" s="100"/>
      <c r="CM22" s="100"/>
      <c r="CN22" s="100"/>
      <c r="CO22" s="100"/>
      <c r="CP22" s="100"/>
      <c r="CQ22" s="100"/>
      <c r="CR22" s="100"/>
      <c r="CS22" s="100"/>
      <c r="CT22" s="100"/>
      <c r="CU22" s="100"/>
      <c r="CV22" s="100"/>
      <c r="CW22" s="100"/>
      <c r="CX22" s="100"/>
      <c r="CY22" s="100"/>
      <c r="CZ22" s="100"/>
      <c r="DA22" s="100"/>
      <c r="DB22" s="100"/>
      <c r="DC22" s="100"/>
      <c r="DD22" s="100"/>
      <c r="DE22" s="100"/>
      <c r="DF22" s="100"/>
      <c r="DG22" s="100"/>
      <c r="DH22" s="100"/>
      <c r="DI22" s="100"/>
      <c r="DJ22" s="100"/>
      <c r="DK22" s="100"/>
      <c r="DL22" s="100"/>
      <c r="DM22" s="100"/>
      <c r="DN22" s="100"/>
      <c r="DO22" s="100"/>
      <c r="DP22" s="100"/>
      <c r="DQ22" s="100"/>
      <c r="DR22" s="100"/>
      <c r="DS22" s="100"/>
      <c r="DT22" s="100"/>
      <c r="DU22" s="100"/>
      <c r="DV22" s="100"/>
      <c r="DW22" s="100"/>
      <c r="DX22" s="100"/>
      <c r="DY22" s="100"/>
      <c r="DZ22" s="100"/>
      <c r="EA22" s="100"/>
      <c r="EB22" s="100"/>
      <c r="EC22" s="100"/>
      <c r="ED22" s="100"/>
      <c r="EE22" s="100"/>
      <c r="EF22" s="100"/>
      <c r="EG22" s="100"/>
      <c r="EH22" s="100"/>
      <c r="EI22" s="100"/>
      <c r="EJ22" s="100"/>
      <c r="EK22" s="100"/>
      <c r="EL22" s="100"/>
      <c r="EM22" s="100"/>
      <c r="EN22" s="100"/>
      <c r="EO22" s="100"/>
      <c r="EP22" s="100"/>
      <c r="EQ22" s="100"/>
      <c r="ER22" s="100"/>
      <c r="ES22" s="100"/>
      <c r="ET22" s="100"/>
      <c r="EU22" s="100"/>
      <c r="EV22" s="100"/>
      <c r="EW22" s="100"/>
      <c r="EX22" s="100"/>
      <c r="EY22" s="100"/>
      <c r="EZ22" s="100"/>
      <c r="FA22" s="100"/>
      <c r="FB22" s="100"/>
      <c r="FC22" s="100"/>
      <c r="FD22" s="100"/>
      <c r="FE22" s="100"/>
      <c r="FF22" s="100"/>
      <c r="FG22" s="100"/>
      <c r="FH22" s="100"/>
      <c r="FI22" s="100"/>
      <c r="FJ22" s="100"/>
      <c r="FK22" s="100"/>
      <c r="FL22" s="100"/>
      <c r="FM22" s="100"/>
      <c r="FN22" s="100"/>
      <c r="FO22" s="100"/>
      <c r="FP22" s="100"/>
      <c r="FQ22" s="100"/>
      <c r="FR22" s="100"/>
      <c r="FS22" s="100"/>
      <c r="FT22" s="100"/>
      <c r="FU22" s="100"/>
      <c r="FV22" s="100"/>
      <c r="FW22" s="100"/>
      <c r="FX22" s="100"/>
      <c r="FY22" s="100"/>
      <c r="FZ22" s="100"/>
      <c r="GA22" s="100"/>
      <c r="GB22" s="100"/>
      <c r="GC22" s="100"/>
      <c r="GD22" s="100"/>
      <c r="GE22" s="100"/>
      <c r="GF22" s="100"/>
      <c r="GG22" s="100"/>
      <c r="GH22" s="100"/>
      <c r="GI22" s="100"/>
      <c r="GJ22" s="100"/>
      <c r="GK22" s="100"/>
      <c r="GL22" s="100"/>
      <c r="GM22" s="100"/>
      <c r="GN22" s="100"/>
      <c r="GO22" s="100"/>
      <c r="GP22" s="100"/>
      <c r="GQ22" s="100"/>
      <c r="GR22" s="100"/>
      <c r="GS22" s="100"/>
      <c r="GT22" s="100"/>
      <c r="GU22" s="100"/>
      <c r="GV22" s="100"/>
      <c r="GW22" s="100"/>
      <c r="GX22" s="100"/>
      <c r="GY22" s="100"/>
      <c r="GZ22" s="100"/>
      <c r="HA22" s="100"/>
      <c r="HB22" s="100"/>
      <c r="HC22" s="100"/>
      <c r="HD22" s="100"/>
      <c r="HE22" s="100"/>
      <c r="HF22" s="100"/>
      <c r="HG22" s="100"/>
      <c r="HH22" s="100"/>
      <c r="HI22" s="100"/>
      <c r="HJ22" s="100"/>
      <c r="HK22" s="100"/>
      <c r="HL22" s="100"/>
      <c r="HM22" s="100"/>
      <c r="HN22" s="100"/>
      <c r="HO22" s="100"/>
      <c r="HP22" s="100"/>
      <c r="HQ22" s="100"/>
      <c r="HR22" s="100"/>
      <c r="HS22" s="100"/>
      <c r="HT22" s="100"/>
      <c r="HU22" s="100"/>
      <c r="HV22" s="100"/>
      <c r="HW22" s="100"/>
      <c r="HX22" s="100"/>
      <c r="HY22" s="100"/>
      <c r="HZ22" s="100"/>
      <c r="IA22" s="100"/>
      <c r="IB22" s="100"/>
      <c r="IC22" s="100"/>
      <c r="ID22" s="100"/>
      <c r="IE22" s="100"/>
      <c r="IF22" s="100"/>
      <c r="IG22" s="100"/>
      <c r="IH22" s="100"/>
      <c r="II22" s="100"/>
      <c r="IJ22" s="100"/>
      <c r="IK22" s="100"/>
      <c r="IL22" s="100"/>
      <c r="IM22" s="100"/>
      <c r="IN22" s="100"/>
      <c r="IO22" s="100"/>
      <c r="IP22" s="100"/>
      <c r="IQ22" s="100"/>
      <c r="IR22" s="100"/>
      <c r="IS22" s="100"/>
      <c r="IT22" s="100"/>
      <c r="IU22" s="100"/>
      <c r="IV22" s="100"/>
      <c r="IW22" s="100"/>
    </row>
    <row r="23" customFormat="false" ht="12.75" hidden="false" customHeight="false" outlineLevel="0" collapsed="false">
      <c r="A23" s="736"/>
      <c r="B23" s="100"/>
      <c r="C23" s="100"/>
      <c r="D23" s="100"/>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c r="BM23" s="100"/>
      <c r="BN23" s="100"/>
      <c r="BO23" s="100"/>
      <c r="BP23" s="100"/>
      <c r="BQ23" s="100"/>
      <c r="BR23" s="100"/>
      <c r="BS23" s="100"/>
      <c r="BT23" s="100"/>
      <c r="BU23" s="100"/>
      <c r="BV23" s="100"/>
      <c r="BW23" s="100"/>
      <c r="BX23" s="100"/>
      <c r="BY23" s="100"/>
      <c r="BZ23" s="100"/>
      <c r="CA23" s="100"/>
      <c r="CB23" s="100"/>
      <c r="CC23" s="100"/>
      <c r="CD23" s="100"/>
      <c r="CE23" s="100"/>
      <c r="CF23" s="100"/>
      <c r="CG23" s="100"/>
      <c r="CH23" s="100"/>
      <c r="CI23" s="100"/>
      <c r="CJ23" s="100"/>
      <c r="CK23" s="100"/>
      <c r="CL23" s="100"/>
      <c r="CM23" s="100"/>
      <c r="CN23" s="100"/>
      <c r="CO23" s="100"/>
      <c r="CP23" s="100"/>
      <c r="CQ23" s="100"/>
      <c r="CR23" s="100"/>
      <c r="CS23" s="100"/>
      <c r="CT23" s="100"/>
      <c r="CU23" s="100"/>
      <c r="CV23" s="100"/>
      <c r="CW23" s="100"/>
      <c r="CX23" s="100"/>
      <c r="CY23" s="100"/>
      <c r="CZ23" s="100"/>
      <c r="DA23" s="100"/>
      <c r="DB23" s="100"/>
      <c r="DC23" s="100"/>
      <c r="DD23" s="100"/>
      <c r="DE23" s="100"/>
      <c r="DF23" s="100"/>
      <c r="DG23" s="100"/>
      <c r="DH23" s="100"/>
      <c r="DI23" s="100"/>
      <c r="DJ23" s="100"/>
      <c r="DK23" s="100"/>
      <c r="DL23" s="100"/>
      <c r="DM23" s="100"/>
      <c r="DN23" s="100"/>
      <c r="DO23" s="100"/>
      <c r="DP23" s="100"/>
      <c r="DQ23" s="100"/>
      <c r="DR23" s="100"/>
      <c r="DS23" s="100"/>
      <c r="DT23" s="100"/>
      <c r="DU23" s="100"/>
      <c r="DV23" s="100"/>
      <c r="DW23" s="100"/>
      <c r="DX23" s="100"/>
      <c r="DY23" s="100"/>
      <c r="DZ23" s="100"/>
      <c r="EA23" s="100"/>
      <c r="EB23" s="100"/>
      <c r="EC23" s="100"/>
      <c r="ED23" s="100"/>
      <c r="EE23" s="100"/>
      <c r="EF23" s="100"/>
      <c r="EG23" s="100"/>
      <c r="EH23" s="100"/>
      <c r="EI23" s="100"/>
      <c r="EJ23" s="100"/>
      <c r="EK23" s="100"/>
      <c r="EL23" s="100"/>
      <c r="EM23" s="100"/>
      <c r="EN23" s="100"/>
      <c r="EO23" s="100"/>
      <c r="EP23" s="100"/>
      <c r="EQ23" s="100"/>
      <c r="ER23" s="100"/>
      <c r="ES23" s="100"/>
      <c r="ET23" s="100"/>
      <c r="EU23" s="100"/>
      <c r="EV23" s="100"/>
      <c r="EW23" s="100"/>
      <c r="EX23" s="100"/>
      <c r="EY23" s="100"/>
      <c r="EZ23" s="100"/>
      <c r="FA23" s="100"/>
      <c r="FB23" s="100"/>
      <c r="FC23" s="100"/>
      <c r="FD23" s="100"/>
      <c r="FE23" s="100"/>
      <c r="FF23" s="100"/>
      <c r="FG23" s="100"/>
      <c r="FH23" s="100"/>
      <c r="FI23" s="100"/>
      <c r="FJ23" s="100"/>
      <c r="FK23" s="100"/>
      <c r="FL23" s="100"/>
      <c r="FM23" s="100"/>
      <c r="FN23" s="100"/>
      <c r="FO23" s="100"/>
      <c r="FP23" s="100"/>
      <c r="FQ23" s="100"/>
      <c r="FR23" s="100"/>
      <c r="FS23" s="100"/>
      <c r="FT23" s="100"/>
      <c r="FU23" s="100"/>
      <c r="FV23" s="100"/>
      <c r="FW23" s="100"/>
      <c r="FX23" s="100"/>
      <c r="FY23" s="100"/>
      <c r="FZ23" s="100"/>
      <c r="GA23" s="100"/>
      <c r="GB23" s="100"/>
      <c r="GC23" s="100"/>
      <c r="GD23" s="100"/>
      <c r="GE23" s="100"/>
      <c r="GF23" s="100"/>
      <c r="GG23" s="100"/>
      <c r="GH23" s="100"/>
      <c r="GI23" s="100"/>
      <c r="GJ23" s="100"/>
      <c r="GK23" s="100"/>
      <c r="GL23" s="100"/>
      <c r="GM23" s="100"/>
      <c r="GN23" s="100"/>
      <c r="GO23" s="100"/>
      <c r="GP23" s="100"/>
      <c r="GQ23" s="100"/>
      <c r="GR23" s="100"/>
      <c r="GS23" s="100"/>
      <c r="GT23" s="100"/>
      <c r="GU23" s="100"/>
      <c r="GV23" s="100"/>
      <c r="GW23" s="100"/>
      <c r="GX23" s="100"/>
      <c r="GY23" s="100"/>
      <c r="GZ23" s="100"/>
      <c r="HA23" s="100"/>
      <c r="HB23" s="100"/>
      <c r="HC23" s="100"/>
      <c r="HD23" s="100"/>
      <c r="HE23" s="100"/>
      <c r="HF23" s="100"/>
      <c r="HG23" s="100"/>
      <c r="HH23" s="100"/>
      <c r="HI23" s="100"/>
      <c r="HJ23" s="100"/>
      <c r="HK23" s="100"/>
      <c r="HL23" s="100"/>
      <c r="HM23" s="100"/>
      <c r="HN23" s="100"/>
      <c r="HO23" s="100"/>
      <c r="HP23" s="100"/>
      <c r="HQ23" s="100"/>
      <c r="HR23" s="100"/>
      <c r="HS23" s="100"/>
      <c r="HT23" s="100"/>
      <c r="HU23" s="100"/>
      <c r="HV23" s="100"/>
      <c r="HW23" s="100"/>
      <c r="HX23" s="100"/>
      <c r="HY23" s="100"/>
      <c r="HZ23" s="100"/>
      <c r="IA23" s="100"/>
      <c r="IB23" s="100"/>
      <c r="IC23" s="100"/>
      <c r="ID23" s="100"/>
      <c r="IE23" s="100"/>
      <c r="IF23" s="100"/>
      <c r="IG23" s="100"/>
      <c r="IH23" s="100"/>
      <c r="II23" s="100"/>
      <c r="IJ23" s="100"/>
      <c r="IK23" s="100"/>
      <c r="IL23" s="100"/>
      <c r="IM23" s="100"/>
      <c r="IN23" s="100"/>
      <c r="IO23" s="100"/>
      <c r="IP23" s="100"/>
      <c r="IQ23" s="100"/>
      <c r="IR23" s="100"/>
      <c r="IS23" s="100"/>
      <c r="IT23" s="100"/>
      <c r="IU23" s="100"/>
      <c r="IV23" s="100"/>
      <c r="IW23" s="100"/>
    </row>
    <row r="24" customFormat="false" ht="12.75" hidden="false" customHeight="false" outlineLevel="0" collapsed="false">
      <c r="A24" s="736"/>
      <c r="B24" s="266" t="s">
        <v>728</v>
      </c>
      <c r="C24" s="1121"/>
      <c r="D24" s="267" t="n">
        <v>0</v>
      </c>
      <c r="E24" s="267" t="n">
        <f aca="false">D34</f>
        <v>315.821946786042</v>
      </c>
      <c r="F24" s="267" t="n">
        <f aca="false">E34</f>
        <v>196.554160770651</v>
      </c>
      <c r="G24" s="267" t="n">
        <f aca="false">F34</f>
        <v>124.563530508092</v>
      </c>
      <c r="H24" s="267" t="n">
        <f aca="false">G34</f>
        <v>80.9391936972311</v>
      </c>
      <c r="I24" s="267" t="n">
        <f aca="false">H34</f>
        <v>37.3148568863707</v>
      </c>
      <c r="J24" s="267" t="n">
        <f aca="false">I34</f>
        <v>14.9652401642843</v>
      </c>
      <c r="K24" s="267" t="n">
        <f aca="false">J34</f>
        <v>13.8903435309721</v>
      </c>
      <c r="L24" s="267" t="n">
        <f aca="false">K34</f>
        <v>12.8154468976599</v>
      </c>
      <c r="M24" s="267" t="n">
        <f aca="false">L34</f>
        <v>11.7405502643476</v>
      </c>
      <c r="N24" s="267" t="n">
        <f aca="false">M34</f>
        <v>10.6656536310354</v>
      </c>
      <c r="O24" s="267" t="n">
        <f aca="false">N34</f>
        <v>9.59075699772312</v>
      </c>
      <c r="P24" s="267" t="n">
        <f aca="false">O34</f>
        <v>8.51586036441087</v>
      </c>
      <c r="Q24" s="267" t="n">
        <f aca="false">P34</f>
        <v>7.44096373109863</v>
      </c>
      <c r="R24" s="267" t="n">
        <f aca="false">Q34</f>
        <v>6.36606709778638</v>
      </c>
      <c r="S24" s="267" t="n">
        <f aca="false">R34</f>
        <v>5.29117046447415</v>
      </c>
      <c r="T24" s="267" t="n">
        <f aca="false">S34</f>
        <v>4.21627383116189</v>
      </c>
      <c r="U24" s="267" t="n">
        <f aca="false">T34</f>
        <v>3.1413771978496</v>
      </c>
      <c r="V24" s="267" t="n">
        <f aca="false">U34</f>
        <v>2.75258479856645</v>
      </c>
      <c r="W24" s="267" t="n">
        <f aca="false">V34</f>
        <v>2.36379239928329</v>
      </c>
      <c r="X24" s="267" t="n">
        <f aca="false">W34</f>
        <v>1.4210854715202E-013</v>
      </c>
      <c r="Y24" s="267" t="n">
        <f aca="false">X34</f>
        <v>1.4210854715202E-013</v>
      </c>
      <c r="Z24" s="267" t="n">
        <f aca="false">Y34</f>
        <v>1.4210854715202E-013</v>
      </c>
      <c r="AA24" s="267" t="n">
        <f aca="false">Z34</f>
        <v>1.4210854715202E-013</v>
      </c>
      <c r="AB24" s="267" t="n">
        <f aca="false">AA34</f>
        <v>1.4210854715202E-013</v>
      </c>
      <c r="AC24" s="267" t="n">
        <f aca="false">AB34</f>
        <v>1.4210854715202E-013</v>
      </c>
      <c r="AD24" s="267" t="n">
        <f aca="false">AC34</f>
        <v>1.4210854715202E-013</v>
      </c>
      <c r="AE24" s="267" t="n">
        <f aca="false">AD34</f>
        <v>1.4210854715202E-013</v>
      </c>
      <c r="AF24" s="267" t="n">
        <f aca="false">AE34</f>
        <v>1.4210854715202E-013</v>
      </c>
      <c r="AG24" s="267" t="n">
        <f aca="false">AF34</f>
        <v>1.4210854715202E-013</v>
      </c>
      <c r="AH24" s="268" t="n">
        <f aca="false">AG34</f>
        <v>1.4210854715202E-013</v>
      </c>
      <c r="AI24" s="100"/>
      <c r="AJ24" s="100"/>
      <c r="AK24" s="100"/>
      <c r="AL24" s="100"/>
      <c r="AM24" s="100"/>
      <c r="AN24" s="100"/>
      <c r="AO24" s="100"/>
      <c r="AP24" s="100"/>
      <c r="AQ24" s="100"/>
      <c r="AR24" s="100"/>
      <c r="AS24" s="100"/>
      <c r="AT24" s="100"/>
      <c r="AU24" s="100"/>
      <c r="AV24" s="100"/>
      <c r="AW24" s="100"/>
      <c r="AX24" s="100"/>
      <c r="AY24" s="100"/>
      <c r="AZ24" s="100"/>
      <c r="BA24" s="100"/>
      <c r="BB24" s="100"/>
      <c r="BC24" s="100"/>
      <c r="BD24" s="100"/>
      <c r="BE24" s="100"/>
      <c r="BF24" s="100"/>
      <c r="BG24" s="100"/>
      <c r="BH24" s="100"/>
      <c r="BI24" s="100"/>
      <c r="BJ24" s="100"/>
      <c r="BK24" s="100"/>
      <c r="BL24" s="100"/>
      <c r="BM24" s="100"/>
      <c r="BN24" s="100"/>
      <c r="BO24" s="100"/>
      <c r="BP24" s="100"/>
      <c r="BQ24" s="100"/>
      <c r="BR24" s="100"/>
      <c r="BS24" s="100"/>
      <c r="BT24" s="100"/>
      <c r="BU24" s="100"/>
      <c r="BV24" s="100"/>
      <c r="BW24" s="100"/>
      <c r="BX24" s="100"/>
      <c r="BY24" s="100"/>
      <c r="BZ24" s="100"/>
      <c r="CA24" s="100"/>
      <c r="CB24" s="100"/>
      <c r="CC24" s="100"/>
      <c r="CD24" s="100"/>
      <c r="CE24" s="100"/>
      <c r="CF24" s="100"/>
      <c r="CG24" s="100"/>
      <c r="CH24" s="100"/>
      <c r="CI24" s="100"/>
      <c r="CJ24" s="100"/>
      <c r="CK24" s="100"/>
      <c r="CL24" s="100"/>
      <c r="CM24" s="100"/>
      <c r="CN24" s="100"/>
      <c r="CO24" s="100"/>
      <c r="CP24" s="100"/>
      <c r="CQ24" s="100"/>
      <c r="CR24" s="100"/>
      <c r="CS24" s="100"/>
      <c r="CT24" s="100"/>
      <c r="CU24" s="100"/>
      <c r="CV24" s="100"/>
      <c r="CW24" s="100"/>
      <c r="CX24" s="100"/>
      <c r="CY24" s="100"/>
      <c r="CZ24" s="100"/>
      <c r="DA24" s="100"/>
      <c r="DB24" s="100"/>
      <c r="DC24" s="100"/>
      <c r="DD24" s="100"/>
      <c r="DE24" s="100"/>
      <c r="DF24" s="100"/>
      <c r="DG24" s="100"/>
      <c r="DH24" s="100"/>
      <c r="DI24" s="100"/>
      <c r="DJ24" s="100"/>
      <c r="DK24" s="100"/>
      <c r="DL24" s="100"/>
      <c r="DM24" s="100"/>
      <c r="DN24" s="100"/>
      <c r="DO24" s="100"/>
      <c r="DP24" s="100"/>
      <c r="DQ24" s="100"/>
      <c r="DR24" s="100"/>
      <c r="DS24" s="100"/>
      <c r="DT24" s="100"/>
      <c r="DU24" s="100"/>
      <c r="DV24" s="100"/>
      <c r="DW24" s="100"/>
      <c r="DX24" s="100"/>
      <c r="DY24" s="100"/>
      <c r="DZ24" s="100"/>
      <c r="EA24" s="100"/>
      <c r="EB24" s="100"/>
      <c r="EC24" s="100"/>
      <c r="ED24" s="100"/>
      <c r="EE24" s="100"/>
      <c r="EF24" s="100"/>
      <c r="EG24" s="100"/>
      <c r="EH24" s="100"/>
      <c r="EI24" s="100"/>
      <c r="EJ24" s="100"/>
      <c r="EK24" s="100"/>
      <c r="EL24" s="100"/>
      <c r="EM24" s="100"/>
      <c r="EN24" s="100"/>
      <c r="EO24" s="100"/>
      <c r="EP24" s="100"/>
      <c r="EQ24" s="100"/>
      <c r="ER24" s="100"/>
      <c r="ES24" s="100"/>
      <c r="ET24" s="100"/>
      <c r="EU24" s="100"/>
      <c r="EV24" s="100"/>
      <c r="EW24" s="100"/>
      <c r="EX24" s="100"/>
      <c r="EY24" s="100"/>
      <c r="EZ24" s="100"/>
      <c r="FA24" s="100"/>
      <c r="FB24" s="100"/>
      <c r="FC24" s="100"/>
      <c r="FD24" s="100"/>
      <c r="FE24" s="100"/>
      <c r="FF24" s="100"/>
      <c r="FG24" s="100"/>
      <c r="FH24" s="100"/>
      <c r="FI24" s="100"/>
      <c r="FJ24" s="100"/>
      <c r="FK24" s="100"/>
      <c r="FL24" s="100"/>
      <c r="FM24" s="100"/>
      <c r="FN24" s="100"/>
      <c r="FO24" s="100"/>
      <c r="FP24" s="100"/>
      <c r="FQ24" s="100"/>
      <c r="FR24" s="100"/>
      <c r="FS24" s="100"/>
      <c r="FT24" s="100"/>
      <c r="FU24" s="100"/>
      <c r="FV24" s="100"/>
      <c r="FW24" s="100"/>
      <c r="FX24" s="100"/>
      <c r="FY24" s="100"/>
      <c r="FZ24" s="100"/>
      <c r="GA24" s="100"/>
      <c r="GB24" s="100"/>
      <c r="GC24" s="100"/>
      <c r="GD24" s="100"/>
      <c r="GE24" s="100"/>
      <c r="GF24" s="100"/>
      <c r="GG24" s="100"/>
      <c r="GH24" s="100"/>
      <c r="GI24" s="100"/>
      <c r="GJ24" s="100"/>
      <c r="GK24" s="100"/>
      <c r="GL24" s="100"/>
      <c r="GM24" s="100"/>
      <c r="GN24" s="100"/>
      <c r="GO24" s="100"/>
      <c r="GP24" s="100"/>
      <c r="GQ24" s="100"/>
      <c r="GR24" s="100"/>
      <c r="GS24" s="100"/>
      <c r="GT24" s="100"/>
      <c r="GU24" s="100"/>
      <c r="GV24" s="100"/>
      <c r="GW24" s="100"/>
      <c r="GX24" s="100"/>
      <c r="GY24" s="100"/>
      <c r="GZ24" s="100"/>
      <c r="HA24" s="100"/>
      <c r="HB24" s="100"/>
      <c r="HC24" s="100"/>
      <c r="HD24" s="100"/>
      <c r="HE24" s="100"/>
      <c r="HF24" s="100"/>
      <c r="HG24" s="100"/>
      <c r="HH24" s="100"/>
      <c r="HI24" s="100"/>
      <c r="HJ24" s="100"/>
      <c r="HK24" s="100"/>
      <c r="HL24" s="100"/>
      <c r="HM24" s="100"/>
      <c r="HN24" s="100"/>
      <c r="HO24" s="100"/>
      <c r="HP24" s="100"/>
      <c r="HQ24" s="100"/>
      <c r="HR24" s="100"/>
      <c r="HS24" s="100"/>
      <c r="HT24" s="100"/>
      <c r="HU24" s="100"/>
      <c r="HV24" s="100"/>
      <c r="HW24" s="100"/>
      <c r="HX24" s="100"/>
      <c r="HY24" s="100"/>
      <c r="HZ24" s="100"/>
      <c r="IA24" s="100"/>
      <c r="IB24" s="100"/>
      <c r="IC24" s="100"/>
      <c r="ID24" s="100"/>
      <c r="IE24" s="100"/>
      <c r="IF24" s="100"/>
      <c r="IG24" s="100"/>
      <c r="IH24" s="100"/>
      <c r="II24" s="100"/>
      <c r="IJ24" s="100"/>
      <c r="IK24" s="100"/>
      <c r="IL24" s="100"/>
      <c r="IM24" s="100"/>
      <c r="IN24" s="100"/>
      <c r="IO24" s="100"/>
      <c r="IP24" s="100"/>
      <c r="IQ24" s="100"/>
      <c r="IR24" s="100"/>
      <c r="IS24" s="100"/>
      <c r="IT24" s="100"/>
      <c r="IU24" s="100"/>
      <c r="IV24" s="100"/>
      <c r="IW24" s="100"/>
    </row>
    <row r="25" customFormat="false" ht="12.75" hidden="false" customHeight="false" outlineLevel="0" collapsed="false">
      <c r="A25" s="736"/>
      <c r="B25" s="1122" t="s">
        <v>729</v>
      </c>
      <c r="C25" s="313"/>
      <c r="D25" s="313" t="n">
        <v>0</v>
      </c>
      <c r="E25" s="313" t="n">
        <f aca="false">D31</f>
        <v>193.31813945145</v>
      </c>
      <c r="F25" s="313" t="n">
        <f aca="false">E31</f>
        <v>77.6229440874407</v>
      </c>
      <c r="G25" s="313" t="n">
        <f aca="false">F31</f>
        <v>9.53384524400181</v>
      </c>
      <c r="H25" s="313" t="n">
        <f aca="false">G31</f>
        <v>-29.7620354182175</v>
      </c>
      <c r="I25" s="313" t="n">
        <f aca="false">H31</f>
        <v>-68.626243190696</v>
      </c>
      <c r="J25" s="313" t="n">
        <f aca="false">I31</f>
        <v>-85.7433882478007</v>
      </c>
      <c r="K25" s="313" t="n">
        <f aca="false">J31</f>
        <v>-81.1648345932906</v>
      </c>
      <c r="L25" s="313" t="n">
        <f aca="false">K31</f>
        <v>-76.0680733418057</v>
      </c>
      <c r="M25" s="313" t="n">
        <f aca="false">L31</f>
        <v>-70.4341533334513</v>
      </c>
      <c r="N25" s="313" t="n">
        <f aca="false">M31</f>
        <v>-64.213434421065</v>
      </c>
      <c r="O25" s="313" t="n">
        <f aca="false">N31</f>
        <v>-57.0438941808729</v>
      </c>
      <c r="P25" s="313" t="n">
        <f aca="false">O31</f>
        <v>-49.1218478284192</v>
      </c>
      <c r="Q25" s="313" t="n">
        <f aca="false">P31</f>
        <v>-40.4025807966233</v>
      </c>
      <c r="R25" s="313" t="n">
        <f aca="false">Q31</f>
        <v>-30.8154216800578</v>
      </c>
      <c r="S25" s="313" t="n">
        <f aca="false">R31</f>
        <v>-20.2946473154098</v>
      </c>
      <c r="T25" s="313" t="n">
        <f aca="false">S31</f>
        <v>-8.73505354522748</v>
      </c>
      <c r="U25" s="313" t="n">
        <f aca="false">T31</f>
        <v>3.1413771978496</v>
      </c>
      <c r="V25" s="313" t="n">
        <f aca="false">U31</f>
        <v>2.75258479856645</v>
      </c>
      <c r="W25" s="313" t="n">
        <f aca="false">V31</f>
        <v>2.36379239928329</v>
      </c>
      <c r="X25" s="313" t="n">
        <f aca="false">W31</f>
        <v>1.4210854715202E-013</v>
      </c>
      <c r="Y25" s="313" t="n">
        <f aca="false">X31</f>
        <v>1.4210854715202E-013</v>
      </c>
      <c r="Z25" s="313" t="n">
        <f aca="false">Y31</f>
        <v>1.4210854715202E-013</v>
      </c>
      <c r="AA25" s="313" t="n">
        <f aca="false">Z31</f>
        <v>1.4210854715202E-013</v>
      </c>
      <c r="AB25" s="313" t="n">
        <f aca="false">AA31</f>
        <v>1.4210854715202E-013</v>
      </c>
      <c r="AC25" s="313" t="n">
        <f aca="false">AB31</f>
        <v>1.4210854715202E-013</v>
      </c>
      <c r="AD25" s="313" t="n">
        <f aca="false">AC31</f>
        <v>1.4210854715202E-013</v>
      </c>
      <c r="AE25" s="313" t="n">
        <f aca="false">AD31</f>
        <v>1.4210854715202E-013</v>
      </c>
      <c r="AF25" s="313" t="n">
        <f aca="false">AE31</f>
        <v>1.4210854715202E-013</v>
      </c>
      <c r="AG25" s="313" t="n">
        <f aca="false">AF31</f>
        <v>1.4210854715202E-013</v>
      </c>
      <c r="AH25" s="1123" t="n">
        <f aca="false">AG31</f>
        <v>1.4210854715202E-013</v>
      </c>
      <c r="AI25" s="313"/>
      <c r="AJ25" s="313"/>
      <c r="AK25" s="313"/>
      <c r="AL25" s="313"/>
      <c r="AM25" s="313"/>
      <c r="AN25" s="313"/>
      <c r="AO25" s="313"/>
      <c r="AP25" s="313"/>
      <c r="AQ25" s="313"/>
      <c r="AR25" s="313"/>
      <c r="AS25" s="313"/>
      <c r="AT25" s="313"/>
      <c r="AU25" s="313"/>
      <c r="AV25" s="313"/>
      <c r="AW25" s="313"/>
      <c r="AX25" s="313"/>
      <c r="AY25" s="313"/>
      <c r="AZ25" s="313"/>
      <c r="BA25" s="313"/>
      <c r="BB25" s="313"/>
      <c r="BC25" s="313"/>
      <c r="BD25" s="313"/>
      <c r="BE25" s="313"/>
      <c r="BF25" s="313"/>
      <c r="BG25" s="313"/>
      <c r="BH25" s="313"/>
      <c r="BI25" s="313"/>
      <c r="BJ25" s="313"/>
      <c r="BK25" s="313"/>
      <c r="BL25" s="313"/>
      <c r="BM25" s="313"/>
      <c r="BN25" s="313"/>
      <c r="BO25" s="313"/>
      <c r="BP25" s="313"/>
      <c r="BQ25" s="313"/>
      <c r="BR25" s="313"/>
      <c r="BS25" s="313"/>
      <c r="BT25" s="313"/>
      <c r="BU25" s="313"/>
      <c r="BV25" s="313"/>
      <c r="BW25" s="313"/>
      <c r="BX25" s="313"/>
      <c r="BY25" s="313"/>
      <c r="BZ25" s="313"/>
      <c r="CA25" s="313"/>
      <c r="CB25" s="313"/>
      <c r="CC25" s="313"/>
      <c r="CD25" s="313"/>
      <c r="CE25" s="313"/>
      <c r="CF25" s="313"/>
      <c r="CG25" s="313"/>
      <c r="CH25" s="313"/>
      <c r="CI25" s="313"/>
      <c r="CJ25" s="313"/>
      <c r="CK25" s="313"/>
      <c r="CL25" s="313"/>
      <c r="CM25" s="313"/>
      <c r="CN25" s="313"/>
      <c r="CO25" s="313"/>
      <c r="CP25" s="313"/>
      <c r="CQ25" s="313"/>
      <c r="CR25" s="313"/>
      <c r="CS25" s="313"/>
      <c r="CT25" s="313"/>
      <c r="CU25" s="313"/>
      <c r="CV25" s="313"/>
      <c r="CW25" s="313"/>
      <c r="CX25" s="313"/>
      <c r="CY25" s="313"/>
      <c r="CZ25" s="313"/>
      <c r="DA25" s="313"/>
      <c r="DB25" s="313"/>
      <c r="DC25" s="313"/>
      <c r="DD25" s="313"/>
      <c r="DE25" s="313"/>
      <c r="DF25" s="313"/>
      <c r="DG25" s="313"/>
      <c r="DH25" s="313"/>
      <c r="DI25" s="313"/>
      <c r="DJ25" s="313"/>
      <c r="DK25" s="313"/>
      <c r="DL25" s="313"/>
      <c r="DM25" s="313"/>
      <c r="DN25" s="313"/>
      <c r="DO25" s="313"/>
      <c r="DP25" s="313"/>
      <c r="DQ25" s="313"/>
      <c r="DR25" s="313"/>
      <c r="DS25" s="313"/>
      <c r="DT25" s="313"/>
      <c r="DU25" s="313"/>
      <c r="DV25" s="313"/>
      <c r="DW25" s="313"/>
      <c r="DX25" s="313"/>
      <c r="DY25" s="313"/>
      <c r="DZ25" s="313"/>
      <c r="EA25" s="313"/>
      <c r="EB25" s="313"/>
      <c r="EC25" s="313"/>
      <c r="ED25" s="313"/>
      <c r="EE25" s="313"/>
      <c r="EF25" s="313"/>
      <c r="EG25" s="313"/>
      <c r="EH25" s="313"/>
      <c r="EI25" s="313"/>
      <c r="EJ25" s="313"/>
      <c r="EK25" s="313"/>
      <c r="EL25" s="313"/>
      <c r="EM25" s="313"/>
      <c r="EN25" s="313"/>
      <c r="EO25" s="313"/>
      <c r="EP25" s="313"/>
      <c r="EQ25" s="313"/>
      <c r="ER25" s="313"/>
      <c r="ES25" s="313"/>
      <c r="ET25" s="313"/>
      <c r="EU25" s="313"/>
      <c r="EV25" s="313"/>
      <c r="EW25" s="313"/>
      <c r="EX25" s="313"/>
      <c r="EY25" s="313"/>
      <c r="EZ25" s="313"/>
      <c r="FA25" s="313"/>
      <c r="FB25" s="313"/>
      <c r="FC25" s="313"/>
      <c r="FD25" s="313"/>
      <c r="FE25" s="313"/>
      <c r="FF25" s="313"/>
      <c r="FG25" s="313"/>
      <c r="FH25" s="313"/>
      <c r="FI25" s="313"/>
      <c r="FJ25" s="313"/>
      <c r="FK25" s="313"/>
      <c r="FL25" s="313"/>
      <c r="FM25" s="313"/>
      <c r="FN25" s="313"/>
      <c r="FO25" s="313"/>
      <c r="FP25" s="313"/>
      <c r="FQ25" s="313"/>
      <c r="FR25" s="313"/>
      <c r="FS25" s="313"/>
      <c r="FT25" s="313"/>
      <c r="FU25" s="313"/>
      <c r="FV25" s="313"/>
      <c r="FW25" s="313"/>
      <c r="FX25" s="313"/>
      <c r="FY25" s="313"/>
      <c r="FZ25" s="313"/>
      <c r="GA25" s="313"/>
      <c r="GB25" s="313"/>
      <c r="GC25" s="313"/>
      <c r="GD25" s="313"/>
      <c r="GE25" s="313"/>
      <c r="GF25" s="313"/>
      <c r="GG25" s="313"/>
      <c r="GH25" s="313"/>
      <c r="GI25" s="313"/>
      <c r="GJ25" s="313"/>
      <c r="GK25" s="313"/>
      <c r="GL25" s="313"/>
      <c r="GM25" s="313"/>
      <c r="GN25" s="313"/>
      <c r="GO25" s="313"/>
      <c r="GP25" s="313"/>
      <c r="GQ25" s="313"/>
      <c r="GR25" s="313"/>
      <c r="GS25" s="313"/>
      <c r="GT25" s="313"/>
      <c r="GU25" s="313"/>
      <c r="GV25" s="313"/>
      <c r="GW25" s="313"/>
      <c r="GX25" s="313"/>
      <c r="GY25" s="313"/>
      <c r="GZ25" s="313"/>
      <c r="HA25" s="313"/>
      <c r="HB25" s="313"/>
      <c r="HC25" s="313"/>
      <c r="HD25" s="313"/>
      <c r="HE25" s="313"/>
      <c r="HF25" s="313"/>
      <c r="HG25" s="313"/>
      <c r="HH25" s="313"/>
      <c r="HI25" s="313"/>
      <c r="HJ25" s="313"/>
      <c r="HK25" s="313"/>
      <c r="HL25" s="313"/>
      <c r="HM25" s="313"/>
      <c r="HN25" s="313"/>
      <c r="HO25" s="313"/>
      <c r="HP25" s="313"/>
      <c r="HQ25" s="313"/>
      <c r="HR25" s="313"/>
      <c r="HS25" s="313"/>
      <c r="HT25" s="313"/>
      <c r="HU25" s="313"/>
      <c r="HV25" s="313"/>
      <c r="HW25" s="313"/>
      <c r="HX25" s="313"/>
      <c r="HY25" s="313"/>
      <c r="HZ25" s="313"/>
      <c r="IA25" s="313"/>
      <c r="IB25" s="313"/>
      <c r="IC25" s="313"/>
      <c r="ID25" s="313"/>
      <c r="IE25" s="313"/>
      <c r="IF25" s="313"/>
      <c r="IG25" s="313"/>
      <c r="IH25" s="313"/>
      <c r="II25" s="313"/>
      <c r="IJ25" s="313"/>
      <c r="IK25" s="313"/>
      <c r="IL25" s="313"/>
      <c r="IM25" s="313"/>
      <c r="IN25" s="313"/>
      <c r="IO25" s="313"/>
      <c r="IP25" s="313"/>
      <c r="IQ25" s="313"/>
      <c r="IR25" s="313"/>
      <c r="IS25" s="313"/>
      <c r="IT25" s="313"/>
      <c r="IU25" s="313"/>
      <c r="IV25" s="313"/>
      <c r="IW25" s="313"/>
    </row>
    <row r="26" customFormat="false" ht="12.75" hidden="false" customHeight="false" outlineLevel="0" collapsed="false">
      <c r="A26" s="736"/>
      <c r="B26" s="1115" t="s">
        <v>730</v>
      </c>
      <c r="C26" s="100"/>
      <c r="D26" s="100"/>
      <c r="E26" s="100"/>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88"/>
      <c r="AI26" s="100"/>
      <c r="AJ26" s="100"/>
      <c r="AK26" s="100"/>
      <c r="AL26" s="100"/>
      <c r="AM26" s="100"/>
      <c r="AN26" s="100"/>
      <c r="AO26" s="100"/>
      <c r="AP26" s="100"/>
      <c r="AQ26" s="100"/>
      <c r="AR26" s="100"/>
      <c r="AS26" s="100"/>
      <c r="AT26" s="100"/>
      <c r="AU26" s="100"/>
      <c r="AV26" s="100"/>
      <c r="AW26" s="100"/>
      <c r="AX26" s="100"/>
      <c r="AY26" s="100"/>
      <c r="AZ26" s="100"/>
      <c r="BA26" s="100"/>
      <c r="BB26" s="100"/>
      <c r="BC26" s="100"/>
      <c r="BD26" s="100"/>
      <c r="BE26" s="100"/>
      <c r="BF26" s="100"/>
      <c r="BG26" s="100"/>
      <c r="BH26" s="100"/>
      <c r="BI26" s="100"/>
      <c r="BJ26" s="100"/>
      <c r="BK26" s="100"/>
      <c r="BL26" s="100"/>
      <c r="BM26" s="100"/>
      <c r="BN26" s="100"/>
      <c r="BO26" s="100"/>
      <c r="BP26" s="100"/>
      <c r="BQ26" s="100"/>
      <c r="BR26" s="100"/>
      <c r="BS26" s="100"/>
      <c r="BT26" s="100"/>
      <c r="BU26" s="100"/>
      <c r="BV26" s="100"/>
      <c r="BW26" s="100"/>
      <c r="BX26" s="100"/>
      <c r="BY26" s="100"/>
      <c r="BZ26" s="100"/>
      <c r="CA26" s="100"/>
      <c r="CB26" s="100"/>
      <c r="CC26" s="100"/>
      <c r="CD26" s="100"/>
      <c r="CE26" s="100"/>
      <c r="CF26" s="100"/>
      <c r="CG26" s="100"/>
      <c r="CH26" s="100"/>
      <c r="CI26" s="100"/>
      <c r="CJ26" s="100"/>
      <c r="CK26" s="100"/>
      <c r="CL26" s="100"/>
      <c r="CM26" s="100"/>
      <c r="CN26" s="100"/>
      <c r="CO26" s="100"/>
      <c r="CP26" s="100"/>
      <c r="CQ26" s="100"/>
      <c r="CR26" s="100"/>
      <c r="CS26" s="100"/>
      <c r="CT26" s="100"/>
      <c r="CU26" s="100"/>
      <c r="CV26" s="100"/>
      <c r="CW26" s="100"/>
      <c r="CX26" s="100"/>
      <c r="CY26" s="100"/>
      <c r="CZ26" s="100"/>
      <c r="DA26" s="100"/>
      <c r="DB26" s="100"/>
      <c r="DC26" s="100"/>
      <c r="DD26" s="100"/>
      <c r="DE26" s="100"/>
      <c r="DF26" s="100"/>
      <c r="DG26" s="100"/>
      <c r="DH26" s="100"/>
      <c r="DI26" s="100"/>
      <c r="DJ26" s="100"/>
      <c r="DK26" s="100"/>
      <c r="DL26" s="100"/>
      <c r="DM26" s="100"/>
      <c r="DN26" s="100"/>
      <c r="DO26" s="100"/>
      <c r="DP26" s="100"/>
      <c r="DQ26" s="100"/>
      <c r="DR26" s="100"/>
      <c r="DS26" s="100"/>
      <c r="DT26" s="100"/>
      <c r="DU26" s="100"/>
      <c r="DV26" s="100"/>
      <c r="DW26" s="100"/>
      <c r="DX26" s="100"/>
      <c r="DY26" s="100"/>
      <c r="DZ26" s="100"/>
      <c r="EA26" s="100"/>
      <c r="EB26" s="100"/>
      <c r="EC26" s="100"/>
      <c r="ED26" s="100"/>
      <c r="EE26" s="100"/>
      <c r="EF26" s="100"/>
      <c r="EG26" s="100"/>
      <c r="EH26" s="100"/>
      <c r="EI26" s="100"/>
      <c r="EJ26" s="100"/>
      <c r="EK26" s="100"/>
      <c r="EL26" s="100"/>
      <c r="EM26" s="100"/>
      <c r="EN26" s="100"/>
      <c r="EO26" s="100"/>
      <c r="EP26" s="100"/>
      <c r="EQ26" s="100"/>
      <c r="ER26" s="100"/>
      <c r="ES26" s="100"/>
      <c r="ET26" s="100"/>
      <c r="EU26" s="100"/>
      <c r="EV26" s="100"/>
      <c r="EW26" s="100"/>
      <c r="EX26" s="100"/>
      <c r="EY26" s="100"/>
      <c r="EZ26" s="100"/>
      <c r="FA26" s="100"/>
      <c r="FB26" s="100"/>
      <c r="FC26" s="100"/>
      <c r="FD26" s="100"/>
      <c r="FE26" s="100"/>
      <c r="FF26" s="100"/>
      <c r="FG26" s="100"/>
      <c r="FH26" s="100"/>
      <c r="FI26" s="100"/>
      <c r="FJ26" s="100"/>
      <c r="FK26" s="100"/>
      <c r="FL26" s="100"/>
      <c r="FM26" s="100"/>
      <c r="FN26" s="100"/>
      <c r="FO26" s="100"/>
      <c r="FP26" s="100"/>
      <c r="FQ26" s="100"/>
      <c r="FR26" s="100"/>
      <c r="FS26" s="100"/>
      <c r="FT26" s="100"/>
      <c r="FU26" s="100"/>
      <c r="FV26" s="100"/>
      <c r="FW26" s="100"/>
      <c r="FX26" s="100"/>
      <c r="FY26" s="100"/>
      <c r="FZ26" s="100"/>
      <c r="GA26" s="100"/>
      <c r="GB26" s="100"/>
      <c r="GC26" s="100"/>
      <c r="GD26" s="100"/>
      <c r="GE26" s="100"/>
      <c r="GF26" s="100"/>
      <c r="GG26" s="100"/>
      <c r="GH26" s="100"/>
      <c r="GI26" s="100"/>
      <c r="GJ26" s="100"/>
      <c r="GK26" s="100"/>
      <c r="GL26" s="100"/>
      <c r="GM26" s="100"/>
      <c r="GN26" s="100"/>
      <c r="GO26" s="100"/>
      <c r="GP26" s="100"/>
      <c r="GQ26" s="100"/>
      <c r="GR26" s="100"/>
      <c r="GS26" s="100"/>
      <c r="GT26" s="100"/>
      <c r="GU26" s="100"/>
      <c r="GV26" s="100"/>
      <c r="GW26" s="100"/>
      <c r="GX26" s="100"/>
      <c r="GY26" s="100"/>
      <c r="GZ26" s="100"/>
      <c r="HA26" s="100"/>
      <c r="HB26" s="100"/>
      <c r="HC26" s="100"/>
      <c r="HD26" s="100"/>
      <c r="HE26" s="100"/>
      <c r="HF26" s="100"/>
      <c r="HG26" s="100"/>
      <c r="HH26" s="100"/>
      <c r="HI26" s="100"/>
      <c r="HJ26" s="100"/>
      <c r="HK26" s="100"/>
      <c r="HL26" s="100"/>
      <c r="HM26" s="100"/>
      <c r="HN26" s="100"/>
      <c r="HO26" s="100"/>
      <c r="HP26" s="100"/>
      <c r="HQ26" s="100"/>
      <c r="HR26" s="100"/>
      <c r="HS26" s="100"/>
      <c r="HT26" s="100"/>
      <c r="HU26" s="100"/>
      <c r="HV26" s="100"/>
      <c r="HW26" s="100"/>
      <c r="HX26" s="100"/>
      <c r="HY26" s="100"/>
      <c r="HZ26" s="100"/>
      <c r="IA26" s="100"/>
      <c r="IB26" s="100"/>
      <c r="IC26" s="100"/>
      <c r="ID26" s="100"/>
      <c r="IE26" s="100"/>
      <c r="IF26" s="100"/>
      <c r="IG26" s="100"/>
      <c r="IH26" s="100"/>
      <c r="II26" s="100"/>
      <c r="IJ26" s="100"/>
      <c r="IK26" s="100"/>
      <c r="IL26" s="100"/>
      <c r="IM26" s="100"/>
      <c r="IN26" s="100"/>
      <c r="IO26" s="100"/>
      <c r="IP26" s="100"/>
      <c r="IQ26" s="100"/>
      <c r="IR26" s="100"/>
      <c r="IS26" s="100"/>
      <c r="IT26" s="100"/>
      <c r="IU26" s="100"/>
      <c r="IV26" s="100"/>
      <c r="IW26" s="100"/>
    </row>
    <row r="27" customFormat="false" ht="12.75" hidden="false" customHeight="false" outlineLevel="0" collapsed="false">
      <c r="A27" s="736"/>
      <c r="B27" s="1115" t="s">
        <v>731</v>
      </c>
      <c r="C27" s="100"/>
      <c r="D27" s="100" t="n">
        <f aca="false">Srcs_Uses!E7</f>
        <v>264.958086355692</v>
      </c>
      <c r="E27" s="100"/>
      <c r="F27" s="100"/>
      <c r="G27" s="100"/>
      <c r="H27" s="100"/>
      <c r="I27" s="100"/>
      <c r="J27" s="100"/>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88"/>
      <c r="AI27" s="100"/>
      <c r="AJ27" s="100"/>
      <c r="AK27" s="100"/>
      <c r="AL27" s="100"/>
      <c r="AM27" s="100"/>
      <c r="AN27" s="100"/>
      <c r="AO27" s="100"/>
      <c r="AP27" s="100"/>
      <c r="AQ27" s="100"/>
      <c r="AR27" s="100"/>
      <c r="AS27" s="100"/>
      <c r="AT27" s="100"/>
      <c r="AU27" s="100"/>
      <c r="AV27" s="100"/>
      <c r="AW27" s="100"/>
      <c r="AX27" s="100"/>
      <c r="AY27" s="100"/>
      <c r="AZ27" s="100"/>
      <c r="BA27" s="100"/>
      <c r="BB27" s="100"/>
      <c r="BC27" s="100"/>
      <c r="BD27" s="100"/>
      <c r="BE27" s="100"/>
      <c r="BF27" s="100"/>
      <c r="BG27" s="100"/>
      <c r="BH27" s="100"/>
      <c r="BI27" s="100"/>
      <c r="BJ27" s="100"/>
      <c r="BK27" s="100"/>
      <c r="BL27" s="100"/>
      <c r="BM27" s="100"/>
      <c r="BN27" s="100"/>
      <c r="BO27" s="100"/>
      <c r="BP27" s="100"/>
      <c r="BQ27" s="100"/>
      <c r="BR27" s="100"/>
      <c r="BS27" s="100"/>
      <c r="BT27" s="100"/>
      <c r="BU27" s="100"/>
      <c r="BV27" s="100"/>
      <c r="BW27" s="100"/>
      <c r="BX27" s="100"/>
      <c r="BY27" s="100"/>
      <c r="BZ27" s="100"/>
      <c r="CA27" s="100"/>
      <c r="CB27" s="100"/>
      <c r="CC27" s="100"/>
      <c r="CD27" s="100"/>
      <c r="CE27" s="100"/>
      <c r="CF27" s="100"/>
      <c r="CG27" s="100"/>
      <c r="CH27" s="100"/>
      <c r="CI27" s="100"/>
      <c r="CJ27" s="100"/>
      <c r="CK27" s="100"/>
      <c r="CL27" s="100"/>
      <c r="CM27" s="100"/>
      <c r="CN27" s="100"/>
      <c r="CO27" s="100"/>
      <c r="CP27" s="100"/>
      <c r="CQ27" s="100"/>
      <c r="CR27" s="100"/>
      <c r="CS27" s="100"/>
      <c r="CT27" s="100"/>
      <c r="CU27" s="100"/>
      <c r="CV27" s="100"/>
      <c r="CW27" s="100"/>
      <c r="CX27" s="100"/>
      <c r="CY27" s="100"/>
      <c r="CZ27" s="100"/>
      <c r="DA27" s="100"/>
      <c r="DB27" s="100"/>
      <c r="DC27" s="100"/>
      <c r="DD27" s="100"/>
      <c r="DE27" s="100"/>
      <c r="DF27" s="100"/>
      <c r="DG27" s="100"/>
      <c r="DH27" s="100"/>
      <c r="DI27" s="100"/>
      <c r="DJ27" s="100"/>
      <c r="DK27" s="100"/>
      <c r="DL27" s="100"/>
      <c r="DM27" s="100"/>
      <c r="DN27" s="100"/>
      <c r="DO27" s="100"/>
      <c r="DP27" s="100"/>
      <c r="DQ27" s="100"/>
      <c r="DR27" s="100"/>
      <c r="DS27" s="100"/>
      <c r="DT27" s="100"/>
      <c r="DU27" s="100"/>
      <c r="DV27" s="100"/>
      <c r="DW27" s="100"/>
      <c r="DX27" s="100"/>
      <c r="DY27" s="100"/>
      <c r="DZ27" s="100"/>
      <c r="EA27" s="100"/>
      <c r="EB27" s="100"/>
      <c r="EC27" s="100"/>
      <c r="ED27" s="100"/>
      <c r="EE27" s="100"/>
      <c r="EF27" s="100"/>
      <c r="EG27" s="100"/>
      <c r="EH27" s="100"/>
      <c r="EI27" s="100"/>
      <c r="EJ27" s="100"/>
      <c r="EK27" s="100"/>
      <c r="EL27" s="100"/>
      <c r="EM27" s="100"/>
      <c r="EN27" s="100"/>
      <c r="EO27" s="100"/>
      <c r="EP27" s="100"/>
      <c r="EQ27" s="100"/>
      <c r="ER27" s="100"/>
      <c r="ES27" s="100"/>
      <c r="ET27" s="100"/>
      <c r="EU27" s="100"/>
      <c r="EV27" s="100"/>
      <c r="EW27" s="100"/>
      <c r="EX27" s="100"/>
      <c r="EY27" s="100"/>
      <c r="EZ27" s="100"/>
      <c r="FA27" s="100"/>
      <c r="FB27" s="100"/>
      <c r="FC27" s="100"/>
      <c r="FD27" s="100"/>
      <c r="FE27" s="100"/>
      <c r="FF27" s="100"/>
      <c r="FG27" s="100"/>
      <c r="FH27" s="100"/>
      <c r="FI27" s="100"/>
      <c r="FJ27" s="100"/>
      <c r="FK27" s="100"/>
      <c r="FL27" s="100"/>
      <c r="FM27" s="100"/>
      <c r="FN27" s="100"/>
      <c r="FO27" s="100"/>
      <c r="FP27" s="100"/>
      <c r="FQ27" s="100"/>
      <c r="FR27" s="100"/>
      <c r="FS27" s="100"/>
      <c r="FT27" s="100"/>
      <c r="FU27" s="100"/>
      <c r="FV27" s="100"/>
      <c r="FW27" s="100"/>
      <c r="FX27" s="100"/>
      <c r="FY27" s="100"/>
      <c r="FZ27" s="100"/>
      <c r="GA27" s="100"/>
      <c r="GB27" s="100"/>
      <c r="GC27" s="100"/>
      <c r="GD27" s="100"/>
      <c r="GE27" s="100"/>
      <c r="GF27" s="100"/>
      <c r="GG27" s="100"/>
      <c r="GH27" s="100"/>
      <c r="GI27" s="100"/>
      <c r="GJ27" s="100"/>
      <c r="GK27" s="100"/>
      <c r="GL27" s="100"/>
      <c r="GM27" s="100"/>
      <c r="GN27" s="100"/>
      <c r="GO27" s="100"/>
      <c r="GP27" s="100"/>
      <c r="GQ27" s="100"/>
      <c r="GR27" s="100"/>
      <c r="GS27" s="100"/>
      <c r="GT27" s="100"/>
      <c r="GU27" s="100"/>
      <c r="GV27" s="100"/>
      <c r="GW27" s="100"/>
      <c r="GX27" s="100"/>
      <c r="GY27" s="100"/>
      <c r="GZ27" s="100"/>
      <c r="HA27" s="100"/>
      <c r="HB27" s="100"/>
      <c r="HC27" s="100"/>
      <c r="HD27" s="100"/>
      <c r="HE27" s="100"/>
      <c r="HF27" s="100"/>
      <c r="HG27" s="100"/>
      <c r="HH27" s="100"/>
      <c r="HI27" s="100"/>
      <c r="HJ27" s="100"/>
      <c r="HK27" s="100"/>
      <c r="HL27" s="100"/>
      <c r="HM27" s="100"/>
      <c r="HN27" s="100"/>
      <c r="HO27" s="100"/>
      <c r="HP27" s="100"/>
      <c r="HQ27" s="100"/>
      <c r="HR27" s="100"/>
      <c r="HS27" s="100"/>
      <c r="HT27" s="100"/>
      <c r="HU27" s="100"/>
      <c r="HV27" s="100"/>
      <c r="HW27" s="100"/>
      <c r="HX27" s="100"/>
      <c r="HY27" s="100"/>
      <c r="HZ27" s="100"/>
      <c r="IA27" s="100"/>
      <c r="IB27" s="100"/>
      <c r="IC27" s="100"/>
      <c r="ID27" s="100"/>
      <c r="IE27" s="100"/>
      <c r="IF27" s="100"/>
      <c r="IG27" s="100"/>
      <c r="IH27" s="100"/>
      <c r="II27" s="100"/>
      <c r="IJ27" s="100"/>
      <c r="IK27" s="100"/>
      <c r="IL27" s="100"/>
      <c r="IM27" s="100"/>
      <c r="IN27" s="100"/>
      <c r="IO27" s="100"/>
      <c r="IP27" s="100"/>
      <c r="IQ27" s="100"/>
      <c r="IR27" s="100"/>
      <c r="IS27" s="100"/>
      <c r="IT27" s="100"/>
      <c r="IU27" s="100"/>
      <c r="IV27" s="100"/>
      <c r="IW27" s="100"/>
    </row>
    <row r="28" customFormat="false" ht="12.75" hidden="false" customHeight="false" outlineLevel="0" collapsed="false">
      <c r="A28" s="736"/>
      <c r="B28" s="1115" t="s">
        <v>551</v>
      </c>
      <c r="C28" s="100"/>
      <c r="D28" s="100" t="n">
        <f aca="false">CashFlow!E43</f>
        <v>0</v>
      </c>
      <c r="E28" s="100" t="n">
        <f aca="false">CashFlow!F43</f>
        <v>0</v>
      </c>
      <c r="F28" s="100" t="n">
        <f aca="false">CashFlow!G43</f>
        <v>0</v>
      </c>
      <c r="G28" s="100" t="n">
        <f aca="false">CashFlow!H43</f>
        <v>0</v>
      </c>
      <c r="H28" s="100" t="n">
        <f aca="false">CashFlow!I43</f>
        <v>0</v>
      </c>
      <c r="I28" s="100" t="n">
        <f aca="false">CashFlow!J43</f>
        <v>0</v>
      </c>
      <c r="J28" s="100" t="n">
        <f aca="false">CashFlow!K43</f>
        <v>0</v>
      </c>
      <c r="K28" s="100" t="n">
        <f aca="false">CashFlow!L43</f>
        <v>0</v>
      </c>
      <c r="L28" s="100" t="n">
        <f aca="false">CashFlow!M43</f>
        <v>0</v>
      </c>
      <c r="M28" s="100" t="n">
        <f aca="false">CashFlow!N43</f>
        <v>0</v>
      </c>
      <c r="N28" s="100" t="n">
        <f aca="false">CashFlow!O43</f>
        <v>0</v>
      </c>
      <c r="O28" s="100" t="n">
        <f aca="false">CashFlow!P43</f>
        <v>0</v>
      </c>
      <c r="P28" s="100" t="n">
        <f aca="false">CashFlow!Q43</f>
        <v>0</v>
      </c>
      <c r="Q28" s="100" t="n">
        <f aca="false">CashFlow!R43</f>
        <v>0</v>
      </c>
      <c r="R28" s="100" t="n">
        <f aca="false">CashFlow!S43</f>
        <v>0</v>
      </c>
      <c r="S28" s="100" t="n">
        <f aca="false">CashFlow!T43</f>
        <v>0</v>
      </c>
      <c r="T28" s="100" t="n">
        <f aca="false">CashFlow!U43</f>
        <v>0</v>
      </c>
      <c r="U28" s="100" t="n">
        <f aca="false">CashFlow!V43</f>
        <v>0</v>
      </c>
      <c r="V28" s="100" t="n">
        <f aca="false">CashFlow!W43</f>
        <v>0</v>
      </c>
      <c r="W28" s="100" t="n">
        <f aca="false">CashFlow!X43</f>
        <v>0</v>
      </c>
      <c r="X28" s="100" t="n">
        <f aca="false">CashFlow!Y43</f>
        <v>0</v>
      </c>
      <c r="Y28" s="100" t="n">
        <f aca="false">CashFlow!Z43</f>
        <v>0</v>
      </c>
      <c r="Z28" s="100" t="n">
        <f aca="false">CashFlow!AA43</f>
        <v>0</v>
      </c>
      <c r="AA28" s="100" t="n">
        <f aca="false">CashFlow!AB43</f>
        <v>0</v>
      </c>
      <c r="AB28" s="100" t="n">
        <f aca="false">CashFlow!AC43</f>
        <v>0</v>
      </c>
      <c r="AC28" s="100" t="n">
        <f aca="false">CashFlow!AD43</f>
        <v>0</v>
      </c>
      <c r="AD28" s="100" t="n">
        <f aca="false">CashFlow!AE43</f>
        <v>0</v>
      </c>
      <c r="AE28" s="100" t="n">
        <f aca="false">CashFlow!AF43</f>
        <v>0</v>
      </c>
      <c r="AF28" s="100" t="n">
        <f aca="false">CashFlow!AG43</f>
        <v>0</v>
      </c>
      <c r="AG28" s="100" t="n">
        <f aca="false">CashFlow!AH43</f>
        <v>0</v>
      </c>
      <c r="AH28" s="1088" t="n">
        <f aca="false">CashFlow!AI43</f>
        <v>0</v>
      </c>
      <c r="AI28" s="100"/>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c r="BM28" s="100"/>
      <c r="BN28" s="100"/>
      <c r="BO28" s="100"/>
      <c r="BP28" s="100"/>
      <c r="BQ28" s="100"/>
      <c r="BR28" s="100"/>
      <c r="BS28" s="100"/>
      <c r="BT28" s="100"/>
      <c r="BU28" s="100"/>
      <c r="BV28" s="100"/>
      <c r="BW28" s="100"/>
      <c r="BX28" s="100"/>
      <c r="BY28" s="100"/>
      <c r="BZ28" s="100"/>
      <c r="CA28" s="100"/>
      <c r="CB28" s="100"/>
      <c r="CC28" s="100"/>
      <c r="CD28" s="100"/>
      <c r="CE28" s="100"/>
      <c r="CF28" s="100"/>
      <c r="CG28" s="100"/>
      <c r="CH28" s="100"/>
      <c r="CI28" s="100"/>
      <c r="CJ28" s="100"/>
      <c r="CK28" s="100"/>
      <c r="CL28" s="100"/>
      <c r="CM28" s="100"/>
      <c r="CN28" s="100"/>
      <c r="CO28" s="100"/>
      <c r="CP28" s="100"/>
      <c r="CQ28" s="100"/>
      <c r="CR28" s="100"/>
      <c r="CS28" s="100"/>
      <c r="CT28" s="100"/>
      <c r="CU28" s="100"/>
      <c r="CV28" s="100"/>
      <c r="CW28" s="100"/>
      <c r="CX28" s="100"/>
      <c r="CY28" s="100"/>
      <c r="CZ28" s="100"/>
      <c r="DA28" s="100"/>
      <c r="DB28" s="100"/>
      <c r="DC28" s="100"/>
      <c r="DD28" s="100"/>
      <c r="DE28" s="100"/>
      <c r="DF28" s="100"/>
      <c r="DG28" s="100"/>
      <c r="DH28" s="100"/>
      <c r="DI28" s="100"/>
      <c r="DJ28" s="100"/>
      <c r="DK28" s="100"/>
      <c r="DL28" s="100"/>
      <c r="DM28" s="100"/>
      <c r="DN28" s="100"/>
      <c r="DO28" s="100"/>
      <c r="DP28" s="100"/>
      <c r="DQ28" s="100"/>
      <c r="DR28" s="100"/>
      <c r="DS28" s="100"/>
      <c r="DT28" s="100"/>
      <c r="DU28" s="100"/>
      <c r="DV28" s="100"/>
      <c r="DW28" s="100"/>
      <c r="DX28" s="100"/>
      <c r="DY28" s="100"/>
      <c r="DZ28" s="100"/>
      <c r="EA28" s="100"/>
      <c r="EB28" s="100"/>
      <c r="EC28" s="100"/>
      <c r="ED28" s="100"/>
      <c r="EE28" s="100"/>
      <c r="EF28" s="100"/>
      <c r="EG28" s="100"/>
      <c r="EH28" s="100"/>
      <c r="EI28" s="100"/>
      <c r="EJ28" s="100"/>
      <c r="EK28" s="100"/>
      <c r="EL28" s="100"/>
      <c r="EM28" s="100"/>
      <c r="EN28" s="100"/>
      <c r="EO28" s="100"/>
      <c r="EP28" s="100"/>
      <c r="EQ28" s="100"/>
      <c r="ER28" s="100"/>
      <c r="ES28" s="100"/>
      <c r="ET28" s="100"/>
      <c r="EU28" s="100"/>
      <c r="EV28" s="100"/>
      <c r="EW28" s="100"/>
      <c r="EX28" s="100"/>
      <c r="EY28" s="100"/>
      <c r="EZ28" s="100"/>
      <c r="FA28" s="100"/>
      <c r="FB28" s="100"/>
      <c r="FC28" s="100"/>
      <c r="FD28" s="100"/>
      <c r="FE28" s="100"/>
      <c r="FF28" s="100"/>
      <c r="FG28" s="100"/>
      <c r="FH28" s="100"/>
      <c r="FI28" s="100"/>
      <c r="FJ28" s="100"/>
      <c r="FK28" s="100"/>
      <c r="FL28" s="100"/>
      <c r="FM28" s="100"/>
      <c r="FN28" s="100"/>
      <c r="FO28" s="100"/>
      <c r="FP28" s="100"/>
      <c r="FQ28" s="100"/>
      <c r="FR28" s="100"/>
      <c r="FS28" s="100"/>
      <c r="FT28" s="100"/>
      <c r="FU28" s="100"/>
      <c r="FV28" s="100"/>
      <c r="FW28" s="100"/>
      <c r="FX28" s="100"/>
      <c r="FY28" s="100"/>
      <c r="FZ28" s="100"/>
      <c r="GA28" s="100"/>
      <c r="GB28" s="100"/>
      <c r="GC28" s="100"/>
      <c r="GD28" s="100"/>
      <c r="GE28" s="100"/>
      <c r="GF28" s="100"/>
      <c r="GG28" s="100"/>
      <c r="GH28" s="100"/>
      <c r="GI28" s="100"/>
      <c r="GJ28" s="100"/>
      <c r="GK28" s="100"/>
      <c r="GL28" s="100"/>
      <c r="GM28" s="100"/>
      <c r="GN28" s="100"/>
      <c r="GO28" s="100"/>
      <c r="GP28" s="100"/>
      <c r="GQ28" s="100"/>
      <c r="GR28" s="100"/>
      <c r="GS28" s="100"/>
      <c r="GT28" s="100"/>
      <c r="GU28" s="100"/>
      <c r="GV28" s="100"/>
      <c r="GW28" s="100"/>
      <c r="GX28" s="100"/>
      <c r="GY28" s="100"/>
      <c r="GZ28" s="100"/>
      <c r="HA28" s="100"/>
      <c r="HB28" s="100"/>
      <c r="HC28" s="100"/>
      <c r="HD28" s="100"/>
      <c r="HE28" s="100"/>
      <c r="HF28" s="100"/>
      <c r="HG28" s="100"/>
      <c r="HH28" s="100"/>
      <c r="HI28" s="100"/>
      <c r="HJ28" s="100"/>
      <c r="HK28" s="100"/>
      <c r="HL28" s="100"/>
      <c r="HM28" s="100"/>
      <c r="HN28" s="100"/>
      <c r="HO28" s="100"/>
      <c r="HP28" s="100"/>
      <c r="HQ28" s="100"/>
      <c r="HR28" s="100"/>
      <c r="HS28" s="100"/>
      <c r="HT28" s="100"/>
      <c r="HU28" s="100"/>
      <c r="HV28" s="100"/>
      <c r="HW28" s="100"/>
      <c r="HX28" s="100"/>
      <c r="HY28" s="100"/>
      <c r="HZ28" s="100"/>
      <c r="IA28" s="100"/>
      <c r="IB28" s="100"/>
      <c r="IC28" s="100"/>
      <c r="ID28" s="100"/>
      <c r="IE28" s="100"/>
      <c r="IF28" s="100"/>
      <c r="IG28" s="100"/>
      <c r="IH28" s="100"/>
      <c r="II28" s="100"/>
      <c r="IJ28" s="100"/>
      <c r="IK28" s="100"/>
      <c r="IL28" s="100"/>
      <c r="IM28" s="100"/>
      <c r="IN28" s="100"/>
      <c r="IO28" s="100"/>
      <c r="IP28" s="100"/>
      <c r="IQ28" s="100"/>
      <c r="IR28" s="100"/>
      <c r="IS28" s="100"/>
      <c r="IT28" s="100"/>
      <c r="IU28" s="100"/>
      <c r="IV28" s="100"/>
      <c r="IW28" s="100"/>
    </row>
    <row r="29" customFormat="false" ht="12.75" hidden="false" customHeight="false" outlineLevel="0" collapsed="false">
      <c r="A29" s="736"/>
      <c r="B29" s="1115" t="s">
        <v>732</v>
      </c>
      <c r="C29" s="100"/>
      <c r="D29" s="100" t="n">
        <f aca="false">SUM(CapAcc!D38:D41)</f>
        <v>37.0396222781693</v>
      </c>
      <c r="E29" s="100" t="n">
        <f aca="false">SUM(CapAcc!E38:E41)</f>
        <v>37.0396222781693</v>
      </c>
      <c r="F29" s="100" t="n">
        <f aca="false">SUM(CapAcc!F38:F41)</f>
        <v>37.0396222781693</v>
      </c>
      <c r="G29" s="100" t="n">
        <f aca="false">SUM(CapAcc!G38:G41)</f>
        <v>37.0396222781693</v>
      </c>
      <c r="H29" s="100" t="n">
        <f aca="false">SUM(CapAcc!H38:H41)</f>
        <v>37.0396222781693</v>
      </c>
      <c r="I29" s="100" t="n">
        <f aca="false">SUM(CapAcc!I38:I41)</f>
        <v>37.0396222781693</v>
      </c>
      <c r="J29" s="100" t="n">
        <f aca="false">SUM(CapAcc!J38:J41)</f>
        <v>37.0396222781693</v>
      </c>
      <c r="K29" s="100" t="n">
        <f aca="false">SUM(CapAcc!K38:K41)</f>
        <v>37.0396222781693</v>
      </c>
      <c r="L29" s="100" t="n">
        <f aca="false">SUM(CapAcc!L38:L41)</f>
        <v>37.0396222781693</v>
      </c>
      <c r="M29" s="100" t="n">
        <f aca="false">SUM(CapAcc!M38:M41)</f>
        <v>37.0396222781693</v>
      </c>
      <c r="N29" s="100" t="n">
        <f aca="false">SUM(CapAcc!N38:N41)</f>
        <v>37.0396222781693</v>
      </c>
      <c r="O29" s="100" t="n">
        <f aca="false">SUM(CapAcc!O38:O41)</f>
        <v>37.0396222781693</v>
      </c>
      <c r="P29" s="100" t="n">
        <f aca="false">SUM(CapAcc!P38:P41)</f>
        <v>37.0396222781693</v>
      </c>
      <c r="Q29" s="100" t="n">
        <f aca="false">SUM(CapAcc!Q38:Q41)</f>
        <v>37.0396222781693</v>
      </c>
      <c r="R29" s="100" t="n">
        <f aca="false">SUM(CapAcc!R38:R41)</f>
        <v>37.0396222781693</v>
      </c>
      <c r="S29" s="100" t="n">
        <f aca="false">SUM(CapAcc!S38:S41)</f>
        <v>37.0396222781693</v>
      </c>
      <c r="T29" s="100" t="n">
        <f aca="false">SUM(CapAcc!T38:T41)</f>
        <v>37.0396222781693</v>
      </c>
      <c r="U29" s="100" t="n">
        <f aca="false">SUM(CapAcc!U38:U41)</f>
        <v>37.0396222781693</v>
      </c>
      <c r="V29" s="100" t="n">
        <f aca="false">SUM(CapAcc!V38:V41)</f>
        <v>37.0396222781693</v>
      </c>
      <c r="W29" s="100" t="n">
        <f aca="false">SUM(CapAcc!W38:W41)</f>
        <v>37.0396222781693</v>
      </c>
      <c r="X29" s="100" t="n">
        <f aca="false">SUM(CapAcc!X38:X41)</f>
        <v>0</v>
      </c>
      <c r="Y29" s="100" t="n">
        <f aca="false">SUM(CapAcc!Y38:Y41)</f>
        <v>0</v>
      </c>
      <c r="Z29" s="100" t="n">
        <f aca="false">SUM(CapAcc!Z38:Z41)</f>
        <v>0</v>
      </c>
      <c r="AA29" s="100" t="n">
        <f aca="false">SUM(CapAcc!AA38:AA41)</f>
        <v>0</v>
      </c>
      <c r="AB29" s="100" t="n">
        <f aca="false">SUM(CapAcc!AB38:AB41)</f>
        <v>0</v>
      </c>
      <c r="AC29" s="100" t="n">
        <f aca="false">SUM(CapAcc!AC38:AC41)</f>
        <v>0</v>
      </c>
      <c r="AD29" s="100" t="n">
        <f aca="false">SUM(CapAcc!AD38:AD41)</f>
        <v>0</v>
      </c>
      <c r="AE29" s="100" t="n">
        <f aca="false">SUM(CapAcc!AE38:AE41)</f>
        <v>0</v>
      </c>
      <c r="AF29" s="100" t="n">
        <f aca="false">SUM(CapAcc!AF38:AF41)</f>
        <v>0</v>
      </c>
      <c r="AG29" s="100" t="n">
        <f aca="false">SUM(CapAcc!AG38:AG41)</f>
        <v>0</v>
      </c>
      <c r="AH29" s="1088" t="n">
        <f aca="false">SUM(CapAcc!AH38:AH41)</f>
        <v>0</v>
      </c>
      <c r="AI29" s="100"/>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c r="BM29" s="100"/>
      <c r="BN29" s="100"/>
      <c r="BO29" s="100"/>
      <c r="BP29" s="100"/>
      <c r="BQ29" s="100"/>
      <c r="BR29" s="100"/>
      <c r="BS29" s="100"/>
      <c r="BT29" s="100"/>
      <c r="BU29" s="100"/>
      <c r="BV29" s="100"/>
      <c r="BW29" s="100"/>
      <c r="BX29" s="100"/>
      <c r="BY29" s="100"/>
      <c r="BZ29" s="100"/>
      <c r="CA29" s="100"/>
      <c r="CB29" s="100"/>
      <c r="CC29" s="100"/>
      <c r="CD29" s="100"/>
      <c r="CE29" s="100"/>
      <c r="CF29" s="100"/>
      <c r="CG29" s="100"/>
      <c r="CH29" s="100"/>
      <c r="CI29" s="100"/>
      <c r="CJ29" s="100"/>
      <c r="CK29" s="100"/>
      <c r="CL29" s="100"/>
      <c r="CM29" s="100"/>
      <c r="CN29" s="100"/>
      <c r="CO29" s="100"/>
      <c r="CP29" s="100"/>
      <c r="CQ29" s="100"/>
      <c r="CR29" s="100"/>
      <c r="CS29" s="100"/>
      <c r="CT29" s="100"/>
      <c r="CU29" s="100"/>
      <c r="CV29" s="100"/>
      <c r="CW29" s="100"/>
      <c r="CX29" s="100"/>
      <c r="CY29" s="100"/>
      <c r="CZ29" s="100"/>
      <c r="DA29" s="100"/>
      <c r="DB29" s="100"/>
      <c r="DC29" s="100"/>
      <c r="DD29" s="100"/>
      <c r="DE29" s="100"/>
      <c r="DF29" s="100"/>
      <c r="DG29" s="100"/>
      <c r="DH29" s="100"/>
      <c r="DI29" s="100"/>
      <c r="DJ29" s="100"/>
      <c r="DK29" s="100"/>
      <c r="DL29" s="100"/>
      <c r="DM29" s="100"/>
      <c r="DN29" s="100"/>
      <c r="DO29" s="100"/>
      <c r="DP29" s="100"/>
      <c r="DQ29" s="100"/>
      <c r="DR29" s="100"/>
      <c r="DS29" s="100"/>
      <c r="DT29" s="100"/>
      <c r="DU29" s="100"/>
      <c r="DV29" s="100"/>
      <c r="DW29" s="100"/>
      <c r="DX29" s="100"/>
      <c r="DY29" s="100"/>
      <c r="DZ29" s="100"/>
      <c r="EA29" s="100"/>
      <c r="EB29" s="100"/>
      <c r="EC29" s="100"/>
      <c r="ED29" s="100"/>
      <c r="EE29" s="100"/>
      <c r="EF29" s="100"/>
      <c r="EG29" s="100"/>
      <c r="EH29" s="100"/>
      <c r="EI29" s="100"/>
      <c r="EJ29" s="100"/>
      <c r="EK29" s="100"/>
      <c r="EL29" s="100"/>
      <c r="EM29" s="100"/>
      <c r="EN29" s="100"/>
      <c r="EO29" s="100"/>
      <c r="EP29" s="100"/>
      <c r="EQ29" s="100"/>
      <c r="ER29" s="100"/>
      <c r="ES29" s="100"/>
      <c r="ET29" s="100"/>
      <c r="EU29" s="100"/>
      <c r="EV29" s="100"/>
      <c r="EW29" s="100"/>
      <c r="EX29" s="100"/>
      <c r="EY29" s="100"/>
      <c r="EZ29" s="100"/>
      <c r="FA29" s="100"/>
      <c r="FB29" s="100"/>
      <c r="FC29" s="100"/>
      <c r="FD29" s="100"/>
      <c r="FE29" s="100"/>
      <c r="FF29" s="100"/>
      <c r="FG29" s="100"/>
      <c r="FH29" s="100"/>
      <c r="FI29" s="100"/>
      <c r="FJ29" s="100"/>
      <c r="FK29" s="100"/>
      <c r="FL29" s="100"/>
      <c r="FM29" s="100"/>
      <c r="FN29" s="100"/>
      <c r="FO29" s="100"/>
      <c r="FP29" s="100"/>
      <c r="FQ29" s="100"/>
      <c r="FR29" s="100"/>
      <c r="FS29" s="100"/>
      <c r="FT29" s="100"/>
      <c r="FU29" s="100"/>
      <c r="FV29" s="100"/>
      <c r="FW29" s="100"/>
      <c r="FX29" s="100"/>
      <c r="FY29" s="100"/>
      <c r="FZ29" s="100"/>
      <c r="GA29" s="100"/>
      <c r="GB29" s="100"/>
      <c r="GC29" s="100"/>
      <c r="GD29" s="100"/>
      <c r="GE29" s="100"/>
      <c r="GF29" s="100"/>
      <c r="GG29" s="100"/>
      <c r="GH29" s="100"/>
      <c r="GI29" s="100"/>
      <c r="GJ29" s="100"/>
      <c r="GK29" s="100"/>
      <c r="GL29" s="100"/>
      <c r="GM29" s="100"/>
      <c r="GN29" s="100"/>
      <c r="GO29" s="100"/>
      <c r="GP29" s="100"/>
      <c r="GQ29" s="100"/>
      <c r="GR29" s="100"/>
      <c r="GS29" s="100"/>
      <c r="GT29" s="100"/>
      <c r="GU29" s="100"/>
      <c r="GV29" s="100"/>
      <c r="GW29" s="100"/>
      <c r="GX29" s="100"/>
      <c r="GY29" s="100"/>
      <c r="GZ29" s="100"/>
      <c r="HA29" s="100"/>
      <c r="HB29" s="100"/>
      <c r="HC29" s="100"/>
      <c r="HD29" s="100"/>
      <c r="HE29" s="100"/>
      <c r="HF29" s="100"/>
      <c r="HG29" s="100"/>
      <c r="HH29" s="100"/>
      <c r="HI29" s="100"/>
      <c r="HJ29" s="100"/>
      <c r="HK29" s="100"/>
      <c r="HL29" s="100"/>
      <c r="HM29" s="100"/>
      <c r="HN29" s="100"/>
      <c r="HO29" s="100"/>
      <c r="HP29" s="100"/>
      <c r="HQ29" s="100"/>
      <c r="HR29" s="100"/>
      <c r="HS29" s="100"/>
      <c r="HT29" s="100"/>
      <c r="HU29" s="100"/>
      <c r="HV29" s="100"/>
      <c r="HW29" s="100"/>
      <c r="HX29" s="100"/>
      <c r="HY29" s="100"/>
      <c r="HZ29" s="100"/>
      <c r="IA29" s="100"/>
      <c r="IB29" s="100"/>
      <c r="IC29" s="100"/>
      <c r="ID29" s="100"/>
      <c r="IE29" s="100"/>
      <c r="IF29" s="100"/>
      <c r="IG29" s="100"/>
      <c r="IH29" s="100"/>
      <c r="II29" s="100"/>
      <c r="IJ29" s="100"/>
      <c r="IK29" s="100"/>
      <c r="IL29" s="100"/>
      <c r="IM29" s="100"/>
      <c r="IN29" s="100"/>
      <c r="IO29" s="100"/>
      <c r="IP29" s="100"/>
      <c r="IQ29" s="100"/>
      <c r="IR29" s="100"/>
      <c r="IS29" s="100"/>
      <c r="IT29" s="100"/>
      <c r="IU29" s="100"/>
      <c r="IV29" s="100"/>
      <c r="IW29" s="100"/>
    </row>
    <row r="30" customFormat="false" ht="12.75" hidden="false" customHeight="false" outlineLevel="0" collapsed="false">
      <c r="A30" s="736"/>
      <c r="B30" s="1115" t="s">
        <v>733</v>
      </c>
      <c r="C30" s="100"/>
      <c r="D30" s="100" t="n">
        <f aca="false">SUM(CapAcc!D42:D49)</f>
        <v>-108.679569182411</v>
      </c>
      <c r="E30" s="100" t="n">
        <f aca="false">SUM(CapAcc!E42:E49)</f>
        <v>-152.734817642179</v>
      </c>
      <c r="F30" s="100" t="n">
        <f aca="false">SUM(CapAcc!F42:F49)</f>
        <v>-105.128721121608</v>
      </c>
      <c r="G30" s="100" t="n">
        <f aca="false">SUM(CapAcc!G42:G49)</f>
        <v>-76.3355029403887</v>
      </c>
      <c r="H30" s="100" t="n">
        <f aca="false">SUM(CapAcc!H42:H49)</f>
        <v>-75.9038300506478</v>
      </c>
      <c r="I30" s="100" t="n">
        <f aca="false">SUM(CapAcc!I42:I49)</f>
        <v>-54.156767335274</v>
      </c>
      <c r="J30" s="100" t="n">
        <f aca="false">SUM(CapAcc!J42:J49)</f>
        <v>-32.4610686236592</v>
      </c>
      <c r="K30" s="100" t="n">
        <f aca="false">SUM(CapAcc!K42:K49)</f>
        <v>-31.9428610266844</v>
      </c>
      <c r="L30" s="100" t="n">
        <f aca="false">SUM(CapAcc!L42:L49)</f>
        <v>-31.4057022698149</v>
      </c>
      <c r="M30" s="100" t="n">
        <f aca="false">SUM(CapAcc!M42:M49)</f>
        <v>-30.8189033657829</v>
      </c>
      <c r="N30" s="100" t="n">
        <f aca="false">SUM(CapAcc!N42:N49)</f>
        <v>-29.8700820379773</v>
      </c>
      <c r="O30" s="100" t="n">
        <f aca="false">SUM(CapAcc!O42:O49)</f>
        <v>-29.1175759257156</v>
      </c>
      <c r="P30" s="100" t="n">
        <f aca="false">SUM(CapAcc!P42:P49)</f>
        <v>-28.3203552463734</v>
      </c>
      <c r="Q30" s="100" t="n">
        <f aca="false">SUM(CapAcc!Q42:Q49)</f>
        <v>-27.4524631616038</v>
      </c>
      <c r="R30" s="100" t="n">
        <f aca="false">SUM(CapAcc!R42:R49)</f>
        <v>-26.5188479135213</v>
      </c>
      <c r="S30" s="100" t="n">
        <f aca="false">SUM(CapAcc!S42:S49)</f>
        <v>-25.4800285079869</v>
      </c>
      <c r="T30" s="100" t="n">
        <f aca="false">SUM(CapAcc!T42:T49)</f>
        <v>-25.1631915350922</v>
      </c>
      <c r="U30" s="100" t="n">
        <f aca="false">SUM(CapAcc!U42:U49)</f>
        <v>-37.4284146774525</v>
      </c>
      <c r="V30" s="100" t="n">
        <f aca="false">SUM(CapAcc!V42:V49)</f>
        <v>-37.4284146774525</v>
      </c>
      <c r="W30" s="100" t="n">
        <f aca="false">SUM(CapAcc!W42:W49)</f>
        <v>-39.4034146774524</v>
      </c>
      <c r="X30" s="100" t="n">
        <f aca="false">SUM(CapAcc!X42:X49)</f>
        <v>0</v>
      </c>
      <c r="Y30" s="100" t="n">
        <f aca="false">SUM(CapAcc!Y42:Y49)</f>
        <v>0</v>
      </c>
      <c r="Z30" s="100" t="n">
        <f aca="false">SUM(CapAcc!Z42:Z49)</f>
        <v>0</v>
      </c>
      <c r="AA30" s="100" t="n">
        <f aca="false">SUM(CapAcc!AA42:AA49)</f>
        <v>0</v>
      </c>
      <c r="AB30" s="100" t="n">
        <f aca="false">SUM(CapAcc!AB42:AB49)</f>
        <v>0</v>
      </c>
      <c r="AC30" s="100" t="n">
        <f aca="false">SUM(CapAcc!AC42:AC49)</f>
        <v>0</v>
      </c>
      <c r="AD30" s="100" t="n">
        <f aca="false">SUM(CapAcc!AD42:AD49)</f>
        <v>0</v>
      </c>
      <c r="AE30" s="100" t="n">
        <f aca="false">SUM(CapAcc!AE42:AE49)</f>
        <v>0</v>
      </c>
      <c r="AF30" s="100" t="n">
        <f aca="false">SUM(CapAcc!AF42:AF49)</f>
        <v>0</v>
      </c>
      <c r="AG30" s="100" t="n">
        <f aca="false">SUM(CapAcc!AG42:AG49)</f>
        <v>0</v>
      </c>
      <c r="AH30" s="1088" t="n">
        <f aca="false">SUM(CapAcc!AH42:AH49)</f>
        <v>0</v>
      </c>
      <c r="AI30" s="100"/>
      <c r="AJ30" s="100"/>
      <c r="AK30" s="100"/>
      <c r="AL30" s="100"/>
      <c r="AM30" s="100"/>
      <c r="AN30" s="100"/>
      <c r="AO30" s="100"/>
      <c r="AP30" s="100"/>
      <c r="AQ30" s="100"/>
      <c r="AR30" s="100"/>
      <c r="AS30" s="100"/>
      <c r="AT30" s="100"/>
      <c r="AU30" s="100"/>
      <c r="AV30" s="100"/>
      <c r="AW30" s="100"/>
      <c r="AX30" s="100"/>
      <c r="AY30" s="100"/>
      <c r="AZ30" s="100"/>
      <c r="BA30" s="100"/>
      <c r="BB30" s="100"/>
      <c r="BC30" s="100"/>
      <c r="BD30" s="100"/>
      <c r="BE30" s="100"/>
      <c r="BF30" s="100"/>
      <c r="BG30" s="100"/>
      <c r="BH30" s="100"/>
      <c r="BI30" s="100"/>
      <c r="BJ30" s="100"/>
      <c r="BK30" s="100"/>
      <c r="BL30" s="100"/>
      <c r="BM30" s="100"/>
      <c r="BN30" s="100"/>
      <c r="BO30" s="100"/>
      <c r="BP30" s="100"/>
      <c r="BQ30" s="100"/>
      <c r="BR30" s="100"/>
      <c r="BS30" s="100"/>
      <c r="BT30" s="100"/>
      <c r="BU30" s="100"/>
      <c r="BV30" s="100"/>
      <c r="BW30" s="100"/>
      <c r="BX30" s="100"/>
      <c r="BY30" s="100"/>
      <c r="BZ30" s="100"/>
      <c r="CA30" s="100"/>
      <c r="CB30" s="100"/>
      <c r="CC30" s="100"/>
      <c r="CD30" s="100"/>
      <c r="CE30" s="100"/>
      <c r="CF30" s="100"/>
      <c r="CG30" s="100"/>
      <c r="CH30" s="100"/>
      <c r="CI30" s="100"/>
      <c r="CJ30" s="100"/>
      <c r="CK30" s="100"/>
      <c r="CL30" s="100"/>
      <c r="CM30" s="100"/>
      <c r="CN30" s="100"/>
      <c r="CO30" s="100"/>
      <c r="CP30" s="100"/>
      <c r="CQ30" s="100"/>
      <c r="CR30" s="100"/>
      <c r="CS30" s="100"/>
      <c r="CT30" s="100"/>
      <c r="CU30" s="100"/>
      <c r="CV30" s="100"/>
      <c r="CW30" s="100"/>
      <c r="CX30" s="100"/>
      <c r="CY30" s="100"/>
      <c r="CZ30" s="100"/>
      <c r="DA30" s="100"/>
      <c r="DB30" s="100"/>
      <c r="DC30" s="100"/>
      <c r="DD30" s="100"/>
      <c r="DE30" s="100"/>
      <c r="DF30" s="100"/>
      <c r="DG30" s="100"/>
      <c r="DH30" s="100"/>
      <c r="DI30" s="100"/>
      <c r="DJ30" s="100"/>
      <c r="DK30" s="100"/>
      <c r="DL30" s="100"/>
      <c r="DM30" s="100"/>
      <c r="DN30" s="100"/>
      <c r="DO30" s="100"/>
      <c r="DP30" s="100"/>
      <c r="DQ30" s="100"/>
      <c r="DR30" s="100"/>
      <c r="DS30" s="100"/>
      <c r="DT30" s="100"/>
      <c r="DU30" s="100"/>
      <c r="DV30" s="100"/>
      <c r="DW30" s="100"/>
      <c r="DX30" s="100"/>
      <c r="DY30" s="100"/>
      <c r="DZ30" s="100"/>
      <c r="EA30" s="100"/>
      <c r="EB30" s="100"/>
      <c r="EC30" s="100"/>
      <c r="ED30" s="100"/>
      <c r="EE30" s="100"/>
      <c r="EF30" s="100"/>
      <c r="EG30" s="100"/>
      <c r="EH30" s="100"/>
      <c r="EI30" s="100"/>
      <c r="EJ30" s="100"/>
      <c r="EK30" s="100"/>
      <c r="EL30" s="100"/>
      <c r="EM30" s="100"/>
      <c r="EN30" s="100"/>
      <c r="EO30" s="100"/>
      <c r="EP30" s="100"/>
      <c r="EQ30" s="100"/>
      <c r="ER30" s="100"/>
      <c r="ES30" s="100"/>
      <c r="ET30" s="100"/>
      <c r="EU30" s="100"/>
      <c r="EV30" s="100"/>
      <c r="EW30" s="100"/>
      <c r="EX30" s="100"/>
      <c r="EY30" s="100"/>
      <c r="EZ30" s="100"/>
      <c r="FA30" s="100"/>
      <c r="FB30" s="100"/>
      <c r="FC30" s="100"/>
      <c r="FD30" s="100"/>
      <c r="FE30" s="100"/>
      <c r="FF30" s="100"/>
      <c r="FG30" s="100"/>
      <c r="FH30" s="100"/>
      <c r="FI30" s="100"/>
      <c r="FJ30" s="100"/>
      <c r="FK30" s="100"/>
      <c r="FL30" s="100"/>
      <c r="FM30" s="100"/>
      <c r="FN30" s="100"/>
      <c r="FO30" s="100"/>
      <c r="FP30" s="100"/>
      <c r="FQ30" s="100"/>
      <c r="FR30" s="100"/>
      <c r="FS30" s="100"/>
      <c r="FT30" s="100"/>
      <c r="FU30" s="100"/>
      <c r="FV30" s="100"/>
      <c r="FW30" s="100"/>
      <c r="FX30" s="100"/>
      <c r="FY30" s="100"/>
      <c r="FZ30" s="100"/>
      <c r="GA30" s="100"/>
      <c r="GB30" s="100"/>
      <c r="GC30" s="100"/>
      <c r="GD30" s="100"/>
      <c r="GE30" s="100"/>
      <c r="GF30" s="100"/>
      <c r="GG30" s="100"/>
      <c r="GH30" s="100"/>
      <c r="GI30" s="100"/>
      <c r="GJ30" s="100"/>
      <c r="GK30" s="100"/>
      <c r="GL30" s="100"/>
      <c r="GM30" s="100"/>
      <c r="GN30" s="100"/>
      <c r="GO30" s="100"/>
      <c r="GP30" s="100"/>
      <c r="GQ30" s="100"/>
      <c r="GR30" s="100"/>
      <c r="GS30" s="100"/>
      <c r="GT30" s="100"/>
      <c r="GU30" s="100"/>
      <c r="GV30" s="100"/>
      <c r="GW30" s="100"/>
      <c r="GX30" s="100"/>
      <c r="GY30" s="100"/>
      <c r="GZ30" s="100"/>
      <c r="HA30" s="100"/>
      <c r="HB30" s="100"/>
      <c r="HC30" s="100"/>
      <c r="HD30" s="100"/>
      <c r="HE30" s="100"/>
      <c r="HF30" s="100"/>
      <c r="HG30" s="100"/>
      <c r="HH30" s="100"/>
      <c r="HI30" s="100"/>
      <c r="HJ30" s="100"/>
      <c r="HK30" s="100"/>
      <c r="HL30" s="100"/>
      <c r="HM30" s="100"/>
      <c r="HN30" s="100"/>
      <c r="HO30" s="100"/>
      <c r="HP30" s="100"/>
      <c r="HQ30" s="100"/>
      <c r="HR30" s="100"/>
      <c r="HS30" s="100"/>
      <c r="HT30" s="100"/>
      <c r="HU30" s="100"/>
      <c r="HV30" s="100"/>
      <c r="HW30" s="100"/>
      <c r="HX30" s="100"/>
      <c r="HY30" s="100"/>
      <c r="HZ30" s="100"/>
      <c r="IA30" s="100"/>
      <c r="IB30" s="100"/>
      <c r="IC30" s="100"/>
      <c r="ID30" s="100"/>
      <c r="IE30" s="100"/>
      <c r="IF30" s="100"/>
      <c r="IG30" s="100"/>
      <c r="IH30" s="100"/>
      <c r="II30" s="100"/>
      <c r="IJ30" s="100"/>
      <c r="IK30" s="100"/>
      <c r="IL30" s="100"/>
      <c r="IM30" s="100"/>
      <c r="IN30" s="100"/>
      <c r="IO30" s="100"/>
      <c r="IP30" s="100"/>
      <c r="IQ30" s="100"/>
      <c r="IR30" s="100"/>
      <c r="IS30" s="100"/>
      <c r="IT30" s="100"/>
      <c r="IU30" s="100"/>
      <c r="IV30" s="100"/>
      <c r="IW30" s="100"/>
    </row>
    <row r="31" customFormat="false" ht="12.75" hidden="false" customHeight="false" outlineLevel="0" collapsed="false">
      <c r="A31" s="736"/>
      <c r="B31" s="1122" t="s">
        <v>701</v>
      </c>
      <c r="C31" s="313"/>
      <c r="D31" s="313" t="n">
        <f aca="false">SUM(D25:D30)</f>
        <v>193.31813945145</v>
      </c>
      <c r="E31" s="313" t="n">
        <f aca="false">SUM(E25:E30)</f>
        <v>77.6229440874407</v>
      </c>
      <c r="F31" s="313" t="n">
        <f aca="false">SUM(F25:F30)</f>
        <v>9.53384524400181</v>
      </c>
      <c r="G31" s="313" t="n">
        <f aca="false">SUM(G25:G30)</f>
        <v>-29.7620354182175</v>
      </c>
      <c r="H31" s="313" t="n">
        <f aca="false">SUM(H25:H30)</f>
        <v>-68.626243190696</v>
      </c>
      <c r="I31" s="313" t="n">
        <f aca="false">SUM(I25:I30)</f>
        <v>-85.7433882478007</v>
      </c>
      <c r="J31" s="313" t="n">
        <f aca="false">SUM(J25:J30)</f>
        <v>-81.1648345932906</v>
      </c>
      <c r="K31" s="313" t="n">
        <f aca="false">SUM(K25:K30)</f>
        <v>-76.0680733418057</v>
      </c>
      <c r="L31" s="313" t="n">
        <f aca="false">SUM(L25:L30)</f>
        <v>-70.4341533334513</v>
      </c>
      <c r="M31" s="313" t="n">
        <f aca="false">SUM(M25:M30)</f>
        <v>-64.213434421065</v>
      </c>
      <c r="N31" s="313" t="n">
        <f aca="false">SUM(N25:N30)</f>
        <v>-57.0438941808729</v>
      </c>
      <c r="O31" s="313" t="n">
        <f aca="false">SUM(O25:O30)</f>
        <v>-49.1218478284192</v>
      </c>
      <c r="P31" s="313" t="n">
        <f aca="false">SUM(P25:P30)</f>
        <v>-40.4025807966233</v>
      </c>
      <c r="Q31" s="313" t="n">
        <f aca="false">SUM(Q25:Q30)</f>
        <v>-30.8154216800578</v>
      </c>
      <c r="R31" s="313" t="n">
        <f aca="false">SUM(R25:R30)</f>
        <v>-20.2946473154098</v>
      </c>
      <c r="S31" s="313" t="n">
        <f aca="false">SUM(S25:S30)</f>
        <v>-8.73505354522748</v>
      </c>
      <c r="T31" s="313" t="n">
        <f aca="false">SUM(T25:T30)</f>
        <v>3.1413771978496</v>
      </c>
      <c r="U31" s="313" t="n">
        <f aca="false">SUM(U25:U30)</f>
        <v>2.75258479856645</v>
      </c>
      <c r="V31" s="313" t="n">
        <f aca="false">SUM(V25:V30)</f>
        <v>2.36379239928329</v>
      </c>
      <c r="W31" s="313" t="n">
        <f aca="false">SUM(W25:W30)</f>
        <v>1.4210854715202E-013</v>
      </c>
      <c r="X31" s="313" t="n">
        <f aca="false">SUM(X25:X30)</f>
        <v>1.4210854715202E-013</v>
      </c>
      <c r="Y31" s="313" t="n">
        <f aca="false">SUM(Y25:Y30)</f>
        <v>1.4210854715202E-013</v>
      </c>
      <c r="Z31" s="313" t="n">
        <f aca="false">SUM(Z25:Z30)</f>
        <v>1.4210854715202E-013</v>
      </c>
      <c r="AA31" s="313" t="n">
        <f aca="false">SUM(AA25:AA30)</f>
        <v>1.4210854715202E-013</v>
      </c>
      <c r="AB31" s="313" t="n">
        <f aca="false">SUM(AB25:AB30)</f>
        <v>1.4210854715202E-013</v>
      </c>
      <c r="AC31" s="313" t="n">
        <f aca="false">SUM(AC25:AC30)</f>
        <v>1.4210854715202E-013</v>
      </c>
      <c r="AD31" s="313" t="n">
        <f aca="false">SUM(AD25:AD30)</f>
        <v>1.4210854715202E-013</v>
      </c>
      <c r="AE31" s="313" t="n">
        <f aca="false">SUM(AE25:AE30)</f>
        <v>1.4210854715202E-013</v>
      </c>
      <c r="AF31" s="313" t="n">
        <f aca="false">SUM(AF25:AF30)</f>
        <v>1.4210854715202E-013</v>
      </c>
      <c r="AG31" s="313" t="n">
        <f aca="false">SUM(AG25:AG30)</f>
        <v>1.4210854715202E-013</v>
      </c>
      <c r="AH31" s="1123" t="n">
        <f aca="false">SUM(AH25:AH30)</f>
        <v>1.4210854715202E-013</v>
      </c>
      <c r="AI31" s="313"/>
      <c r="AJ31" s="313"/>
      <c r="AK31" s="313"/>
      <c r="AL31" s="313"/>
      <c r="AM31" s="313"/>
      <c r="AN31" s="313"/>
      <c r="AO31" s="313"/>
      <c r="AP31" s="313"/>
      <c r="AQ31" s="313"/>
      <c r="AR31" s="313"/>
      <c r="AS31" s="313"/>
      <c r="AT31" s="313"/>
      <c r="AU31" s="313"/>
      <c r="AV31" s="313"/>
      <c r="AW31" s="313"/>
      <c r="AX31" s="313"/>
      <c r="AY31" s="313"/>
      <c r="AZ31" s="313"/>
      <c r="BA31" s="313"/>
      <c r="BB31" s="313"/>
      <c r="BC31" s="313"/>
      <c r="BD31" s="313"/>
      <c r="BE31" s="313"/>
      <c r="BF31" s="313"/>
      <c r="BG31" s="313"/>
      <c r="BH31" s="313"/>
      <c r="BI31" s="313"/>
      <c r="BJ31" s="313"/>
      <c r="BK31" s="313"/>
      <c r="BL31" s="313"/>
      <c r="BM31" s="313"/>
      <c r="BN31" s="313"/>
      <c r="BO31" s="313"/>
      <c r="BP31" s="313"/>
      <c r="BQ31" s="313"/>
      <c r="BR31" s="313"/>
      <c r="BS31" s="313"/>
      <c r="BT31" s="313"/>
      <c r="BU31" s="313"/>
      <c r="BV31" s="313"/>
      <c r="BW31" s="313"/>
      <c r="BX31" s="313"/>
      <c r="BY31" s="313"/>
      <c r="BZ31" s="313"/>
      <c r="CA31" s="313"/>
      <c r="CB31" s="313"/>
      <c r="CC31" s="313"/>
      <c r="CD31" s="313"/>
      <c r="CE31" s="313"/>
      <c r="CF31" s="313"/>
      <c r="CG31" s="313"/>
      <c r="CH31" s="313"/>
      <c r="CI31" s="313"/>
      <c r="CJ31" s="313"/>
      <c r="CK31" s="313"/>
      <c r="CL31" s="313"/>
      <c r="CM31" s="313"/>
      <c r="CN31" s="313"/>
      <c r="CO31" s="313"/>
      <c r="CP31" s="313"/>
      <c r="CQ31" s="313"/>
      <c r="CR31" s="313"/>
      <c r="CS31" s="313"/>
      <c r="CT31" s="313"/>
      <c r="CU31" s="313"/>
      <c r="CV31" s="313"/>
      <c r="CW31" s="313"/>
      <c r="CX31" s="313"/>
      <c r="CY31" s="313"/>
      <c r="CZ31" s="313"/>
      <c r="DA31" s="313"/>
      <c r="DB31" s="313"/>
      <c r="DC31" s="313"/>
      <c r="DD31" s="313"/>
      <c r="DE31" s="313"/>
      <c r="DF31" s="313"/>
      <c r="DG31" s="313"/>
      <c r="DH31" s="313"/>
      <c r="DI31" s="313"/>
      <c r="DJ31" s="313"/>
      <c r="DK31" s="313"/>
      <c r="DL31" s="313"/>
      <c r="DM31" s="313"/>
      <c r="DN31" s="313"/>
      <c r="DO31" s="313"/>
      <c r="DP31" s="313"/>
      <c r="DQ31" s="313"/>
      <c r="DR31" s="313"/>
      <c r="DS31" s="313"/>
      <c r="DT31" s="313"/>
      <c r="DU31" s="313"/>
      <c r="DV31" s="313"/>
      <c r="DW31" s="313"/>
      <c r="DX31" s="313"/>
      <c r="DY31" s="313"/>
      <c r="DZ31" s="313"/>
      <c r="EA31" s="313"/>
      <c r="EB31" s="313"/>
      <c r="EC31" s="313"/>
      <c r="ED31" s="313"/>
      <c r="EE31" s="313"/>
      <c r="EF31" s="313"/>
      <c r="EG31" s="313"/>
      <c r="EH31" s="313"/>
      <c r="EI31" s="313"/>
      <c r="EJ31" s="313"/>
      <c r="EK31" s="313"/>
      <c r="EL31" s="313"/>
      <c r="EM31" s="313"/>
      <c r="EN31" s="313"/>
      <c r="EO31" s="313"/>
      <c r="EP31" s="313"/>
      <c r="EQ31" s="313"/>
      <c r="ER31" s="313"/>
      <c r="ES31" s="313"/>
      <c r="ET31" s="313"/>
      <c r="EU31" s="313"/>
      <c r="EV31" s="313"/>
      <c r="EW31" s="313"/>
      <c r="EX31" s="313"/>
      <c r="EY31" s="313"/>
      <c r="EZ31" s="313"/>
      <c r="FA31" s="313"/>
      <c r="FB31" s="313"/>
      <c r="FC31" s="313"/>
      <c r="FD31" s="313"/>
      <c r="FE31" s="313"/>
      <c r="FF31" s="313"/>
      <c r="FG31" s="313"/>
      <c r="FH31" s="313"/>
      <c r="FI31" s="313"/>
      <c r="FJ31" s="313"/>
      <c r="FK31" s="313"/>
      <c r="FL31" s="313"/>
      <c r="FM31" s="313"/>
      <c r="FN31" s="313"/>
      <c r="FO31" s="313"/>
      <c r="FP31" s="313"/>
      <c r="FQ31" s="313"/>
      <c r="FR31" s="313"/>
      <c r="FS31" s="313"/>
      <c r="FT31" s="313"/>
      <c r="FU31" s="313"/>
      <c r="FV31" s="313"/>
      <c r="FW31" s="313"/>
      <c r="FX31" s="313"/>
      <c r="FY31" s="313"/>
      <c r="FZ31" s="313"/>
      <c r="GA31" s="313"/>
      <c r="GB31" s="313"/>
      <c r="GC31" s="313"/>
      <c r="GD31" s="313"/>
      <c r="GE31" s="313"/>
      <c r="GF31" s="313"/>
      <c r="GG31" s="313"/>
      <c r="GH31" s="313"/>
      <c r="GI31" s="313"/>
      <c r="GJ31" s="313"/>
      <c r="GK31" s="313"/>
      <c r="GL31" s="313"/>
      <c r="GM31" s="313"/>
      <c r="GN31" s="313"/>
      <c r="GO31" s="313"/>
      <c r="GP31" s="313"/>
      <c r="GQ31" s="313"/>
      <c r="GR31" s="313"/>
      <c r="GS31" s="313"/>
      <c r="GT31" s="313"/>
      <c r="GU31" s="313"/>
      <c r="GV31" s="313"/>
      <c r="GW31" s="313"/>
      <c r="GX31" s="313"/>
      <c r="GY31" s="313"/>
      <c r="GZ31" s="313"/>
      <c r="HA31" s="313"/>
      <c r="HB31" s="313"/>
      <c r="HC31" s="313"/>
      <c r="HD31" s="313"/>
      <c r="HE31" s="313"/>
      <c r="HF31" s="313"/>
      <c r="HG31" s="313"/>
      <c r="HH31" s="313"/>
      <c r="HI31" s="313"/>
      <c r="HJ31" s="313"/>
      <c r="HK31" s="313"/>
      <c r="HL31" s="313"/>
      <c r="HM31" s="313"/>
      <c r="HN31" s="313"/>
      <c r="HO31" s="313"/>
      <c r="HP31" s="313"/>
      <c r="HQ31" s="313"/>
      <c r="HR31" s="313"/>
      <c r="HS31" s="313"/>
      <c r="HT31" s="313"/>
      <c r="HU31" s="313"/>
      <c r="HV31" s="313"/>
      <c r="HW31" s="313"/>
      <c r="HX31" s="313"/>
      <c r="HY31" s="313"/>
      <c r="HZ31" s="313"/>
      <c r="IA31" s="313"/>
      <c r="IB31" s="313"/>
      <c r="IC31" s="313"/>
      <c r="ID31" s="313"/>
      <c r="IE31" s="313"/>
      <c r="IF31" s="313"/>
      <c r="IG31" s="313"/>
      <c r="IH31" s="313"/>
      <c r="II31" s="313"/>
      <c r="IJ31" s="313"/>
      <c r="IK31" s="313"/>
      <c r="IL31" s="313"/>
      <c r="IM31" s="313"/>
      <c r="IN31" s="313"/>
      <c r="IO31" s="313"/>
      <c r="IP31" s="313"/>
      <c r="IQ31" s="313"/>
      <c r="IR31" s="313"/>
      <c r="IS31" s="313"/>
      <c r="IT31" s="313"/>
      <c r="IU31" s="313"/>
      <c r="IV31" s="313"/>
      <c r="IW31" s="313"/>
    </row>
    <row r="32" customFormat="false" ht="12.75" hidden="false" customHeight="false" outlineLevel="0" collapsed="false">
      <c r="A32" s="736"/>
      <c r="B32" s="1115" t="s">
        <v>734</v>
      </c>
      <c r="C32" s="100"/>
      <c r="D32" s="100" t="n">
        <f aca="false">D76+(D$60-SUM(D$75:D$76))*D57</f>
        <v>122.503807334591</v>
      </c>
      <c r="E32" s="100" t="n">
        <f aca="false">E76+(E$60-SUM(E$75:E$76))*E57</f>
        <v>118.93121668321</v>
      </c>
      <c r="F32" s="100" t="n">
        <f aca="false">F76+(F$60-SUM(F$75:F$76))*F57</f>
        <v>115.02968526409</v>
      </c>
      <c r="G32" s="100" t="n">
        <f aca="false">G76+(G$60-SUM(G$75:G$76))*G57</f>
        <v>110.701229115449</v>
      </c>
      <c r="H32" s="100" t="n">
        <f aca="false">H76+(H$60-SUM(H$75:H$76))*H57</f>
        <v>105.941100077067</v>
      </c>
      <c r="I32" s="100" t="n">
        <f aca="false">I76+(I$60-SUM(I$75:I$76))*I57</f>
        <v>100.708628412085</v>
      </c>
      <c r="J32" s="100" t="n">
        <f aca="false">J76+(J$60-SUM(J$75:J$76))*J57</f>
        <v>95.0551781242627</v>
      </c>
      <c r="K32" s="100" t="n">
        <f aca="false">K76+(K$60-SUM(K$75:K$76))*K57</f>
        <v>88.8835202394656</v>
      </c>
      <c r="L32" s="100" t="n">
        <f aca="false">L76+(L$60-SUM(L$75:L$76))*L57</f>
        <v>82.1747035977989</v>
      </c>
      <c r="M32" s="100" t="n">
        <f aca="false">M76+(M$60-SUM(M$75:M$76))*M57</f>
        <v>74.8790880521003</v>
      </c>
      <c r="N32" s="100" t="n">
        <f aca="false">N76+(N$60-SUM(N$75:N$76))*N57</f>
        <v>66.634651178596</v>
      </c>
      <c r="O32" s="100" t="n">
        <f aca="false">O76+(O$60-SUM(O$75:O$76))*O57</f>
        <v>57.6377081928301</v>
      </c>
      <c r="P32" s="100" t="n">
        <f aca="false">P76+(P$60-SUM(P$75:P$76))*P57</f>
        <v>47.8435445277219</v>
      </c>
      <c r="Q32" s="100" t="n">
        <f aca="false">Q76+(Q$60-SUM(Q$75:Q$76))*Q57</f>
        <v>37.1814887778442</v>
      </c>
      <c r="R32" s="100" t="n">
        <f aca="false">R76+(R$60-SUM(R$75:R$76))*R57</f>
        <v>25.585817779884</v>
      </c>
      <c r="S32" s="100" t="n">
        <f aca="false">S76+(S$60-SUM(S$75:S$76))*S57</f>
        <v>12.9513273763894</v>
      </c>
      <c r="T32" s="100" t="n">
        <f aca="false">T76+(T$60-SUM(T$75:T$76))*T57</f>
        <v>0</v>
      </c>
      <c r="U32" s="100" t="n">
        <f aca="false">U76+(U$60-SUM(U$75:U$76))*U57</f>
        <v>0</v>
      </c>
      <c r="V32" s="100" t="n">
        <f aca="false">V76+(V$60-SUM(V$75:V$76))*V57</f>
        <v>0</v>
      </c>
      <c r="W32" s="100" t="n">
        <f aca="false">W76+(W$60-SUM(W$75:W$76))*W57</f>
        <v>0</v>
      </c>
      <c r="X32" s="100" t="n">
        <f aca="false">X76+(X$60-SUM(X$75:X$76))*X57</f>
        <v>0</v>
      </c>
      <c r="Y32" s="100" t="n">
        <f aca="false">Y76+(Y$60-SUM(Y$75:Y$76))*Y57</f>
        <v>0</v>
      </c>
      <c r="Z32" s="100" t="n">
        <f aca="false">Z76+(Z$60-SUM(Z$75:Z$76))*Z57</f>
        <v>0</v>
      </c>
      <c r="AA32" s="100" t="n">
        <f aca="false">AA76+(AA$60-SUM(AA$75:AA$76))*AA57</f>
        <v>0</v>
      </c>
      <c r="AB32" s="100" t="n">
        <f aca="false">AB76+(AB$60-SUM(AB$75:AB$76))*AB57</f>
        <v>0</v>
      </c>
      <c r="AC32" s="100" t="n">
        <f aca="false">AC76+(AC$60-SUM(AC$75:AC$76))*AC57</f>
        <v>0</v>
      </c>
      <c r="AD32" s="100" t="n">
        <f aca="false">AD76+(AD$60-SUM(AD$75:AD$76))*AD57</f>
        <v>0</v>
      </c>
      <c r="AE32" s="100" t="n">
        <f aca="false">AE76+(AE$60-SUM(AE$75:AE$76))*AE57</f>
        <v>0</v>
      </c>
      <c r="AF32" s="100" t="n">
        <f aca="false">AF76+(AF$60-SUM(AF$75:AF$76))*AF57</f>
        <v>0</v>
      </c>
      <c r="AG32" s="100" t="n">
        <f aca="false">AG76+(AG$60-SUM(AG$75:AG$76))*AG57</f>
        <v>0</v>
      </c>
      <c r="AH32" s="100" t="n">
        <f aca="false">AH76+(AH$60-SUM(AH$75:AH$76))*AH57</f>
        <v>0</v>
      </c>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0"/>
      <c r="BM32" s="100"/>
      <c r="BN32" s="100"/>
      <c r="BO32" s="100"/>
      <c r="BP32" s="100"/>
      <c r="BQ32" s="100"/>
      <c r="BR32" s="100"/>
      <c r="BS32" s="100"/>
      <c r="BT32" s="100"/>
      <c r="BU32" s="100"/>
      <c r="BV32" s="100"/>
      <c r="BW32" s="100"/>
      <c r="BX32" s="100"/>
      <c r="BY32" s="100"/>
      <c r="BZ32" s="100"/>
      <c r="CA32" s="100"/>
      <c r="CB32" s="100"/>
      <c r="CC32" s="100"/>
      <c r="CD32" s="100"/>
      <c r="CE32" s="100"/>
      <c r="CF32" s="100"/>
      <c r="CG32" s="100"/>
      <c r="CH32" s="100"/>
      <c r="CI32" s="100"/>
      <c r="CJ32" s="100"/>
      <c r="CK32" s="100"/>
      <c r="CL32" s="100"/>
      <c r="CM32" s="100"/>
      <c r="CN32" s="100"/>
      <c r="CO32" s="100"/>
      <c r="CP32" s="100"/>
      <c r="CQ32" s="100"/>
      <c r="CR32" s="100"/>
      <c r="CS32" s="100"/>
      <c r="CT32" s="100"/>
      <c r="CU32" s="100"/>
      <c r="CV32" s="100"/>
      <c r="CW32" s="100"/>
      <c r="CX32" s="100"/>
      <c r="CY32" s="100"/>
      <c r="CZ32" s="100"/>
      <c r="DA32" s="100"/>
      <c r="DB32" s="100"/>
      <c r="DC32" s="100"/>
      <c r="DD32" s="100"/>
      <c r="DE32" s="100"/>
      <c r="DF32" s="100"/>
      <c r="DG32" s="100"/>
      <c r="DH32" s="100"/>
      <c r="DI32" s="100"/>
      <c r="DJ32" s="100"/>
      <c r="DK32" s="100"/>
      <c r="DL32" s="100"/>
      <c r="DM32" s="100"/>
      <c r="DN32" s="100"/>
      <c r="DO32" s="100"/>
      <c r="DP32" s="100"/>
      <c r="DQ32" s="100"/>
      <c r="DR32" s="100"/>
      <c r="DS32" s="100"/>
      <c r="DT32" s="100"/>
      <c r="DU32" s="100"/>
      <c r="DV32" s="100"/>
      <c r="DW32" s="100"/>
      <c r="DX32" s="100"/>
      <c r="DY32" s="100"/>
      <c r="DZ32" s="100"/>
      <c r="EA32" s="100"/>
      <c r="EB32" s="100"/>
      <c r="EC32" s="100"/>
      <c r="ED32" s="100"/>
      <c r="EE32" s="100"/>
      <c r="EF32" s="100"/>
      <c r="EG32" s="100"/>
      <c r="EH32" s="100"/>
      <c r="EI32" s="100"/>
      <c r="EJ32" s="100"/>
      <c r="EK32" s="100"/>
      <c r="EL32" s="100"/>
      <c r="EM32" s="100"/>
      <c r="EN32" s="100"/>
      <c r="EO32" s="100"/>
      <c r="EP32" s="100"/>
      <c r="EQ32" s="100"/>
      <c r="ER32" s="100"/>
      <c r="ES32" s="100"/>
      <c r="ET32" s="100"/>
      <c r="EU32" s="100"/>
      <c r="EV32" s="100"/>
      <c r="EW32" s="100"/>
      <c r="EX32" s="100"/>
      <c r="EY32" s="100"/>
      <c r="EZ32" s="100"/>
      <c r="FA32" s="100"/>
      <c r="FB32" s="100"/>
      <c r="FC32" s="100"/>
      <c r="FD32" s="100"/>
      <c r="FE32" s="100"/>
      <c r="FF32" s="100"/>
      <c r="FG32" s="100"/>
      <c r="FH32" s="100"/>
      <c r="FI32" s="100"/>
      <c r="FJ32" s="100"/>
      <c r="FK32" s="100"/>
      <c r="FL32" s="100"/>
      <c r="FM32" s="100"/>
      <c r="FN32" s="100"/>
      <c r="FO32" s="100"/>
      <c r="FP32" s="100"/>
      <c r="FQ32" s="100"/>
      <c r="FR32" s="100"/>
      <c r="FS32" s="100"/>
      <c r="FT32" s="100"/>
      <c r="FU32" s="100"/>
      <c r="FV32" s="100"/>
      <c r="FW32" s="100"/>
      <c r="FX32" s="100"/>
      <c r="FY32" s="100"/>
      <c r="FZ32" s="100"/>
      <c r="GA32" s="100"/>
      <c r="GB32" s="100"/>
      <c r="GC32" s="100"/>
      <c r="GD32" s="100"/>
      <c r="GE32" s="100"/>
      <c r="GF32" s="100"/>
      <c r="GG32" s="100"/>
      <c r="GH32" s="100"/>
      <c r="GI32" s="100"/>
      <c r="GJ32" s="100"/>
      <c r="GK32" s="100"/>
      <c r="GL32" s="100"/>
      <c r="GM32" s="100"/>
      <c r="GN32" s="100"/>
      <c r="GO32" s="100"/>
      <c r="GP32" s="100"/>
      <c r="GQ32" s="100"/>
      <c r="GR32" s="100"/>
      <c r="GS32" s="100"/>
      <c r="GT32" s="100"/>
      <c r="GU32" s="100"/>
      <c r="GV32" s="100"/>
      <c r="GW32" s="100"/>
      <c r="GX32" s="100"/>
      <c r="GY32" s="100"/>
      <c r="GZ32" s="100"/>
      <c r="HA32" s="100"/>
      <c r="HB32" s="100"/>
      <c r="HC32" s="100"/>
      <c r="HD32" s="100"/>
      <c r="HE32" s="100"/>
      <c r="HF32" s="100"/>
      <c r="HG32" s="100"/>
      <c r="HH32" s="100"/>
      <c r="HI32" s="100"/>
      <c r="HJ32" s="100"/>
      <c r="HK32" s="100"/>
      <c r="HL32" s="100"/>
      <c r="HM32" s="100"/>
      <c r="HN32" s="100"/>
      <c r="HO32" s="100"/>
      <c r="HP32" s="100"/>
      <c r="HQ32" s="100"/>
      <c r="HR32" s="100"/>
      <c r="HS32" s="100"/>
      <c r="HT32" s="100"/>
      <c r="HU32" s="100"/>
      <c r="HV32" s="100"/>
      <c r="HW32" s="100"/>
      <c r="HX32" s="100"/>
      <c r="HY32" s="100"/>
      <c r="HZ32" s="100"/>
      <c r="IA32" s="100"/>
      <c r="IB32" s="100"/>
      <c r="IC32" s="100"/>
      <c r="ID32" s="100"/>
      <c r="IE32" s="100"/>
      <c r="IF32" s="100"/>
      <c r="IG32" s="100"/>
      <c r="IH32" s="100"/>
      <c r="II32" s="100"/>
      <c r="IJ32" s="100"/>
      <c r="IK32" s="100"/>
      <c r="IL32" s="100"/>
      <c r="IM32" s="100"/>
      <c r="IN32" s="100"/>
      <c r="IO32" s="100"/>
      <c r="IP32" s="100"/>
      <c r="IQ32" s="100"/>
      <c r="IR32" s="100"/>
      <c r="IS32" s="100"/>
      <c r="IT32" s="100"/>
      <c r="IU32" s="100"/>
      <c r="IV32" s="100"/>
      <c r="IW32" s="100"/>
    </row>
    <row r="33" customFormat="false" ht="12.75" hidden="false" customHeight="false" outlineLevel="0" collapsed="false">
      <c r="A33" s="736"/>
      <c r="B33" s="1115"/>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c r="AT33" s="100"/>
      <c r="AU33" s="100"/>
      <c r="AV33" s="100"/>
      <c r="AW33" s="100"/>
      <c r="AX33" s="100"/>
      <c r="AY33" s="100"/>
      <c r="AZ33" s="100"/>
      <c r="BA33" s="100"/>
      <c r="BB33" s="100"/>
      <c r="BC33" s="100"/>
      <c r="BD33" s="100"/>
      <c r="BE33" s="100"/>
      <c r="BF33" s="100"/>
      <c r="BG33" s="100"/>
      <c r="BH33" s="100"/>
      <c r="BI33" s="100"/>
      <c r="BJ33" s="100"/>
      <c r="BK33" s="100"/>
      <c r="BL33" s="100"/>
      <c r="BM33" s="100"/>
      <c r="BN33" s="100"/>
      <c r="BO33" s="100"/>
      <c r="BP33" s="100"/>
      <c r="BQ33" s="100"/>
      <c r="BR33" s="100"/>
      <c r="BS33" s="100"/>
      <c r="BT33" s="100"/>
      <c r="BU33" s="100"/>
      <c r="BV33" s="100"/>
      <c r="BW33" s="100"/>
      <c r="BX33" s="100"/>
      <c r="BY33" s="100"/>
      <c r="BZ33" s="100"/>
      <c r="CA33" s="100"/>
      <c r="CB33" s="100"/>
      <c r="CC33" s="100"/>
      <c r="CD33" s="100"/>
      <c r="CE33" s="100"/>
      <c r="CF33" s="100"/>
      <c r="CG33" s="100"/>
      <c r="CH33" s="100"/>
      <c r="CI33" s="100"/>
      <c r="CJ33" s="100"/>
      <c r="CK33" s="100"/>
      <c r="CL33" s="100"/>
      <c r="CM33" s="100"/>
      <c r="CN33" s="100"/>
      <c r="CO33" s="100"/>
      <c r="CP33" s="100"/>
      <c r="CQ33" s="100"/>
      <c r="CR33" s="100"/>
      <c r="CS33" s="100"/>
      <c r="CT33" s="100"/>
      <c r="CU33" s="100"/>
      <c r="CV33" s="100"/>
      <c r="CW33" s="100"/>
      <c r="CX33" s="100"/>
      <c r="CY33" s="100"/>
      <c r="CZ33" s="100"/>
      <c r="DA33" s="100"/>
      <c r="DB33" s="100"/>
      <c r="DC33" s="100"/>
      <c r="DD33" s="100"/>
      <c r="DE33" s="100"/>
      <c r="DF33" s="100"/>
      <c r="DG33" s="100"/>
      <c r="DH33" s="100"/>
      <c r="DI33" s="100"/>
      <c r="DJ33" s="100"/>
      <c r="DK33" s="100"/>
      <c r="DL33" s="100"/>
      <c r="DM33" s="100"/>
      <c r="DN33" s="100"/>
      <c r="DO33" s="100"/>
      <c r="DP33" s="100"/>
      <c r="DQ33" s="100"/>
      <c r="DR33" s="100"/>
      <c r="DS33" s="100"/>
      <c r="DT33" s="100"/>
      <c r="DU33" s="100"/>
      <c r="DV33" s="100"/>
      <c r="DW33" s="100"/>
      <c r="DX33" s="100"/>
      <c r="DY33" s="100"/>
      <c r="DZ33" s="100"/>
      <c r="EA33" s="100"/>
      <c r="EB33" s="100"/>
      <c r="EC33" s="100"/>
      <c r="ED33" s="100"/>
      <c r="EE33" s="100"/>
      <c r="EF33" s="100"/>
      <c r="EG33" s="100"/>
      <c r="EH33" s="100"/>
      <c r="EI33" s="100"/>
      <c r="EJ33" s="100"/>
      <c r="EK33" s="100"/>
      <c r="EL33" s="100"/>
      <c r="EM33" s="100"/>
      <c r="EN33" s="100"/>
      <c r="EO33" s="100"/>
      <c r="EP33" s="100"/>
      <c r="EQ33" s="100"/>
      <c r="ER33" s="100"/>
      <c r="ES33" s="100"/>
      <c r="ET33" s="100"/>
      <c r="EU33" s="100"/>
      <c r="EV33" s="100"/>
      <c r="EW33" s="100"/>
      <c r="EX33" s="100"/>
      <c r="EY33" s="100"/>
      <c r="EZ33" s="100"/>
      <c r="FA33" s="100"/>
      <c r="FB33" s="100"/>
      <c r="FC33" s="100"/>
      <c r="FD33" s="100"/>
      <c r="FE33" s="100"/>
      <c r="FF33" s="100"/>
      <c r="FG33" s="100"/>
      <c r="FH33" s="100"/>
      <c r="FI33" s="100"/>
      <c r="FJ33" s="100"/>
      <c r="FK33" s="100"/>
      <c r="FL33" s="100"/>
      <c r="FM33" s="100"/>
      <c r="FN33" s="100"/>
      <c r="FO33" s="100"/>
      <c r="FP33" s="100"/>
      <c r="FQ33" s="100"/>
      <c r="FR33" s="100"/>
      <c r="FS33" s="100"/>
      <c r="FT33" s="100"/>
      <c r="FU33" s="100"/>
      <c r="FV33" s="100"/>
      <c r="FW33" s="100"/>
      <c r="FX33" s="100"/>
      <c r="FY33" s="100"/>
      <c r="FZ33" s="100"/>
      <c r="GA33" s="100"/>
      <c r="GB33" s="100"/>
      <c r="GC33" s="100"/>
      <c r="GD33" s="100"/>
      <c r="GE33" s="100"/>
      <c r="GF33" s="100"/>
      <c r="GG33" s="100"/>
      <c r="GH33" s="100"/>
      <c r="GI33" s="100"/>
      <c r="GJ33" s="100"/>
      <c r="GK33" s="100"/>
      <c r="GL33" s="100"/>
      <c r="GM33" s="100"/>
      <c r="GN33" s="100"/>
      <c r="GO33" s="100"/>
      <c r="GP33" s="100"/>
      <c r="GQ33" s="100"/>
      <c r="GR33" s="100"/>
      <c r="GS33" s="100"/>
      <c r="GT33" s="100"/>
      <c r="GU33" s="100"/>
      <c r="GV33" s="100"/>
      <c r="GW33" s="100"/>
      <c r="GX33" s="100"/>
      <c r="GY33" s="100"/>
      <c r="GZ33" s="100"/>
      <c r="HA33" s="100"/>
      <c r="HB33" s="100"/>
      <c r="HC33" s="100"/>
      <c r="HD33" s="100"/>
      <c r="HE33" s="100"/>
      <c r="HF33" s="100"/>
      <c r="HG33" s="100"/>
      <c r="HH33" s="100"/>
      <c r="HI33" s="100"/>
      <c r="HJ33" s="100"/>
      <c r="HK33" s="100"/>
      <c r="HL33" s="100"/>
      <c r="HM33" s="100"/>
      <c r="HN33" s="100"/>
      <c r="HO33" s="100"/>
      <c r="HP33" s="100"/>
      <c r="HQ33" s="100"/>
      <c r="HR33" s="100"/>
      <c r="HS33" s="100"/>
      <c r="HT33" s="100"/>
      <c r="HU33" s="100"/>
      <c r="HV33" s="100"/>
      <c r="HW33" s="100"/>
      <c r="HX33" s="100"/>
      <c r="HY33" s="100"/>
      <c r="HZ33" s="100"/>
      <c r="IA33" s="100"/>
      <c r="IB33" s="100"/>
      <c r="IC33" s="100"/>
      <c r="ID33" s="100"/>
      <c r="IE33" s="100"/>
      <c r="IF33" s="100"/>
      <c r="IG33" s="100"/>
      <c r="IH33" s="100"/>
      <c r="II33" s="100"/>
      <c r="IJ33" s="100"/>
      <c r="IK33" s="100"/>
      <c r="IL33" s="100"/>
      <c r="IM33" s="100"/>
      <c r="IN33" s="100"/>
      <c r="IO33" s="100"/>
      <c r="IP33" s="100"/>
      <c r="IQ33" s="100"/>
      <c r="IR33" s="100"/>
      <c r="IS33" s="100"/>
      <c r="IT33" s="100"/>
      <c r="IU33" s="100"/>
      <c r="IV33" s="100"/>
      <c r="IW33" s="100"/>
    </row>
    <row r="34" customFormat="false" ht="12.75" hidden="false" customHeight="false" outlineLevel="0" collapsed="false">
      <c r="A34" s="736"/>
      <c r="B34" s="1124" t="s">
        <v>735</v>
      </c>
      <c r="C34" s="1125"/>
      <c r="D34" s="1085" t="n">
        <f aca="false">SUM(D31:D32)</f>
        <v>315.821946786042</v>
      </c>
      <c r="E34" s="1085" t="n">
        <f aca="false">SUM(E31:E32)</f>
        <v>196.554160770651</v>
      </c>
      <c r="F34" s="1085" t="n">
        <f aca="false">SUM(F31:F32)</f>
        <v>124.563530508092</v>
      </c>
      <c r="G34" s="1085" t="n">
        <f aca="false">SUM(G31:G32)</f>
        <v>80.9391936972311</v>
      </c>
      <c r="H34" s="1085" t="n">
        <f aca="false">SUM(H31:H32)</f>
        <v>37.3148568863707</v>
      </c>
      <c r="I34" s="1085" t="n">
        <f aca="false">SUM(I31:I32)</f>
        <v>14.9652401642843</v>
      </c>
      <c r="J34" s="1085" t="n">
        <f aca="false">SUM(J31:J32)</f>
        <v>13.8903435309721</v>
      </c>
      <c r="K34" s="1085" t="n">
        <f aca="false">SUM(K31:K32)</f>
        <v>12.8154468976599</v>
      </c>
      <c r="L34" s="1085" t="n">
        <f aca="false">SUM(L31:L32)</f>
        <v>11.7405502643476</v>
      </c>
      <c r="M34" s="1085" t="n">
        <f aca="false">SUM(M31:M32)</f>
        <v>10.6656536310354</v>
      </c>
      <c r="N34" s="1085" t="n">
        <f aca="false">SUM(N31:N32)</f>
        <v>9.59075699772312</v>
      </c>
      <c r="O34" s="1085" t="n">
        <f aca="false">SUM(O31:O32)</f>
        <v>8.51586036441087</v>
      </c>
      <c r="P34" s="1085" t="n">
        <f aca="false">SUM(P31:P32)</f>
        <v>7.44096373109863</v>
      </c>
      <c r="Q34" s="1085" t="n">
        <f aca="false">SUM(Q31:Q32)</f>
        <v>6.36606709778638</v>
      </c>
      <c r="R34" s="1085" t="n">
        <f aca="false">SUM(R31:R32)</f>
        <v>5.29117046447415</v>
      </c>
      <c r="S34" s="1085" t="n">
        <f aca="false">SUM(S31:S32)</f>
        <v>4.21627383116189</v>
      </c>
      <c r="T34" s="1085" t="n">
        <f aca="false">SUM(T31:T32)</f>
        <v>3.1413771978496</v>
      </c>
      <c r="U34" s="1085" t="n">
        <f aca="false">SUM(U31:U32)</f>
        <v>2.75258479856645</v>
      </c>
      <c r="V34" s="1085" t="n">
        <f aca="false">SUM(V31:V32)</f>
        <v>2.36379239928329</v>
      </c>
      <c r="W34" s="1085" t="n">
        <f aca="false">SUM(W31:W32)</f>
        <v>1.4210854715202E-013</v>
      </c>
      <c r="X34" s="1085" t="n">
        <f aca="false">SUM(X31:X32)</f>
        <v>1.4210854715202E-013</v>
      </c>
      <c r="Y34" s="1085" t="n">
        <f aca="false">SUM(Y31:Y32)</f>
        <v>1.4210854715202E-013</v>
      </c>
      <c r="Z34" s="1085" t="n">
        <f aca="false">SUM(Z31:Z32)</f>
        <v>1.4210854715202E-013</v>
      </c>
      <c r="AA34" s="1085" t="n">
        <f aca="false">SUM(AA31:AA32)</f>
        <v>1.4210854715202E-013</v>
      </c>
      <c r="AB34" s="1085" t="n">
        <f aca="false">SUM(AB31:AB32)</f>
        <v>1.4210854715202E-013</v>
      </c>
      <c r="AC34" s="1085" t="n">
        <f aca="false">SUM(AC31:AC32)</f>
        <v>1.4210854715202E-013</v>
      </c>
      <c r="AD34" s="1085" t="n">
        <f aca="false">SUM(AD31:AD32)</f>
        <v>1.4210854715202E-013</v>
      </c>
      <c r="AE34" s="1085" t="n">
        <f aca="false">SUM(AE31:AE32)</f>
        <v>1.4210854715202E-013</v>
      </c>
      <c r="AF34" s="1085" t="n">
        <f aca="false">SUM(AF31:AF32)</f>
        <v>1.4210854715202E-013</v>
      </c>
      <c r="AG34" s="1085" t="n">
        <f aca="false">SUM(AG31:AG32)</f>
        <v>1.4210854715202E-013</v>
      </c>
      <c r="AH34" s="1086" t="n">
        <f aca="false">SUM(AH31:AH32)</f>
        <v>1.4210854715202E-013</v>
      </c>
      <c r="AI34" s="100"/>
      <c r="AJ34" s="100"/>
      <c r="AK34" s="100"/>
      <c r="AL34" s="100"/>
      <c r="AM34" s="100"/>
      <c r="AN34" s="100"/>
      <c r="AO34" s="100"/>
      <c r="AP34" s="100"/>
      <c r="AQ34" s="100"/>
      <c r="AR34" s="100"/>
      <c r="AS34" s="100"/>
      <c r="AT34" s="100"/>
      <c r="AU34" s="100"/>
      <c r="AV34" s="100"/>
      <c r="AW34" s="100"/>
      <c r="AX34" s="100"/>
      <c r="AY34" s="100"/>
      <c r="AZ34" s="100"/>
      <c r="BA34" s="100"/>
      <c r="BB34" s="100"/>
      <c r="BC34" s="100"/>
      <c r="BD34" s="100"/>
      <c r="BE34" s="100"/>
      <c r="BF34" s="100"/>
      <c r="BG34" s="100"/>
      <c r="BH34" s="100"/>
      <c r="BI34" s="100"/>
      <c r="BJ34" s="100"/>
      <c r="BK34" s="100"/>
      <c r="BL34" s="100"/>
      <c r="BM34" s="100"/>
      <c r="BN34" s="100"/>
      <c r="BO34" s="100"/>
      <c r="BP34" s="100"/>
      <c r="BQ34" s="100"/>
      <c r="BR34" s="100"/>
      <c r="BS34" s="100"/>
      <c r="BT34" s="100"/>
      <c r="BU34" s="100"/>
      <c r="BV34" s="100"/>
      <c r="BW34" s="100"/>
      <c r="BX34" s="100"/>
      <c r="BY34" s="100"/>
      <c r="BZ34" s="100"/>
      <c r="CA34" s="100"/>
      <c r="CB34" s="100"/>
      <c r="CC34" s="100"/>
      <c r="CD34" s="100"/>
      <c r="CE34" s="100"/>
      <c r="CF34" s="100"/>
      <c r="CG34" s="100"/>
      <c r="CH34" s="100"/>
      <c r="CI34" s="100"/>
      <c r="CJ34" s="100"/>
      <c r="CK34" s="100"/>
      <c r="CL34" s="100"/>
      <c r="CM34" s="100"/>
      <c r="CN34" s="100"/>
      <c r="CO34" s="100"/>
      <c r="CP34" s="100"/>
      <c r="CQ34" s="100"/>
      <c r="CR34" s="100"/>
      <c r="CS34" s="100"/>
      <c r="CT34" s="100"/>
      <c r="CU34" s="100"/>
      <c r="CV34" s="100"/>
      <c r="CW34" s="100"/>
      <c r="CX34" s="100"/>
      <c r="CY34" s="100"/>
      <c r="CZ34" s="100"/>
      <c r="DA34" s="100"/>
      <c r="DB34" s="100"/>
      <c r="DC34" s="100"/>
      <c r="DD34" s="100"/>
      <c r="DE34" s="100"/>
      <c r="DF34" s="100"/>
      <c r="DG34" s="100"/>
      <c r="DH34" s="100"/>
      <c r="DI34" s="100"/>
      <c r="DJ34" s="100"/>
      <c r="DK34" s="100"/>
      <c r="DL34" s="100"/>
      <c r="DM34" s="100"/>
      <c r="DN34" s="100"/>
      <c r="DO34" s="100"/>
      <c r="DP34" s="100"/>
      <c r="DQ34" s="100"/>
      <c r="DR34" s="100"/>
      <c r="DS34" s="100"/>
      <c r="DT34" s="100"/>
      <c r="DU34" s="100"/>
      <c r="DV34" s="100"/>
      <c r="DW34" s="100"/>
      <c r="DX34" s="100"/>
      <c r="DY34" s="100"/>
      <c r="DZ34" s="100"/>
      <c r="EA34" s="100"/>
      <c r="EB34" s="100"/>
      <c r="EC34" s="100"/>
      <c r="ED34" s="100"/>
      <c r="EE34" s="100"/>
      <c r="EF34" s="100"/>
      <c r="EG34" s="100"/>
      <c r="EH34" s="100"/>
      <c r="EI34" s="100"/>
      <c r="EJ34" s="100"/>
      <c r="EK34" s="100"/>
      <c r="EL34" s="100"/>
      <c r="EM34" s="100"/>
      <c r="EN34" s="100"/>
      <c r="EO34" s="100"/>
      <c r="EP34" s="100"/>
      <c r="EQ34" s="100"/>
      <c r="ER34" s="100"/>
      <c r="ES34" s="100"/>
      <c r="ET34" s="100"/>
      <c r="EU34" s="100"/>
      <c r="EV34" s="100"/>
      <c r="EW34" s="100"/>
      <c r="EX34" s="100"/>
      <c r="EY34" s="100"/>
      <c r="EZ34" s="100"/>
      <c r="FA34" s="100"/>
      <c r="FB34" s="100"/>
      <c r="FC34" s="100"/>
      <c r="FD34" s="100"/>
      <c r="FE34" s="100"/>
      <c r="FF34" s="100"/>
      <c r="FG34" s="100"/>
      <c r="FH34" s="100"/>
      <c r="FI34" s="100"/>
      <c r="FJ34" s="100"/>
      <c r="FK34" s="100"/>
      <c r="FL34" s="100"/>
      <c r="FM34" s="100"/>
      <c r="FN34" s="100"/>
      <c r="FO34" s="100"/>
      <c r="FP34" s="100"/>
      <c r="FQ34" s="100"/>
      <c r="FR34" s="100"/>
      <c r="FS34" s="100"/>
      <c r="FT34" s="100"/>
      <c r="FU34" s="100"/>
      <c r="FV34" s="100"/>
      <c r="FW34" s="100"/>
      <c r="FX34" s="100"/>
      <c r="FY34" s="100"/>
      <c r="FZ34" s="100"/>
      <c r="GA34" s="100"/>
      <c r="GB34" s="100"/>
      <c r="GC34" s="100"/>
      <c r="GD34" s="100"/>
      <c r="GE34" s="100"/>
      <c r="GF34" s="100"/>
      <c r="GG34" s="100"/>
      <c r="GH34" s="100"/>
      <c r="GI34" s="100"/>
      <c r="GJ34" s="100"/>
      <c r="GK34" s="100"/>
      <c r="GL34" s="100"/>
      <c r="GM34" s="100"/>
      <c r="GN34" s="100"/>
      <c r="GO34" s="100"/>
      <c r="GP34" s="100"/>
      <c r="GQ34" s="100"/>
      <c r="GR34" s="100"/>
      <c r="GS34" s="100"/>
      <c r="GT34" s="100"/>
      <c r="GU34" s="100"/>
      <c r="GV34" s="100"/>
      <c r="GW34" s="100"/>
      <c r="GX34" s="100"/>
      <c r="GY34" s="100"/>
      <c r="GZ34" s="100"/>
      <c r="HA34" s="100"/>
      <c r="HB34" s="100"/>
      <c r="HC34" s="100"/>
      <c r="HD34" s="100"/>
      <c r="HE34" s="100"/>
      <c r="HF34" s="100"/>
      <c r="HG34" s="100"/>
      <c r="HH34" s="100"/>
      <c r="HI34" s="100"/>
      <c r="HJ34" s="100"/>
      <c r="HK34" s="100"/>
      <c r="HL34" s="100"/>
      <c r="HM34" s="100"/>
      <c r="HN34" s="100"/>
      <c r="HO34" s="100"/>
      <c r="HP34" s="100"/>
      <c r="HQ34" s="100"/>
      <c r="HR34" s="100"/>
      <c r="HS34" s="100"/>
      <c r="HT34" s="100"/>
      <c r="HU34" s="100"/>
      <c r="HV34" s="100"/>
      <c r="HW34" s="100"/>
      <c r="HX34" s="100"/>
      <c r="HY34" s="100"/>
      <c r="HZ34" s="100"/>
      <c r="IA34" s="100"/>
      <c r="IB34" s="100"/>
      <c r="IC34" s="100"/>
      <c r="ID34" s="100"/>
      <c r="IE34" s="100"/>
      <c r="IF34" s="100"/>
      <c r="IG34" s="100"/>
      <c r="IH34" s="100"/>
      <c r="II34" s="100"/>
      <c r="IJ34" s="100"/>
      <c r="IK34" s="100"/>
      <c r="IL34" s="100"/>
      <c r="IM34" s="100"/>
      <c r="IN34" s="100"/>
      <c r="IO34" s="100"/>
      <c r="IP34" s="100"/>
      <c r="IQ34" s="100"/>
      <c r="IR34" s="100"/>
      <c r="IS34" s="100"/>
      <c r="IT34" s="100"/>
      <c r="IU34" s="100"/>
      <c r="IV34" s="100"/>
      <c r="IW34" s="100"/>
    </row>
    <row r="35" customFormat="false" ht="12.75" hidden="false" customHeight="false" outlineLevel="0" collapsed="false">
      <c r="A35" s="736"/>
      <c r="B35" s="1126"/>
      <c r="C35" s="1120"/>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974"/>
      <c r="AI35" s="100"/>
      <c r="AJ35" s="100"/>
      <c r="AK35" s="100"/>
      <c r="AL35" s="100"/>
      <c r="AM35" s="100"/>
      <c r="AN35" s="100"/>
      <c r="AO35" s="100"/>
      <c r="AP35" s="100"/>
      <c r="AQ35" s="100"/>
      <c r="AR35" s="100"/>
      <c r="AS35" s="100"/>
      <c r="AT35" s="100"/>
      <c r="AU35" s="100"/>
      <c r="AV35" s="100"/>
      <c r="AW35" s="100"/>
      <c r="AX35" s="100"/>
      <c r="AY35" s="100"/>
      <c r="AZ35" s="100"/>
      <c r="BA35" s="100"/>
      <c r="BB35" s="100"/>
      <c r="BC35" s="100"/>
      <c r="BD35" s="100"/>
      <c r="BE35" s="100"/>
      <c r="BF35" s="100"/>
      <c r="BG35" s="100"/>
      <c r="BH35" s="100"/>
      <c r="BI35" s="100"/>
      <c r="BJ35" s="100"/>
      <c r="BK35" s="100"/>
      <c r="BL35" s="100"/>
      <c r="BM35" s="100"/>
      <c r="BN35" s="100"/>
      <c r="BO35" s="100"/>
      <c r="BP35" s="100"/>
      <c r="BQ35" s="100"/>
      <c r="BR35" s="100"/>
      <c r="BS35" s="100"/>
      <c r="BT35" s="100"/>
      <c r="BU35" s="100"/>
      <c r="BV35" s="100"/>
      <c r="BW35" s="100"/>
      <c r="BX35" s="100"/>
      <c r="BY35" s="100"/>
      <c r="BZ35" s="100"/>
      <c r="CA35" s="100"/>
      <c r="CB35" s="100"/>
      <c r="CC35" s="100"/>
      <c r="CD35" s="100"/>
      <c r="CE35" s="100"/>
      <c r="CF35" s="100"/>
      <c r="CG35" s="100"/>
      <c r="CH35" s="100"/>
      <c r="CI35" s="100"/>
      <c r="CJ35" s="100"/>
      <c r="CK35" s="100"/>
      <c r="CL35" s="100"/>
      <c r="CM35" s="100"/>
      <c r="CN35" s="100"/>
      <c r="CO35" s="100"/>
      <c r="CP35" s="100"/>
      <c r="CQ35" s="100"/>
      <c r="CR35" s="100"/>
      <c r="CS35" s="100"/>
      <c r="CT35" s="100"/>
      <c r="CU35" s="100"/>
      <c r="CV35" s="100"/>
      <c r="CW35" s="100"/>
      <c r="CX35" s="100"/>
      <c r="CY35" s="100"/>
      <c r="CZ35" s="100"/>
      <c r="DA35" s="100"/>
      <c r="DB35" s="100"/>
      <c r="DC35" s="100"/>
      <c r="DD35" s="100"/>
      <c r="DE35" s="100"/>
      <c r="DF35" s="100"/>
      <c r="DG35" s="100"/>
      <c r="DH35" s="100"/>
      <c r="DI35" s="100"/>
      <c r="DJ35" s="100"/>
      <c r="DK35" s="100"/>
      <c r="DL35" s="100"/>
      <c r="DM35" s="100"/>
      <c r="DN35" s="100"/>
      <c r="DO35" s="100"/>
      <c r="DP35" s="100"/>
      <c r="DQ35" s="100"/>
      <c r="DR35" s="100"/>
      <c r="DS35" s="100"/>
      <c r="DT35" s="100"/>
      <c r="DU35" s="100"/>
      <c r="DV35" s="100"/>
      <c r="DW35" s="100"/>
      <c r="DX35" s="100"/>
      <c r="DY35" s="100"/>
      <c r="DZ35" s="100"/>
      <c r="EA35" s="100"/>
      <c r="EB35" s="100"/>
      <c r="EC35" s="100"/>
      <c r="ED35" s="100"/>
      <c r="EE35" s="100"/>
      <c r="EF35" s="100"/>
      <c r="EG35" s="100"/>
      <c r="EH35" s="100"/>
      <c r="EI35" s="100"/>
      <c r="EJ35" s="100"/>
      <c r="EK35" s="100"/>
      <c r="EL35" s="100"/>
      <c r="EM35" s="100"/>
      <c r="EN35" s="100"/>
      <c r="EO35" s="100"/>
      <c r="EP35" s="100"/>
      <c r="EQ35" s="100"/>
      <c r="ER35" s="100"/>
      <c r="ES35" s="100"/>
      <c r="ET35" s="100"/>
      <c r="EU35" s="100"/>
      <c r="EV35" s="100"/>
      <c r="EW35" s="100"/>
      <c r="EX35" s="100"/>
      <c r="EY35" s="100"/>
      <c r="EZ35" s="100"/>
      <c r="FA35" s="100"/>
      <c r="FB35" s="100"/>
      <c r="FC35" s="100"/>
      <c r="FD35" s="100"/>
      <c r="FE35" s="100"/>
      <c r="FF35" s="100"/>
      <c r="FG35" s="100"/>
      <c r="FH35" s="100"/>
      <c r="FI35" s="100"/>
      <c r="FJ35" s="100"/>
      <c r="FK35" s="100"/>
      <c r="FL35" s="100"/>
      <c r="FM35" s="100"/>
      <c r="FN35" s="100"/>
      <c r="FO35" s="100"/>
      <c r="FP35" s="100"/>
      <c r="FQ35" s="100"/>
      <c r="FR35" s="100"/>
      <c r="FS35" s="100"/>
      <c r="FT35" s="100"/>
      <c r="FU35" s="100"/>
      <c r="FV35" s="100"/>
      <c r="FW35" s="100"/>
      <c r="FX35" s="100"/>
      <c r="FY35" s="100"/>
      <c r="FZ35" s="100"/>
      <c r="GA35" s="100"/>
      <c r="GB35" s="100"/>
      <c r="GC35" s="100"/>
      <c r="GD35" s="100"/>
      <c r="GE35" s="100"/>
      <c r="GF35" s="100"/>
      <c r="GG35" s="100"/>
      <c r="GH35" s="100"/>
      <c r="GI35" s="100"/>
      <c r="GJ35" s="100"/>
      <c r="GK35" s="100"/>
      <c r="GL35" s="100"/>
      <c r="GM35" s="100"/>
      <c r="GN35" s="100"/>
      <c r="GO35" s="100"/>
      <c r="GP35" s="100"/>
      <c r="GQ35" s="100"/>
      <c r="GR35" s="100"/>
      <c r="GS35" s="100"/>
      <c r="GT35" s="100"/>
      <c r="GU35" s="100"/>
      <c r="GV35" s="100"/>
      <c r="GW35" s="100"/>
      <c r="GX35" s="100"/>
      <c r="GY35" s="100"/>
      <c r="GZ35" s="100"/>
      <c r="HA35" s="100"/>
      <c r="HB35" s="100"/>
      <c r="HC35" s="100"/>
      <c r="HD35" s="100"/>
      <c r="HE35" s="100"/>
      <c r="HF35" s="100"/>
      <c r="HG35" s="100"/>
      <c r="HH35" s="100"/>
      <c r="HI35" s="100"/>
      <c r="HJ35" s="100"/>
      <c r="HK35" s="100"/>
      <c r="HL35" s="100"/>
      <c r="HM35" s="100"/>
      <c r="HN35" s="100"/>
      <c r="HO35" s="100"/>
      <c r="HP35" s="100"/>
      <c r="HQ35" s="100"/>
      <c r="HR35" s="100"/>
      <c r="HS35" s="100"/>
      <c r="HT35" s="100"/>
      <c r="HU35" s="100"/>
      <c r="HV35" s="100"/>
      <c r="HW35" s="100"/>
      <c r="HX35" s="100"/>
      <c r="HY35" s="100"/>
      <c r="HZ35" s="100"/>
      <c r="IA35" s="100"/>
      <c r="IB35" s="100"/>
      <c r="IC35" s="100"/>
      <c r="ID35" s="100"/>
      <c r="IE35" s="100"/>
      <c r="IF35" s="100"/>
      <c r="IG35" s="100"/>
      <c r="IH35" s="100"/>
      <c r="II35" s="100"/>
      <c r="IJ35" s="100"/>
      <c r="IK35" s="100"/>
      <c r="IL35" s="100"/>
      <c r="IM35" s="100"/>
      <c r="IN35" s="100"/>
      <c r="IO35" s="100"/>
      <c r="IP35" s="100"/>
      <c r="IQ35" s="100"/>
      <c r="IR35" s="100"/>
      <c r="IS35" s="100"/>
      <c r="IT35" s="100"/>
      <c r="IU35" s="100"/>
      <c r="IV35" s="100"/>
      <c r="IW35" s="100"/>
    </row>
    <row r="36" customFormat="false" ht="12.75" hidden="false" customHeight="false" outlineLevel="0" collapsed="false">
      <c r="A36" s="736"/>
      <c r="B36" s="1122" t="s">
        <v>703</v>
      </c>
      <c r="C36" s="1056"/>
      <c r="D36" s="313" t="n">
        <f aca="false">+CapAcc!D54</f>
        <v>-65.906937538512</v>
      </c>
      <c r="E36" s="313" t="n">
        <f aca="false">+CapAcc!E54</f>
        <v>-109.979119830166</v>
      </c>
      <c r="F36" s="313" t="n">
        <f aca="false">+CapAcc!F54</f>
        <v>-62.3917186602478</v>
      </c>
      <c r="G36" s="313" t="n">
        <f aca="false">+CapAcc!G54</f>
        <v>-33.6196112135487</v>
      </c>
      <c r="H36" s="313" t="n">
        <f aca="false">+CapAcc!H54</f>
        <v>-33.2111059161527</v>
      </c>
      <c r="I36" s="313" t="n">
        <f aca="false">+CapAcc!I54</f>
        <v>-11.4883501811335</v>
      </c>
      <c r="J36" s="313" t="n">
        <f aca="false">+CapAcc!J54</f>
        <v>10.1552115517834</v>
      </c>
      <c r="K36" s="313" t="n">
        <f aca="false">+CapAcc!K54</f>
        <v>10.6190420265571</v>
      </c>
      <c r="L36" s="313" t="n">
        <f aca="false">+CapAcc!L54</f>
        <v>11.0995228067239</v>
      </c>
      <c r="M36" s="313" t="n">
        <f aca="false">+CapAcc!M54</f>
        <v>11.6246544961821</v>
      </c>
      <c r="N36" s="313" t="n">
        <f aca="false">+CapAcc!N54</f>
        <v>12.6399036879548</v>
      </c>
      <c r="O36" s="313" t="n">
        <f aca="false">+CapAcc!O54</f>
        <v>13.3264073154183</v>
      </c>
      <c r="P36" s="313" t="n">
        <f aca="false">+CapAcc!P54</f>
        <v>14.052487029033</v>
      </c>
      <c r="Q36" s="313" t="n">
        <f aca="false">+CapAcc!Q54</f>
        <v>14.8437740068846</v>
      </c>
      <c r="R36" s="313" t="n">
        <f aca="false">+CapAcc!R54</f>
        <v>15.6947323596597</v>
      </c>
      <c r="S36" s="313" t="n">
        <f aca="false">+CapAcc!S54</f>
        <v>16.6507109837912</v>
      </c>
      <c r="T36" s="313" t="n">
        <f aca="false">+CapAcc!T54</f>
        <v>17.7823764800145</v>
      </c>
      <c r="U36" s="313" t="n">
        <f aca="false">+CapAcc!U54</f>
        <v>19.9195051082942</v>
      </c>
      <c r="V36" s="313" t="n">
        <f aca="false">+CapAcc!V54</f>
        <v>19.6085581609821</v>
      </c>
      <c r="W36" s="313" t="n">
        <f aca="false">+CapAcc!W54</f>
        <v>19.2983790420078</v>
      </c>
      <c r="X36" s="313" t="n">
        <f aca="false">+CapAcc!X54</f>
        <v>0</v>
      </c>
      <c r="Y36" s="313" t="n">
        <f aca="false">+CapAcc!Y54</f>
        <v>0</v>
      </c>
      <c r="Z36" s="313" t="n">
        <f aca="false">+CapAcc!Z54</f>
        <v>0</v>
      </c>
      <c r="AA36" s="313" t="n">
        <f aca="false">+CapAcc!AA54</f>
        <v>0</v>
      </c>
      <c r="AB36" s="313" t="n">
        <f aca="false">+CapAcc!AB54</f>
        <v>0</v>
      </c>
      <c r="AC36" s="313" t="n">
        <f aca="false">+CapAcc!AC54</f>
        <v>0</v>
      </c>
      <c r="AD36" s="313" t="n">
        <f aca="false">+CapAcc!AD54</f>
        <v>0</v>
      </c>
      <c r="AE36" s="313" t="n">
        <f aca="false">+CapAcc!AE54</f>
        <v>0</v>
      </c>
      <c r="AF36" s="313" t="n">
        <f aca="false">+CapAcc!AF54</f>
        <v>0</v>
      </c>
      <c r="AG36" s="313" t="n">
        <f aca="false">+CapAcc!AG54</f>
        <v>0</v>
      </c>
      <c r="AH36" s="1123" t="n">
        <f aca="false">+CapAcc!AH54</f>
        <v>0</v>
      </c>
      <c r="AI36" s="100"/>
      <c r="AJ36" s="100"/>
      <c r="AK36" s="100"/>
      <c r="AL36" s="100"/>
      <c r="AM36" s="100"/>
      <c r="AN36" s="100"/>
      <c r="AO36" s="100"/>
      <c r="AP36" s="100"/>
      <c r="AQ36" s="100"/>
      <c r="AR36" s="100"/>
      <c r="AS36" s="100"/>
      <c r="AT36" s="100"/>
      <c r="AU36" s="100"/>
      <c r="AV36" s="100"/>
      <c r="AW36" s="100"/>
      <c r="AX36" s="100"/>
      <c r="AY36" s="100"/>
      <c r="AZ36" s="100"/>
      <c r="BA36" s="100"/>
      <c r="BB36" s="100"/>
      <c r="BC36" s="100"/>
      <c r="BD36" s="100"/>
      <c r="BE36" s="100"/>
      <c r="BF36" s="100"/>
      <c r="BG36" s="100"/>
      <c r="BH36" s="100"/>
      <c r="BI36" s="100"/>
      <c r="BJ36" s="100"/>
      <c r="BK36" s="100"/>
      <c r="BL36" s="100"/>
      <c r="BM36" s="100"/>
      <c r="BN36" s="100"/>
      <c r="BO36" s="100"/>
      <c r="BP36" s="100"/>
      <c r="BQ36" s="100"/>
      <c r="BR36" s="100"/>
      <c r="BS36" s="100"/>
      <c r="BT36" s="100"/>
      <c r="BU36" s="100"/>
      <c r="BV36" s="100"/>
      <c r="BW36" s="100"/>
      <c r="BX36" s="100"/>
      <c r="BY36" s="100"/>
      <c r="BZ36" s="100"/>
      <c r="CA36" s="100"/>
      <c r="CB36" s="100"/>
      <c r="CC36" s="100"/>
      <c r="CD36" s="100"/>
      <c r="CE36" s="100"/>
      <c r="CF36" s="100"/>
      <c r="CG36" s="100"/>
      <c r="CH36" s="100"/>
      <c r="CI36" s="100"/>
      <c r="CJ36" s="100"/>
      <c r="CK36" s="100"/>
      <c r="CL36" s="100"/>
      <c r="CM36" s="100"/>
      <c r="CN36" s="100"/>
      <c r="CO36" s="100"/>
      <c r="CP36" s="100"/>
      <c r="CQ36" s="100"/>
      <c r="CR36" s="100"/>
      <c r="CS36" s="100"/>
      <c r="CT36" s="100"/>
      <c r="CU36" s="100"/>
      <c r="CV36" s="100"/>
      <c r="CW36" s="100"/>
      <c r="CX36" s="100"/>
      <c r="CY36" s="100"/>
      <c r="CZ36" s="100"/>
      <c r="DA36" s="100"/>
      <c r="DB36" s="100"/>
      <c r="DC36" s="100"/>
      <c r="DD36" s="100"/>
      <c r="DE36" s="100"/>
      <c r="DF36" s="100"/>
      <c r="DG36" s="100"/>
      <c r="DH36" s="100"/>
      <c r="DI36" s="100"/>
      <c r="DJ36" s="100"/>
      <c r="DK36" s="100"/>
      <c r="DL36" s="100"/>
      <c r="DM36" s="100"/>
      <c r="DN36" s="100"/>
      <c r="DO36" s="100"/>
      <c r="DP36" s="100"/>
      <c r="DQ36" s="100"/>
      <c r="DR36" s="100"/>
      <c r="DS36" s="100"/>
      <c r="DT36" s="100"/>
      <c r="DU36" s="100"/>
      <c r="DV36" s="100"/>
      <c r="DW36" s="100"/>
      <c r="DX36" s="100"/>
      <c r="DY36" s="100"/>
      <c r="DZ36" s="100"/>
      <c r="EA36" s="100"/>
      <c r="EB36" s="100"/>
      <c r="EC36" s="100"/>
      <c r="ED36" s="100"/>
      <c r="EE36" s="100"/>
      <c r="EF36" s="100"/>
      <c r="EG36" s="100"/>
      <c r="EH36" s="100"/>
      <c r="EI36" s="100"/>
      <c r="EJ36" s="100"/>
      <c r="EK36" s="100"/>
      <c r="EL36" s="100"/>
      <c r="EM36" s="100"/>
      <c r="EN36" s="100"/>
      <c r="EO36" s="100"/>
      <c r="EP36" s="100"/>
      <c r="EQ36" s="100"/>
      <c r="ER36" s="100"/>
      <c r="ES36" s="100"/>
      <c r="ET36" s="100"/>
      <c r="EU36" s="100"/>
      <c r="EV36" s="100"/>
      <c r="EW36" s="100"/>
      <c r="EX36" s="100"/>
      <c r="EY36" s="100"/>
      <c r="EZ36" s="100"/>
      <c r="FA36" s="100"/>
      <c r="FB36" s="100"/>
      <c r="FC36" s="100"/>
      <c r="FD36" s="100"/>
      <c r="FE36" s="100"/>
      <c r="FF36" s="100"/>
      <c r="FG36" s="100"/>
      <c r="FH36" s="100"/>
      <c r="FI36" s="100"/>
      <c r="FJ36" s="100"/>
      <c r="FK36" s="100"/>
      <c r="FL36" s="100"/>
      <c r="FM36" s="100"/>
      <c r="FN36" s="100"/>
      <c r="FO36" s="100"/>
      <c r="FP36" s="100"/>
      <c r="FQ36" s="100"/>
      <c r="FR36" s="100"/>
      <c r="FS36" s="100"/>
      <c r="FT36" s="100"/>
      <c r="FU36" s="100"/>
      <c r="FV36" s="100"/>
      <c r="FW36" s="100"/>
      <c r="FX36" s="100"/>
      <c r="FY36" s="100"/>
      <c r="FZ36" s="100"/>
      <c r="GA36" s="100"/>
      <c r="GB36" s="100"/>
      <c r="GC36" s="100"/>
      <c r="GD36" s="100"/>
      <c r="GE36" s="100"/>
      <c r="GF36" s="100"/>
      <c r="GG36" s="100"/>
      <c r="GH36" s="100"/>
      <c r="GI36" s="100"/>
      <c r="GJ36" s="100"/>
      <c r="GK36" s="100"/>
      <c r="GL36" s="100"/>
      <c r="GM36" s="100"/>
      <c r="GN36" s="100"/>
      <c r="GO36" s="100"/>
      <c r="GP36" s="100"/>
      <c r="GQ36" s="100"/>
      <c r="GR36" s="100"/>
      <c r="GS36" s="100"/>
      <c r="GT36" s="100"/>
      <c r="GU36" s="100"/>
      <c r="GV36" s="100"/>
      <c r="GW36" s="100"/>
      <c r="GX36" s="100"/>
      <c r="GY36" s="100"/>
      <c r="GZ36" s="100"/>
      <c r="HA36" s="100"/>
      <c r="HB36" s="100"/>
      <c r="HC36" s="100"/>
      <c r="HD36" s="100"/>
      <c r="HE36" s="100"/>
      <c r="HF36" s="100"/>
      <c r="HG36" s="100"/>
      <c r="HH36" s="100"/>
      <c r="HI36" s="100"/>
      <c r="HJ36" s="100"/>
      <c r="HK36" s="100"/>
      <c r="HL36" s="100"/>
      <c r="HM36" s="100"/>
      <c r="HN36" s="100"/>
      <c r="HO36" s="100"/>
      <c r="HP36" s="100"/>
      <c r="HQ36" s="100"/>
      <c r="HR36" s="100"/>
      <c r="HS36" s="100"/>
      <c r="HT36" s="100"/>
      <c r="HU36" s="100"/>
      <c r="HV36" s="100"/>
      <c r="HW36" s="100"/>
      <c r="HX36" s="100"/>
      <c r="HY36" s="100"/>
      <c r="HZ36" s="100"/>
      <c r="IA36" s="100"/>
      <c r="IB36" s="100"/>
      <c r="IC36" s="100"/>
      <c r="ID36" s="100"/>
      <c r="IE36" s="100"/>
      <c r="IF36" s="100"/>
      <c r="IG36" s="100"/>
      <c r="IH36" s="100"/>
      <c r="II36" s="100"/>
      <c r="IJ36" s="100"/>
      <c r="IK36" s="100"/>
      <c r="IL36" s="100"/>
      <c r="IM36" s="100"/>
      <c r="IN36" s="100"/>
      <c r="IO36" s="100"/>
      <c r="IP36" s="100"/>
      <c r="IQ36" s="100"/>
      <c r="IR36" s="100"/>
      <c r="IS36" s="100"/>
      <c r="IT36" s="100"/>
      <c r="IU36" s="100"/>
      <c r="IV36" s="100"/>
      <c r="IW36" s="100"/>
    </row>
    <row r="37" customFormat="false" ht="12.75" hidden="false" customHeight="false" outlineLevel="0" collapsed="false">
      <c r="A37" s="736"/>
      <c r="B37" s="1119" t="s">
        <v>736</v>
      </c>
      <c r="C37" s="1127"/>
      <c r="D37" s="1102" t="n">
        <f aca="false">IF(D36&gt;=0,0,IF(D34&lt;0,-D36,IF(ABS(D36)&lt;D34,0,ABS(D36)-D34)))</f>
        <v>0</v>
      </c>
      <c r="E37" s="1102" t="n">
        <f aca="false">IF(AND(E36&gt;=0,E24&gt;=0),MAX(-E24,-SUM($D37:D37)),IF(AND(E36&lt;0,E24&lt;0),-E36,IF(AND(E36&lt;0,E24&gt;=0),IF(ABS(E36)&lt;=E24,MAX(-E24-E36,-SUM($D37:D37)),ABS(E36)-E24),0)))</f>
        <v>-0</v>
      </c>
      <c r="F37" s="1102" t="n">
        <f aca="false">IF(AND(F36&gt;=0,F24&gt;=0),MAX(-F24,-SUM($D37:E37)),IF(AND(F36&lt;0,F24&lt;0),-F36,IF(AND(F36&lt;0,F24&gt;=0),IF(ABS(F36)&lt;=F24,MAX(-F24-F36,-SUM($D37:E37)),ABS(F36)-F24),0)))</f>
        <v>-0</v>
      </c>
      <c r="G37" s="1102" t="n">
        <f aca="false">IF(AND(G36&gt;=0,G24&gt;=0),MAX(-G24,-SUM($D37:F37)),IF(AND(G36&lt;0,G24&lt;0),-G36,IF(AND(G36&lt;0,G24&gt;=0),IF(ABS(G36)&lt;=G24,MAX(-G24-G36,-SUM($D37:F37)),ABS(G36)-G24),0)))</f>
        <v>-0</v>
      </c>
      <c r="H37" s="1102" t="n">
        <f aca="false">IF(AND(H36&gt;=0,H24&gt;=0),MAX(-H24,-SUM($D37:G37)),IF(AND(H36&lt;0,H24&lt;0),-H36,IF(AND(H36&lt;0,H24&gt;=0),IF(ABS(H36)&lt;=H24,MAX(-H24-H36,-SUM($D37:G37)),ABS(H36)-H24),0)))</f>
        <v>-0</v>
      </c>
      <c r="I37" s="1102" t="n">
        <f aca="false">IF(AND(I36&gt;=0,I24&gt;=0),MAX(-I24,-SUM($D37:H37)),IF(AND(I36&lt;0,I24&lt;0),-I36,IF(AND(I36&lt;0,I24&gt;=0),IF(ABS(I36)&lt;=I24,MAX(-I24-I36,-SUM($D37:H37)),ABS(I36)-I24),0)))</f>
        <v>-0</v>
      </c>
      <c r="J37" s="1102" t="n">
        <f aca="false">IF(AND(J36&gt;=0,J24&gt;=0),MAX(-J24,-SUM($D37:I37)),IF(AND(J36&lt;0,J24&lt;0),-J36,IF(AND(J36&lt;0,J24&gt;=0),IF(ABS(J36)&lt;=J24,MAX(-J24-J36,-SUM($D37:I37)),ABS(J36)-J24),0)))</f>
        <v>-0</v>
      </c>
      <c r="K37" s="1102" t="n">
        <f aca="false">IF(AND(K36&gt;=0,K24&gt;=0),MAX(-K24,-SUM($D37:J37)),IF(AND(K36&lt;0,K24&lt;0),-K36,IF(AND(K36&lt;0,K24&gt;=0),IF(ABS(K36)&lt;=K24,MAX(-K24-K36,-SUM($D37:J37)),ABS(K36)-K24),0)))</f>
        <v>-0</v>
      </c>
      <c r="L37" s="1102" t="n">
        <f aca="false">IF(AND(L36&gt;=0,L24&gt;=0),MAX(-L24,-SUM($D37:K37)),IF(AND(L36&lt;0,L24&lt;0),-L36,IF(AND(L36&lt;0,L24&gt;=0),IF(ABS(L36)&lt;=L24,MAX(-L24-L36,-SUM($D37:K37)),ABS(L36)-L24),0)))</f>
        <v>-0</v>
      </c>
      <c r="M37" s="1102" t="n">
        <f aca="false">IF(AND(M36&gt;=0,M24&gt;=0),MAX(-M24,-SUM($D37:L37)),IF(AND(M36&lt;0,M24&lt;0),-M36,IF(AND(M36&lt;0,M24&gt;=0),IF(ABS(M36)&lt;=M24,MAX(-M24-M36,-SUM($D37:L37)),ABS(M36)-M24),0)))</f>
        <v>-0</v>
      </c>
      <c r="N37" s="1102" t="n">
        <f aca="false">IF(AND(N36&gt;=0,N24&gt;=0),MAX(-N24,-SUM($D37:M37)),IF(AND(N36&lt;0,N24&lt;0),-N36,IF(AND(N36&lt;0,N24&gt;=0),IF(ABS(N36)&lt;=N24,MAX(-N24-N36,-SUM($D37:M37)),ABS(N36)-N24),0)))</f>
        <v>-0</v>
      </c>
      <c r="O37" s="1102" t="n">
        <f aca="false">IF(AND(O36&gt;=0,O24&gt;=0),MAX(-O24,-SUM($D37:N37)),IF(AND(O36&lt;0,O24&lt;0),-O36,IF(AND(O36&lt;0,O24&gt;=0),IF(ABS(O36)&lt;=O24,MAX(-O24-O36,-SUM($D37:N37)),ABS(O36)-O24),0)))</f>
        <v>-0</v>
      </c>
      <c r="P37" s="1102" t="n">
        <f aca="false">IF(AND(P36&gt;=0,P24&gt;=0),MAX(-P24,-SUM($D37:O37)),IF(AND(P36&lt;0,P24&lt;0),-P36,IF(AND(P36&lt;0,P24&gt;=0),IF(ABS(P36)&lt;=P24,MAX(-P24-P36,-SUM($D37:O37)),ABS(P36)-P24),0)))</f>
        <v>-0</v>
      </c>
      <c r="Q37" s="1102" t="n">
        <f aca="false">IF(AND(Q36&gt;=0,Q24&gt;=0),MAX(-Q24,-SUM($D37:P37)),IF(AND(Q36&lt;0,Q24&lt;0),-Q36,IF(AND(Q36&lt;0,Q24&gt;=0),IF(ABS(Q36)&lt;=Q24,MAX(-Q24-Q36,-SUM($D37:P37)),ABS(Q36)-Q24),0)))</f>
        <v>-0</v>
      </c>
      <c r="R37" s="1102" t="n">
        <f aca="false">IF(AND(R36&gt;=0,R24&gt;=0),MAX(-R24,-SUM($D37:Q37)),IF(AND(R36&lt;0,R24&lt;0),-R36,IF(AND(R36&lt;0,R24&gt;=0),IF(ABS(R36)&lt;=R24,MAX(-R24-R36,-SUM($D37:Q37)),ABS(R36)-R24),0)))</f>
        <v>-0</v>
      </c>
      <c r="S37" s="1102" t="n">
        <f aca="false">IF(AND(S36&gt;=0,S24&gt;=0),MAX(-S24,-SUM($D37:R37)),IF(AND(S36&lt;0,S24&lt;0),-S36,IF(AND(S36&lt;0,S24&gt;=0),IF(ABS(S36)&lt;=S24,MAX(-S24-S36,-SUM($D37:R37)),ABS(S36)-S24),0)))</f>
        <v>-0</v>
      </c>
      <c r="T37" s="1102" t="n">
        <f aca="false">IF(AND(T36&gt;=0,T24&gt;=0),MAX(-T24,-SUM($D37:S37)),IF(AND(T36&lt;0,T24&lt;0),-T36,IF(AND(T36&lt;0,T24&gt;=0),IF(ABS(T36)&lt;=T24,MAX(-T24-T36,-SUM($D37:S37)),ABS(T36)-T24),0)))</f>
        <v>-0</v>
      </c>
      <c r="U37" s="1102" t="n">
        <f aca="false">IF(AND(U36&gt;=0,U24&gt;=0),MAX(-U24,-SUM($D37:T37)),IF(AND(U36&lt;0,U24&lt;0),-U36,IF(AND(U36&lt;0,U24&gt;=0),IF(ABS(U36)&lt;=U24,MAX(-U24-U36,-SUM($D37:T37)),ABS(U36)-U24),0)))</f>
        <v>-0</v>
      </c>
      <c r="V37" s="1102" t="n">
        <f aca="false">IF(AND(V36&gt;=0,V24&gt;=0),MAX(-V24,-SUM($D37:U37)),IF(AND(V36&lt;0,V24&lt;0),-V36,IF(AND(V36&lt;0,V24&gt;=0),IF(ABS(V36)&lt;=V24,MAX(-V24-V36,-SUM($D37:U37)),ABS(V36)-V24),0)))</f>
        <v>-0</v>
      </c>
      <c r="W37" s="1102" t="n">
        <f aca="false">IF(AND(W36&gt;=0,W24&gt;=0),MAX(-W24,-SUM($D37:V37)),IF(AND(W36&lt;0,W24&lt;0),-W36,IF(AND(W36&lt;0,W24&gt;=0),IF(ABS(W36)&lt;=W24,MAX(-W24-W36,-SUM($D37:V37)),ABS(W36)-W24),0)))</f>
        <v>-0</v>
      </c>
      <c r="X37" s="1102" t="n">
        <f aca="false">IF(AND(X36&gt;=0,X24&gt;=0),MAX(-X24,-SUM($D37:W37)),IF(AND(X36&lt;0,X24&lt;0),-X36,IF(AND(X36&lt;0,X24&gt;=0),IF(ABS(X36)&lt;=X24,MAX(-X24-X36,-SUM($D37:W37)),ABS(X36)-X24),0)))</f>
        <v>-0</v>
      </c>
      <c r="Y37" s="1102" t="n">
        <f aca="false">IF(AND(Y36&gt;=0,Y24&gt;=0),MAX(-Y24,-SUM($D37:X37)),IF(AND(Y36&lt;0,Y24&lt;0),-Y36,IF(AND(Y36&lt;0,Y24&gt;=0),IF(ABS(Y36)&lt;=Y24,MAX(-Y24-Y36,-SUM($D37:X37)),ABS(Y36)-Y24),0)))</f>
        <v>-0</v>
      </c>
      <c r="Z37" s="1102" t="n">
        <f aca="false">IF(AND(Z36&gt;=0,Z24&gt;=0),MAX(-Z24,-SUM($D37:Y37)),IF(AND(Z36&lt;0,Z24&lt;0),-Z36,IF(AND(Z36&lt;0,Z24&gt;=0),IF(ABS(Z36)&lt;=Z24,MAX(-Z24-Z36,-SUM($D37:Y37)),ABS(Z36)-Z24),0)))</f>
        <v>-0</v>
      </c>
      <c r="AA37" s="1102" t="n">
        <f aca="false">IF(AND(AA36&gt;=0,AA24&gt;=0),MAX(-AA24,-SUM($D37:Z37)),IF(AND(AA36&lt;0,AA24&lt;0),-AA36,IF(AND(AA36&lt;0,AA24&gt;=0),IF(ABS(AA36)&lt;=AA24,MAX(-AA24-AA36,-SUM($D37:Z37)),ABS(AA36)-AA24),0)))</f>
        <v>-0</v>
      </c>
      <c r="AB37" s="1102" t="n">
        <f aca="false">IF(AND(AB36&gt;=0,AB24&gt;=0),MAX(-AB24,-SUM($D37:AA37)),IF(AND(AB36&lt;0,AB24&lt;0),-AB36,IF(AND(AB36&lt;0,AB24&gt;=0),IF(ABS(AB36)&lt;=AB24,MAX(-AB24-AB36,-SUM($D37:AA37)),ABS(AB36)-AB24),0)))</f>
        <v>-0</v>
      </c>
      <c r="AC37" s="1102" t="n">
        <f aca="false">IF(AND(AC36&gt;=0,AC24&gt;=0),MAX(-AC24,-SUM($D37:AB37)),IF(AND(AC36&lt;0,AC24&lt;0),-AC36,IF(AND(AC36&lt;0,AC24&gt;=0),IF(ABS(AC36)&lt;=AC24,MAX(-AC24-AC36,-SUM($D37:AB37)),ABS(AC36)-AC24),0)))</f>
        <v>-0</v>
      </c>
      <c r="AD37" s="1102" t="n">
        <f aca="false">IF(AND(AD36&gt;=0,AD24&gt;=0),MAX(-AD24,-SUM($D37:AC37)),IF(AND(AD36&lt;0,AD24&lt;0),-AD36,IF(AND(AD36&lt;0,AD24&gt;=0),IF(ABS(AD36)&lt;=AD24,MAX(-AD24-AD36,-SUM($D37:AC37)),ABS(AD36)-AD24),0)))</f>
        <v>-0</v>
      </c>
      <c r="AE37" s="1102" t="n">
        <f aca="false">IF(AND(AE36&gt;=0,AE24&gt;=0),MAX(-AE24,-SUM($D37:AD37)),IF(AND(AE36&lt;0,AE24&lt;0),-AE36,IF(AND(AE36&lt;0,AE24&gt;=0),IF(ABS(AE36)&lt;=AE24,MAX(-AE24-AE36,-SUM($D37:AD37)),ABS(AE36)-AE24),0)))</f>
        <v>-0</v>
      </c>
      <c r="AF37" s="1102" t="n">
        <f aca="false">IF(AND(AF36&gt;=0,AF24&gt;=0),MAX(-AF24,-SUM($D37:AE37)),IF(AND(AF36&lt;0,AF24&lt;0),-AF36,IF(AND(AF36&lt;0,AF24&gt;=0),IF(ABS(AF36)&lt;=AF24,MAX(-AF24-AF36,-SUM($D37:AE37)),ABS(AF36)-AF24),0)))</f>
        <v>-0</v>
      </c>
      <c r="AG37" s="1102" t="n">
        <f aca="false">IF(AND(AG36&gt;=0,AG24&gt;=0),MAX(-AG24,-SUM($D37:AF37)),IF(AND(AG36&lt;0,AG24&lt;0),-AG36,IF(AND(AG36&lt;0,AG24&gt;=0),IF(ABS(AG36)&lt;=AG24,MAX(-AG24-AG36,-SUM($D37:AF37)),ABS(AG36)-AG24),0)))</f>
        <v>-0</v>
      </c>
      <c r="AH37" s="1103" t="n">
        <f aca="false">IF(AND(AH36&gt;=0,AH24&gt;=0),MAX(-AH24,-SUM($D37:AG37)),IF(AND(AH36&lt;0,AH24&lt;0),-AH36,IF(AND(AH36&lt;0,AH24&gt;=0),IF(ABS(AH36)&lt;=AH24,MAX(-AH24-AH36,-SUM($D37:AG37)),ABS(AH36)-AH24),0)))</f>
        <v>-0</v>
      </c>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0"/>
      <c r="BZ37" s="100"/>
      <c r="CA37" s="100"/>
      <c r="CB37" s="100"/>
      <c r="CC37" s="100"/>
      <c r="CD37" s="100"/>
      <c r="CE37" s="100"/>
      <c r="CF37" s="100"/>
      <c r="CG37" s="100"/>
      <c r="CH37" s="100"/>
      <c r="CI37" s="100"/>
      <c r="CJ37" s="100"/>
      <c r="CK37" s="100"/>
      <c r="CL37" s="100"/>
      <c r="CM37" s="100"/>
      <c r="CN37" s="100"/>
      <c r="CO37" s="100"/>
      <c r="CP37" s="100"/>
      <c r="CQ37" s="100"/>
      <c r="CR37" s="100"/>
      <c r="CS37" s="100"/>
      <c r="CT37" s="100"/>
      <c r="CU37" s="100"/>
      <c r="CV37" s="100"/>
      <c r="CW37" s="100"/>
      <c r="CX37" s="100"/>
      <c r="CY37" s="100"/>
      <c r="CZ37" s="100"/>
      <c r="DA37" s="100"/>
      <c r="DB37" s="100"/>
      <c r="DC37" s="100"/>
      <c r="DD37" s="100"/>
      <c r="DE37" s="100"/>
      <c r="DF37" s="100"/>
      <c r="DG37" s="100"/>
      <c r="DH37" s="100"/>
      <c r="DI37" s="100"/>
      <c r="DJ37" s="100"/>
      <c r="DK37" s="100"/>
      <c r="DL37" s="100"/>
      <c r="DM37" s="100"/>
      <c r="DN37" s="100"/>
      <c r="DO37" s="100"/>
      <c r="DP37" s="100"/>
      <c r="DQ37" s="100"/>
      <c r="DR37" s="100"/>
      <c r="DS37" s="100"/>
      <c r="DT37" s="100"/>
      <c r="DU37" s="100"/>
      <c r="DV37" s="100"/>
      <c r="DW37" s="100"/>
      <c r="DX37" s="100"/>
      <c r="DY37" s="100"/>
      <c r="DZ37" s="100"/>
      <c r="EA37" s="100"/>
      <c r="EB37" s="100"/>
      <c r="EC37" s="100"/>
      <c r="ED37" s="100"/>
      <c r="EE37" s="100"/>
      <c r="EF37" s="100"/>
      <c r="EG37" s="100"/>
      <c r="EH37" s="100"/>
      <c r="EI37" s="100"/>
      <c r="EJ37" s="100"/>
      <c r="EK37" s="100"/>
      <c r="EL37" s="100"/>
      <c r="EM37" s="100"/>
      <c r="EN37" s="100"/>
      <c r="EO37" s="100"/>
      <c r="EP37" s="100"/>
      <c r="EQ37" s="100"/>
      <c r="ER37" s="100"/>
      <c r="ES37" s="100"/>
      <c r="ET37" s="100"/>
      <c r="EU37" s="100"/>
      <c r="EV37" s="100"/>
      <c r="EW37" s="100"/>
      <c r="EX37" s="100"/>
      <c r="EY37" s="100"/>
      <c r="EZ37" s="100"/>
      <c r="FA37" s="100"/>
      <c r="FB37" s="100"/>
      <c r="FC37" s="100"/>
      <c r="FD37" s="100"/>
      <c r="FE37" s="100"/>
      <c r="FF37" s="100"/>
      <c r="FG37" s="100"/>
      <c r="FH37" s="100"/>
      <c r="FI37" s="100"/>
      <c r="FJ37" s="100"/>
      <c r="FK37" s="100"/>
      <c r="FL37" s="100"/>
      <c r="FM37" s="100"/>
      <c r="FN37" s="100"/>
      <c r="FO37" s="100"/>
      <c r="FP37" s="100"/>
      <c r="FQ37" s="100"/>
      <c r="FR37" s="100"/>
      <c r="FS37" s="100"/>
      <c r="FT37" s="100"/>
      <c r="FU37" s="100"/>
      <c r="FV37" s="100"/>
      <c r="FW37" s="100"/>
      <c r="FX37" s="100"/>
      <c r="FY37" s="100"/>
      <c r="FZ37" s="100"/>
      <c r="GA37" s="100"/>
      <c r="GB37" s="100"/>
      <c r="GC37" s="100"/>
      <c r="GD37" s="100"/>
      <c r="GE37" s="100"/>
      <c r="GF37" s="100"/>
      <c r="GG37" s="100"/>
      <c r="GH37" s="100"/>
      <c r="GI37" s="100"/>
      <c r="GJ37" s="100"/>
      <c r="GK37" s="100"/>
      <c r="GL37" s="100"/>
      <c r="GM37" s="100"/>
      <c r="GN37" s="100"/>
      <c r="GO37" s="100"/>
      <c r="GP37" s="100"/>
      <c r="GQ37" s="100"/>
      <c r="GR37" s="100"/>
      <c r="GS37" s="100"/>
      <c r="GT37" s="100"/>
      <c r="GU37" s="100"/>
      <c r="GV37" s="100"/>
      <c r="GW37" s="100"/>
      <c r="GX37" s="100"/>
      <c r="GY37" s="100"/>
      <c r="GZ37" s="100"/>
      <c r="HA37" s="100"/>
      <c r="HB37" s="100"/>
      <c r="HC37" s="100"/>
      <c r="HD37" s="100"/>
      <c r="HE37" s="100"/>
      <c r="HF37" s="100"/>
      <c r="HG37" s="100"/>
      <c r="HH37" s="100"/>
      <c r="HI37" s="100"/>
      <c r="HJ37" s="100"/>
      <c r="HK37" s="100"/>
      <c r="HL37" s="100"/>
      <c r="HM37" s="100"/>
      <c r="HN37" s="100"/>
      <c r="HO37" s="100"/>
      <c r="HP37" s="100"/>
      <c r="HQ37" s="100"/>
      <c r="HR37" s="100"/>
      <c r="HS37" s="100"/>
      <c r="HT37" s="100"/>
      <c r="HU37" s="100"/>
      <c r="HV37" s="100"/>
      <c r="HW37" s="100"/>
      <c r="HX37" s="100"/>
      <c r="HY37" s="100"/>
      <c r="HZ37" s="100"/>
      <c r="IA37" s="100"/>
      <c r="IB37" s="100"/>
      <c r="IC37" s="100"/>
      <c r="ID37" s="100"/>
      <c r="IE37" s="100"/>
      <c r="IF37" s="100"/>
      <c r="IG37" s="100"/>
      <c r="IH37" s="100"/>
      <c r="II37" s="100"/>
      <c r="IJ37" s="100"/>
      <c r="IK37" s="100"/>
      <c r="IL37" s="100"/>
      <c r="IM37" s="100"/>
      <c r="IN37" s="100"/>
      <c r="IO37" s="100"/>
      <c r="IP37" s="100"/>
      <c r="IQ37" s="100"/>
      <c r="IR37" s="100"/>
      <c r="IS37" s="100"/>
      <c r="IT37" s="100"/>
      <c r="IU37" s="100"/>
      <c r="IV37" s="100"/>
      <c r="IW37" s="100"/>
    </row>
    <row r="38" customFormat="false" ht="12.75" hidden="false" customHeight="false" outlineLevel="0" collapsed="false">
      <c r="A38" s="736"/>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c r="BR38" s="100"/>
      <c r="BS38" s="100"/>
      <c r="BT38" s="100"/>
      <c r="BU38" s="100"/>
      <c r="BV38" s="100"/>
      <c r="BW38" s="100"/>
      <c r="BX38" s="100"/>
      <c r="BY38" s="100"/>
      <c r="BZ38" s="100"/>
      <c r="CA38" s="100"/>
      <c r="CB38" s="100"/>
      <c r="CC38" s="100"/>
      <c r="CD38" s="100"/>
      <c r="CE38" s="100"/>
      <c r="CF38" s="100"/>
      <c r="CG38" s="100"/>
      <c r="CH38" s="100"/>
      <c r="CI38" s="100"/>
      <c r="CJ38" s="100"/>
      <c r="CK38" s="100"/>
      <c r="CL38" s="100"/>
      <c r="CM38" s="100"/>
      <c r="CN38" s="100"/>
      <c r="CO38" s="100"/>
      <c r="CP38" s="100"/>
      <c r="CQ38" s="100"/>
      <c r="CR38" s="100"/>
      <c r="CS38" s="100"/>
      <c r="CT38" s="100"/>
      <c r="CU38" s="100"/>
      <c r="CV38" s="100"/>
      <c r="CW38" s="100"/>
      <c r="CX38" s="100"/>
      <c r="CY38" s="100"/>
      <c r="CZ38" s="100"/>
      <c r="DA38" s="100"/>
      <c r="DB38" s="100"/>
      <c r="DC38" s="100"/>
      <c r="DD38" s="100"/>
      <c r="DE38" s="100"/>
      <c r="DF38" s="100"/>
      <c r="DG38" s="100"/>
      <c r="DH38" s="100"/>
      <c r="DI38" s="100"/>
      <c r="DJ38" s="100"/>
      <c r="DK38" s="100"/>
      <c r="DL38" s="100"/>
      <c r="DM38" s="100"/>
      <c r="DN38" s="100"/>
      <c r="DO38" s="100"/>
      <c r="DP38" s="100"/>
      <c r="DQ38" s="100"/>
      <c r="DR38" s="100"/>
      <c r="DS38" s="100"/>
      <c r="DT38" s="100"/>
      <c r="DU38" s="100"/>
      <c r="DV38" s="100"/>
      <c r="DW38" s="100"/>
      <c r="DX38" s="100"/>
      <c r="DY38" s="100"/>
      <c r="DZ38" s="100"/>
      <c r="EA38" s="100"/>
      <c r="EB38" s="100"/>
      <c r="EC38" s="100"/>
      <c r="ED38" s="100"/>
      <c r="EE38" s="100"/>
      <c r="EF38" s="100"/>
      <c r="EG38" s="100"/>
      <c r="EH38" s="100"/>
      <c r="EI38" s="100"/>
      <c r="EJ38" s="100"/>
      <c r="EK38" s="100"/>
      <c r="EL38" s="100"/>
      <c r="EM38" s="100"/>
      <c r="EN38" s="100"/>
      <c r="EO38" s="100"/>
      <c r="EP38" s="100"/>
      <c r="EQ38" s="100"/>
      <c r="ER38" s="100"/>
      <c r="ES38" s="100"/>
      <c r="ET38" s="100"/>
      <c r="EU38" s="100"/>
      <c r="EV38" s="100"/>
      <c r="EW38" s="100"/>
      <c r="EX38" s="100"/>
      <c r="EY38" s="100"/>
      <c r="EZ38" s="100"/>
      <c r="FA38" s="100"/>
      <c r="FB38" s="100"/>
      <c r="FC38" s="100"/>
      <c r="FD38" s="100"/>
      <c r="FE38" s="100"/>
      <c r="FF38" s="100"/>
      <c r="FG38" s="100"/>
      <c r="FH38" s="100"/>
      <c r="FI38" s="100"/>
      <c r="FJ38" s="100"/>
      <c r="FK38" s="100"/>
      <c r="FL38" s="100"/>
      <c r="FM38" s="100"/>
      <c r="FN38" s="100"/>
      <c r="FO38" s="100"/>
      <c r="FP38" s="100"/>
      <c r="FQ38" s="100"/>
      <c r="FR38" s="100"/>
      <c r="FS38" s="100"/>
      <c r="FT38" s="100"/>
      <c r="FU38" s="100"/>
      <c r="FV38" s="100"/>
      <c r="FW38" s="100"/>
      <c r="FX38" s="100"/>
      <c r="FY38" s="100"/>
      <c r="FZ38" s="100"/>
      <c r="GA38" s="100"/>
      <c r="GB38" s="100"/>
      <c r="GC38" s="100"/>
      <c r="GD38" s="100"/>
      <c r="GE38" s="100"/>
      <c r="GF38" s="100"/>
      <c r="GG38" s="100"/>
      <c r="GH38" s="100"/>
      <c r="GI38" s="100"/>
      <c r="GJ38" s="100"/>
      <c r="GK38" s="100"/>
      <c r="GL38" s="100"/>
      <c r="GM38" s="100"/>
      <c r="GN38" s="100"/>
      <c r="GO38" s="100"/>
      <c r="GP38" s="100"/>
      <c r="GQ38" s="100"/>
      <c r="GR38" s="100"/>
      <c r="GS38" s="100"/>
      <c r="GT38" s="100"/>
      <c r="GU38" s="100"/>
      <c r="GV38" s="100"/>
      <c r="GW38" s="100"/>
      <c r="GX38" s="100"/>
      <c r="GY38" s="100"/>
      <c r="GZ38" s="100"/>
      <c r="HA38" s="100"/>
      <c r="HB38" s="100"/>
      <c r="HC38" s="100"/>
      <c r="HD38" s="100"/>
      <c r="HE38" s="100"/>
      <c r="HF38" s="100"/>
      <c r="HG38" s="100"/>
      <c r="HH38" s="100"/>
      <c r="HI38" s="100"/>
      <c r="HJ38" s="100"/>
      <c r="HK38" s="100"/>
      <c r="HL38" s="100"/>
      <c r="HM38" s="100"/>
      <c r="HN38" s="100"/>
      <c r="HO38" s="100"/>
      <c r="HP38" s="100"/>
      <c r="HQ38" s="100"/>
      <c r="HR38" s="100"/>
      <c r="HS38" s="100"/>
      <c r="HT38" s="100"/>
      <c r="HU38" s="100"/>
      <c r="HV38" s="100"/>
      <c r="HW38" s="100"/>
      <c r="HX38" s="100"/>
      <c r="HY38" s="100"/>
      <c r="HZ38" s="100"/>
      <c r="IA38" s="100"/>
      <c r="IB38" s="100"/>
      <c r="IC38" s="100"/>
      <c r="ID38" s="100"/>
      <c r="IE38" s="100"/>
      <c r="IF38" s="100"/>
      <c r="IG38" s="100"/>
      <c r="IH38" s="100"/>
      <c r="II38" s="100"/>
      <c r="IJ38" s="100"/>
      <c r="IK38" s="100"/>
      <c r="IL38" s="100"/>
      <c r="IM38" s="100"/>
      <c r="IN38" s="100"/>
      <c r="IO38" s="100"/>
      <c r="IP38" s="100"/>
      <c r="IQ38" s="100"/>
      <c r="IR38" s="100"/>
      <c r="IS38" s="100"/>
      <c r="IT38" s="100"/>
      <c r="IU38" s="100"/>
      <c r="IV38" s="100"/>
      <c r="IW38" s="100"/>
    </row>
    <row r="39" customFormat="false" ht="12.75" hidden="false" customHeight="false" outlineLevel="0" collapsed="false">
      <c r="A39" s="736"/>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0"/>
      <c r="BM39" s="100"/>
      <c r="BN39" s="100"/>
      <c r="BO39" s="100"/>
      <c r="BP39" s="100"/>
      <c r="BQ39" s="100"/>
      <c r="BR39" s="100"/>
      <c r="BS39" s="100"/>
      <c r="BT39" s="100"/>
      <c r="BU39" s="100"/>
      <c r="BV39" s="100"/>
      <c r="BW39" s="100"/>
      <c r="BX39" s="100"/>
      <c r="BY39" s="100"/>
      <c r="BZ39" s="100"/>
      <c r="CA39" s="100"/>
      <c r="CB39" s="100"/>
      <c r="CC39" s="100"/>
      <c r="CD39" s="100"/>
      <c r="CE39" s="100"/>
      <c r="CF39" s="100"/>
      <c r="CG39" s="100"/>
      <c r="CH39" s="100"/>
      <c r="CI39" s="100"/>
      <c r="CJ39" s="100"/>
      <c r="CK39" s="100"/>
      <c r="CL39" s="100"/>
      <c r="CM39" s="100"/>
      <c r="CN39" s="100"/>
      <c r="CO39" s="100"/>
      <c r="CP39" s="100"/>
      <c r="CQ39" s="100"/>
      <c r="CR39" s="100"/>
      <c r="CS39" s="100"/>
      <c r="CT39" s="100"/>
      <c r="CU39" s="100"/>
      <c r="CV39" s="100"/>
      <c r="CW39" s="100"/>
      <c r="CX39" s="100"/>
      <c r="CY39" s="100"/>
      <c r="CZ39" s="100"/>
      <c r="DA39" s="100"/>
      <c r="DB39" s="100"/>
      <c r="DC39" s="100"/>
      <c r="DD39" s="100"/>
      <c r="DE39" s="100"/>
      <c r="DF39" s="100"/>
      <c r="DG39" s="100"/>
      <c r="DH39" s="100"/>
      <c r="DI39" s="100"/>
      <c r="DJ39" s="100"/>
      <c r="DK39" s="100"/>
      <c r="DL39" s="100"/>
      <c r="DM39" s="100"/>
      <c r="DN39" s="100"/>
      <c r="DO39" s="100"/>
      <c r="DP39" s="100"/>
      <c r="DQ39" s="100"/>
      <c r="DR39" s="100"/>
      <c r="DS39" s="100"/>
      <c r="DT39" s="100"/>
      <c r="DU39" s="100"/>
      <c r="DV39" s="100"/>
      <c r="DW39" s="100"/>
      <c r="DX39" s="100"/>
      <c r="DY39" s="100"/>
      <c r="DZ39" s="100"/>
      <c r="EA39" s="100"/>
      <c r="EB39" s="100"/>
      <c r="EC39" s="100"/>
      <c r="ED39" s="100"/>
      <c r="EE39" s="100"/>
      <c r="EF39" s="100"/>
      <c r="EG39" s="100"/>
      <c r="EH39" s="100"/>
      <c r="EI39" s="100"/>
      <c r="EJ39" s="100"/>
      <c r="EK39" s="100"/>
      <c r="EL39" s="100"/>
      <c r="EM39" s="100"/>
      <c r="EN39" s="100"/>
      <c r="EO39" s="100"/>
      <c r="EP39" s="100"/>
      <c r="EQ39" s="100"/>
      <c r="ER39" s="100"/>
      <c r="ES39" s="100"/>
      <c r="ET39" s="100"/>
      <c r="EU39" s="100"/>
      <c r="EV39" s="100"/>
      <c r="EW39" s="100"/>
      <c r="EX39" s="100"/>
      <c r="EY39" s="100"/>
      <c r="EZ39" s="100"/>
      <c r="FA39" s="100"/>
      <c r="FB39" s="100"/>
      <c r="FC39" s="100"/>
      <c r="FD39" s="100"/>
      <c r="FE39" s="100"/>
      <c r="FF39" s="100"/>
      <c r="FG39" s="100"/>
      <c r="FH39" s="100"/>
      <c r="FI39" s="100"/>
      <c r="FJ39" s="100"/>
      <c r="FK39" s="100"/>
      <c r="FL39" s="100"/>
      <c r="FM39" s="100"/>
      <c r="FN39" s="100"/>
      <c r="FO39" s="100"/>
      <c r="FP39" s="100"/>
      <c r="FQ39" s="100"/>
      <c r="FR39" s="100"/>
      <c r="FS39" s="100"/>
      <c r="FT39" s="100"/>
      <c r="FU39" s="100"/>
      <c r="FV39" s="100"/>
      <c r="FW39" s="100"/>
      <c r="FX39" s="100"/>
      <c r="FY39" s="100"/>
      <c r="FZ39" s="100"/>
      <c r="GA39" s="100"/>
      <c r="GB39" s="100"/>
      <c r="GC39" s="100"/>
      <c r="GD39" s="100"/>
      <c r="GE39" s="100"/>
      <c r="GF39" s="100"/>
      <c r="GG39" s="100"/>
      <c r="GH39" s="100"/>
      <c r="GI39" s="100"/>
      <c r="GJ39" s="100"/>
      <c r="GK39" s="100"/>
      <c r="GL39" s="100"/>
      <c r="GM39" s="100"/>
      <c r="GN39" s="100"/>
      <c r="GO39" s="100"/>
      <c r="GP39" s="100"/>
      <c r="GQ39" s="100"/>
      <c r="GR39" s="100"/>
      <c r="GS39" s="100"/>
      <c r="GT39" s="100"/>
      <c r="GU39" s="100"/>
      <c r="GV39" s="100"/>
      <c r="GW39" s="100"/>
      <c r="GX39" s="100"/>
      <c r="GY39" s="100"/>
      <c r="GZ39" s="100"/>
      <c r="HA39" s="100"/>
      <c r="HB39" s="100"/>
      <c r="HC39" s="100"/>
      <c r="HD39" s="100"/>
      <c r="HE39" s="100"/>
      <c r="HF39" s="100"/>
      <c r="HG39" s="100"/>
      <c r="HH39" s="100"/>
      <c r="HI39" s="100"/>
      <c r="HJ39" s="100"/>
      <c r="HK39" s="100"/>
      <c r="HL39" s="100"/>
      <c r="HM39" s="100"/>
      <c r="HN39" s="100"/>
      <c r="HO39" s="100"/>
      <c r="HP39" s="100"/>
      <c r="HQ39" s="100"/>
      <c r="HR39" s="100"/>
      <c r="HS39" s="100"/>
      <c r="HT39" s="100"/>
      <c r="HU39" s="100"/>
      <c r="HV39" s="100"/>
      <c r="HW39" s="100"/>
      <c r="HX39" s="100"/>
      <c r="HY39" s="100"/>
      <c r="HZ39" s="100"/>
      <c r="IA39" s="100"/>
      <c r="IB39" s="100"/>
      <c r="IC39" s="100"/>
      <c r="ID39" s="100"/>
      <c r="IE39" s="100"/>
      <c r="IF39" s="100"/>
      <c r="IG39" s="100"/>
      <c r="IH39" s="100"/>
      <c r="II39" s="100"/>
      <c r="IJ39" s="100"/>
      <c r="IK39" s="100"/>
      <c r="IL39" s="100"/>
      <c r="IM39" s="100"/>
      <c r="IN39" s="100"/>
      <c r="IO39" s="100"/>
      <c r="IP39" s="100"/>
      <c r="IQ39" s="100"/>
      <c r="IR39" s="100"/>
      <c r="IS39" s="100"/>
      <c r="IT39" s="100"/>
      <c r="IU39" s="100"/>
      <c r="IV39" s="100"/>
      <c r="IW39" s="100"/>
    </row>
    <row r="40" customFormat="false" ht="12.75" hidden="false" customHeight="false" outlineLevel="0" collapsed="false">
      <c r="A40" s="736"/>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102"/>
      <c r="AA40" s="102"/>
      <c r="AB40" s="102"/>
      <c r="AC40" s="102"/>
      <c r="AD40" s="102"/>
      <c r="AE40" s="102"/>
      <c r="AF40" s="102"/>
      <c r="AG40" s="102"/>
      <c r="AH40" s="102"/>
      <c r="AI40" s="102"/>
      <c r="AJ40" s="102"/>
      <c r="AK40" s="102"/>
      <c r="AL40" s="102"/>
      <c r="AM40" s="102"/>
      <c r="AN40" s="102"/>
      <c r="AO40" s="102"/>
      <c r="AP40" s="102"/>
      <c r="AQ40" s="102"/>
      <c r="AR40" s="102"/>
      <c r="AS40" s="102"/>
      <c r="AT40" s="102"/>
      <c r="AU40" s="102"/>
      <c r="AV40" s="102"/>
      <c r="AW40" s="102"/>
      <c r="AX40" s="102"/>
      <c r="AY40" s="102"/>
      <c r="AZ40" s="102"/>
      <c r="BA40" s="102"/>
      <c r="BB40" s="102"/>
      <c r="BC40" s="102"/>
      <c r="BD40" s="102"/>
      <c r="BE40" s="102"/>
      <c r="BF40" s="102"/>
      <c r="BG40" s="102"/>
      <c r="BH40" s="102"/>
      <c r="BI40" s="102"/>
      <c r="BJ40" s="102"/>
      <c r="BK40" s="102"/>
      <c r="BL40" s="102"/>
      <c r="BM40" s="102"/>
      <c r="BN40" s="102"/>
      <c r="BO40" s="102"/>
      <c r="BP40" s="102"/>
      <c r="BQ40" s="102"/>
      <c r="BR40" s="102"/>
      <c r="BS40" s="102"/>
      <c r="BT40" s="102"/>
      <c r="BU40" s="102"/>
      <c r="BV40" s="102"/>
      <c r="BW40" s="102"/>
      <c r="BX40" s="102"/>
      <c r="BY40" s="102"/>
      <c r="BZ40" s="102"/>
      <c r="CA40" s="102"/>
      <c r="CB40" s="102"/>
      <c r="CC40" s="102"/>
      <c r="CD40" s="102"/>
      <c r="CE40" s="102"/>
      <c r="CF40" s="102"/>
      <c r="CG40" s="102"/>
      <c r="CH40" s="102"/>
      <c r="CI40" s="102"/>
      <c r="CJ40" s="102"/>
      <c r="CK40" s="102"/>
      <c r="CL40" s="102"/>
      <c r="CM40" s="102"/>
      <c r="CN40" s="102"/>
      <c r="CO40" s="102"/>
      <c r="CP40" s="102"/>
      <c r="CQ40" s="102"/>
      <c r="CR40" s="102"/>
      <c r="CS40" s="102"/>
      <c r="CT40" s="102"/>
      <c r="CU40" s="102"/>
      <c r="CV40" s="102"/>
      <c r="CW40" s="102"/>
      <c r="CX40" s="102"/>
      <c r="CY40" s="102"/>
      <c r="CZ40" s="102"/>
      <c r="DA40" s="102"/>
      <c r="DB40" s="102"/>
      <c r="DC40" s="102"/>
      <c r="DD40" s="102"/>
      <c r="DE40" s="102"/>
      <c r="DF40" s="102"/>
      <c r="DG40" s="102"/>
      <c r="DH40" s="102"/>
      <c r="DI40" s="102"/>
      <c r="DJ40" s="102"/>
      <c r="DK40" s="102"/>
      <c r="DL40" s="102"/>
      <c r="DM40" s="102"/>
      <c r="DN40" s="102"/>
      <c r="DO40" s="102"/>
      <c r="DP40" s="102"/>
      <c r="DQ40" s="102"/>
      <c r="DR40" s="102"/>
      <c r="DS40" s="102"/>
      <c r="DT40" s="102"/>
      <c r="DU40" s="102"/>
      <c r="DV40" s="102"/>
      <c r="DW40" s="102"/>
      <c r="DX40" s="102"/>
      <c r="DY40" s="102"/>
      <c r="DZ40" s="102"/>
      <c r="EA40" s="102"/>
      <c r="EB40" s="102"/>
      <c r="EC40" s="102"/>
      <c r="ED40" s="102"/>
      <c r="EE40" s="102"/>
      <c r="EF40" s="102"/>
      <c r="EG40" s="102"/>
      <c r="EH40" s="102"/>
      <c r="EI40" s="102"/>
      <c r="EJ40" s="102"/>
      <c r="EK40" s="102"/>
      <c r="EL40" s="102"/>
      <c r="EM40" s="102"/>
      <c r="EN40" s="102"/>
      <c r="EO40" s="102"/>
      <c r="EP40" s="102"/>
      <c r="EQ40" s="102"/>
      <c r="ER40" s="102"/>
      <c r="ES40" s="102"/>
      <c r="ET40" s="102"/>
      <c r="EU40" s="102"/>
      <c r="EV40" s="102"/>
      <c r="EW40" s="102"/>
      <c r="EX40" s="102"/>
      <c r="EY40" s="102"/>
      <c r="EZ40" s="102"/>
      <c r="FA40" s="102"/>
      <c r="FB40" s="102"/>
      <c r="FC40" s="102"/>
      <c r="FD40" s="102"/>
      <c r="FE40" s="102"/>
      <c r="FF40" s="102"/>
      <c r="FG40" s="102"/>
      <c r="FH40" s="102"/>
      <c r="FI40" s="102"/>
      <c r="FJ40" s="102"/>
      <c r="FK40" s="102"/>
      <c r="FL40" s="102"/>
      <c r="FM40" s="102"/>
      <c r="FN40" s="102"/>
      <c r="FO40" s="102"/>
      <c r="FP40" s="102"/>
      <c r="FQ40" s="102"/>
      <c r="FR40" s="102"/>
      <c r="FS40" s="102"/>
      <c r="FT40" s="102"/>
      <c r="FU40" s="102"/>
      <c r="FV40" s="102"/>
      <c r="FW40" s="102"/>
      <c r="FX40" s="102"/>
      <c r="FY40" s="102"/>
      <c r="FZ40" s="102"/>
      <c r="GA40" s="102"/>
      <c r="GB40" s="102"/>
      <c r="GC40" s="102"/>
      <c r="GD40" s="102"/>
      <c r="GE40" s="102"/>
      <c r="GF40" s="102"/>
      <c r="GG40" s="102"/>
      <c r="GH40" s="102"/>
      <c r="GI40" s="102"/>
      <c r="GJ40" s="102"/>
      <c r="GK40" s="102"/>
      <c r="GL40" s="102"/>
      <c r="GM40" s="102"/>
      <c r="GN40" s="102"/>
      <c r="GO40" s="102"/>
      <c r="GP40" s="102"/>
      <c r="GQ40" s="102"/>
      <c r="GR40" s="102"/>
      <c r="GS40" s="102"/>
      <c r="GT40" s="102"/>
      <c r="GU40" s="102"/>
      <c r="GV40" s="102"/>
      <c r="GW40" s="102"/>
      <c r="GX40" s="102"/>
      <c r="GY40" s="102"/>
      <c r="GZ40" s="102"/>
      <c r="HA40" s="102"/>
      <c r="HB40" s="102"/>
      <c r="HC40" s="102"/>
      <c r="HD40" s="102"/>
      <c r="HE40" s="102"/>
      <c r="HF40" s="102"/>
      <c r="HG40" s="102"/>
      <c r="HH40" s="102"/>
      <c r="HI40" s="102"/>
      <c r="HJ40" s="102"/>
      <c r="HK40" s="102"/>
      <c r="HL40" s="102"/>
      <c r="HM40" s="102"/>
      <c r="HN40" s="102"/>
      <c r="HO40" s="102"/>
      <c r="HP40" s="102"/>
      <c r="HQ40" s="102"/>
      <c r="HR40" s="102"/>
      <c r="HS40" s="102"/>
      <c r="HT40" s="102"/>
      <c r="HU40" s="102"/>
      <c r="HV40" s="102"/>
      <c r="HW40" s="102"/>
      <c r="HX40" s="102"/>
      <c r="HY40" s="102"/>
      <c r="HZ40" s="102"/>
      <c r="IA40" s="102"/>
      <c r="IB40" s="102"/>
      <c r="IC40" s="102"/>
      <c r="ID40" s="102"/>
      <c r="IE40" s="102"/>
      <c r="IF40" s="102"/>
      <c r="IG40" s="102"/>
      <c r="IH40" s="102"/>
      <c r="II40" s="102"/>
      <c r="IJ40" s="102"/>
      <c r="IK40" s="102"/>
      <c r="IL40" s="102"/>
      <c r="IM40" s="102"/>
      <c r="IN40" s="102"/>
      <c r="IO40" s="102"/>
      <c r="IP40" s="102"/>
      <c r="IQ40" s="102"/>
      <c r="IR40" s="102"/>
      <c r="IS40" s="102"/>
      <c r="IT40" s="102"/>
      <c r="IU40" s="102"/>
      <c r="IV40" s="102"/>
      <c r="IW40" s="102"/>
    </row>
    <row r="41" customFormat="false" ht="12.75" hidden="false" customHeight="false" outlineLevel="0" collapsed="false">
      <c r="A41" s="100"/>
      <c r="B41" s="100"/>
      <c r="C41" s="100"/>
      <c r="D41" s="100"/>
      <c r="E41" s="100"/>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c r="AX41" s="100"/>
      <c r="AY41" s="100"/>
      <c r="AZ41" s="100"/>
      <c r="BA41" s="100"/>
      <c r="BB41" s="100"/>
      <c r="BC41" s="100"/>
      <c r="BD41" s="100"/>
      <c r="BE41" s="100"/>
      <c r="BF41" s="100"/>
      <c r="BG41" s="100"/>
      <c r="BH41" s="100"/>
      <c r="BI41" s="100"/>
      <c r="BJ41" s="100"/>
      <c r="BK41" s="100"/>
      <c r="BL41" s="100"/>
      <c r="BM41" s="100"/>
      <c r="BN41" s="100"/>
      <c r="BO41" s="100"/>
      <c r="BP41" s="100"/>
      <c r="BQ41" s="100"/>
      <c r="BR41" s="100"/>
      <c r="BS41" s="100"/>
      <c r="BT41" s="100"/>
      <c r="BU41" s="100"/>
      <c r="BV41" s="100"/>
      <c r="BW41" s="100"/>
      <c r="BX41" s="100"/>
      <c r="BY41" s="100"/>
      <c r="BZ41" s="100"/>
      <c r="CA41" s="100"/>
      <c r="CB41" s="100"/>
      <c r="CC41" s="100"/>
      <c r="CD41" s="100"/>
      <c r="CE41" s="100"/>
      <c r="CF41" s="100"/>
      <c r="CG41" s="100"/>
      <c r="CH41" s="100"/>
      <c r="CI41" s="100"/>
      <c r="CJ41" s="100"/>
      <c r="CK41" s="100"/>
      <c r="CL41" s="100"/>
      <c r="CM41" s="100"/>
      <c r="CN41" s="100"/>
      <c r="CO41" s="100"/>
      <c r="CP41" s="100"/>
      <c r="CQ41" s="100"/>
      <c r="CR41" s="100"/>
      <c r="CS41" s="100"/>
      <c r="CT41" s="100"/>
      <c r="CU41" s="100"/>
      <c r="CV41" s="100"/>
      <c r="CW41" s="100"/>
      <c r="CX41" s="100"/>
      <c r="CY41" s="100"/>
      <c r="CZ41" s="100"/>
      <c r="DA41" s="100"/>
      <c r="DB41" s="100"/>
      <c r="DC41" s="100"/>
      <c r="DD41" s="100"/>
      <c r="DE41" s="100"/>
      <c r="DF41" s="100"/>
      <c r="DG41" s="100"/>
      <c r="DH41" s="100"/>
      <c r="DI41" s="100"/>
      <c r="DJ41" s="100"/>
      <c r="DK41" s="100"/>
      <c r="DL41" s="100"/>
      <c r="DM41" s="100"/>
      <c r="DN41" s="100"/>
      <c r="DO41" s="100"/>
      <c r="DP41" s="100"/>
      <c r="DQ41" s="100"/>
      <c r="DR41" s="100"/>
      <c r="DS41" s="100"/>
      <c r="DT41" s="100"/>
      <c r="DU41" s="100"/>
      <c r="DV41" s="100"/>
      <c r="DW41" s="100"/>
      <c r="DX41" s="100"/>
      <c r="DY41" s="100"/>
      <c r="DZ41" s="100"/>
      <c r="EA41" s="100"/>
      <c r="EB41" s="100"/>
      <c r="EC41" s="100"/>
      <c r="ED41" s="100"/>
      <c r="EE41" s="100"/>
      <c r="EF41" s="100"/>
      <c r="EG41" s="100"/>
      <c r="EH41" s="100"/>
      <c r="EI41" s="100"/>
      <c r="EJ41" s="100"/>
      <c r="EK41" s="100"/>
      <c r="EL41" s="100"/>
      <c r="EM41" s="100"/>
      <c r="EN41" s="100"/>
      <c r="EO41" s="100"/>
      <c r="EP41" s="100"/>
      <c r="EQ41" s="100"/>
      <c r="ER41" s="100"/>
      <c r="ES41" s="100"/>
      <c r="ET41" s="100"/>
      <c r="EU41" s="100"/>
      <c r="EV41" s="100"/>
      <c r="EW41" s="100"/>
      <c r="EX41" s="100"/>
      <c r="EY41" s="100"/>
      <c r="EZ41" s="100"/>
      <c r="FA41" s="100"/>
      <c r="FB41" s="100"/>
      <c r="FC41" s="100"/>
      <c r="FD41" s="100"/>
      <c r="FE41" s="100"/>
      <c r="FF41" s="100"/>
      <c r="FG41" s="100"/>
      <c r="FH41" s="100"/>
      <c r="FI41" s="100"/>
      <c r="FJ41" s="100"/>
      <c r="FK41" s="100"/>
      <c r="FL41" s="100"/>
      <c r="FM41" s="100"/>
      <c r="FN41" s="100"/>
      <c r="FO41" s="100"/>
      <c r="FP41" s="100"/>
      <c r="FQ41" s="100"/>
      <c r="FR41" s="100"/>
      <c r="FS41" s="100"/>
      <c r="FT41" s="100"/>
      <c r="FU41" s="100"/>
      <c r="FV41" s="100"/>
      <c r="FW41" s="100"/>
      <c r="FX41" s="100"/>
      <c r="FY41" s="100"/>
      <c r="FZ41" s="100"/>
      <c r="GA41" s="100"/>
      <c r="GB41" s="100"/>
      <c r="GC41" s="100"/>
      <c r="GD41" s="100"/>
      <c r="GE41" s="100"/>
      <c r="GF41" s="100"/>
      <c r="GG41" s="100"/>
      <c r="GH41" s="100"/>
      <c r="GI41" s="100"/>
      <c r="GJ41" s="100"/>
      <c r="GK41" s="100"/>
      <c r="GL41" s="100"/>
      <c r="GM41" s="100"/>
      <c r="GN41" s="100"/>
      <c r="GO41" s="100"/>
      <c r="GP41" s="100"/>
      <c r="GQ41" s="100"/>
      <c r="GR41" s="100"/>
      <c r="GS41" s="100"/>
      <c r="GT41" s="100"/>
      <c r="GU41" s="100"/>
      <c r="GV41" s="100"/>
      <c r="GW41" s="100"/>
      <c r="GX41" s="100"/>
      <c r="GY41" s="100"/>
      <c r="GZ41" s="100"/>
      <c r="HA41" s="100"/>
      <c r="HB41" s="100"/>
      <c r="HC41" s="100"/>
      <c r="HD41" s="100"/>
      <c r="HE41" s="100"/>
      <c r="HF41" s="100"/>
      <c r="HG41" s="100"/>
      <c r="HH41" s="100"/>
      <c r="HI41" s="100"/>
      <c r="HJ41" s="100"/>
      <c r="HK41" s="100"/>
      <c r="HL41" s="100"/>
      <c r="HM41" s="100"/>
      <c r="HN41" s="100"/>
      <c r="HO41" s="100"/>
      <c r="HP41" s="100"/>
      <c r="HQ41" s="100"/>
      <c r="HR41" s="100"/>
      <c r="HS41" s="100"/>
      <c r="HT41" s="100"/>
      <c r="HU41" s="100"/>
      <c r="HV41" s="100"/>
      <c r="HW41" s="100"/>
      <c r="HX41" s="100"/>
      <c r="HY41" s="100"/>
      <c r="HZ41" s="100"/>
      <c r="IA41" s="100"/>
      <c r="IB41" s="100"/>
      <c r="IC41" s="100"/>
      <c r="ID41" s="100"/>
      <c r="IE41" s="100"/>
      <c r="IF41" s="100"/>
      <c r="IG41" s="100"/>
      <c r="IH41" s="100"/>
      <c r="II41" s="100"/>
      <c r="IJ41" s="100"/>
      <c r="IK41" s="100"/>
      <c r="IL41" s="100"/>
      <c r="IM41" s="100"/>
      <c r="IN41" s="100"/>
      <c r="IO41" s="100"/>
      <c r="IP41" s="100"/>
      <c r="IQ41" s="100"/>
      <c r="IR41" s="100"/>
      <c r="IS41" s="100"/>
      <c r="IT41" s="100"/>
      <c r="IU41" s="100"/>
      <c r="IV41" s="100"/>
      <c r="IW41" s="100"/>
    </row>
    <row r="42" customFormat="false" ht="12.75" hidden="false" customHeight="false" outlineLevel="0" collapsed="false">
      <c r="A42" s="100"/>
      <c r="B42" s="313" t="s">
        <v>737</v>
      </c>
      <c r="C42" s="100"/>
      <c r="D42" s="100"/>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100"/>
      <c r="BC42" s="100"/>
      <c r="BD42" s="100"/>
      <c r="BE42" s="100"/>
      <c r="BF42" s="100"/>
      <c r="BG42" s="100"/>
      <c r="BH42" s="100"/>
      <c r="BI42" s="100"/>
      <c r="BJ42" s="100"/>
      <c r="BK42" s="100"/>
      <c r="BL42" s="100"/>
      <c r="BM42" s="100"/>
      <c r="BN42" s="100"/>
      <c r="BO42" s="100"/>
      <c r="BP42" s="100"/>
      <c r="BQ42" s="100"/>
      <c r="BR42" s="100"/>
      <c r="BS42" s="100"/>
      <c r="BT42" s="100"/>
      <c r="BU42" s="100"/>
      <c r="BV42" s="100"/>
      <c r="BW42" s="100"/>
      <c r="BX42" s="100"/>
      <c r="BY42" s="100"/>
      <c r="BZ42" s="100"/>
      <c r="CA42" s="100"/>
      <c r="CB42" s="100"/>
      <c r="CC42" s="100"/>
      <c r="CD42" s="100"/>
      <c r="CE42" s="100"/>
      <c r="CF42" s="100"/>
      <c r="CG42" s="100"/>
      <c r="CH42" s="100"/>
      <c r="CI42" s="100"/>
      <c r="CJ42" s="100"/>
      <c r="CK42" s="100"/>
      <c r="CL42" s="100"/>
      <c r="CM42" s="100"/>
      <c r="CN42" s="100"/>
      <c r="CO42" s="100"/>
      <c r="CP42" s="100"/>
      <c r="CQ42" s="100"/>
      <c r="CR42" s="100"/>
      <c r="CS42" s="100"/>
      <c r="CT42" s="100"/>
      <c r="CU42" s="100"/>
      <c r="CV42" s="100"/>
      <c r="CW42" s="100"/>
      <c r="CX42" s="100"/>
      <c r="CY42" s="100"/>
      <c r="CZ42" s="100"/>
      <c r="DA42" s="100"/>
      <c r="DB42" s="100"/>
      <c r="DC42" s="100"/>
      <c r="DD42" s="100"/>
      <c r="DE42" s="100"/>
      <c r="DF42" s="100"/>
      <c r="DG42" s="100"/>
      <c r="DH42" s="100"/>
      <c r="DI42" s="100"/>
      <c r="DJ42" s="100"/>
      <c r="DK42" s="100"/>
      <c r="DL42" s="100"/>
      <c r="DM42" s="100"/>
      <c r="DN42" s="100"/>
      <c r="DO42" s="100"/>
      <c r="DP42" s="100"/>
      <c r="DQ42" s="100"/>
      <c r="DR42" s="100"/>
      <c r="DS42" s="100"/>
      <c r="DT42" s="100"/>
      <c r="DU42" s="100"/>
      <c r="DV42" s="100"/>
      <c r="DW42" s="100"/>
      <c r="DX42" s="100"/>
      <c r="DY42" s="100"/>
      <c r="DZ42" s="100"/>
      <c r="EA42" s="100"/>
      <c r="EB42" s="100"/>
      <c r="EC42" s="100"/>
      <c r="ED42" s="100"/>
      <c r="EE42" s="100"/>
      <c r="EF42" s="100"/>
      <c r="EG42" s="100"/>
      <c r="EH42" s="100"/>
      <c r="EI42" s="100"/>
      <c r="EJ42" s="100"/>
      <c r="EK42" s="100"/>
      <c r="EL42" s="100"/>
      <c r="EM42" s="100"/>
      <c r="EN42" s="100"/>
      <c r="EO42" s="100"/>
      <c r="EP42" s="100"/>
      <c r="EQ42" s="100"/>
      <c r="ER42" s="100"/>
      <c r="ES42" s="100"/>
      <c r="ET42" s="100"/>
      <c r="EU42" s="100"/>
      <c r="EV42" s="100"/>
      <c r="EW42" s="100"/>
      <c r="EX42" s="100"/>
      <c r="EY42" s="100"/>
      <c r="EZ42" s="100"/>
      <c r="FA42" s="100"/>
      <c r="FB42" s="100"/>
      <c r="FC42" s="100"/>
      <c r="FD42" s="100"/>
      <c r="FE42" s="100"/>
      <c r="FF42" s="100"/>
      <c r="FG42" s="100"/>
      <c r="FH42" s="100"/>
      <c r="FI42" s="100"/>
      <c r="FJ42" s="100"/>
      <c r="FK42" s="100"/>
      <c r="FL42" s="100"/>
      <c r="FM42" s="100"/>
      <c r="FN42" s="100"/>
      <c r="FO42" s="100"/>
      <c r="FP42" s="100"/>
      <c r="FQ42" s="100"/>
      <c r="FR42" s="100"/>
      <c r="FS42" s="100"/>
      <c r="FT42" s="100"/>
      <c r="FU42" s="100"/>
      <c r="FV42" s="100"/>
      <c r="FW42" s="100"/>
      <c r="FX42" s="100"/>
      <c r="FY42" s="100"/>
      <c r="FZ42" s="100"/>
      <c r="GA42" s="100"/>
      <c r="GB42" s="100"/>
      <c r="GC42" s="100"/>
      <c r="GD42" s="100"/>
      <c r="GE42" s="100"/>
      <c r="GF42" s="100"/>
      <c r="GG42" s="100"/>
      <c r="GH42" s="100"/>
      <c r="GI42" s="100"/>
      <c r="GJ42" s="100"/>
      <c r="GK42" s="100"/>
      <c r="GL42" s="100"/>
      <c r="GM42" s="100"/>
      <c r="GN42" s="100"/>
      <c r="GO42" s="100"/>
      <c r="GP42" s="100"/>
      <c r="GQ42" s="100"/>
      <c r="GR42" s="100"/>
      <c r="GS42" s="100"/>
      <c r="GT42" s="100"/>
      <c r="GU42" s="100"/>
      <c r="GV42" s="100"/>
      <c r="GW42" s="100"/>
      <c r="GX42" s="100"/>
      <c r="GY42" s="100"/>
      <c r="GZ42" s="100"/>
      <c r="HA42" s="100"/>
      <c r="HB42" s="100"/>
      <c r="HC42" s="100"/>
      <c r="HD42" s="100"/>
      <c r="HE42" s="100"/>
      <c r="HF42" s="100"/>
      <c r="HG42" s="100"/>
      <c r="HH42" s="100"/>
      <c r="HI42" s="100"/>
      <c r="HJ42" s="100"/>
      <c r="HK42" s="100"/>
      <c r="HL42" s="100"/>
      <c r="HM42" s="100"/>
      <c r="HN42" s="100"/>
      <c r="HO42" s="100"/>
      <c r="HP42" s="100"/>
      <c r="HQ42" s="100"/>
      <c r="HR42" s="100"/>
      <c r="HS42" s="100"/>
      <c r="HT42" s="100"/>
      <c r="HU42" s="100"/>
      <c r="HV42" s="100"/>
      <c r="HW42" s="100"/>
      <c r="HX42" s="100"/>
      <c r="HY42" s="100"/>
      <c r="HZ42" s="100"/>
      <c r="IA42" s="100"/>
      <c r="IB42" s="100"/>
      <c r="IC42" s="100"/>
      <c r="ID42" s="100"/>
      <c r="IE42" s="100"/>
      <c r="IF42" s="100"/>
      <c r="IG42" s="100"/>
      <c r="IH42" s="100"/>
      <c r="II42" s="100"/>
      <c r="IJ42" s="100"/>
      <c r="IK42" s="100"/>
      <c r="IL42" s="100"/>
      <c r="IM42" s="100"/>
      <c r="IN42" s="100"/>
      <c r="IO42" s="100"/>
      <c r="IP42" s="100"/>
      <c r="IQ42" s="100"/>
      <c r="IR42" s="100"/>
      <c r="IS42" s="100"/>
      <c r="IT42" s="100"/>
      <c r="IU42" s="100"/>
      <c r="IV42" s="100"/>
      <c r="IW42" s="100"/>
    </row>
    <row r="43" customFormat="false" ht="12.75" hidden="false" customHeight="false" outlineLevel="0" collapsed="false">
      <c r="A43" s="100"/>
      <c r="B43" s="100"/>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100"/>
      <c r="AB43" s="100"/>
      <c r="AC43" s="100"/>
      <c r="AD43" s="100"/>
      <c r="AE43" s="100"/>
      <c r="AF43" s="100"/>
      <c r="AG43" s="100"/>
      <c r="AH43" s="100"/>
      <c r="AI43" s="100"/>
      <c r="AJ43" s="100"/>
      <c r="AK43" s="100"/>
      <c r="AL43" s="100"/>
      <c r="AM43" s="100"/>
      <c r="AN43" s="100"/>
      <c r="AO43" s="100"/>
      <c r="AP43" s="100"/>
      <c r="AQ43" s="100"/>
      <c r="AR43" s="100"/>
      <c r="AS43" s="100"/>
      <c r="AT43" s="100"/>
      <c r="AU43" s="100"/>
      <c r="AV43" s="100"/>
      <c r="AW43" s="100"/>
      <c r="AX43" s="100"/>
      <c r="AY43" s="100"/>
      <c r="AZ43" s="100"/>
      <c r="BA43" s="100"/>
      <c r="BB43" s="100"/>
      <c r="BC43" s="100"/>
      <c r="BD43" s="100"/>
      <c r="BE43" s="100"/>
      <c r="BF43" s="100"/>
      <c r="BG43" s="100"/>
      <c r="BH43" s="100"/>
      <c r="BI43" s="100"/>
      <c r="BJ43" s="100"/>
      <c r="BK43" s="100"/>
      <c r="BL43" s="100"/>
      <c r="BM43" s="100"/>
      <c r="BN43" s="100"/>
      <c r="BO43" s="100"/>
      <c r="BP43" s="100"/>
      <c r="BQ43" s="100"/>
      <c r="BR43" s="100"/>
      <c r="BS43" s="100"/>
      <c r="BT43" s="100"/>
      <c r="BU43" s="100"/>
      <c r="BV43" s="100"/>
      <c r="BW43" s="100"/>
      <c r="BX43" s="100"/>
      <c r="BY43" s="100"/>
      <c r="BZ43" s="100"/>
      <c r="CA43" s="100"/>
      <c r="CB43" s="100"/>
      <c r="CC43" s="100"/>
      <c r="CD43" s="100"/>
      <c r="CE43" s="100"/>
      <c r="CF43" s="100"/>
      <c r="CG43" s="100"/>
      <c r="CH43" s="100"/>
      <c r="CI43" s="100"/>
      <c r="CJ43" s="100"/>
      <c r="CK43" s="100"/>
      <c r="CL43" s="100"/>
      <c r="CM43" s="100"/>
      <c r="CN43" s="100"/>
      <c r="CO43" s="100"/>
      <c r="CP43" s="100"/>
      <c r="CQ43" s="100"/>
      <c r="CR43" s="100"/>
      <c r="CS43" s="100"/>
      <c r="CT43" s="100"/>
      <c r="CU43" s="100"/>
      <c r="CV43" s="100"/>
      <c r="CW43" s="100"/>
      <c r="CX43" s="100"/>
      <c r="CY43" s="100"/>
      <c r="CZ43" s="100"/>
      <c r="DA43" s="100"/>
      <c r="DB43" s="100"/>
      <c r="DC43" s="100"/>
      <c r="DD43" s="100"/>
      <c r="DE43" s="100"/>
      <c r="DF43" s="100"/>
      <c r="DG43" s="100"/>
      <c r="DH43" s="100"/>
      <c r="DI43" s="100"/>
      <c r="DJ43" s="100"/>
      <c r="DK43" s="100"/>
      <c r="DL43" s="100"/>
      <c r="DM43" s="100"/>
      <c r="DN43" s="100"/>
      <c r="DO43" s="100"/>
      <c r="DP43" s="100"/>
      <c r="DQ43" s="100"/>
      <c r="DR43" s="100"/>
      <c r="DS43" s="100"/>
      <c r="DT43" s="100"/>
      <c r="DU43" s="100"/>
      <c r="DV43" s="100"/>
      <c r="DW43" s="100"/>
      <c r="DX43" s="100"/>
      <c r="DY43" s="100"/>
      <c r="DZ43" s="100"/>
      <c r="EA43" s="100"/>
      <c r="EB43" s="100"/>
      <c r="EC43" s="100"/>
      <c r="ED43" s="100"/>
      <c r="EE43" s="100"/>
      <c r="EF43" s="100"/>
      <c r="EG43" s="100"/>
      <c r="EH43" s="100"/>
      <c r="EI43" s="100"/>
      <c r="EJ43" s="100"/>
      <c r="EK43" s="100"/>
      <c r="EL43" s="100"/>
      <c r="EM43" s="100"/>
      <c r="EN43" s="100"/>
      <c r="EO43" s="100"/>
      <c r="EP43" s="100"/>
      <c r="EQ43" s="100"/>
      <c r="ER43" s="100"/>
      <c r="ES43" s="100"/>
      <c r="ET43" s="100"/>
      <c r="EU43" s="100"/>
      <c r="EV43" s="100"/>
      <c r="EW43" s="100"/>
      <c r="EX43" s="100"/>
      <c r="EY43" s="100"/>
      <c r="EZ43" s="100"/>
      <c r="FA43" s="100"/>
      <c r="FB43" s="100"/>
      <c r="FC43" s="100"/>
      <c r="FD43" s="100"/>
      <c r="FE43" s="100"/>
      <c r="FF43" s="100"/>
      <c r="FG43" s="100"/>
      <c r="FH43" s="100"/>
      <c r="FI43" s="100"/>
      <c r="FJ43" s="100"/>
      <c r="FK43" s="100"/>
      <c r="FL43" s="100"/>
      <c r="FM43" s="100"/>
      <c r="FN43" s="100"/>
      <c r="FO43" s="100"/>
      <c r="FP43" s="100"/>
      <c r="FQ43" s="100"/>
      <c r="FR43" s="100"/>
      <c r="FS43" s="100"/>
      <c r="FT43" s="100"/>
      <c r="FU43" s="100"/>
      <c r="FV43" s="100"/>
      <c r="FW43" s="100"/>
      <c r="FX43" s="100"/>
      <c r="FY43" s="100"/>
      <c r="FZ43" s="100"/>
      <c r="GA43" s="100"/>
      <c r="GB43" s="100"/>
      <c r="GC43" s="100"/>
      <c r="GD43" s="100"/>
      <c r="GE43" s="100"/>
      <c r="GF43" s="100"/>
      <c r="GG43" s="100"/>
      <c r="GH43" s="100"/>
      <c r="GI43" s="100"/>
      <c r="GJ43" s="100"/>
      <c r="GK43" s="100"/>
      <c r="GL43" s="100"/>
      <c r="GM43" s="100"/>
      <c r="GN43" s="100"/>
      <c r="GO43" s="100"/>
      <c r="GP43" s="100"/>
      <c r="GQ43" s="100"/>
      <c r="GR43" s="100"/>
      <c r="GS43" s="100"/>
      <c r="GT43" s="100"/>
      <c r="GU43" s="100"/>
      <c r="GV43" s="100"/>
      <c r="GW43" s="100"/>
      <c r="GX43" s="100"/>
      <c r="GY43" s="100"/>
      <c r="GZ43" s="100"/>
      <c r="HA43" s="100"/>
      <c r="HB43" s="100"/>
      <c r="HC43" s="100"/>
      <c r="HD43" s="100"/>
      <c r="HE43" s="100"/>
      <c r="HF43" s="100"/>
      <c r="HG43" s="100"/>
      <c r="HH43" s="100"/>
      <c r="HI43" s="100"/>
      <c r="HJ43" s="100"/>
      <c r="HK43" s="100"/>
      <c r="HL43" s="100"/>
      <c r="HM43" s="100"/>
      <c r="HN43" s="100"/>
      <c r="HO43" s="100"/>
      <c r="HP43" s="100"/>
      <c r="HQ43" s="100"/>
      <c r="HR43" s="100"/>
      <c r="HS43" s="100"/>
      <c r="HT43" s="100"/>
      <c r="HU43" s="100"/>
      <c r="HV43" s="100"/>
      <c r="HW43" s="100"/>
      <c r="HX43" s="100"/>
      <c r="HY43" s="100"/>
      <c r="HZ43" s="100"/>
      <c r="IA43" s="100"/>
      <c r="IB43" s="100"/>
      <c r="IC43" s="100"/>
      <c r="ID43" s="100"/>
      <c r="IE43" s="100"/>
      <c r="IF43" s="100"/>
      <c r="IG43" s="100"/>
      <c r="IH43" s="100"/>
      <c r="II43" s="100"/>
      <c r="IJ43" s="100"/>
      <c r="IK43" s="100"/>
      <c r="IL43" s="100"/>
      <c r="IM43" s="100"/>
      <c r="IN43" s="100"/>
      <c r="IO43" s="100"/>
      <c r="IP43" s="100"/>
      <c r="IQ43" s="100"/>
      <c r="IR43" s="100"/>
      <c r="IS43" s="100"/>
      <c r="IT43" s="100"/>
      <c r="IU43" s="100"/>
      <c r="IV43" s="100"/>
      <c r="IW43" s="100"/>
    </row>
    <row r="44" customFormat="false" ht="12.75" hidden="false" customHeight="false" outlineLevel="0" collapsed="false">
      <c r="A44" s="100"/>
      <c r="B44" s="266" t="s">
        <v>728</v>
      </c>
      <c r="C44" s="1121"/>
      <c r="D44" s="267" t="n">
        <v>0</v>
      </c>
      <c r="E44" s="267" t="n">
        <f aca="false">D53</f>
        <v>31582.1946786041</v>
      </c>
      <c r="F44" s="267" t="n">
        <f aca="false">E53</f>
        <v>19655.4160770651</v>
      </c>
      <c r="G44" s="267" t="n">
        <f aca="false">F53</f>
        <v>12456.3530508092</v>
      </c>
      <c r="H44" s="267" t="n">
        <f aca="false">G53</f>
        <v>8093.91936972311</v>
      </c>
      <c r="I44" s="267" t="n">
        <f aca="false">H53</f>
        <v>3731.48568863706</v>
      </c>
      <c r="J44" s="267" t="n">
        <f aca="false">I53</f>
        <v>1496.52401642843</v>
      </c>
      <c r="K44" s="267" t="n">
        <f aca="false">J53</f>
        <v>1389.0343530972</v>
      </c>
      <c r="L44" s="267" t="n">
        <f aca="false">K53</f>
        <v>1281.54468976598</v>
      </c>
      <c r="M44" s="267" t="n">
        <f aca="false">L53</f>
        <v>1174.05502643475</v>
      </c>
      <c r="N44" s="267" t="n">
        <f aca="false">M53</f>
        <v>1066.56536310353</v>
      </c>
      <c r="O44" s="267" t="n">
        <f aca="false">N53</f>
        <v>959.075699772307</v>
      </c>
      <c r="P44" s="267" t="n">
        <f aca="false">O53</f>
        <v>851.586036441084</v>
      </c>
      <c r="Q44" s="267" t="n">
        <f aca="false">P53</f>
        <v>744.09637310986</v>
      </c>
      <c r="R44" s="267" t="n">
        <f aca="false">Q53</f>
        <v>636.606709778635</v>
      </c>
      <c r="S44" s="267" t="n">
        <f aca="false">R53</f>
        <v>529.11704644741</v>
      </c>
      <c r="T44" s="267" t="n">
        <f aca="false">S53</f>
        <v>421.627383116185</v>
      </c>
      <c r="U44" s="267" t="n">
        <f aca="false">T53</f>
        <v>314.137719784956</v>
      </c>
      <c r="V44" s="267" t="n">
        <f aca="false">U53</f>
        <v>275.258479856641</v>
      </c>
      <c r="W44" s="267" t="n">
        <f aca="false">V53</f>
        <v>236.379239928326</v>
      </c>
      <c r="X44" s="267" t="n">
        <f aca="false">W53</f>
        <v>0</v>
      </c>
      <c r="Y44" s="267" t="n">
        <f aca="false">X53</f>
        <v>0</v>
      </c>
      <c r="Z44" s="267" t="n">
        <f aca="false">Y53</f>
        <v>0</v>
      </c>
      <c r="AA44" s="267" t="n">
        <f aca="false">Z53</f>
        <v>0</v>
      </c>
      <c r="AB44" s="267" t="n">
        <f aca="false">AA53</f>
        <v>0</v>
      </c>
      <c r="AC44" s="267" t="n">
        <f aca="false">AB53</f>
        <v>0</v>
      </c>
      <c r="AD44" s="267" t="n">
        <f aca="false">AC53</f>
        <v>0</v>
      </c>
      <c r="AE44" s="267" t="n">
        <f aca="false">AD53</f>
        <v>0</v>
      </c>
      <c r="AF44" s="267" t="n">
        <f aca="false">AE53</f>
        <v>0</v>
      </c>
      <c r="AG44" s="267" t="n">
        <f aca="false">AF53</f>
        <v>0</v>
      </c>
      <c r="AH44" s="268" t="n">
        <f aca="false">AG53</f>
        <v>0</v>
      </c>
      <c r="AI44" s="100"/>
      <c r="AJ44" s="100"/>
      <c r="AK44" s="100"/>
      <c r="AL44" s="100"/>
      <c r="AM44" s="100"/>
      <c r="AN44" s="100"/>
      <c r="AO44" s="100"/>
      <c r="AP44" s="100"/>
      <c r="AQ44" s="100"/>
      <c r="AR44" s="100"/>
      <c r="AS44" s="100"/>
      <c r="AT44" s="100"/>
      <c r="AU44" s="100"/>
      <c r="AV44" s="100"/>
      <c r="AW44" s="100"/>
      <c r="AX44" s="100"/>
      <c r="AY44" s="100"/>
      <c r="AZ44" s="100"/>
      <c r="BA44" s="100"/>
      <c r="BB44" s="100"/>
      <c r="BC44" s="100"/>
      <c r="BD44" s="100"/>
      <c r="BE44" s="100"/>
      <c r="BF44" s="100"/>
      <c r="BG44" s="100"/>
      <c r="BH44" s="100"/>
      <c r="BI44" s="100"/>
      <c r="BJ44" s="100"/>
      <c r="BK44" s="100"/>
      <c r="BL44" s="100"/>
      <c r="BM44" s="100"/>
      <c r="BN44" s="100"/>
      <c r="BO44" s="100"/>
      <c r="BP44" s="100"/>
      <c r="BQ44" s="100"/>
      <c r="BR44" s="100"/>
      <c r="BS44" s="100"/>
      <c r="BT44" s="100"/>
      <c r="BU44" s="100"/>
      <c r="BV44" s="100"/>
      <c r="BW44" s="100"/>
      <c r="BX44" s="100"/>
      <c r="BY44" s="100"/>
      <c r="BZ44" s="100"/>
      <c r="CA44" s="100"/>
      <c r="CB44" s="100"/>
      <c r="CC44" s="100"/>
      <c r="CD44" s="100"/>
      <c r="CE44" s="100"/>
      <c r="CF44" s="100"/>
      <c r="CG44" s="100"/>
      <c r="CH44" s="100"/>
      <c r="CI44" s="100"/>
      <c r="CJ44" s="100"/>
      <c r="CK44" s="100"/>
      <c r="CL44" s="100"/>
      <c r="CM44" s="100"/>
      <c r="CN44" s="100"/>
      <c r="CO44" s="100"/>
      <c r="CP44" s="100"/>
      <c r="CQ44" s="100"/>
      <c r="CR44" s="100"/>
      <c r="CS44" s="100"/>
      <c r="CT44" s="100"/>
      <c r="CU44" s="100"/>
      <c r="CV44" s="100"/>
      <c r="CW44" s="100"/>
      <c r="CX44" s="100"/>
      <c r="CY44" s="100"/>
      <c r="CZ44" s="100"/>
      <c r="DA44" s="100"/>
      <c r="DB44" s="100"/>
      <c r="DC44" s="100"/>
      <c r="DD44" s="100"/>
      <c r="DE44" s="100"/>
      <c r="DF44" s="100"/>
      <c r="DG44" s="100"/>
      <c r="DH44" s="100"/>
      <c r="DI44" s="100"/>
      <c r="DJ44" s="100"/>
      <c r="DK44" s="100"/>
      <c r="DL44" s="100"/>
      <c r="DM44" s="100"/>
      <c r="DN44" s="100"/>
      <c r="DO44" s="100"/>
      <c r="DP44" s="100"/>
      <c r="DQ44" s="100"/>
      <c r="DR44" s="100"/>
      <c r="DS44" s="100"/>
      <c r="DT44" s="100"/>
      <c r="DU44" s="100"/>
      <c r="DV44" s="100"/>
      <c r="DW44" s="100"/>
      <c r="DX44" s="100"/>
      <c r="DY44" s="100"/>
      <c r="DZ44" s="100"/>
      <c r="EA44" s="100"/>
      <c r="EB44" s="100"/>
      <c r="EC44" s="100"/>
      <c r="ED44" s="100"/>
      <c r="EE44" s="100"/>
      <c r="EF44" s="100"/>
      <c r="EG44" s="100"/>
      <c r="EH44" s="100"/>
      <c r="EI44" s="100"/>
      <c r="EJ44" s="100"/>
      <c r="EK44" s="100"/>
      <c r="EL44" s="100"/>
      <c r="EM44" s="100"/>
      <c r="EN44" s="100"/>
      <c r="EO44" s="100"/>
      <c r="EP44" s="100"/>
      <c r="EQ44" s="100"/>
      <c r="ER44" s="100"/>
      <c r="ES44" s="100"/>
      <c r="ET44" s="100"/>
      <c r="EU44" s="100"/>
      <c r="EV44" s="100"/>
      <c r="EW44" s="100"/>
      <c r="EX44" s="100"/>
      <c r="EY44" s="100"/>
      <c r="EZ44" s="100"/>
      <c r="FA44" s="100"/>
      <c r="FB44" s="100"/>
      <c r="FC44" s="100"/>
      <c r="FD44" s="100"/>
      <c r="FE44" s="100"/>
      <c r="FF44" s="100"/>
      <c r="FG44" s="100"/>
      <c r="FH44" s="100"/>
      <c r="FI44" s="100"/>
      <c r="FJ44" s="100"/>
      <c r="FK44" s="100"/>
      <c r="FL44" s="100"/>
      <c r="FM44" s="100"/>
      <c r="FN44" s="100"/>
      <c r="FO44" s="100"/>
      <c r="FP44" s="100"/>
      <c r="FQ44" s="100"/>
      <c r="FR44" s="100"/>
      <c r="FS44" s="100"/>
      <c r="FT44" s="100"/>
      <c r="FU44" s="100"/>
      <c r="FV44" s="100"/>
      <c r="FW44" s="100"/>
      <c r="FX44" s="100"/>
      <c r="FY44" s="100"/>
      <c r="FZ44" s="100"/>
      <c r="GA44" s="100"/>
      <c r="GB44" s="100"/>
      <c r="GC44" s="100"/>
      <c r="GD44" s="100"/>
      <c r="GE44" s="100"/>
      <c r="GF44" s="100"/>
      <c r="GG44" s="100"/>
      <c r="GH44" s="100"/>
      <c r="GI44" s="100"/>
      <c r="GJ44" s="100"/>
      <c r="GK44" s="100"/>
      <c r="GL44" s="100"/>
      <c r="GM44" s="100"/>
      <c r="GN44" s="100"/>
      <c r="GO44" s="100"/>
      <c r="GP44" s="100"/>
      <c r="GQ44" s="100"/>
      <c r="GR44" s="100"/>
      <c r="GS44" s="100"/>
      <c r="GT44" s="100"/>
      <c r="GU44" s="100"/>
      <c r="GV44" s="100"/>
      <c r="GW44" s="100"/>
      <c r="GX44" s="100"/>
      <c r="GY44" s="100"/>
      <c r="GZ44" s="100"/>
      <c r="HA44" s="100"/>
      <c r="HB44" s="100"/>
      <c r="HC44" s="100"/>
      <c r="HD44" s="100"/>
      <c r="HE44" s="100"/>
      <c r="HF44" s="100"/>
      <c r="HG44" s="100"/>
      <c r="HH44" s="100"/>
      <c r="HI44" s="100"/>
      <c r="HJ44" s="100"/>
      <c r="HK44" s="100"/>
      <c r="HL44" s="100"/>
      <c r="HM44" s="100"/>
      <c r="HN44" s="100"/>
      <c r="HO44" s="100"/>
      <c r="HP44" s="100"/>
      <c r="HQ44" s="100"/>
      <c r="HR44" s="100"/>
      <c r="HS44" s="100"/>
      <c r="HT44" s="100"/>
      <c r="HU44" s="100"/>
      <c r="HV44" s="100"/>
      <c r="HW44" s="100"/>
      <c r="HX44" s="100"/>
      <c r="HY44" s="100"/>
      <c r="HZ44" s="100"/>
      <c r="IA44" s="100"/>
      <c r="IB44" s="100"/>
      <c r="IC44" s="100"/>
      <c r="ID44" s="100"/>
      <c r="IE44" s="100"/>
      <c r="IF44" s="100"/>
      <c r="IG44" s="100"/>
      <c r="IH44" s="100"/>
      <c r="II44" s="100"/>
      <c r="IJ44" s="100"/>
      <c r="IK44" s="100"/>
      <c r="IL44" s="100"/>
      <c r="IM44" s="100"/>
      <c r="IN44" s="100"/>
      <c r="IO44" s="100"/>
      <c r="IP44" s="100"/>
      <c r="IQ44" s="100"/>
      <c r="IR44" s="100"/>
      <c r="IS44" s="100"/>
      <c r="IT44" s="100"/>
      <c r="IU44" s="100"/>
      <c r="IV44" s="100"/>
      <c r="IW44" s="100"/>
    </row>
    <row r="45" customFormat="false" ht="12.75" hidden="false" customHeight="false" outlineLevel="0" collapsed="false">
      <c r="A45" s="100"/>
      <c r="B45" s="1122" t="s">
        <v>729</v>
      </c>
      <c r="C45" s="313"/>
      <c r="D45" s="313" t="n">
        <f aca="false">CapAcc!D60</f>
        <v>0</v>
      </c>
      <c r="E45" s="313" t="n">
        <f aca="false">D51</f>
        <v>19331.813945145</v>
      </c>
      <c r="F45" s="313" t="n">
        <f aca="false">E51</f>
        <v>7762.29440874407</v>
      </c>
      <c r="G45" s="313" t="n">
        <f aca="false">F51</f>
        <v>953.384524400175</v>
      </c>
      <c r="H45" s="313" t="n">
        <f aca="false">G51</f>
        <v>-2976.20354182176</v>
      </c>
      <c r="I45" s="313" t="n">
        <f aca="false">H51</f>
        <v>-6862.62431906961</v>
      </c>
      <c r="J45" s="313" t="n">
        <f aca="false">I51</f>
        <v>-8574.33882478007</v>
      </c>
      <c r="K45" s="313" t="n">
        <f aca="false">J51</f>
        <v>-8116.48345932907</v>
      </c>
      <c r="L45" s="313" t="n">
        <f aca="false">K51</f>
        <v>-7606.80733418058</v>
      </c>
      <c r="M45" s="313" t="n">
        <f aca="false">L51</f>
        <v>-7043.41533334513</v>
      </c>
      <c r="N45" s="313" t="n">
        <f aca="false">M51</f>
        <v>-6421.3434421065</v>
      </c>
      <c r="O45" s="313" t="n">
        <f aca="false">N51</f>
        <v>-5704.38941808729</v>
      </c>
      <c r="P45" s="313" t="n">
        <f aca="false">O51</f>
        <v>-4912.18478284193</v>
      </c>
      <c r="Q45" s="313" t="n">
        <f aca="false">P51</f>
        <v>-4040.25807966233</v>
      </c>
      <c r="R45" s="313" t="n">
        <f aca="false">Q51</f>
        <v>-3081.54216800578</v>
      </c>
      <c r="S45" s="313" t="n">
        <f aca="false">R51</f>
        <v>-2029.46473154099</v>
      </c>
      <c r="T45" s="313" t="n">
        <f aca="false">S51</f>
        <v>-873.505354522752</v>
      </c>
      <c r="U45" s="313" t="n">
        <f aca="false">T51</f>
        <v>314.137719784956</v>
      </c>
      <c r="V45" s="313" t="n">
        <f aca="false">U51</f>
        <v>275.258479856641</v>
      </c>
      <c r="W45" s="313" t="n">
        <f aca="false">V51</f>
        <v>236.379239928326</v>
      </c>
      <c r="X45" s="313" t="n">
        <f aca="false">W51</f>
        <v>0</v>
      </c>
      <c r="Y45" s="313" t="n">
        <f aca="false">X51</f>
        <v>0</v>
      </c>
      <c r="Z45" s="313" t="n">
        <f aca="false">Y51</f>
        <v>0</v>
      </c>
      <c r="AA45" s="313" t="n">
        <f aca="false">Z51</f>
        <v>0</v>
      </c>
      <c r="AB45" s="313" t="n">
        <f aca="false">AA51</f>
        <v>0</v>
      </c>
      <c r="AC45" s="313" t="n">
        <f aca="false">AB51</f>
        <v>0</v>
      </c>
      <c r="AD45" s="313" t="n">
        <f aca="false">AC51</f>
        <v>0</v>
      </c>
      <c r="AE45" s="313" t="n">
        <f aca="false">AD51</f>
        <v>0</v>
      </c>
      <c r="AF45" s="313" t="n">
        <f aca="false">AE51</f>
        <v>0</v>
      </c>
      <c r="AG45" s="313" t="n">
        <f aca="false">AF51</f>
        <v>0</v>
      </c>
      <c r="AH45" s="1123" t="n">
        <f aca="false">AG51</f>
        <v>0</v>
      </c>
      <c r="AI45" s="100"/>
      <c r="AJ45" s="100"/>
      <c r="AK45" s="100"/>
      <c r="AL45" s="100"/>
      <c r="AM45" s="100"/>
      <c r="AN45" s="100"/>
      <c r="AO45" s="100"/>
      <c r="AP45" s="100"/>
      <c r="AQ45" s="100"/>
      <c r="AR45" s="100"/>
      <c r="AS45" s="100"/>
      <c r="AT45" s="100"/>
      <c r="AU45" s="100"/>
      <c r="AV45" s="100"/>
      <c r="AW45" s="100"/>
      <c r="AX45" s="100"/>
      <c r="AY45" s="100"/>
      <c r="AZ45" s="100"/>
      <c r="BA45" s="100"/>
      <c r="BB45" s="100"/>
      <c r="BC45" s="100"/>
      <c r="BD45" s="100"/>
      <c r="BE45" s="100"/>
      <c r="BF45" s="100"/>
      <c r="BG45" s="100"/>
      <c r="BH45" s="100"/>
      <c r="BI45" s="100"/>
      <c r="BJ45" s="100"/>
      <c r="BK45" s="100"/>
      <c r="BL45" s="100"/>
      <c r="BM45" s="100"/>
      <c r="BN45" s="100"/>
      <c r="BO45" s="100"/>
      <c r="BP45" s="100"/>
      <c r="BQ45" s="100"/>
      <c r="BR45" s="100"/>
      <c r="BS45" s="100"/>
      <c r="BT45" s="100"/>
      <c r="BU45" s="100"/>
      <c r="BV45" s="100"/>
      <c r="BW45" s="100"/>
      <c r="BX45" s="100"/>
      <c r="BY45" s="100"/>
      <c r="BZ45" s="100"/>
      <c r="CA45" s="100"/>
      <c r="CB45" s="100"/>
      <c r="CC45" s="100"/>
      <c r="CD45" s="100"/>
      <c r="CE45" s="100"/>
      <c r="CF45" s="100"/>
      <c r="CG45" s="100"/>
      <c r="CH45" s="100"/>
      <c r="CI45" s="100"/>
      <c r="CJ45" s="100"/>
      <c r="CK45" s="100"/>
      <c r="CL45" s="100"/>
      <c r="CM45" s="100"/>
      <c r="CN45" s="100"/>
      <c r="CO45" s="100"/>
      <c r="CP45" s="100"/>
      <c r="CQ45" s="100"/>
      <c r="CR45" s="100"/>
      <c r="CS45" s="100"/>
      <c r="CT45" s="100"/>
      <c r="CU45" s="100"/>
      <c r="CV45" s="100"/>
      <c r="CW45" s="100"/>
      <c r="CX45" s="100"/>
      <c r="CY45" s="100"/>
      <c r="CZ45" s="100"/>
      <c r="DA45" s="100"/>
      <c r="DB45" s="100"/>
      <c r="DC45" s="100"/>
      <c r="DD45" s="100"/>
      <c r="DE45" s="100"/>
      <c r="DF45" s="100"/>
      <c r="DG45" s="100"/>
      <c r="DH45" s="100"/>
      <c r="DI45" s="100"/>
      <c r="DJ45" s="100"/>
      <c r="DK45" s="100"/>
      <c r="DL45" s="100"/>
      <c r="DM45" s="100"/>
      <c r="DN45" s="100"/>
      <c r="DO45" s="100"/>
      <c r="DP45" s="100"/>
      <c r="DQ45" s="100"/>
      <c r="DR45" s="100"/>
      <c r="DS45" s="100"/>
      <c r="DT45" s="100"/>
      <c r="DU45" s="100"/>
      <c r="DV45" s="100"/>
      <c r="DW45" s="100"/>
      <c r="DX45" s="100"/>
      <c r="DY45" s="100"/>
      <c r="DZ45" s="100"/>
      <c r="EA45" s="100"/>
      <c r="EB45" s="100"/>
      <c r="EC45" s="100"/>
      <c r="ED45" s="100"/>
      <c r="EE45" s="100"/>
      <c r="EF45" s="100"/>
      <c r="EG45" s="100"/>
      <c r="EH45" s="100"/>
      <c r="EI45" s="100"/>
      <c r="EJ45" s="100"/>
      <c r="EK45" s="100"/>
      <c r="EL45" s="100"/>
      <c r="EM45" s="100"/>
      <c r="EN45" s="100"/>
      <c r="EO45" s="100"/>
      <c r="EP45" s="100"/>
      <c r="EQ45" s="100"/>
      <c r="ER45" s="100"/>
      <c r="ES45" s="100"/>
      <c r="ET45" s="100"/>
      <c r="EU45" s="100"/>
      <c r="EV45" s="100"/>
      <c r="EW45" s="100"/>
      <c r="EX45" s="100"/>
      <c r="EY45" s="100"/>
      <c r="EZ45" s="100"/>
      <c r="FA45" s="100"/>
      <c r="FB45" s="100"/>
      <c r="FC45" s="100"/>
      <c r="FD45" s="100"/>
      <c r="FE45" s="100"/>
      <c r="FF45" s="100"/>
      <c r="FG45" s="100"/>
      <c r="FH45" s="100"/>
      <c r="FI45" s="100"/>
      <c r="FJ45" s="100"/>
      <c r="FK45" s="100"/>
      <c r="FL45" s="100"/>
      <c r="FM45" s="100"/>
      <c r="FN45" s="100"/>
      <c r="FO45" s="100"/>
      <c r="FP45" s="100"/>
      <c r="FQ45" s="100"/>
      <c r="FR45" s="100"/>
      <c r="FS45" s="100"/>
      <c r="FT45" s="100"/>
      <c r="FU45" s="100"/>
      <c r="FV45" s="100"/>
      <c r="FW45" s="100"/>
      <c r="FX45" s="100"/>
      <c r="FY45" s="100"/>
      <c r="FZ45" s="100"/>
      <c r="GA45" s="100"/>
      <c r="GB45" s="100"/>
      <c r="GC45" s="100"/>
      <c r="GD45" s="100"/>
      <c r="GE45" s="100"/>
      <c r="GF45" s="100"/>
      <c r="GG45" s="100"/>
      <c r="GH45" s="100"/>
      <c r="GI45" s="100"/>
      <c r="GJ45" s="100"/>
      <c r="GK45" s="100"/>
      <c r="GL45" s="100"/>
      <c r="GM45" s="100"/>
      <c r="GN45" s="100"/>
      <c r="GO45" s="100"/>
      <c r="GP45" s="100"/>
      <c r="GQ45" s="100"/>
      <c r="GR45" s="100"/>
      <c r="GS45" s="100"/>
      <c r="GT45" s="100"/>
      <c r="GU45" s="100"/>
      <c r="GV45" s="100"/>
      <c r="GW45" s="100"/>
      <c r="GX45" s="100"/>
      <c r="GY45" s="100"/>
      <c r="GZ45" s="100"/>
      <c r="HA45" s="100"/>
      <c r="HB45" s="100"/>
      <c r="HC45" s="100"/>
      <c r="HD45" s="100"/>
      <c r="HE45" s="100"/>
      <c r="HF45" s="100"/>
      <c r="HG45" s="100"/>
      <c r="HH45" s="100"/>
      <c r="HI45" s="100"/>
      <c r="HJ45" s="100"/>
      <c r="HK45" s="100"/>
      <c r="HL45" s="100"/>
      <c r="HM45" s="100"/>
      <c r="HN45" s="100"/>
      <c r="HO45" s="100"/>
      <c r="HP45" s="100"/>
      <c r="HQ45" s="100"/>
      <c r="HR45" s="100"/>
      <c r="HS45" s="100"/>
      <c r="HT45" s="100"/>
      <c r="HU45" s="100"/>
      <c r="HV45" s="100"/>
      <c r="HW45" s="100"/>
      <c r="HX45" s="100"/>
      <c r="HY45" s="100"/>
      <c r="HZ45" s="100"/>
      <c r="IA45" s="100"/>
      <c r="IB45" s="100"/>
      <c r="IC45" s="100"/>
      <c r="ID45" s="100"/>
      <c r="IE45" s="100"/>
      <c r="IF45" s="100"/>
      <c r="IG45" s="100"/>
      <c r="IH45" s="100"/>
      <c r="II45" s="100"/>
      <c r="IJ45" s="100"/>
      <c r="IK45" s="100"/>
      <c r="IL45" s="100"/>
      <c r="IM45" s="100"/>
      <c r="IN45" s="100"/>
      <c r="IO45" s="100"/>
      <c r="IP45" s="100"/>
      <c r="IQ45" s="100"/>
      <c r="IR45" s="100"/>
      <c r="IS45" s="100"/>
      <c r="IT45" s="100"/>
      <c r="IU45" s="100"/>
      <c r="IV45" s="100"/>
      <c r="IW45" s="100"/>
    </row>
    <row r="46" customFormat="false" ht="12.75" hidden="false" customHeight="false" outlineLevel="0" collapsed="false">
      <c r="A46" s="100"/>
      <c r="B46" s="1115" t="s">
        <v>730</v>
      </c>
      <c r="C46" s="100"/>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88"/>
      <c r="AI46" s="100"/>
      <c r="AJ46" s="100"/>
      <c r="AK46" s="100"/>
      <c r="AL46" s="100"/>
      <c r="AM46" s="100"/>
      <c r="AN46" s="100"/>
      <c r="AO46" s="100"/>
      <c r="AP46" s="100"/>
      <c r="AQ46" s="100"/>
      <c r="AR46" s="100"/>
      <c r="AS46" s="100"/>
      <c r="AT46" s="100"/>
      <c r="AU46" s="100"/>
      <c r="AV46" s="100"/>
      <c r="AW46" s="100"/>
      <c r="AX46" s="100"/>
      <c r="AY46" s="100"/>
      <c r="AZ46" s="100"/>
      <c r="BA46" s="100"/>
      <c r="BB46" s="100"/>
      <c r="BC46" s="100"/>
      <c r="BD46" s="100"/>
      <c r="BE46" s="100"/>
      <c r="BF46" s="100"/>
      <c r="BG46" s="100"/>
      <c r="BH46" s="100"/>
      <c r="BI46" s="100"/>
      <c r="BJ46" s="100"/>
      <c r="BK46" s="100"/>
      <c r="BL46" s="100"/>
      <c r="BM46" s="100"/>
      <c r="BN46" s="100"/>
      <c r="BO46" s="100"/>
      <c r="BP46" s="100"/>
      <c r="BQ46" s="100"/>
      <c r="BR46" s="100"/>
      <c r="BS46" s="100"/>
      <c r="BT46" s="100"/>
      <c r="BU46" s="100"/>
      <c r="BV46" s="100"/>
      <c r="BW46" s="100"/>
      <c r="BX46" s="100"/>
      <c r="BY46" s="100"/>
      <c r="BZ46" s="100"/>
      <c r="CA46" s="100"/>
      <c r="CB46" s="100"/>
      <c r="CC46" s="100"/>
      <c r="CD46" s="100"/>
      <c r="CE46" s="100"/>
      <c r="CF46" s="100"/>
      <c r="CG46" s="100"/>
      <c r="CH46" s="100"/>
      <c r="CI46" s="100"/>
      <c r="CJ46" s="100"/>
      <c r="CK46" s="100"/>
      <c r="CL46" s="100"/>
      <c r="CM46" s="100"/>
      <c r="CN46" s="100"/>
      <c r="CO46" s="100"/>
      <c r="CP46" s="100"/>
      <c r="CQ46" s="100"/>
      <c r="CR46" s="100"/>
      <c r="CS46" s="100"/>
      <c r="CT46" s="100"/>
      <c r="CU46" s="100"/>
      <c r="CV46" s="100"/>
      <c r="CW46" s="100"/>
      <c r="CX46" s="100"/>
      <c r="CY46" s="100"/>
      <c r="CZ46" s="100"/>
      <c r="DA46" s="100"/>
      <c r="DB46" s="100"/>
      <c r="DC46" s="100"/>
      <c r="DD46" s="100"/>
      <c r="DE46" s="100"/>
      <c r="DF46" s="100"/>
      <c r="DG46" s="100"/>
      <c r="DH46" s="100"/>
      <c r="DI46" s="100"/>
      <c r="DJ46" s="100"/>
      <c r="DK46" s="100"/>
      <c r="DL46" s="100"/>
      <c r="DM46" s="100"/>
      <c r="DN46" s="100"/>
      <c r="DO46" s="100"/>
      <c r="DP46" s="100"/>
      <c r="DQ46" s="100"/>
      <c r="DR46" s="100"/>
      <c r="DS46" s="100"/>
      <c r="DT46" s="100"/>
      <c r="DU46" s="100"/>
      <c r="DV46" s="100"/>
      <c r="DW46" s="100"/>
      <c r="DX46" s="100"/>
      <c r="DY46" s="100"/>
      <c r="DZ46" s="100"/>
      <c r="EA46" s="100"/>
      <c r="EB46" s="100"/>
      <c r="EC46" s="100"/>
      <c r="ED46" s="100"/>
      <c r="EE46" s="100"/>
      <c r="EF46" s="100"/>
      <c r="EG46" s="100"/>
      <c r="EH46" s="100"/>
      <c r="EI46" s="100"/>
      <c r="EJ46" s="100"/>
      <c r="EK46" s="100"/>
      <c r="EL46" s="100"/>
      <c r="EM46" s="100"/>
      <c r="EN46" s="100"/>
      <c r="EO46" s="100"/>
      <c r="EP46" s="100"/>
      <c r="EQ46" s="100"/>
      <c r="ER46" s="100"/>
      <c r="ES46" s="100"/>
      <c r="ET46" s="100"/>
      <c r="EU46" s="100"/>
      <c r="EV46" s="100"/>
      <c r="EW46" s="100"/>
      <c r="EX46" s="100"/>
      <c r="EY46" s="100"/>
      <c r="EZ46" s="100"/>
      <c r="FA46" s="100"/>
      <c r="FB46" s="100"/>
      <c r="FC46" s="100"/>
      <c r="FD46" s="100"/>
      <c r="FE46" s="100"/>
      <c r="FF46" s="100"/>
      <c r="FG46" s="100"/>
      <c r="FH46" s="100"/>
      <c r="FI46" s="100"/>
      <c r="FJ46" s="100"/>
      <c r="FK46" s="100"/>
      <c r="FL46" s="100"/>
      <c r="FM46" s="100"/>
      <c r="FN46" s="100"/>
      <c r="FO46" s="100"/>
      <c r="FP46" s="100"/>
      <c r="FQ46" s="100"/>
      <c r="FR46" s="100"/>
      <c r="FS46" s="100"/>
      <c r="FT46" s="100"/>
      <c r="FU46" s="100"/>
      <c r="FV46" s="100"/>
      <c r="FW46" s="100"/>
      <c r="FX46" s="100"/>
      <c r="FY46" s="100"/>
      <c r="FZ46" s="100"/>
      <c r="GA46" s="100"/>
      <c r="GB46" s="100"/>
      <c r="GC46" s="100"/>
      <c r="GD46" s="100"/>
      <c r="GE46" s="100"/>
      <c r="GF46" s="100"/>
      <c r="GG46" s="100"/>
      <c r="GH46" s="100"/>
      <c r="GI46" s="100"/>
      <c r="GJ46" s="100"/>
      <c r="GK46" s="100"/>
      <c r="GL46" s="100"/>
      <c r="GM46" s="100"/>
      <c r="GN46" s="100"/>
      <c r="GO46" s="100"/>
      <c r="GP46" s="100"/>
      <c r="GQ46" s="100"/>
      <c r="GR46" s="100"/>
      <c r="GS46" s="100"/>
      <c r="GT46" s="100"/>
      <c r="GU46" s="100"/>
      <c r="GV46" s="100"/>
      <c r="GW46" s="100"/>
      <c r="GX46" s="100"/>
      <c r="GY46" s="100"/>
      <c r="GZ46" s="100"/>
      <c r="HA46" s="100"/>
      <c r="HB46" s="100"/>
      <c r="HC46" s="100"/>
      <c r="HD46" s="100"/>
      <c r="HE46" s="100"/>
      <c r="HF46" s="100"/>
      <c r="HG46" s="100"/>
      <c r="HH46" s="100"/>
      <c r="HI46" s="100"/>
      <c r="HJ46" s="100"/>
      <c r="HK46" s="100"/>
      <c r="HL46" s="100"/>
      <c r="HM46" s="100"/>
      <c r="HN46" s="100"/>
      <c r="HO46" s="100"/>
      <c r="HP46" s="100"/>
      <c r="HQ46" s="100"/>
      <c r="HR46" s="100"/>
      <c r="HS46" s="100"/>
      <c r="HT46" s="100"/>
      <c r="HU46" s="100"/>
      <c r="HV46" s="100"/>
      <c r="HW46" s="100"/>
      <c r="HX46" s="100"/>
      <c r="HY46" s="100"/>
      <c r="HZ46" s="100"/>
      <c r="IA46" s="100"/>
      <c r="IB46" s="100"/>
      <c r="IC46" s="100"/>
      <c r="ID46" s="100"/>
      <c r="IE46" s="100"/>
      <c r="IF46" s="100"/>
      <c r="IG46" s="100"/>
      <c r="IH46" s="100"/>
      <c r="II46" s="100"/>
      <c r="IJ46" s="100"/>
      <c r="IK46" s="100"/>
      <c r="IL46" s="100"/>
      <c r="IM46" s="100"/>
      <c r="IN46" s="100"/>
      <c r="IO46" s="100"/>
      <c r="IP46" s="100"/>
      <c r="IQ46" s="100"/>
      <c r="IR46" s="100"/>
      <c r="IS46" s="100"/>
      <c r="IT46" s="100"/>
      <c r="IU46" s="100"/>
      <c r="IV46" s="100"/>
      <c r="IW46" s="100"/>
    </row>
    <row r="47" customFormat="false" ht="12.75" hidden="false" customHeight="false" outlineLevel="0" collapsed="false">
      <c r="A47" s="100"/>
      <c r="B47" s="1115" t="s">
        <v>731</v>
      </c>
      <c r="C47" s="100"/>
      <c r="D47" s="100" t="n">
        <f aca="false">CapAcc!D61</f>
        <v>26495.8086355692</v>
      </c>
      <c r="E47" s="100"/>
      <c r="F47" s="100"/>
      <c r="G47" s="100"/>
      <c r="H47" s="100"/>
      <c r="I47" s="100"/>
      <c r="J47" s="100"/>
      <c r="K47" s="100"/>
      <c r="L47" s="100"/>
      <c r="M47" s="100"/>
      <c r="N47" s="100"/>
      <c r="O47" s="100"/>
      <c r="P47" s="100"/>
      <c r="Q47" s="100"/>
      <c r="R47" s="100"/>
      <c r="S47" s="100"/>
      <c r="T47" s="100"/>
      <c r="U47" s="100"/>
      <c r="V47" s="100"/>
      <c r="W47" s="100"/>
      <c r="X47" s="100"/>
      <c r="Y47" s="100"/>
      <c r="Z47" s="100"/>
      <c r="AA47" s="100"/>
      <c r="AB47" s="100"/>
      <c r="AC47" s="100"/>
      <c r="AD47" s="100"/>
      <c r="AE47" s="100"/>
      <c r="AF47" s="100"/>
      <c r="AG47" s="100"/>
      <c r="AH47" s="1088"/>
      <c r="AI47" s="100"/>
      <c r="AJ47" s="100"/>
      <c r="AK47" s="100"/>
      <c r="AL47" s="100"/>
      <c r="AM47" s="100"/>
      <c r="AN47" s="100"/>
      <c r="AO47" s="100"/>
      <c r="AP47" s="100"/>
      <c r="AQ47" s="100"/>
      <c r="AR47" s="100"/>
      <c r="AS47" s="100"/>
      <c r="AT47" s="100"/>
      <c r="AU47" s="100"/>
      <c r="AV47" s="100"/>
      <c r="AW47" s="100"/>
      <c r="AX47" s="100"/>
      <c r="AY47" s="100"/>
      <c r="AZ47" s="100"/>
      <c r="BA47" s="100"/>
      <c r="BB47" s="100"/>
      <c r="BC47" s="100"/>
      <c r="BD47" s="100"/>
      <c r="BE47" s="100"/>
      <c r="BF47" s="100"/>
      <c r="BG47" s="100"/>
      <c r="BH47" s="100"/>
      <c r="BI47" s="100"/>
      <c r="BJ47" s="100"/>
      <c r="BK47" s="100"/>
      <c r="BL47" s="100"/>
      <c r="BM47" s="100"/>
      <c r="BN47" s="100"/>
      <c r="BO47" s="100"/>
      <c r="BP47" s="100"/>
      <c r="BQ47" s="100"/>
      <c r="BR47" s="100"/>
      <c r="BS47" s="100"/>
      <c r="BT47" s="100"/>
      <c r="BU47" s="100"/>
      <c r="BV47" s="100"/>
      <c r="BW47" s="100"/>
      <c r="BX47" s="100"/>
      <c r="BY47" s="100"/>
      <c r="BZ47" s="100"/>
      <c r="CA47" s="100"/>
      <c r="CB47" s="100"/>
      <c r="CC47" s="100"/>
      <c r="CD47" s="100"/>
      <c r="CE47" s="100"/>
      <c r="CF47" s="100"/>
      <c r="CG47" s="100"/>
      <c r="CH47" s="100"/>
      <c r="CI47" s="100"/>
      <c r="CJ47" s="100"/>
      <c r="CK47" s="100"/>
      <c r="CL47" s="100"/>
      <c r="CM47" s="100"/>
      <c r="CN47" s="100"/>
      <c r="CO47" s="100"/>
      <c r="CP47" s="100"/>
      <c r="CQ47" s="100"/>
      <c r="CR47" s="100"/>
      <c r="CS47" s="100"/>
      <c r="CT47" s="100"/>
      <c r="CU47" s="100"/>
      <c r="CV47" s="100"/>
      <c r="CW47" s="100"/>
      <c r="CX47" s="100"/>
      <c r="CY47" s="100"/>
      <c r="CZ47" s="100"/>
      <c r="DA47" s="100"/>
      <c r="DB47" s="100"/>
      <c r="DC47" s="100"/>
      <c r="DD47" s="100"/>
      <c r="DE47" s="100"/>
      <c r="DF47" s="100"/>
      <c r="DG47" s="100"/>
      <c r="DH47" s="100"/>
      <c r="DI47" s="100"/>
      <c r="DJ47" s="100"/>
      <c r="DK47" s="100"/>
      <c r="DL47" s="100"/>
      <c r="DM47" s="100"/>
      <c r="DN47" s="100"/>
      <c r="DO47" s="100"/>
      <c r="DP47" s="100"/>
      <c r="DQ47" s="100"/>
      <c r="DR47" s="100"/>
      <c r="DS47" s="100"/>
      <c r="DT47" s="100"/>
      <c r="DU47" s="100"/>
      <c r="DV47" s="100"/>
      <c r="DW47" s="100"/>
      <c r="DX47" s="100"/>
      <c r="DY47" s="100"/>
      <c r="DZ47" s="100"/>
      <c r="EA47" s="100"/>
      <c r="EB47" s="100"/>
      <c r="EC47" s="100"/>
      <c r="ED47" s="100"/>
      <c r="EE47" s="100"/>
      <c r="EF47" s="100"/>
      <c r="EG47" s="100"/>
      <c r="EH47" s="100"/>
      <c r="EI47" s="100"/>
      <c r="EJ47" s="100"/>
      <c r="EK47" s="100"/>
      <c r="EL47" s="100"/>
      <c r="EM47" s="100"/>
      <c r="EN47" s="100"/>
      <c r="EO47" s="100"/>
      <c r="EP47" s="100"/>
      <c r="EQ47" s="100"/>
      <c r="ER47" s="100"/>
      <c r="ES47" s="100"/>
      <c r="ET47" s="100"/>
      <c r="EU47" s="100"/>
      <c r="EV47" s="100"/>
      <c r="EW47" s="100"/>
      <c r="EX47" s="100"/>
      <c r="EY47" s="100"/>
      <c r="EZ47" s="100"/>
      <c r="FA47" s="100"/>
      <c r="FB47" s="100"/>
      <c r="FC47" s="100"/>
      <c r="FD47" s="100"/>
      <c r="FE47" s="100"/>
      <c r="FF47" s="100"/>
      <c r="FG47" s="100"/>
      <c r="FH47" s="100"/>
      <c r="FI47" s="100"/>
      <c r="FJ47" s="100"/>
      <c r="FK47" s="100"/>
      <c r="FL47" s="100"/>
      <c r="FM47" s="100"/>
      <c r="FN47" s="100"/>
      <c r="FO47" s="100"/>
      <c r="FP47" s="100"/>
      <c r="FQ47" s="100"/>
      <c r="FR47" s="100"/>
      <c r="FS47" s="100"/>
      <c r="FT47" s="100"/>
      <c r="FU47" s="100"/>
      <c r="FV47" s="100"/>
      <c r="FW47" s="100"/>
      <c r="FX47" s="100"/>
      <c r="FY47" s="100"/>
      <c r="FZ47" s="100"/>
      <c r="GA47" s="100"/>
      <c r="GB47" s="100"/>
      <c r="GC47" s="100"/>
      <c r="GD47" s="100"/>
      <c r="GE47" s="100"/>
      <c r="GF47" s="100"/>
      <c r="GG47" s="100"/>
      <c r="GH47" s="100"/>
      <c r="GI47" s="100"/>
      <c r="GJ47" s="100"/>
      <c r="GK47" s="100"/>
      <c r="GL47" s="100"/>
      <c r="GM47" s="100"/>
      <c r="GN47" s="100"/>
      <c r="GO47" s="100"/>
      <c r="GP47" s="100"/>
      <c r="GQ47" s="100"/>
      <c r="GR47" s="100"/>
      <c r="GS47" s="100"/>
      <c r="GT47" s="100"/>
      <c r="GU47" s="100"/>
      <c r="GV47" s="100"/>
      <c r="GW47" s="100"/>
      <c r="GX47" s="100"/>
      <c r="GY47" s="100"/>
      <c r="GZ47" s="100"/>
      <c r="HA47" s="100"/>
      <c r="HB47" s="100"/>
      <c r="HC47" s="100"/>
      <c r="HD47" s="100"/>
      <c r="HE47" s="100"/>
      <c r="HF47" s="100"/>
      <c r="HG47" s="100"/>
      <c r="HH47" s="100"/>
      <c r="HI47" s="100"/>
      <c r="HJ47" s="100"/>
      <c r="HK47" s="100"/>
      <c r="HL47" s="100"/>
      <c r="HM47" s="100"/>
      <c r="HN47" s="100"/>
      <c r="HO47" s="100"/>
      <c r="HP47" s="100"/>
      <c r="HQ47" s="100"/>
      <c r="HR47" s="100"/>
      <c r="HS47" s="100"/>
      <c r="HT47" s="100"/>
      <c r="HU47" s="100"/>
      <c r="HV47" s="100"/>
      <c r="HW47" s="100"/>
      <c r="HX47" s="100"/>
      <c r="HY47" s="100"/>
      <c r="HZ47" s="100"/>
      <c r="IA47" s="100"/>
      <c r="IB47" s="100"/>
      <c r="IC47" s="100"/>
      <c r="ID47" s="100"/>
      <c r="IE47" s="100"/>
      <c r="IF47" s="100"/>
      <c r="IG47" s="100"/>
      <c r="IH47" s="100"/>
      <c r="II47" s="100"/>
      <c r="IJ47" s="100"/>
      <c r="IK47" s="100"/>
      <c r="IL47" s="100"/>
      <c r="IM47" s="100"/>
      <c r="IN47" s="100"/>
      <c r="IO47" s="100"/>
      <c r="IP47" s="100"/>
      <c r="IQ47" s="100"/>
      <c r="IR47" s="100"/>
      <c r="IS47" s="100"/>
      <c r="IT47" s="100"/>
      <c r="IU47" s="100"/>
      <c r="IV47" s="100"/>
      <c r="IW47" s="100"/>
    </row>
    <row r="48" customFormat="false" ht="12.75" hidden="false" customHeight="false" outlineLevel="0" collapsed="false">
      <c r="A48" s="100"/>
      <c r="B48" s="1115" t="s">
        <v>551</v>
      </c>
      <c r="C48" s="100"/>
      <c r="D48" s="100" t="n">
        <f aca="false">CapAcc!D62</f>
        <v>0</v>
      </c>
      <c r="E48" s="100" t="n">
        <f aca="false">CapAcc!E62</f>
        <v>0</v>
      </c>
      <c r="F48" s="100" t="n">
        <f aca="false">CapAcc!F62</f>
        <v>0</v>
      </c>
      <c r="G48" s="100" t="n">
        <f aca="false">CapAcc!G62</f>
        <v>0</v>
      </c>
      <c r="H48" s="100" t="n">
        <f aca="false">CapAcc!H62</f>
        <v>0</v>
      </c>
      <c r="I48" s="100" t="n">
        <f aca="false">CapAcc!I62</f>
        <v>0</v>
      </c>
      <c r="J48" s="100" t="n">
        <f aca="false">CapAcc!J62</f>
        <v>0</v>
      </c>
      <c r="K48" s="100" t="n">
        <f aca="false">CapAcc!K62</f>
        <v>0</v>
      </c>
      <c r="L48" s="100" t="n">
        <f aca="false">CapAcc!L62</f>
        <v>0</v>
      </c>
      <c r="M48" s="100" t="n">
        <f aca="false">CapAcc!M62</f>
        <v>0</v>
      </c>
      <c r="N48" s="100" t="n">
        <f aca="false">CapAcc!N62</f>
        <v>0</v>
      </c>
      <c r="O48" s="100" t="n">
        <f aca="false">CapAcc!O62</f>
        <v>0</v>
      </c>
      <c r="P48" s="100" t="n">
        <f aca="false">CapAcc!P62</f>
        <v>0</v>
      </c>
      <c r="Q48" s="100" t="n">
        <f aca="false">CapAcc!Q62</f>
        <v>0</v>
      </c>
      <c r="R48" s="100" t="n">
        <f aca="false">CapAcc!R62</f>
        <v>0</v>
      </c>
      <c r="S48" s="100" t="n">
        <f aca="false">CapAcc!S62</f>
        <v>0</v>
      </c>
      <c r="T48" s="100" t="n">
        <f aca="false">CapAcc!T62</f>
        <v>0</v>
      </c>
      <c r="U48" s="100" t="n">
        <f aca="false">CapAcc!U62</f>
        <v>0</v>
      </c>
      <c r="V48" s="100" t="n">
        <f aca="false">CapAcc!V62</f>
        <v>0</v>
      </c>
      <c r="W48" s="100" t="n">
        <f aca="false">CapAcc!W62</f>
        <v>0</v>
      </c>
      <c r="X48" s="100" t="n">
        <f aca="false">CapAcc!X62</f>
        <v>0</v>
      </c>
      <c r="Y48" s="100" t="n">
        <f aca="false">CapAcc!Y62</f>
        <v>0</v>
      </c>
      <c r="Z48" s="100" t="n">
        <f aca="false">CapAcc!Z62</f>
        <v>0</v>
      </c>
      <c r="AA48" s="100" t="n">
        <f aca="false">CapAcc!AA62</f>
        <v>0</v>
      </c>
      <c r="AB48" s="100" t="n">
        <f aca="false">CapAcc!AB62</f>
        <v>0</v>
      </c>
      <c r="AC48" s="100" t="n">
        <f aca="false">CapAcc!AC62</f>
        <v>0</v>
      </c>
      <c r="AD48" s="100" t="n">
        <f aca="false">CapAcc!AD62</f>
        <v>0</v>
      </c>
      <c r="AE48" s="100" t="n">
        <f aca="false">CapAcc!AE62</f>
        <v>0</v>
      </c>
      <c r="AF48" s="100" t="n">
        <f aca="false">CapAcc!AF62</f>
        <v>0</v>
      </c>
      <c r="AG48" s="100" t="n">
        <f aca="false">CapAcc!AG62</f>
        <v>0</v>
      </c>
      <c r="AH48" s="100" t="n">
        <f aca="false">CapAcc!AH62</f>
        <v>0</v>
      </c>
      <c r="AI48" s="100"/>
      <c r="AJ48" s="100"/>
      <c r="AK48" s="100"/>
      <c r="AL48" s="100"/>
      <c r="AM48" s="100"/>
      <c r="AN48" s="100"/>
      <c r="AO48" s="100"/>
      <c r="AP48" s="100"/>
      <c r="AQ48" s="100"/>
      <c r="AR48" s="100"/>
      <c r="AS48" s="100"/>
      <c r="AT48" s="100"/>
      <c r="AU48" s="100"/>
      <c r="AV48" s="100"/>
      <c r="AW48" s="100"/>
      <c r="AX48" s="100"/>
      <c r="AY48" s="100"/>
      <c r="AZ48" s="100"/>
      <c r="BA48" s="100"/>
      <c r="BB48" s="100"/>
      <c r="BC48" s="100"/>
      <c r="BD48" s="100"/>
      <c r="BE48" s="100"/>
      <c r="BF48" s="100"/>
      <c r="BG48" s="100"/>
      <c r="BH48" s="100"/>
      <c r="BI48" s="100"/>
      <c r="BJ48" s="100"/>
      <c r="BK48" s="100"/>
      <c r="BL48" s="100"/>
      <c r="BM48" s="100"/>
      <c r="BN48" s="100"/>
      <c r="BO48" s="100"/>
      <c r="BP48" s="100"/>
      <c r="BQ48" s="100"/>
      <c r="BR48" s="100"/>
      <c r="BS48" s="100"/>
      <c r="BT48" s="100"/>
      <c r="BU48" s="100"/>
      <c r="BV48" s="100"/>
      <c r="BW48" s="100"/>
      <c r="BX48" s="100"/>
      <c r="BY48" s="100"/>
      <c r="BZ48" s="100"/>
      <c r="CA48" s="100"/>
      <c r="CB48" s="100"/>
      <c r="CC48" s="100"/>
      <c r="CD48" s="100"/>
      <c r="CE48" s="100"/>
      <c r="CF48" s="100"/>
      <c r="CG48" s="100"/>
      <c r="CH48" s="100"/>
      <c r="CI48" s="100"/>
      <c r="CJ48" s="100"/>
      <c r="CK48" s="100"/>
      <c r="CL48" s="100"/>
      <c r="CM48" s="100"/>
      <c r="CN48" s="100"/>
      <c r="CO48" s="100"/>
      <c r="CP48" s="100"/>
      <c r="CQ48" s="100"/>
      <c r="CR48" s="100"/>
      <c r="CS48" s="100"/>
      <c r="CT48" s="100"/>
      <c r="CU48" s="100"/>
      <c r="CV48" s="100"/>
      <c r="CW48" s="100"/>
      <c r="CX48" s="100"/>
      <c r="CY48" s="100"/>
      <c r="CZ48" s="100"/>
      <c r="DA48" s="100"/>
      <c r="DB48" s="100"/>
      <c r="DC48" s="100"/>
      <c r="DD48" s="100"/>
      <c r="DE48" s="100"/>
      <c r="DF48" s="100"/>
      <c r="DG48" s="100"/>
      <c r="DH48" s="100"/>
      <c r="DI48" s="100"/>
      <c r="DJ48" s="100"/>
      <c r="DK48" s="100"/>
      <c r="DL48" s="100"/>
      <c r="DM48" s="100"/>
      <c r="DN48" s="100"/>
      <c r="DO48" s="100"/>
      <c r="DP48" s="100"/>
      <c r="DQ48" s="100"/>
      <c r="DR48" s="100"/>
      <c r="DS48" s="100"/>
      <c r="DT48" s="100"/>
      <c r="DU48" s="100"/>
      <c r="DV48" s="100"/>
      <c r="DW48" s="100"/>
      <c r="DX48" s="100"/>
      <c r="DY48" s="100"/>
      <c r="DZ48" s="100"/>
      <c r="EA48" s="100"/>
      <c r="EB48" s="100"/>
      <c r="EC48" s="100"/>
      <c r="ED48" s="100"/>
      <c r="EE48" s="100"/>
      <c r="EF48" s="100"/>
      <c r="EG48" s="100"/>
      <c r="EH48" s="100"/>
      <c r="EI48" s="100"/>
      <c r="EJ48" s="100"/>
      <c r="EK48" s="100"/>
      <c r="EL48" s="100"/>
      <c r="EM48" s="100"/>
      <c r="EN48" s="100"/>
      <c r="EO48" s="100"/>
      <c r="EP48" s="100"/>
      <c r="EQ48" s="100"/>
      <c r="ER48" s="100"/>
      <c r="ES48" s="100"/>
      <c r="ET48" s="100"/>
      <c r="EU48" s="100"/>
      <c r="EV48" s="100"/>
      <c r="EW48" s="100"/>
      <c r="EX48" s="100"/>
      <c r="EY48" s="100"/>
      <c r="EZ48" s="100"/>
      <c r="FA48" s="100"/>
      <c r="FB48" s="100"/>
      <c r="FC48" s="100"/>
      <c r="FD48" s="100"/>
      <c r="FE48" s="100"/>
      <c r="FF48" s="100"/>
      <c r="FG48" s="100"/>
      <c r="FH48" s="100"/>
      <c r="FI48" s="100"/>
      <c r="FJ48" s="100"/>
      <c r="FK48" s="100"/>
      <c r="FL48" s="100"/>
      <c r="FM48" s="100"/>
      <c r="FN48" s="100"/>
      <c r="FO48" s="100"/>
      <c r="FP48" s="100"/>
      <c r="FQ48" s="100"/>
      <c r="FR48" s="100"/>
      <c r="FS48" s="100"/>
      <c r="FT48" s="100"/>
      <c r="FU48" s="100"/>
      <c r="FV48" s="100"/>
      <c r="FW48" s="100"/>
      <c r="FX48" s="100"/>
      <c r="FY48" s="100"/>
      <c r="FZ48" s="100"/>
      <c r="GA48" s="100"/>
      <c r="GB48" s="100"/>
      <c r="GC48" s="100"/>
      <c r="GD48" s="100"/>
      <c r="GE48" s="100"/>
      <c r="GF48" s="100"/>
      <c r="GG48" s="100"/>
      <c r="GH48" s="100"/>
      <c r="GI48" s="100"/>
      <c r="GJ48" s="100"/>
      <c r="GK48" s="100"/>
      <c r="GL48" s="100"/>
      <c r="GM48" s="100"/>
      <c r="GN48" s="100"/>
      <c r="GO48" s="100"/>
      <c r="GP48" s="100"/>
      <c r="GQ48" s="100"/>
      <c r="GR48" s="100"/>
      <c r="GS48" s="100"/>
      <c r="GT48" s="100"/>
      <c r="GU48" s="100"/>
      <c r="GV48" s="100"/>
      <c r="GW48" s="100"/>
      <c r="GX48" s="100"/>
      <c r="GY48" s="100"/>
      <c r="GZ48" s="100"/>
      <c r="HA48" s="100"/>
      <c r="HB48" s="100"/>
      <c r="HC48" s="100"/>
      <c r="HD48" s="100"/>
      <c r="HE48" s="100"/>
      <c r="HF48" s="100"/>
      <c r="HG48" s="100"/>
      <c r="HH48" s="100"/>
      <c r="HI48" s="100"/>
      <c r="HJ48" s="100"/>
      <c r="HK48" s="100"/>
      <c r="HL48" s="100"/>
      <c r="HM48" s="100"/>
      <c r="HN48" s="100"/>
      <c r="HO48" s="100"/>
      <c r="HP48" s="100"/>
      <c r="HQ48" s="100"/>
      <c r="HR48" s="100"/>
      <c r="HS48" s="100"/>
      <c r="HT48" s="100"/>
      <c r="HU48" s="100"/>
      <c r="HV48" s="100"/>
      <c r="HW48" s="100"/>
      <c r="HX48" s="100"/>
      <c r="HY48" s="100"/>
      <c r="HZ48" s="100"/>
      <c r="IA48" s="100"/>
      <c r="IB48" s="100"/>
      <c r="IC48" s="100"/>
      <c r="ID48" s="100"/>
      <c r="IE48" s="100"/>
      <c r="IF48" s="100"/>
      <c r="IG48" s="100"/>
      <c r="IH48" s="100"/>
      <c r="II48" s="100"/>
      <c r="IJ48" s="100"/>
      <c r="IK48" s="100"/>
      <c r="IL48" s="100"/>
      <c r="IM48" s="100"/>
      <c r="IN48" s="100"/>
      <c r="IO48" s="100"/>
      <c r="IP48" s="100"/>
      <c r="IQ48" s="100"/>
      <c r="IR48" s="100"/>
      <c r="IS48" s="100"/>
      <c r="IT48" s="100"/>
      <c r="IU48" s="100"/>
      <c r="IV48" s="100"/>
      <c r="IW48" s="100"/>
    </row>
    <row r="49" customFormat="false" ht="12.75" hidden="false" customHeight="false" outlineLevel="0" collapsed="false">
      <c r="A49" s="100"/>
      <c r="B49" s="1115" t="s">
        <v>732</v>
      </c>
      <c r="C49" s="100"/>
      <c r="D49" s="100" t="n">
        <f aca="false">SUM(CapAcc!D63:D66)</f>
        <v>3703.96222781693</v>
      </c>
      <c r="E49" s="100" t="n">
        <f aca="false">SUM(CapAcc!E63:E66)</f>
        <v>3703.96222781693</v>
      </c>
      <c r="F49" s="100" t="n">
        <f aca="false">SUM(CapAcc!F63:F66)</f>
        <v>3703.96222781693</v>
      </c>
      <c r="G49" s="100" t="n">
        <f aca="false">SUM(CapAcc!G63:G66)</f>
        <v>3703.96222781693</v>
      </c>
      <c r="H49" s="100" t="n">
        <f aca="false">SUM(CapAcc!H63:H66)</f>
        <v>3703.96222781693</v>
      </c>
      <c r="I49" s="100" t="n">
        <f aca="false">SUM(CapAcc!I63:I66)</f>
        <v>3703.96222781693</v>
      </c>
      <c r="J49" s="100" t="n">
        <f aca="false">SUM(CapAcc!J63:J66)</f>
        <v>3703.96222781693</v>
      </c>
      <c r="K49" s="100" t="n">
        <f aca="false">SUM(CapAcc!K63:K66)</f>
        <v>3703.96222781693</v>
      </c>
      <c r="L49" s="100" t="n">
        <f aca="false">SUM(CapAcc!L63:L66)</f>
        <v>3703.96222781693</v>
      </c>
      <c r="M49" s="100" t="n">
        <f aca="false">SUM(CapAcc!M63:M66)</f>
        <v>3703.96222781693</v>
      </c>
      <c r="N49" s="100" t="n">
        <f aca="false">SUM(CapAcc!N63:N66)</f>
        <v>3703.96222781693</v>
      </c>
      <c r="O49" s="100" t="n">
        <f aca="false">SUM(CapAcc!O63:O66)</f>
        <v>3703.96222781693</v>
      </c>
      <c r="P49" s="100" t="n">
        <f aca="false">SUM(CapAcc!P63:P66)</f>
        <v>3703.96222781693</v>
      </c>
      <c r="Q49" s="100" t="n">
        <f aca="false">SUM(CapAcc!Q63:Q66)</f>
        <v>3703.96222781693</v>
      </c>
      <c r="R49" s="100" t="n">
        <f aca="false">SUM(CapAcc!R63:R66)</f>
        <v>3703.96222781693</v>
      </c>
      <c r="S49" s="100" t="n">
        <f aca="false">SUM(CapAcc!S63:S66)</f>
        <v>3703.96222781693</v>
      </c>
      <c r="T49" s="100" t="n">
        <f aca="false">SUM(CapAcc!T63:T66)</f>
        <v>3703.96222781693</v>
      </c>
      <c r="U49" s="100" t="n">
        <f aca="false">SUM(CapAcc!U63:U66)</f>
        <v>3703.96222781693</v>
      </c>
      <c r="V49" s="100" t="n">
        <f aca="false">SUM(CapAcc!V63:V66)</f>
        <v>3703.96222781693</v>
      </c>
      <c r="W49" s="100" t="n">
        <f aca="false">SUM(CapAcc!W63:W66)</f>
        <v>3703.96222781693</v>
      </c>
      <c r="X49" s="100" t="n">
        <f aca="false">SUM(CapAcc!X63:X66)</f>
        <v>0</v>
      </c>
      <c r="Y49" s="100" t="n">
        <f aca="false">SUM(CapAcc!Y63:Y66)</f>
        <v>0</v>
      </c>
      <c r="Z49" s="100" t="n">
        <f aca="false">SUM(CapAcc!Z63:Z66)</f>
        <v>0</v>
      </c>
      <c r="AA49" s="100" t="n">
        <f aca="false">SUM(CapAcc!AA63:AA66)</f>
        <v>0</v>
      </c>
      <c r="AB49" s="100" t="n">
        <f aca="false">SUM(CapAcc!AB63:AB66)</f>
        <v>0</v>
      </c>
      <c r="AC49" s="100" t="n">
        <f aca="false">SUM(CapAcc!AC63:AC66)</f>
        <v>0</v>
      </c>
      <c r="AD49" s="100" t="n">
        <f aca="false">SUM(CapAcc!AD63:AD66)</f>
        <v>0</v>
      </c>
      <c r="AE49" s="100" t="n">
        <f aca="false">SUM(CapAcc!AE63:AE66)</f>
        <v>0</v>
      </c>
      <c r="AF49" s="100" t="n">
        <f aca="false">SUM(CapAcc!AF63:AF66)</f>
        <v>0</v>
      </c>
      <c r="AG49" s="100" t="n">
        <f aca="false">SUM(CapAcc!AG63:AG66)</f>
        <v>0</v>
      </c>
      <c r="AH49" s="1088" t="n">
        <f aca="false">SUM(CapAcc!AH63:AH66)</f>
        <v>0</v>
      </c>
      <c r="AI49" s="100"/>
      <c r="AJ49" s="100"/>
      <c r="AK49" s="100"/>
      <c r="AL49" s="100"/>
      <c r="AM49" s="100"/>
      <c r="AN49" s="100"/>
      <c r="AO49" s="100"/>
      <c r="AP49" s="100"/>
      <c r="AQ49" s="100"/>
      <c r="AR49" s="100"/>
      <c r="AS49" s="100"/>
      <c r="AT49" s="100"/>
      <c r="AU49" s="100"/>
      <c r="AV49" s="100"/>
      <c r="AW49" s="100"/>
      <c r="AX49" s="100"/>
      <c r="AY49" s="100"/>
      <c r="AZ49" s="100"/>
      <c r="BA49" s="100"/>
      <c r="BB49" s="100"/>
      <c r="BC49" s="100"/>
      <c r="BD49" s="100"/>
      <c r="BE49" s="100"/>
      <c r="BF49" s="100"/>
      <c r="BG49" s="100"/>
      <c r="BH49" s="100"/>
      <c r="BI49" s="100"/>
      <c r="BJ49" s="100"/>
      <c r="BK49" s="100"/>
      <c r="BL49" s="100"/>
      <c r="BM49" s="100"/>
      <c r="BN49" s="100"/>
      <c r="BO49" s="100"/>
      <c r="BP49" s="100"/>
      <c r="BQ49" s="100"/>
      <c r="BR49" s="100"/>
      <c r="BS49" s="100"/>
      <c r="BT49" s="100"/>
      <c r="BU49" s="100"/>
      <c r="BV49" s="100"/>
      <c r="BW49" s="100"/>
      <c r="BX49" s="100"/>
      <c r="BY49" s="100"/>
      <c r="BZ49" s="100"/>
      <c r="CA49" s="100"/>
      <c r="CB49" s="100"/>
      <c r="CC49" s="100"/>
      <c r="CD49" s="100"/>
      <c r="CE49" s="100"/>
      <c r="CF49" s="100"/>
      <c r="CG49" s="100"/>
      <c r="CH49" s="100"/>
      <c r="CI49" s="100"/>
      <c r="CJ49" s="100"/>
      <c r="CK49" s="100"/>
      <c r="CL49" s="100"/>
      <c r="CM49" s="100"/>
      <c r="CN49" s="100"/>
      <c r="CO49" s="100"/>
      <c r="CP49" s="100"/>
      <c r="CQ49" s="100"/>
      <c r="CR49" s="100"/>
      <c r="CS49" s="100"/>
      <c r="CT49" s="100"/>
      <c r="CU49" s="100"/>
      <c r="CV49" s="100"/>
      <c r="CW49" s="100"/>
      <c r="CX49" s="100"/>
      <c r="CY49" s="100"/>
      <c r="CZ49" s="100"/>
      <c r="DA49" s="100"/>
      <c r="DB49" s="100"/>
      <c r="DC49" s="100"/>
      <c r="DD49" s="100"/>
      <c r="DE49" s="100"/>
      <c r="DF49" s="100"/>
      <c r="DG49" s="100"/>
      <c r="DH49" s="100"/>
      <c r="DI49" s="100"/>
      <c r="DJ49" s="100"/>
      <c r="DK49" s="100"/>
      <c r="DL49" s="100"/>
      <c r="DM49" s="100"/>
      <c r="DN49" s="100"/>
      <c r="DO49" s="100"/>
      <c r="DP49" s="100"/>
      <c r="DQ49" s="100"/>
      <c r="DR49" s="100"/>
      <c r="DS49" s="100"/>
      <c r="DT49" s="100"/>
      <c r="DU49" s="100"/>
      <c r="DV49" s="100"/>
      <c r="DW49" s="100"/>
      <c r="DX49" s="100"/>
      <c r="DY49" s="100"/>
      <c r="DZ49" s="100"/>
      <c r="EA49" s="100"/>
      <c r="EB49" s="100"/>
      <c r="EC49" s="100"/>
      <c r="ED49" s="100"/>
      <c r="EE49" s="100"/>
      <c r="EF49" s="100"/>
      <c r="EG49" s="100"/>
      <c r="EH49" s="100"/>
      <c r="EI49" s="100"/>
      <c r="EJ49" s="100"/>
      <c r="EK49" s="100"/>
      <c r="EL49" s="100"/>
      <c r="EM49" s="100"/>
      <c r="EN49" s="100"/>
      <c r="EO49" s="100"/>
      <c r="EP49" s="100"/>
      <c r="EQ49" s="100"/>
      <c r="ER49" s="100"/>
      <c r="ES49" s="100"/>
      <c r="ET49" s="100"/>
      <c r="EU49" s="100"/>
      <c r="EV49" s="100"/>
      <c r="EW49" s="100"/>
      <c r="EX49" s="100"/>
      <c r="EY49" s="100"/>
      <c r="EZ49" s="100"/>
      <c r="FA49" s="100"/>
      <c r="FB49" s="100"/>
      <c r="FC49" s="100"/>
      <c r="FD49" s="100"/>
      <c r="FE49" s="100"/>
      <c r="FF49" s="100"/>
      <c r="FG49" s="100"/>
      <c r="FH49" s="100"/>
      <c r="FI49" s="100"/>
      <c r="FJ49" s="100"/>
      <c r="FK49" s="100"/>
      <c r="FL49" s="100"/>
      <c r="FM49" s="100"/>
      <c r="FN49" s="100"/>
      <c r="FO49" s="100"/>
      <c r="FP49" s="100"/>
      <c r="FQ49" s="100"/>
      <c r="FR49" s="100"/>
      <c r="FS49" s="100"/>
      <c r="FT49" s="100"/>
      <c r="FU49" s="100"/>
      <c r="FV49" s="100"/>
      <c r="FW49" s="100"/>
      <c r="FX49" s="100"/>
      <c r="FY49" s="100"/>
      <c r="FZ49" s="100"/>
      <c r="GA49" s="100"/>
      <c r="GB49" s="100"/>
      <c r="GC49" s="100"/>
      <c r="GD49" s="100"/>
      <c r="GE49" s="100"/>
      <c r="GF49" s="100"/>
      <c r="GG49" s="100"/>
      <c r="GH49" s="100"/>
      <c r="GI49" s="100"/>
      <c r="GJ49" s="100"/>
      <c r="GK49" s="100"/>
      <c r="GL49" s="100"/>
      <c r="GM49" s="100"/>
      <c r="GN49" s="100"/>
      <c r="GO49" s="100"/>
      <c r="GP49" s="100"/>
      <c r="GQ49" s="100"/>
      <c r="GR49" s="100"/>
      <c r="GS49" s="100"/>
      <c r="GT49" s="100"/>
      <c r="GU49" s="100"/>
      <c r="GV49" s="100"/>
      <c r="GW49" s="100"/>
      <c r="GX49" s="100"/>
      <c r="GY49" s="100"/>
      <c r="GZ49" s="100"/>
      <c r="HA49" s="100"/>
      <c r="HB49" s="100"/>
      <c r="HC49" s="100"/>
      <c r="HD49" s="100"/>
      <c r="HE49" s="100"/>
      <c r="HF49" s="100"/>
      <c r="HG49" s="100"/>
      <c r="HH49" s="100"/>
      <c r="HI49" s="100"/>
      <c r="HJ49" s="100"/>
      <c r="HK49" s="100"/>
      <c r="HL49" s="100"/>
      <c r="HM49" s="100"/>
      <c r="HN49" s="100"/>
      <c r="HO49" s="100"/>
      <c r="HP49" s="100"/>
      <c r="HQ49" s="100"/>
      <c r="HR49" s="100"/>
      <c r="HS49" s="100"/>
      <c r="HT49" s="100"/>
      <c r="HU49" s="100"/>
      <c r="HV49" s="100"/>
      <c r="HW49" s="100"/>
      <c r="HX49" s="100"/>
      <c r="HY49" s="100"/>
      <c r="HZ49" s="100"/>
      <c r="IA49" s="100"/>
      <c r="IB49" s="100"/>
      <c r="IC49" s="100"/>
      <c r="ID49" s="100"/>
      <c r="IE49" s="100"/>
      <c r="IF49" s="100"/>
      <c r="IG49" s="100"/>
      <c r="IH49" s="100"/>
      <c r="II49" s="100"/>
      <c r="IJ49" s="100"/>
      <c r="IK49" s="100"/>
      <c r="IL49" s="100"/>
      <c r="IM49" s="100"/>
      <c r="IN49" s="100"/>
      <c r="IO49" s="100"/>
      <c r="IP49" s="100"/>
      <c r="IQ49" s="100"/>
      <c r="IR49" s="100"/>
      <c r="IS49" s="100"/>
      <c r="IT49" s="100"/>
      <c r="IU49" s="100"/>
      <c r="IV49" s="100"/>
      <c r="IW49" s="100"/>
    </row>
    <row r="50" customFormat="false" ht="12.75" hidden="false" customHeight="false" outlineLevel="0" collapsed="false">
      <c r="A50" s="100"/>
      <c r="B50" s="1115" t="s">
        <v>733</v>
      </c>
      <c r="C50" s="100"/>
      <c r="D50" s="100" t="n">
        <f aca="false">SUM(CapAcc!D67:D74)</f>
        <v>-10867.9569182411</v>
      </c>
      <c r="E50" s="100" t="n">
        <f aca="false">SUM(CapAcc!E67:E74)</f>
        <v>-15273.4817642179</v>
      </c>
      <c r="F50" s="100" t="n">
        <f aca="false">SUM(CapAcc!F67:F74)</f>
        <v>-10512.8721121608</v>
      </c>
      <c r="G50" s="100" t="n">
        <f aca="false">SUM(CapAcc!G67:G74)</f>
        <v>-7633.55029403887</v>
      </c>
      <c r="H50" s="100" t="n">
        <f aca="false">SUM(CapAcc!H67:H74)</f>
        <v>-7590.38300506478</v>
      </c>
      <c r="I50" s="100" t="n">
        <f aca="false">SUM(CapAcc!I67:I74)</f>
        <v>-5415.6767335274</v>
      </c>
      <c r="J50" s="100" t="n">
        <f aca="false">SUM(CapAcc!J67:J74)</f>
        <v>-3246.10686236592</v>
      </c>
      <c r="K50" s="100" t="n">
        <f aca="false">SUM(CapAcc!K67:K74)</f>
        <v>-3194.28610266844</v>
      </c>
      <c r="L50" s="100" t="n">
        <f aca="false">SUM(CapAcc!L67:L74)</f>
        <v>-3140.57022698149</v>
      </c>
      <c r="M50" s="100" t="n">
        <f aca="false">SUM(CapAcc!M67:M74)</f>
        <v>-3081.89033657829</v>
      </c>
      <c r="N50" s="100" t="n">
        <f aca="false">SUM(CapAcc!N67:N74)</f>
        <v>-2987.00820379773</v>
      </c>
      <c r="O50" s="100" t="n">
        <f aca="false">SUM(CapAcc!O67:O74)</f>
        <v>-2911.75759257156</v>
      </c>
      <c r="P50" s="100" t="n">
        <f aca="false">SUM(CapAcc!P67:P74)</f>
        <v>-2832.03552463734</v>
      </c>
      <c r="Q50" s="100" t="n">
        <f aca="false">SUM(CapAcc!Q67:Q74)</f>
        <v>-2745.24631616038</v>
      </c>
      <c r="R50" s="100" t="n">
        <f aca="false">SUM(CapAcc!R67:R74)</f>
        <v>-2651.88479135213</v>
      </c>
      <c r="S50" s="100" t="n">
        <f aca="false">SUM(CapAcc!S67:S74)</f>
        <v>-2548.00285079869</v>
      </c>
      <c r="T50" s="100" t="n">
        <f aca="false">SUM(CapAcc!T67:T74)</f>
        <v>-2516.31915350922</v>
      </c>
      <c r="U50" s="100" t="n">
        <f aca="false">SUM(CapAcc!U67:U74)</f>
        <v>-3742.84146774524</v>
      </c>
      <c r="V50" s="100" t="n">
        <f aca="false">SUM(CapAcc!V67:V74)</f>
        <v>-3742.84146774524</v>
      </c>
      <c r="W50" s="100" t="n">
        <f aca="false">SUM(CapAcc!W67:W74)</f>
        <v>-3940.34146774524</v>
      </c>
      <c r="X50" s="100" t="n">
        <f aca="false">SUM(CapAcc!X67:X74)</f>
        <v>0</v>
      </c>
      <c r="Y50" s="100" t="n">
        <f aca="false">SUM(CapAcc!Y67:Y74)</f>
        <v>0</v>
      </c>
      <c r="Z50" s="100" t="n">
        <f aca="false">SUM(CapAcc!Z67:Z74)</f>
        <v>0</v>
      </c>
      <c r="AA50" s="100" t="n">
        <f aca="false">SUM(CapAcc!AA67:AA74)</f>
        <v>0</v>
      </c>
      <c r="AB50" s="100" t="n">
        <f aca="false">SUM(CapAcc!AB67:AB74)</f>
        <v>0</v>
      </c>
      <c r="AC50" s="100" t="n">
        <f aca="false">SUM(CapAcc!AC67:AC74)</f>
        <v>0</v>
      </c>
      <c r="AD50" s="100" t="n">
        <f aca="false">SUM(CapAcc!AD67:AD74)</f>
        <v>0</v>
      </c>
      <c r="AE50" s="100" t="n">
        <f aca="false">SUM(CapAcc!AE67:AE74)</f>
        <v>0</v>
      </c>
      <c r="AF50" s="100" t="n">
        <f aca="false">SUM(CapAcc!AF67:AF74)</f>
        <v>0</v>
      </c>
      <c r="AG50" s="100" t="n">
        <f aca="false">SUM(CapAcc!AG67:AG74)</f>
        <v>0</v>
      </c>
      <c r="AH50" s="1088" t="n">
        <f aca="false">SUM(CapAcc!AH67:AH74)</f>
        <v>0</v>
      </c>
      <c r="AI50" s="100"/>
      <c r="AJ50" s="100"/>
      <c r="AK50" s="100"/>
      <c r="AL50" s="100"/>
      <c r="AM50" s="100"/>
      <c r="AN50" s="100"/>
      <c r="AO50" s="100"/>
      <c r="AP50" s="100"/>
      <c r="AQ50" s="100"/>
      <c r="AR50" s="100"/>
      <c r="AS50" s="100"/>
      <c r="AT50" s="100"/>
      <c r="AU50" s="100"/>
      <c r="AV50" s="100"/>
      <c r="AW50" s="100"/>
      <c r="AX50" s="100"/>
      <c r="AY50" s="100"/>
      <c r="AZ50" s="100"/>
      <c r="BA50" s="100"/>
      <c r="BB50" s="100"/>
      <c r="BC50" s="100"/>
      <c r="BD50" s="100"/>
      <c r="BE50" s="100"/>
      <c r="BF50" s="100"/>
      <c r="BG50" s="100"/>
      <c r="BH50" s="100"/>
      <c r="BI50" s="100"/>
      <c r="BJ50" s="100"/>
      <c r="BK50" s="100"/>
      <c r="BL50" s="100"/>
      <c r="BM50" s="100"/>
      <c r="BN50" s="100"/>
      <c r="BO50" s="100"/>
      <c r="BP50" s="100"/>
      <c r="BQ50" s="100"/>
      <c r="BR50" s="100"/>
      <c r="BS50" s="100"/>
      <c r="BT50" s="100"/>
      <c r="BU50" s="100"/>
      <c r="BV50" s="100"/>
      <c r="BW50" s="100"/>
      <c r="BX50" s="100"/>
      <c r="BY50" s="100"/>
      <c r="BZ50" s="100"/>
      <c r="CA50" s="100"/>
      <c r="CB50" s="100"/>
      <c r="CC50" s="100"/>
      <c r="CD50" s="100"/>
      <c r="CE50" s="100"/>
      <c r="CF50" s="100"/>
      <c r="CG50" s="100"/>
      <c r="CH50" s="100"/>
      <c r="CI50" s="100"/>
      <c r="CJ50" s="100"/>
      <c r="CK50" s="100"/>
      <c r="CL50" s="100"/>
      <c r="CM50" s="100"/>
      <c r="CN50" s="100"/>
      <c r="CO50" s="100"/>
      <c r="CP50" s="100"/>
      <c r="CQ50" s="100"/>
      <c r="CR50" s="100"/>
      <c r="CS50" s="100"/>
      <c r="CT50" s="100"/>
      <c r="CU50" s="100"/>
      <c r="CV50" s="100"/>
      <c r="CW50" s="100"/>
      <c r="CX50" s="100"/>
      <c r="CY50" s="100"/>
      <c r="CZ50" s="100"/>
      <c r="DA50" s="100"/>
      <c r="DB50" s="100"/>
      <c r="DC50" s="100"/>
      <c r="DD50" s="100"/>
      <c r="DE50" s="100"/>
      <c r="DF50" s="100"/>
      <c r="DG50" s="100"/>
      <c r="DH50" s="100"/>
      <c r="DI50" s="100"/>
      <c r="DJ50" s="100"/>
      <c r="DK50" s="100"/>
      <c r="DL50" s="100"/>
      <c r="DM50" s="100"/>
      <c r="DN50" s="100"/>
      <c r="DO50" s="100"/>
      <c r="DP50" s="100"/>
      <c r="DQ50" s="100"/>
      <c r="DR50" s="100"/>
      <c r="DS50" s="100"/>
      <c r="DT50" s="100"/>
      <c r="DU50" s="100"/>
      <c r="DV50" s="100"/>
      <c r="DW50" s="100"/>
      <c r="DX50" s="100"/>
      <c r="DY50" s="100"/>
      <c r="DZ50" s="100"/>
      <c r="EA50" s="100"/>
      <c r="EB50" s="100"/>
      <c r="EC50" s="100"/>
      <c r="ED50" s="100"/>
      <c r="EE50" s="100"/>
      <c r="EF50" s="100"/>
      <c r="EG50" s="100"/>
      <c r="EH50" s="100"/>
      <c r="EI50" s="100"/>
      <c r="EJ50" s="100"/>
      <c r="EK50" s="100"/>
      <c r="EL50" s="100"/>
      <c r="EM50" s="100"/>
      <c r="EN50" s="100"/>
      <c r="EO50" s="100"/>
      <c r="EP50" s="100"/>
      <c r="EQ50" s="100"/>
      <c r="ER50" s="100"/>
      <c r="ES50" s="100"/>
      <c r="ET50" s="100"/>
      <c r="EU50" s="100"/>
      <c r="EV50" s="100"/>
      <c r="EW50" s="100"/>
      <c r="EX50" s="100"/>
      <c r="EY50" s="100"/>
      <c r="EZ50" s="100"/>
      <c r="FA50" s="100"/>
      <c r="FB50" s="100"/>
      <c r="FC50" s="100"/>
      <c r="FD50" s="100"/>
      <c r="FE50" s="100"/>
      <c r="FF50" s="100"/>
      <c r="FG50" s="100"/>
      <c r="FH50" s="100"/>
      <c r="FI50" s="100"/>
      <c r="FJ50" s="100"/>
      <c r="FK50" s="100"/>
      <c r="FL50" s="100"/>
      <c r="FM50" s="100"/>
      <c r="FN50" s="100"/>
      <c r="FO50" s="100"/>
      <c r="FP50" s="100"/>
      <c r="FQ50" s="100"/>
      <c r="FR50" s="100"/>
      <c r="FS50" s="100"/>
      <c r="FT50" s="100"/>
      <c r="FU50" s="100"/>
      <c r="FV50" s="100"/>
      <c r="FW50" s="100"/>
      <c r="FX50" s="100"/>
      <c r="FY50" s="100"/>
      <c r="FZ50" s="100"/>
      <c r="GA50" s="100"/>
      <c r="GB50" s="100"/>
      <c r="GC50" s="100"/>
      <c r="GD50" s="100"/>
      <c r="GE50" s="100"/>
      <c r="GF50" s="100"/>
      <c r="GG50" s="100"/>
      <c r="GH50" s="100"/>
      <c r="GI50" s="100"/>
      <c r="GJ50" s="100"/>
      <c r="GK50" s="100"/>
      <c r="GL50" s="100"/>
      <c r="GM50" s="100"/>
      <c r="GN50" s="100"/>
      <c r="GO50" s="100"/>
      <c r="GP50" s="100"/>
      <c r="GQ50" s="100"/>
      <c r="GR50" s="100"/>
      <c r="GS50" s="100"/>
      <c r="GT50" s="100"/>
      <c r="GU50" s="100"/>
      <c r="GV50" s="100"/>
      <c r="GW50" s="100"/>
      <c r="GX50" s="100"/>
      <c r="GY50" s="100"/>
      <c r="GZ50" s="100"/>
      <c r="HA50" s="100"/>
      <c r="HB50" s="100"/>
      <c r="HC50" s="100"/>
      <c r="HD50" s="100"/>
      <c r="HE50" s="100"/>
      <c r="HF50" s="100"/>
      <c r="HG50" s="100"/>
      <c r="HH50" s="100"/>
      <c r="HI50" s="100"/>
      <c r="HJ50" s="100"/>
      <c r="HK50" s="100"/>
      <c r="HL50" s="100"/>
      <c r="HM50" s="100"/>
      <c r="HN50" s="100"/>
      <c r="HO50" s="100"/>
      <c r="HP50" s="100"/>
      <c r="HQ50" s="100"/>
      <c r="HR50" s="100"/>
      <c r="HS50" s="100"/>
      <c r="HT50" s="100"/>
      <c r="HU50" s="100"/>
      <c r="HV50" s="100"/>
      <c r="HW50" s="100"/>
      <c r="HX50" s="100"/>
      <c r="HY50" s="100"/>
      <c r="HZ50" s="100"/>
      <c r="IA50" s="100"/>
      <c r="IB50" s="100"/>
      <c r="IC50" s="100"/>
      <c r="ID50" s="100"/>
      <c r="IE50" s="100"/>
      <c r="IF50" s="100"/>
      <c r="IG50" s="100"/>
      <c r="IH50" s="100"/>
      <c r="II50" s="100"/>
      <c r="IJ50" s="100"/>
      <c r="IK50" s="100"/>
      <c r="IL50" s="100"/>
      <c r="IM50" s="100"/>
      <c r="IN50" s="100"/>
      <c r="IO50" s="100"/>
      <c r="IP50" s="100"/>
      <c r="IQ50" s="100"/>
      <c r="IR50" s="100"/>
      <c r="IS50" s="100"/>
      <c r="IT50" s="100"/>
      <c r="IU50" s="100"/>
      <c r="IV50" s="100"/>
      <c r="IW50" s="100"/>
    </row>
    <row r="51" customFormat="false" ht="12.75" hidden="false" customHeight="false" outlineLevel="0" collapsed="false">
      <c r="A51" s="100"/>
      <c r="B51" s="1122" t="s">
        <v>701</v>
      </c>
      <c r="C51" s="313"/>
      <c r="D51" s="313" t="n">
        <f aca="false">SUM(D45:D50)</f>
        <v>19331.813945145</v>
      </c>
      <c r="E51" s="313" t="n">
        <f aca="false">SUM(E45:E50)</f>
        <v>7762.29440874407</v>
      </c>
      <c r="F51" s="313" t="n">
        <f aca="false">SUM(F45:F50)</f>
        <v>953.384524400175</v>
      </c>
      <c r="G51" s="313" t="n">
        <f aca="false">SUM(G45:G50)</f>
        <v>-2976.20354182176</v>
      </c>
      <c r="H51" s="313" t="n">
        <f aca="false">SUM(H45:H50)</f>
        <v>-6862.62431906961</v>
      </c>
      <c r="I51" s="313" t="n">
        <f aca="false">SUM(I45:I50)</f>
        <v>-8574.33882478007</v>
      </c>
      <c r="J51" s="313" t="n">
        <f aca="false">SUM(J45:J50)</f>
        <v>-8116.48345932907</v>
      </c>
      <c r="K51" s="313" t="n">
        <f aca="false">SUM(K45:K50)</f>
        <v>-7606.80733418058</v>
      </c>
      <c r="L51" s="313" t="n">
        <f aca="false">SUM(L45:L50)</f>
        <v>-7043.41533334513</v>
      </c>
      <c r="M51" s="313" t="n">
        <f aca="false">SUM(M45:M50)</f>
        <v>-6421.3434421065</v>
      </c>
      <c r="N51" s="313" t="n">
        <f aca="false">SUM(N45:N50)</f>
        <v>-5704.38941808729</v>
      </c>
      <c r="O51" s="313" t="n">
        <f aca="false">SUM(O45:O50)</f>
        <v>-4912.18478284193</v>
      </c>
      <c r="P51" s="313" t="n">
        <f aca="false">SUM(P45:P50)</f>
        <v>-4040.25807966233</v>
      </c>
      <c r="Q51" s="313" t="n">
        <f aca="false">SUM(Q45:Q50)</f>
        <v>-3081.54216800578</v>
      </c>
      <c r="R51" s="313" t="n">
        <f aca="false">SUM(R45:R50)</f>
        <v>-2029.46473154099</v>
      </c>
      <c r="S51" s="313" t="n">
        <f aca="false">SUM(S45:S50)</f>
        <v>-873.505354522752</v>
      </c>
      <c r="T51" s="313" t="n">
        <f aca="false">SUM(T45:T50)</f>
        <v>314.137719784956</v>
      </c>
      <c r="U51" s="313" t="n">
        <f aca="false">SUM(U45:U50)</f>
        <v>275.258479856641</v>
      </c>
      <c r="V51" s="313" t="n">
        <f aca="false">SUM(V45:V50)</f>
        <v>236.379239928326</v>
      </c>
      <c r="W51" s="313" t="n">
        <f aca="false">SUM(W45:W50)</f>
        <v>0</v>
      </c>
      <c r="X51" s="313" t="n">
        <f aca="false">SUM(X45:X50)</f>
        <v>0</v>
      </c>
      <c r="Y51" s="313" t="n">
        <f aca="false">SUM(Y45:Y50)</f>
        <v>0</v>
      </c>
      <c r="Z51" s="313" t="n">
        <f aca="false">SUM(Z45:Z50)</f>
        <v>0</v>
      </c>
      <c r="AA51" s="313" t="n">
        <f aca="false">SUM(AA45:AA50)</f>
        <v>0</v>
      </c>
      <c r="AB51" s="313" t="n">
        <f aca="false">SUM(AB45:AB50)</f>
        <v>0</v>
      </c>
      <c r="AC51" s="313" t="n">
        <f aca="false">SUM(AC45:AC50)</f>
        <v>0</v>
      </c>
      <c r="AD51" s="313" t="n">
        <f aca="false">SUM(AD45:AD50)</f>
        <v>0</v>
      </c>
      <c r="AE51" s="313" t="n">
        <f aca="false">SUM(AE45:AE50)</f>
        <v>0</v>
      </c>
      <c r="AF51" s="313" t="n">
        <f aca="false">SUM(AF45:AF50)</f>
        <v>0</v>
      </c>
      <c r="AG51" s="313" t="n">
        <f aca="false">SUM(AG45:AG50)</f>
        <v>0</v>
      </c>
      <c r="AH51" s="1123" t="n">
        <f aca="false">SUM(AH45:AH50)</f>
        <v>0</v>
      </c>
      <c r="AI51" s="100"/>
      <c r="AJ51" s="100"/>
      <c r="AK51" s="100"/>
      <c r="AL51" s="100"/>
      <c r="AM51" s="100"/>
      <c r="AN51" s="100"/>
      <c r="AO51" s="100"/>
      <c r="AP51" s="100"/>
      <c r="AQ51" s="100"/>
      <c r="AR51" s="100"/>
      <c r="AS51" s="100"/>
      <c r="AT51" s="100"/>
      <c r="AU51" s="100"/>
      <c r="AV51" s="100"/>
      <c r="AW51" s="100"/>
      <c r="AX51" s="100"/>
      <c r="AY51" s="100"/>
      <c r="AZ51" s="100"/>
      <c r="BA51" s="100"/>
      <c r="BB51" s="100"/>
      <c r="BC51" s="100"/>
      <c r="BD51" s="100"/>
      <c r="BE51" s="100"/>
      <c r="BF51" s="100"/>
      <c r="BG51" s="100"/>
      <c r="BH51" s="100"/>
      <c r="BI51" s="100"/>
      <c r="BJ51" s="100"/>
      <c r="BK51" s="100"/>
      <c r="BL51" s="100"/>
      <c r="BM51" s="100"/>
      <c r="BN51" s="100"/>
      <c r="BO51" s="100"/>
      <c r="BP51" s="100"/>
      <c r="BQ51" s="100"/>
      <c r="BR51" s="100"/>
      <c r="BS51" s="100"/>
      <c r="BT51" s="100"/>
      <c r="BU51" s="100"/>
      <c r="BV51" s="100"/>
      <c r="BW51" s="100"/>
      <c r="BX51" s="100"/>
      <c r="BY51" s="100"/>
      <c r="BZ51" s="100"/>
      <c r="CA51" s="100"/>
      <c r="CB51" s="100"/>
      <c r="CC51" s="100"/>
      <c r="CD51" s="100"/>
      <c r="CE51" s="100"/>
      <c r="CF51" s="100"/>
      <c r="CG51" s="100"/>
      <c r="CH51" s="100"/>
      <c r="CI51" s="100"/>
      <c r="CJ51" s="100"/>
      <c r="CK51" s="100"/>
      <c r="CL51" s="100"/>
      <c r="CM51" s="100"/>
      <c r="CN51" s="100"/>
      <c r="CO51" s="100"/>
      <c r="CP51" s="100"/>
      <c r="CQ51" s="100"/>
      <c r="CR51" s="100"/>
      <c r="CS51" s="100"/>
      <c r="CT51" s="100"/>
      <c r="CU51" s="100"/>
      <c r="CV51" s="100"/>
      <c r="CW51" s="100"/>
      <c r="CX51" s="100"/>
      <c r="CY51" s="100"/>
      <c r="CZ51" s="100"/>
      <c r="DA51" s="100"/>
      <c r="DB51" s="100"/>
      <c r="DC51" s="100"/>
      <c r="DD51" s="100"/>
      <c r="DE51" s="100"/>
      <c r="DF51" s="100"/>
      <c r="DG51" s="100"/>
      <c r="DH51" s="100"/>
      <c r="DI51" s="100"/>
      <c r="DJ51" s="100"/>
      <c r="DK51" s="100"/>
      <c r="DL51" s="100"/>
      <c r="DM51" s="100"/>
      <c r="DN51" s="100"/>
      <c r="DO51" s="100"/>
      <c r="DP51" s="100"/>
      <c r="DQ51" s="100"/>
      <c r="DR51" s="100"/>
      <c r="DS51" s="100"/>
      <c r="DT51" s="100"/>
      <c r="DU51" s="100"/>
      <c r="DV51" s="100"/>
      <c r="DW51" s="100"/>
      <c r="DX51" s="100"/>
      <c r="DY51" s="100"/>
      <c r="DZ51" s="100"/>
      <c r="EA51" s="100"/>
      <c r="EB51" s="100"/>
      <c r="EC51" s="100"/>
      <c r="ED51" s="100"/>
      <c r="EE51" s="100"/>
      <c r="EF51" s="100"/>
      <c r="EG51" s="100"/>
      <c r="EH51" s="100"/>
      <c r="EI51" s="100"/>
      <c r="EJ51" s="100"/>
      <c r="EK51" s="100"/>
      <c r="EL51" s="100"/>
      <c r="EM51" s="100"/>
      <c r="EN51" s="100"/>
      <c r="EO51" s="100"/>
      <c r="EP51" s="100"/>
      <c r="EQ51" s="100"/>
      <c r="ER51" s="100"/>
      <c r="ES51" s="100"/>
      <c r="ET51" s="100"/>
      <c r="EU51" s="100"/>
      <c r="EV51" s="100"/>
      <c r="EW51" s="100"/>
      <c r="EX51" s="100"/>
      <c r="EY51" s="100"/>
      <c r="EZ51" s="100"/>
      <c r="FA51" s="100"/>
      <c r="FB51" s="100"/>
      <c r="FC51" s="100"/>
      <c r="FD51" s="100"/>
      <c r="FE51" s="100"/>
      <c r="FF51" s="100"/>
      <c r="FG51" s="100"/>
      <c r="FH51" s="100"/>
      <c r="FI51" s="100"/>
      <c r="FJ51" s="100"/>
      <c r="FK51" s="100"/>
      <c r="FL51" s="100"/>
      <c r="FM51" s="100"/>
      <c r="FN51" s="100"/>
      <c r="FO51" s="100"/>
      <c r="FP51" s="100"/>
      <c r="FQ51" s="100"/>
      <c r="FR51" s="100"/>
      <c r="FS51" s="100"/>
      <c r="FT51" s="100"/>
      <c r="FU51" s="100"/>
      <c r="FV51" s="100"/>
      <c r="FW51" s="100"/>
      <c r="FX51" s="100"/>
      <c r="FY51" s="100"/>
      <c r="FZ51" s="100"/>
      <c r="GA51" s="100"/>
      <c r="GB51" s="100"/>
      <c r="GC51" s="100"/>
      <c r="GD51" s="100"/>
      <c r="GE51" s="100"/>
      <c r="GF51" s="100"/>
      <c r="GG51" s="100"/>
      <c r="GH51" s="100"/>
      <c r="GI51" s="100"/>
      <c r="GJ51" s="100"/>
      <c r="GK51" s="100"/>
      <c r="GL51" s="100"/>
      <c r="GM51" s="100"/>
      <c r="GN51" s="100"/>
      <c r="GO51" s="100"/>
      <c r="GP51" s="100"/>
      <c r="GQ51" s="100"/>
      <c r="GR51" s="100"/>
      <c r="GS51" s="100"/>
      <c r="GT51" s="100"/>
      <c r="GU51" s="100"/>
      <c r="GV51" s="100"/>
      <c r="GW51" s="100"/>
      <c r="GX51" s="100"/>
      <c r="GY51" s="100"/>
      <c r="GZ51" s="100"/>
      <c r="HA51" s="100"/>
      <c r="HB51" s="100"/>
      <c r="HC51" s="100"/>
      <c r="HD51" s="100"/>
      <c r="HE51" s="100"/>
      <c r="HF51" s="100"/>
      <c r="HG51" s="100"/>
      <c r="HH51" s="100"/>
      <c r="HI51" s="100"/>
      <c r="HJ51" s="100"/>
      <c r="HK51" s="100"/>
      <c r="HL51" s="100"/>
      <c r="HM51" s="100"/>
      <c r="HN51" s="100"/>
      <c r="HO51" s="100"/>
      <c r="HP51" s="100"/>
      <c r="HQ51" s="100"/>
      <c r="HR51" s="100"/>
      <c r="HS51" s="100"/>
      <c r="HT51" s="100"/>
      <c r="HU51" s="100"/>
      <c r="HV51" s="100"/>
      <c r="HW51" s="100"/>
      <c r="HX51" s="100"/>
      <c r="HY51" s="100"/>
      <c r="HZ51" s="100"/>
      <c r="IA51" s="100"/>
      <c r="IB51" s="100"/>
      <c r="IC51" s="100"/>
      <c r="ID51" s="100"/>
      <c r="IE51" s="100"/>
      <c r="IF51" s="100"/>
      <c r="IG51" s="100"/>
      <c r="IH51" s="100"/>
      <c r="II51" s="100"/>
      <c r="IJ51" s="100"/>
      <c r="IK51" s="100"/>
      <c r="IL51" s="100"/>
      <c r="IM51" s="100"/>
      <c r="IN51" s="100"/>
      <c r="IO51" s="100"/>
      <c r="IP51" s="100"/>
      <c r="IQ51" s="100"/>
      <c r="IR51" s="100"/>
      <c r="IS51" s="100"/>
      <c r="IT51" s="100"/>
      <c r="IU51" s="100"/>
      <c r="IV51" s="100"/>
      <c r="IW51" s="100"/>
    </row>
    <row r="52" customFormat="false" ht="12.75" hidden="false" customHeight="false" outlineLevel="0" collapsed="false">
      <c r="A52" s="100"/>
      <c r="B52" s="1115" t="s">
        <v>738</v>
      </c>
      <c r="C52" s="100"/>
      <c r="D52" s="100" t="n">
        <f aca="false">(SrDebt!E124+JrDebt!D71)</f>
        <v>12250.3807334591</v>
      </c>
      <c r="E52" s="100" t="n">
        <f aca="false">(SrDebt!F124+JrDebt!E71)</f>
        <v>11893.121668321</v>
      </c>
      <c r="F52" s="100" t="n">
        <f aca="false">(SrDebt!G124+JrDebt!F71)</f>
        <v>11502.968526409</v>
      </c>
      <c r="G52" s="100" t="n">
        <f aca="false">(SrDebt!H124+JrDebt!G71)</f>
        <v>11070.1229115449</v>
      </c>
      <c r="H52" s="100" t="n">
        <f aca="false">(SrDebt!I124+JrDebt!H71)</f>
        <v>10594.1100077067</v>
      </c>
      <c r="I52" s="100" t="n">
        <f aca="false">(SrDebt!J124+JrDebt!I71)</f>
        <v>10070.8628412085</v>
      </c>
      <c r="J52" s="100" t="n">
        <f aca="false">(SrDebt!K124+JrDebt!J71)</f>
        <v>9505.51781242627</v>
      </c>
      <c r="K52" s="100" t="n">
        <f aca="false">(SrDebt!L124+JrDebt!K71)</f>
        <v>8888.35202394655</v>
      </c>
      <c r="L52" s="100" t="n">
        <f aca="false">(SrDebt!M124+JrDebt!L71)</f>
        <v>8217.47035977989</v>
      </c>
      <c r="M52" s="100" t="n">
        <f aca="false">(SrDebt!N124+JrDebt!M71)</f>
        <v>7487.90880521003</v>
      </c>
      <c r="N52" s="100" t="n">
        <f aca="false">(SrDebt!O124+JrDebt!N71)</f>
        <v>6663.4651178596</v>
      </c>
      <c r="O52" s="100" t="n">
        <f aca="false">(SrDebt!P124+JrDebt!O71)</f>
        <v>5763.77081928301</v>
      </c>
      <c r="P52" s="100" t="n">
        <f aca="false">(SrDebt!Q124+JrDebt!P71)</f>
        <v>4784.35445277219</v>
      </c>
      <c r="Q52" s="100" t="n">
        <f aca="false">(SrDebt!R124+JrDebt!Q71)</f>
        <v>3718.14887778442</v>
      </c>
      <c r="R52" s="100" t="n">
        <f aca="false">(SrDebt!S124+JrDebt!R71)</f>
        <v>2558.5817779884</v>
      </c>
      <c r="S52" s="100" t="n">
        <f aca="false">(SrDebt!T124+JrDebt!S71)</f>
        <v>1295.13273763894</v>
      </c>
      <c r="T52" s="100" t="n">
        <f aca="false">(SrDebt!U124+JrDebt!T71)</f>
        <v>0</v>
      </c>
      <c r="U52" s="100" t="n">
        <f aca="false">(SrDebt!V124+JrDebt!U71)</f>
        <v>0</v>
      </c>
      <c r="V52" s="100" t="n">
        <f aca="false">(SrDebt!W124+JrDebt!V71)</f>
        <v>0</v>
      </c>
      <c r="W52" s="100" t="n">
        <f aca="false">(SrDebt!X124+JrDebt!W71)</f>
        <v>0</v>
      </c>
      <c r="X52" s="100" t="n">
        <f aca="false">(SrDebt!Y124+JrDebt!X71)</f>
        <v>0</v>
      </c>
      <c r="Y52" s="100" t="n">
        <f aca="false">(SrDebt!Z124+JrDebt!Y71)</f>
        <v>0</v>
      </c>
      <c r="Z52" s="100" t="n">
        <f aca="false">(SrDebt!AA124+JrDebt!Z71)</f>
        <v>0</v>
      </c>
      <c r="AA52" s="100" t="n">
        <f aca="false">(SrDebt!AB124+JrDebt!AA71)</f>
        <v>0</v>
      </c>
      <c r="AB52" s="100" t="n">
        <f aca="false">(SrDebt!AC124+JrDebt!AB71)</f>
        <v>0</v>
      </c>
      <c r="AC52" s="100" t="n">
        <f aca="false">(SrDebt!AD124+JrDebt!AC71)</f>
        <v>0</v>
      </c>
      <c r="AD52" s="100" t="n">
        <f aca="false">(SrDebt!AE124+JrDebt!AD71)</f>
        <v>0</v>
      </c>
      <c r="AE52" s="100" t="n">
        <f aca="false">(SrDebt!AF124+JrDebt!AE71)</f>
        <v>0</v>
      </c>
      <c r="AF52" s="100" t="n">
        <f aca="false">(SrDebt!AG124+JrDebt!AF71)</f>
        <v>0</v>
      </c>
      <c r="AG52" s="100" t="n">
        <f aca="false">(SrDebt!AH124+JrDebt!AG71)</f>
        <v>0</v>
      </c>
      <c r="AH52" s="100" t="n">
        <f aca="false">(SrDebt!AI124+JrDebt!AH71)</f>
        <v>0</v>
      </c>
      <c r="AI52" s="100"/>
      <c r="AJ52" s="100"/>
      <c r="AK52" s="100"/>
      <c r="AL52" s="100"/>
      <c r="AM52" s="100"/>
      <c r="AN52" s="100"/>
      <c r="AO52" s="100"/>
      <c r="AP52" s="100"/>
      <c r="AQ52" s="100"/>
      <c r="AR52" s="100"/>
      <c r="AS52" s="100"/>
      <c r="AT52" s="100"/>
      <c r="AU52" s="100"/>
      <c r="AV52" s="100"/>
      <c r="AW52" s="100"/>
      <c r="AX52" s="100"/>
      <c r="AY52" s="100"/>
      <c r="AZ52" s="100"/>
      <c r="BA52" s="100"/>
      <c r="BB52" s="100"/>
      <c r="BC52" s="100"/>
      <c r="BD52" s="100"/>
      <c r="BE52" s="100"/>
      <c r="BF52" s="100"/>
      <c r="BG52" s="100"/>
      <c r="BH52" s="100"/>
      <c r="BI52" s="100"/>
      <c r="BJ52" s="100"/>
      <c r="BK52" s="100"/>
      <c r="BL52" s="100"/>
      <c r="BM52" s="100"/>
      <c r="BN52" s="100"/>
      <c r="BO52" s="100"/>
      <c r="BP52" s="100"/>
      <c r="BQ52" s="100"/>
      <c r="BR52" s="100"/>
      <c r="BS52" s="100"/>
      <c r="BT52" s="100"/>
      <c r="BU52" s="100"/>
      <c r="BV52" s="100"/>
      <c r="BW52" s="100"/>
      <c r="BX52" s="100"/>
      <c r="BY52" s="100"/>
      <c r="BZ52" s="100"/>
      <c r="CA52" s="100"/>
      <c r="CB52" s="100"/>
      <c r="CC52" s="100"/>
      <c r="CD52" s="100"/>
      <c r="CE52" s="100"/>
      <c r="CF52" s="100"/>
      <c r="CG52" s="100"/>
      <c r="CH52" s="100"/>
      <c r="CI52" s="100"/>
      <c r="CJ52" s="100"/>
      <c r="CK52" s="100"/>
      <c r="CL52" s="100"/>
      <c r="CM52" s="100"/>
      <c r="CN52" s="100"/>
      <c r="CO52" s="100"/>
      <c r="CP52" s="100"/>
      <c r="CQ52" s="100"/>
      <c r="CR52" s="100"/>
      <c r="CS52" s="100"/>
      <c r="CT52" s="100"/>
      <c r="CU52" s="100"/>
      <c r="CV52" s="100"/>
      <c r="CW52" s="100"/>
      <c r="CX52" s="100"/>
      <c r="CY52" s="100"/>
      <c r="CZ52" s="100"/>
      <c r="DA52" s="100"/>
      <c r="DB52" s="100"/>
      <c r="DC52" s="100"/>
      <c r="DD52" s="100"/>
      <c r="DE52" s="100"/>
      <c r="DF52" s="100"/>
      <c r="DG52" s="100"/>
      <c r="DH52" s="100"/>
      <c r="DI52" s="100"/>
      <c r="DJ52" s="100"/>
      <c r="DK52" s="100"/>
      <c r="DL52" s="100"/>
      <c r="DM52" s="100"/>
      <c r="DN52" s="100"/>
      <c r="DO52" s="100"/>
      <c r="DP52" s="100"/>
      <c r="DQ52" s="100"/>
      <c r="DR52" s="100"/>
      <c r="DS52" s="100"/>
      <c r="DT52" s="100"/>
      <c r="DU52" s="100"/>
      <c r="DV52" s="100"/>
      <c r="DW52" s="100"/>
      <c r="DX52" s="100"/>
      <c r="DY52" s="100"/>
      <c r="DZ52" s="100"/>
      <c r="EA52" s="100"/>
      <c r="EB52" s="100"/>
      <c r="EC52" s="100"/>
      <c r="ED52" s="100"/>
      <c r="EE52" s="100"/>
      <c r="EF52" s="100"/>
      <c r="EG52" s="100"/>
      <c r="EH52" s="100"/>
      <c r="EI52" s="100"/>
      <c r="EJ52" s="100"/>
      <c r="EK52" s="100"/>
      <c r="EL52" s="100"/>
      <c r="EM52" s="100"/>
      <c r="EN52" s="100"/>
      <c r="EO52" s="100"/>
      <c r="EP52" s="100"/>
      <c r="EQ52" s="100"/>
      <c r="ER52" s="100"/>
      <c r="ES52" s="100"/>
      <c r="ET52" s="100"/>
      <c r="EU52" s="100"/>
      <c r="EV52" s="100"/>
      <c r="EW52" s="100"/>
      <c r="EX52" s="100"/>
      <c r="EY52" s="100"/>
      <c r="EZ52" s="100"/>
      <c r="FA52" s="100"/>
      <c r="FB52" s="100"/>
      <c r="FC52" s="100"/>
      <c r="FD52" s="100"/>
      <c r="FE52" s="100"/>
      <c r="FF52" s="100"/>
      <c r="FG52" s="100"/>
      <c r="FH52" s="100"/>
      <c r="FI52" s="100"/>
      <c r="FJ52" s="100"/>
      <c r="FK52" s="100"/>
      <c r="FL52" s="100"/>
      <c r="FM52" s="100"/>
      <c r="FN52" s="100"/>
      <c r="FO52" s="100"/>
      <c r="FP52" s="100"/>
      <c r="FQ52" s="100"/>
      <c r="FR52" s="100"/>
      <c r="FS52" s="100"/>
      <c r="FT52" s="100"/>
      <c r="FU52" s="100"/>
      <c r="FV52" s="100"/>
      <c r="FW52" s="100"/>
      <c r="FX52" s="100"/>
      <c r="FY52" s="100"/>
      <c r="FZ52" s="100"/>
      <c r="GA52" s="100"/>
      <c r="GB52" s="100"/>
      <c r="GC52" s="100"/>
      <c r="GD52" s="100"/>
      <c r="GE52" s="100"/>
      <c r="GF52" s="100"/>
      <c r="GG52" s="100"/>
      <c r="GH52" s="100"/>
      <c r="GI52" s="100"/>
      <c r="GJ52" s="100"/>
      <c r="GK52" s="100"/>
      <c r="GL52" s="100"/>
      <c r="GM52" s="100"/>
      <c r="GN52" s="100"/>
      <c r="GO52" s="100"/>
      <c r="GP52" s="100"/>
      <c r="GQ52" s="100"/>
      <c r="GR52" s="100"/>
      <c r="GS52" s="100"/>
      <c r="GT52" s="100"/>
      <c r="GU52" s="100"/>
      <c r="GV52" s="100"/>
      <c r="GW52" s="100"/>
      <c r="GX52" s="100"/>
      <c r="GY52" s="100"/>
      <c r="GZ52" s="100"/>
      <c r="HA52" s="100"/>
      <c r="HB52" s="100"/>
      <c r="HC52" s="100"/>
      <c r="HD52" s="100"/>
      <c r="HE52" s="100"/>
      <c r="HF52" s="100"/>
      <c r="HG52" s="100"/>
      <c r="HH52" s="100"/>
      <c r="HI52" s="100"/>
      <c r="HJ52" s="100"/>
      <c r="HK52" s="100"/>
      <c r="HL52" s="100"/>
      <c r="HM52" s="100"/>
      <c r="HN52" s="100"/>
      <c r="HO52" s="100"/>
      <c r="HP52" s="100"/>
      <c r="HQ52" s="100"/>
      <c r="HR52" s="100"/>
      <c r="HS52" s="100"/>
      <c r="HT52" s="100"/>
      <c r="HU52" s="100"/>
      <c r="HV52" s="100"/>
      <c r="HW52" s="100"/>
      <c r="HX52" s="100"/>
      <c r="HY52" s="100"/>
      <c r="HZ52" s="100"/>
      <c r="IA52" s="100"/>
      <c r="IB52" s="100"/>
      <c r="IC52" s="100"/>
      <c r="ID52" s="100"/>
      <c r="IE52" s="100"/>
      <c r="IF52" s="100"/>
      <c r="IG52" s="100"/>
      <c r="IH52" s="100"/>
      <c r="II52" s="100"/>
      <c r="IJ52" s="100"/>
      <c r="IK52" s="100"/>
      <c r="IL52" s="100"/>
      <c r="IM52" s="100"/>
      <c r="IN52" s="100"/>
      <c r="IO52" s="100"/>
      <c r="IP52" s="100"/>
      <c r="IQ52" s="100"/>
      <c r="IR52" s="100"/>
      <c r="IS52" s="100"/>
      <c r="IT52" s="100"/>
      <c r="IU52" s="100"/>
      <c r="IV52" s="100"/>
      <c r="IW52" s="100"/>
    </row>
    <row r="53" customFormat="false" ht="12.75" hidden="false" customHeight="false" outlineLevel="0" collapsed="false">
      <c r="A53" s="100"/>
      <c r="B53" s="1128" t="s">
        <v>735</v>
      </c>
      <c r="C53" s="1129"/>
      <c r="D53" s="1130" t="n">
        <f aca="false">SUM(D51:D52)</f>
        <v>31582.1946786041</v>
      </c>
      <c r="E53" s="1130" t="n">
        <f aca="false">SUM(E51:E52)</f>
        <v>19655.4160770651</v>
      </c>
      <c r="F53" s="1130" t="n">
        <f aca="false">SUM(F51:F52)</f>
        <v>12456.3530508092</v>
      </c>
      <c r="G53" s="1130" t="n">
        <f aca="false">SUM(G51:G52)</f>
        <v>8093.91936972311</v>
      </c>
      <c r="H53" s="1130" t="n">
        <f aca="false">SUM(H51:H52)</f>
        <v>3731.48568863706</v>
      </c>
      <c r="I53" s="1130" t="n">
        <f aca="false">SUM(I51:I52)</f>
        <v>1496.52401642843</v>
      </c>
      <c r="J53" s="1130" t="n">
        <f aca="false">SUM(J51:J52)</f>
        <v>1389.0343530972</v>
      </c>
      <c r="K53" s="1130" t="n">
        <f aca="false">SUM(K51:K52)</f>
        <v>1281.54468976598</v>
      </c>
      <c r="L53" s="1130" t="n">
        <f aca="false">SUM(L51:L52)</f>
        <v>1174.05502643475</v>
      </c>
      <c r="M53" s="1130" t="n">
        <f aca="false">SUM(M51:M52)</f>
        <v>1066.56536310353</v>
      </c>
      <c r="N53" s="1130" t="n">
        <f aca="false">SUM(N51:N52)</f>
        <v>959.075699772307</v>
      </c>
      <c r="O53" s="1130" t="n">
        <f aca="false">SUM(O51:O52)</f>
        <v>851.586036441084</v>
      </c>
      <c r="P53" s="1130" t="n">
        <f aca="false">SUM(P51:P52)</f>
        <v>744.09637310986</v>
      </c>
      <c r="Q53" s="1130" t="n">
        <f aca="false">SUM(Q51:Q52)</f>
        <v>636.606709778635</v>
      </c>
      <c r="R53" s="1130" t="n">
        <f aca="false">SUM(R51:R52)</f>
        <v>529.11704644741</v>
      </c>
      <c r="S53" s="1130" t="n">
        <f aca="false">SUM(S51:S52)</f>
        <v>421.627383116185</v>
      </c>
      <c r="T53" s="1130" t="n">
        <f aca="false">SUM(T51:T52)</f>
        <v>314.137719784956</v>
      </c>
      <c r="U53" s="1130" t="n">
        <f aca="false">SUM(U51:U52)</f>
        <v>275.258479856641</v>
      </c>
      <c r="V53" s="1130" t="n">
        <f aca="false">SUM(V51:V52)</f>
        <v>236.379239928326</v>
      </c>
      <c r="W53" s="1130" t="n">
        <f aca="false">SUM(W51:W52)</f>
        <v>0</v>
      </c>
      <c r="X53" s="1130" t="n">
        <f aca="false">SUM(X51:X52)</f>
        <v>0</v>
      </c>
      <c r="Y53" s="1130" t="n">
        <f aca="false">SUM(Y51:Y52)</f>
        <v>0</v>
      </c>
      <c r="Z53" s="1130" t="n">
        <f aca="false">SUM(Z51:Z52)</f>
        <v>0</v>
      </c>
      <c r="AA53" s="1130" t="n">
        <f aca="false">SUM(AA51:AA52)</f>
        <v>0</v>
      </c>
      <c r="AB53" s="1130" t="n">
        <f aca="false">SUM(AB51:AB52)</f>
        <v>0</v>
      </c>
      <c r="AC53" s="1130" t="n">
        <f aca="false">SUM(AC51:AC52)</f>
        <v>0</v>
      </c>
      <c r="AD53" s="1130" t="n">
        <f aca="false">SUM(AD51:AD52)</f>
        <v>0</v>
      </c>
      <c r="AE53" s="1130" t="n">
        <f aca="false">SUM(AE51:AE52)</f>
        <v>0</v>
      </c>
      <c r="AF53" s="1130" t="n">
        <f aca="false">SUM(AF51:AF52)</f>
        <v>0</v>
      </c>
      <c r="AG53" s="1130" t="n">
        <f aca="false">SUM(AG51:AG52)</f>
        <v>0</v>
      </c>
      <c r="AH53" s="1131" t="n">
        <f aca="false">SUM(AH51:AH52)</f>
        <v>0</v>
      </c>
      <c r="AI53" s="100"/>
      <c r="AJ53" s="100"/>
      <c r="AK53" s="100"/>
      <c r="AL53" s="100"/>
      <c r="AM53" s="100"/>
      <c r="AN53" s="100"/>
      <c r="AO53" s="100"/>
      <c r="AP53" s="100"/>
      <c r="AQ53" s="100"/>
      <c r="AR53" s="100"/>
      <c r="AS53" s="100"/>
      <c r="AT53" s="100"/>
      <c r="AU53" s="100"/>
      <c r="AV53" s="100"/>
      <c r="AW53" s="100"/>
      <c r="AX53" s="100"/>
      <c r="AY53" s="100"/>
      <c r="AZ53" s="100"/>
      <c r="BA53" s="100"/>
      <c r="BB53" s="100"/>
      <c r="BC53" s="100"/>
      <c r="BD53" s="100"/>
      <c r="BE53" s="100"/>
      <c r="BF53" s="100"/>
      <c r="BG53" s="100"/>
      <c r="BH53" s="100"/>
      <c r="BI53" s="100"/>
      <c r="BJ53" s="100"/>
      <c r="BK53" s="100"/>
      <c r="BL53" s="100"/>
      <c r="BM53" s="100"/>
      <c r="BN53" s="100"/>
      <c r="BO53" s="100"/>
      <c r="BP53" s="100"/>
      <c r="BQ53" s="100"/>
      <c r="BR53" s="100"/>
      <c r="BS53" s="100"/>
      <c r="BT53" s="100"/>
      <c r="BU53" s="100"/>
      <c r="BV53" s="100"/>
      <c r="BW53" s="100"/>
      <c r="BX53" s="100"/>
      <c r="BY53" s="100"/>
      <c r="BZ53" s="100"/>
      <c r="CA53" s="100"/>
      <c r="CB53" s="100"/>
      <c r="CC53" s="100"/>
      <c r="CD53" s="100"/>
      <c r="CE53" s="100"/>
      <c r="CF53" s="100"/>
      <c r="CG53" s="100"/>
      <c r="CH53" s="100"/>
      <c r="CI53" s="100"/>
      <c r="CJ53" s="100"/>
      <c r="CK53" s="100"/>
      <c r="CL53" s="100"/>
      <c r="CM53" s="100"/>
      <c r="CN53" s="100"/>
      <c r="CO53" s="100"/>
      <c r="CP53" s="100"/>
      <c r="CQ53" s="100"/>
      <c r="CR53" s="100"/>
      <c r="CS53" s="100"/>
      <c r="CT53" s="100"/>
      <c r="CU53" s="100"/>
      <c r="CV53" s="100"/>
      <c r="CW53" s="100"/>
      <c r="CX53" s="100"/>
      <c r="CY53" s="100"/>
      <c r="CZ53" s="100"/>
      <c r="DA53" s="100"/>
      <c r="DB53" s="100"/>
      <c r="DC53" s="100"/>
      <c r="DD53" s="100"/>
      <c r="DE53" s="100"/>
      <c r="DF53" s="100"/>
      <c r="DG53" s="100"/>
      <c r="DH53" s="100"/>
      <c r="DI53" s="100"/>
      <c r="DJ53" s="100"/>
      <c r="DK53" s="100"/>
      <c r="DL53" s="100"/>
      <c r="DM53" s="100"/>
      <c r="DN53" s="100"/>
      <c r="DO53" s="100"/>
      <c r="DP53" s="100"/>
      <c r="DQ53" s="100"/>
      <c r="DR53" s="100"/>
      <c r="DS53" s="100"/>
      <c r="DT53" s="100"/>
      <c r="DU53" s="100"/>
      <c r="DV53" s="100"/>
      <c r="DW53" s="100"/>
      <c r="DX53" s="100"/>
      <c r="DY53" s="100"/>
      <c r="DZ53" s="100"/>
      <c r="EA53" s="100"/>
      <c r="EB53" s="100"/>
      <c r="EC53" s="100"/>
      <c r="ED53" s="100"/>
      <c r="EE53" s="100"/>
      <c r="EF53" s="100"/>
      <c r="EG53" s="100"/>
      <c r="EH53" s="100"/>
      <c r="EI53" s="100"/>
      <c r="EJ53" s="100"/>
      <c r="EK53" s="100"/>
      <c r="EL53" s="100"/>
      <c r="EM53" s="100"/>
      <c r="EN53" s="100"/>
      <c r="EO53" s="100"/>
      <c r="EP53" s="100"/>
      <c r="EQ53" s="100"/>
      <c r="ER53" s="100"/>
      <c r="ES53" s="100"/>
      <c r="ET53" s="100"/>
      <c r="EU53" s="100"/>
      <c r="EV53" s="100"/>
      <c r="EW53" s="100"/>
      <c r="EX53" s="100"/>
      <c r="EY53" s="100"/>
      <c r="EZ53" s="100"/>
      <c r="FA53" s="100"/>
      <c r="FB53" s="100"/>
      <c r="FC53" s="100"/>
      <c r="FD53" s="100"/>
      <c r="FE53" s="100"/>
      <c r="FF53" s="100"/>
      <c r="FG53" s="100"/>
      <c r="FH53" s="100"/>
      <c r="FI53" s="100"/>
      <c r="FJ53" s="100"/>
      <c r="FK53" s="100"/>
      <c r="FL53" s="100"/>
      <c r="FM53" s="100"/>
      <c r="FN53" s="100"/>
      <c r="FO53" s="100"/>
      <c r="FP53" s="100"/>
      <c r="FQ53" s="100"/>
      <c r="FR53" s="100"/>
      <c r="FS53" s="100"/>
      <c r="FT53" s="100"/>
      <c r="FU53" s="100"/>
      <c r="FV53" s="100"/>
      <c r="FW53" s="100"/>
      <c r="FX53" s="100"/>
      <c r="FY53" s="100"/>
      <c r="FZ53" s="100"/>
      <c r="GA53" s="100"/>
      <c r="GB53" s="100"/>
      <c r="GC53" s="100"/>
      <c r="GD53" s="100"/>
      <c r="GE53" s="100"/>
      <c r="GF53" s="100"/>
      <c r="GG53" s="100"/>
      <c r="GH53" s="100"/>
      <c r="GI53" s="100"/>
      <c r="GJ53" s="100"/>
      <c r="GK53" s="100"/>
      <c r="GL53" s="100"/>
      <c r="GM53" s="100"/>
      <c r="GN53" s="100"/>
      <c r="GO53" s="100"/>
      <c r="GP53" s="100"/>
      <c r="GQ53" s="100"/>
      <c r="GR53" s="100"/>
      <c r="GS53" s="100"/>
      <c r="GT53" s="100"/>
      <c r="GU53" s="100"/>
      <c r="GV53" s="100"/>
      <c r="GW53" s="100"/>
      <c r="GX53" s="100"/>
      <c r="GY53" s="100"/>
      <c r="GZ53" s="100"/>
      <c r="HA53" s="100"/>
      <c r="HB53" s="100"/>
      <c r="HC53" s="100"/>
      <c r="HD53" s="100"/>
      <c r="HE53" s="100"/>
      <c r="HF53" s="100"/>
      <c r="HG53" s="100"/>
      <c r="HH53" s="100"/>
      <c r="HI53" s="100"/>
      <c r="HJ53" s="100"/>
      <c r="HK53" s="100"/>
      <c r="HL53" s="100"/>
      <c r="HM53" s="100"/>
      <c r="HN53" s="100"/>
      <c r="HO53" s="100"/>
      <c r="HP53" s="100"/>
      <c r="HQ53" s="100"/>
      <c r="HR53" s="100"/>
      <c r="HS53" s="100"/>
      <c r="HT53" s="100"/>
      <c r="HU53" s="100"/>
      <c r="HV53" s="100"/>
      <c r="HW53" s="100"/>
      <c r="HX53" s="100"/>
      <c r="HY53" s="100"/>
      <c r="HZ53" s="100"/>
      <c r="IA53" s="100"/>
      <c r="IB53" s="100"/>
      <c r="IC53" s="100"/>
      <c r="ID53" s="100"/>
      <c r="IE53" s="100"/>
      <c r="IF53" s="100"/>
      <c r="IG53" s="100"/>
      <c r="IH53" s="100"/>
      <c r="II53" s="100"/>
      <c r="IJ53" s="100"/>
      <c r="IK53" s="100"/>
      <c r="IL53" s="100"/>
      <c r="IM53" s="100"/>
      <c r="IN53" s="100"/>
      <c r="IO53" s="100"/>
      <c r="IP53" s="100"/>
      <c r="IQ53" s="100"/>
      <c r="IR53" s="100"/>
      <c r="IS53" s="100"/>
      <c r="IT53" s="100"/>
      <c r="IU53" s="100"/>
      <c r="IV53" s="100"/>
      <c r="IW53" s="100"/>
    </row>
    <row r="54" customFormat="false" ht="12.75" hidden="false" customHeight="false" outlineLevel="0" collapsed="false">
      <c r="A54" s="100"/>
      <c r="B54" s="100"/>
      <c r="C54" s="100"/>
      <c r="D54" s="100"/>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c r="AH54" s="100"/>
      <c r="AI54" s="100"/>
      <c r="AJ54" s="100"/>
      <c r="AK54" s="100"/>
      <c r="AL54" s="100"/>
      <c r="AM54" s="100"/>
      <c r="AN54" s="100"/>
      <c r="AO54" s="100"/>
      <c r="AP54" s="100"/>
      <c r="AQ54" s="100"/>
      <c r="AR54" s="100"/>
      <c r="AS54" s="100"/>
      <c r="AT54" s="100"/>
      <c r="AU54" s="100"/>
      <c r="AV54" s="100"/>
      <c r="AW54" s="100"/>
      <c r="AX54" s="100"/>
      <c r="AY54" s="100"/>
      <c r="AZ54" s="100"/>
      <c r="BA54" s="100"/>
      <c r="BB54" s="100"/>
      <c r="BC54" s="100"/>
      <c r="BD54" s="100"/>
      <c r="BE54" s="100"/>
      <c r="BF54" s="100"/>
      <c r="BG54" s="100"/>
      <c r="BH54" s="100"/>
      <c r="BI54" s="100"/>
      <c r="BJ54" s="100"/>
      <c r="BK54" s="100"/>
      <c r="BL54" s="100"/>
      <c r="BM54" s="100"/>
      <c r="BN54" s="100"/>
      <c r="BO54" s="100"/>
      <c r="BP54" s="100"/>
      <c r="BQ54" s="100"/>
      <c r="BR54" s="100"/>
      <c r="BS54" s="100"/>
      <c r="BT54" s="100"/>
      <c r="BU54" s="100"/>
      <c r="BV54" s="100"/>
      <c r="BW54" s="100"/>
      <c r="BX54" s="100"/>
      <c r="BY54" s="100"/>
      <c r="BZ54" s="100"/>
      <c r="CA54" s="100"/>
      <c r="CB54" s="100"/>
      <c r="CC54" s="100"/>
      <c r="CD54" s="100"/>
      <c r="CE54" s="100"/>
      <c r="CF54" s="100"/>
      <c r="CG54" s="100"/>
      <c r="CH54" s="100"/>
      <c r="CI54" s="100"/>
      <c r="CJ54" s="100"/>
      <c r="CK54" s="100"/>
      <c r="CL54" s="100"/>
      <c r="CM54" s="100"/>
      <c r="CN54" s="100"/>
      <c r="CO54" s="100"/>
      <c r="CP54" s="100"/>
      <c r="CQ54" s="100"/>
      <c r="CR54" s="100"/>
      <c r="CS54" s="100"/>
      <c r="CT54" s="100"/>
      <c r="CU54" s="100"/>
      <c r="CV54" s="100"/>
      <c r="CW54" s="100"/>
      <c r="CX54" s="100"/>
      <c r="CY54" s="100"/>
      <c r="CZ54" s="100"/>
      <c r="DA54" s="100"/>
      <c r="DB54" s="100"/>
      <c r="DC54" s="100"/>
      <c r="DD54" s="100"/>
      <c r="DE54" s="100"/>
      <c r="DF54" s="100"/>
      <c r="DG54" s="100"/>
      <c r="DH54" s="100"/>
      <c r="DI54" s="100"/>
      <c r="DJ54" s="100"/>
      <c r="DK54" s="100"/>
      <c r="DL54" s="100"/>
      <c r="DM54" s="100"/>
      <c r="DN54" s="100"/>
      <c r="DO54" s="100"/>
      <c r="DP54" s="100"/>
      <c r="DQ54" s="100"/>
      <c r="DR54" s="100"/>
      <c r="DS54" s="100"/>
      <c r="DT54" s="100"/>
      <c r="DU54" s="100"/>
      <c r="DV54" s="100"/>
      <c r="DW54" s="100"/>
      <c r="DX54" s="100"/>
      <c r="DY54" s="100"/>
      <c r="DZ54" s="100"/>
      <c r="EA54" s="100"/>
      <c r="EB54" s="100"/>
      <c r="EC54" s="100"/>
      <c r="ED54" s="100"/>
      <c r="EE54" s="100"/>
      <c r="EF54" s="100"/>
      <c r="EG54" s="100"/>
      <c r="EH54" s="100"/>
      <c r="EI54" s="100"/>
      <c r="EJ54" s="100"/>
      <c r="EK54" s="100"/>
      <c r="EL54" s="100"/>
      <c r="EM54" s="100"/>
      <c r="EN54" s="100"/>
      <c r="EO54" s="100"/>
      <c r="EP54" s="100"/>
      <c r="EQ54" s="100"/>
      <c r="ER54" s="100"/>
      <c r="ES54" s="100"/>
      <c r="ET54" s="100"/>
      <c r="EU54" s="100"/>
      <c r="EV54" s="100"/>
      <c r="EW54" s="100"/>
      <c r="EX54" s="100"/>
      <c r="EY54" s="100"/>
      <c r="EZ54" s="100"/>
      <c r="FA54" s="100"/>
      <c r="FB54" s="100"/>
      <c r="FC54" s="100"/>
      <c r="FD54" s="100"/>
      <c r="FE54" s="100"/>
      <c r="FF54" s="100"/>
      <c r="FG54" s="100"/>
      <c r="FH54" s="100"/>
      <c r="FI54" s="100"/>
      <c r="FJ54" s="100"/>
      <c r="FK54" s="100"/>
      <c r="FL54" s="100"/>
      <c r="FM54" s="100"/>
      <c r="FN54" s="100"/>
      <c r="FO54" s="100"/>
      <c r="FP54" s="100"/>
      <c r="FQ54" s="100"/>
      <c r="FR54" s="100"/>
      <c r="FS54" s="100"/>
      <c r="FT54" s="100"/>
      <c r="FU54" s="100"/>
      <c r="FV54" s="100"/>
      <c r="FW54" s="100"/>
      <c r="FX54" s="100"/>
      <c r="FY54" s="100"/>
      <c r="FZ54" s="100"/>
      <c r="GA54" s="100"/>
      <c r="GB54" s="100"/>
      <c r="GC54" s="100"/>
      <c r="GD54" s="100"/>
      <c r="GE54" s="100"/>
      <c r="GF54" s="100"/>
      <c r="GG54" s="100"/>
      <c r="GH54" s="100"/>
      <c r="GI54" s="100"/>
      <c r="GJ54" s="100"/>
      <c r="GK54" s="100"/>
      <c r="GL54" s="100"/>
      <c r="GM54" s="100"/>
      <c r="GN54" s="100"/>
      <c r="GO54" s="100"/>
      <c r="GP54" s="100"/>
      <c r="GQ54" s="100"/>
      <c r="GR54" s="100"/>
      <c r="GS54" s="100"/>
      <c r="GT54" s="100"/>
      <c r="GU54" s="100"/>
      <c r="GV54" s="100"/>
      <c r="GW54" s="100"/>
      <c r="GX54" s="100"/>
      <c r="GY54" s="100"/>
      <c r="GZ54" s="100"/>
      <c r="HA54" s="100"/>
      <c r="HB54" s="100"/>
      <c r="HC54" s="100"/>
      <c r="HD54" s="100"/>
      <c r="HE54" s="100"/>
      <c r="HF54" s="100"/>
      <c r="HG54" s="100"/>
      <c r="HH54" s="100"/>
      <c r="HI54" s="100"/>
      <c r="HJ54" s="100"/>
      <c r="HK54" s="100"/>
      <c r="HL54" s="100"/>
      <c r="HM54" s="100"/>
      <c r="HN54" s="100"/>
      <c r="HO54" s="100"/>
      <c r="HP54" s="100"/>
      <c r="HQ54" s="100"/>
      <c r="HR54" s="100"/>
      <c r="HS54" s="100"/>
      <c r="HT54" s="100"/>
      <c r="HU54" s="100"/>
      <c r="HV54" s="100"/>
      <c r="HW54" s="100"/>
      <c r="HX54" s="100"/>
      <c r="HY54" s="100"/>
      <c r="HZ54" s="100"/>
      <c r="IA54" s="100"/>
      <c r="IB54" s="100"/>
      <c r="IC54" s="100"/>
      <c r="ID54" s="100"/>
      <c r="IE54" s="100"/>
      <c r="IF54" s="100"/>
      <c r="IG54" s="100"/>
      <c r="IH54" s="100"/>
      <c r="II54" s="100"/>
      <c r="IJ54" s="100"/>
      <c r="IK54" s="100"/>
      <c r="IL54" s="100"/>
      <c r="IM54" s="100"/>
      <c r="IN54" s="100"/>
      <c r="IO54" s="100"/>
      <c r="IP54" s="100"/>
      <c r="IQ54" s="100"/>
      <c r="IR54" s="100"/>
      <c r="IS54" s="100"/>
      <c r="IT54" s="100"/>
      <c r="IU54" s="100"/>
      <c r="IV54" s="100"/>
      <c r="IW54" s="100"/>
    </row>
    <row r="55" customFormat="false" ht="13.5" hidden="false" customHeight="false" outlineLevel="0" collapsed="false">
      <c r="A55" s="100"/>
      <c r="B55" s="100"/>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100"/>
      <c r="AI55" s="100"/>
      <c r="AJ55" s="100"/>
      <c r="AK55" s="100"/>
      <c r="AL55" s="100"/>
      <c r="AM55" s="100"/>
      <c r="AN55" s="100"/>
      <c r="AO55" s="100"/>
      <c r="AP55" s="100"/>
      <c r="AQ55" s="100"/>
      <c r="AR55" s="100"/>
      <c r="AS55" s="100"/>
      <c r="AT55" s="100"/>
      <c r="AU55" s="100"/>
      <c r="AV55" s="100"/>
      <c r="AW55" s="100"/>
      <c r="AX55" s="100"/>
      <c r="AY55" s="100"/>
      <c r="AZ55" s="100"/>
      <c r="BA55" s="100"/>
      <c r="BB55" s="100"/>
      <c r="BC55" s="100"/>
      <c r="BD55" s="100"/>
      <c r="BE55" s="100"/>
      <c r="BF55" s="100"/>
      <c r="BG55" s="100"/>
      <c r="BH55" s="100"/>
      <c r="BI55" s="100"/>
      <c r="BJ55" s="100"/>
      <c r="BK55" s="100"/>
      <c r="BL55" s="100"/>
      <c r="BM55" s="100"/>
      <c r="BN55" s="100"/>
      <c r="BO55" s="100"/>
      <c r="BP55" s="100"/>
      <c r="BQ55" s="100"/>
      <c r="BR55" s="100"/>
      <c r="BS55" s="100"/>
      <c r="BT55" s="100"/>
      <c r="BU55" s="100"/>
      <c r="BV55" s="100"/>
      <c r="BW55" s="100"/>
      <c r="BX55" s="100"/>
      <c r="BY55" s="100"/>
      <c r="BZ55" s="100"/>
      <c r="CA55" s="100"/>
      <c r="CB55" s="100"/>
      <c r="CC55" s="100"/>
      <c r="CD55" s="100"/>
      <c r="CE55" s="100"/>
      <c r="CF55" s="100"/>
      <c r="CG55" s="100"/>
      <c r="CH55" s="100"/>
      <c r="CI55" s="100"/>
      <c r="CJ55" s="100"/>
      <c r="CK55" s="100"/>
      <c r="CL55" s="100"/>
      <c r="CM55" s="100"/>
      <c r="CN55" s="100"/>
      <c r="CO55" s="100"/>
      <c r="CP55" s="100"/>
      <c r="CQ55" s="100"/>
      <c r="CR55" s="100"/>
      <c r="CS55" s="100"/>
      <c r="CT55" s="100"/>
      <c r="CU55" s="100"/>
      <c r="CV55" s="100"/>
      <c r="CW55" s="100"/>
      <c r="CX55" s="100"/>
      <c r="CY55" s="100"/>
      <c r="CZ55" s="100"/>
      <c r="DA55" s="100"/>
      <c r="DB55" s="100"/>
      <c r="DC55" s="100"/>
      <c r="DD55" s="100"/>
      <c r="DE55" s="100"/>
      <c r="DF55" s="100"/>
      <c r="DG55" s="100"/>
      <c r="DH55" s="100"/>
      <c r="DI55" s="100"/>
      <c r="DJ55" s="100"/>
      <c r="DK55" s="100"/>
      <c r="DL55" s="100"/>
      <c r="DM55" s="100"/>
      <c r="DN55" s="100"/>
      <c r="DO55" s="100"/>
      <c r="DP55" s="100"/>
      <c r="DQ55" s="100"/>
      <c r="DR55" s="100"/>
      <c r="DS55" s="100"/>
      <c r="DT55" s="100"/>
      <c r="DU55" s="100"/>
      <c r="DV55" s="100"/>
      <c r="DW55" s="100"/>
      <c r="DX55" s="100"/>
      <c r="DY55" s="100"/>
      <c r="DZ55" s="100"/>
      <c r="EA55" s="100"/>
      <c r="EB55" s="100"/>
      <c r="EC55" s="100"/>
      <c r="ED55" s="100"/>
      <c r="EE55" s="100"/>
      <c r="EF55" s="100"/>
      <c r="EG55" s="100"/>
      <c r="EH55" s="100"/>
      <c r="EI55" s="100"/>
      <c r="EJ55" s="100"/>
      <c r="EK55" s="100"/>
      <c r="EL55" s="100"/>
      <c r="EM55" s="100"/>
      <c r="EN55" s="100"/>
      <c r="EO55" s="100"/>
      <c r="EP55" s="100"/>
      <c r="EQ55" s="100"/>
      <c r="ER55" s="100"/>
      <c r="ES55" s="100"/>
      <c r="ET55" s="100"/>
      <c r="EU55" s="100"/>
      <c r="EV55" s="100"/>
      <c r="EW55" s="100"/>
      <c r="EX55" s="100"/>
      <c r="EY55" s="100"/>
      <c r="EZ55" s="100"/>
      <c r="FA55" s="100"/>
      <c r="FB55" s="100"/>
      <c r="FC55" s="100"/>
      <c r="FD55" s="100"/>
      <c r="FE55" s="100"/>
      <c r="FF55" s="100"/>
      <c r="FG55" s="100"/>
      <c r="FH55" s="100"/>
      <c r="FI55" s="100"/>
      <c r="FJ55" s="100"/>
      <c r="FK55" s="100"/>
      <c r="FL55" s="100"/>
      <c r="FM55" s="100"/>
      <c r="FN55" s="100"/>
      <c r="FO55" s="100"/>
      <c r="FP55" s="100"/>
      <c r="FQ55" s="100"/>
      <c r="FR55" s="100"/>
      <c r="FS55" s="100"/>
      <c r="FT55" s="100"/>
      <c r="FU55" s="100"/>
      <c r="FV55" s="100"/>
      <c r="FW55" s="100"/>
      <c r="FX55" s="100"/>
      <c r="FY55" s="100"/>
      <c r="FZ55" s="100"/>
      <c r="GA55" s="100"/>
      <c r="GB55" s="100"/>
      <c r="GC55" s="100"/>
      <c r="GD55" s="100"/>
      <c r="GE55" s="100"/>
      <c r="GF55" s="100"/>
      <c r="GG55" s="100"/>
      <c r="GH55" s="100"/>
      <c r="GI55" s="100"/>
      <c r="GJ55" s="100"/>
      <c r="GK55" s="100"/>
      <c r="GL55" s="100"/>
      <c r="GM55" s="100"/>
      <c r="GN55" s="100"/>
      <c r="GO55" s="100"/>
      <c r="GP55" s="100"/>
      <c r="GQ55" s="100"/>
      <c r="GR55" s="100"/>
      <c r="GS55" s="100"/>
      <c r="GT55" s="100"/>
      <c r="GU55" s="100"/>
      <c r="GV55" s="100"/>
      <c r="GW55" s="100"/>
      <c r="GX55" s="100"/>
      <c r="GY55" s="100"/>
      <c r="GZ55" s="100"/>
      <c r="HA55" s="100"/>
      <c r="HB55" s="100"/>
      <c r="HC55" s="100"/>
      <c r="HD55" s="100"/>
      <c r="HE55" s="100"/>
      <c r="HF55" s="100"/>
      <c r="HG55" s="100"/>
      <c r="HH55" s="100"/>
      <c r="HI55" s="100"/>
      <c r="HJ55" s="100"/>
      <c r="HK55" s="100"/>
      <c r="HL55" s="100"/>
      <c r="HM55" s="100"/>
      <c r="HN55" s="100"/>
      <c r="HO55" s="100"/>
      <c r="HP55" s="100"/>
      <c r="HQ55" s="100"/>
      <c r="HR55" s="100"/>
      <c r="HS55" s="100"/>
      <c r="HT55" s="100"/>
      <c r="HU55" s="100"/>
      <c r="HV55" s="100"/>
      <c r="HW55" s="100"/>
      <c r="HX55" s="100"/>
      <c r="HY55" s="100"/>
      <c r="HZ55" s="100"/>
      <c r="IA55" s="100"/>
      <c r="IB55" s="100"/>
      <c r="IC55" s="100"/>
      <c r="ID55" s="100"/>
      <c r="IE55" s="100"/>
      <c r="IF55" s="100"/>
      <c r="IG55" s="100"/>
      <c r="IH55" s="100"/>
      <c r="II55" s="100"/>
      <c r="IJ55" s="100"/>
      <c r="IK55" s="100"/>
      <c r="IL55" s="100"/>
      <c r="IM55" s="100"/>
      <c r="IN55" s="100"/>
      <c r="IO55" s="100"/>
      <c r="IP55" s="100"/>
      <c r="IQ55" s="100"/>
      <c r="IR55" s="100"/>
      <c r="IS55" s="100"/>
      <c r="IT55" s="100"/>
      <c r="IU55" s="100"/>
      <c r="IV55" s="100"/>
      <c r="IW55" s="100"/>
    </row>
    <row r="56" customFormat="false" ht="12.75" hidden="false" customHeight="false" outlineLevel="0" collapsed="false">
      <c r="A56" s="100"/>
      <c r="B56" s="1132" t="s">
        <v>739</v>
      </c>
      <c r="C56" s="1133"/>
      <c r="D56" s="1133" t="n">
        <f aca="false">CapAcc!D7</f>
        <v>0.99</v>
      </c>
      <c r="E56" s="1133" t="n">
        <f aca="false">CapAcc!E7</f>
        <v>0.99</v>
      </c>
      <c r="F56" s="1133" t="n">
        <f aca="false">CapAcc!F7</f>
        <v>0.99</v>
      </c>
      <c r="G56" s="1133" t="n">
        <f aca="false">CapAcc!G7</f>
        <v>0.99</v>
      </c>
      <c r="H56" s="1133" t="n">
        <f aca="false">CapAcc!H7</f>
        <v>0.99</v>
      </c>
      <c r="I56" s="1133" t="n">
        <f aca="false">CapAcc!I7</f>
        <v>0.99</v>
      </c>
      <c r="J56" s="1133" t="n">
        <f aca="false">CapAcc!J7</f>
        <v>0.99</v>
      </c>
      <c r="K56" s="1133" t="n">
        <f aca="false">CapAcc!K7</f>
        <v>0.99</v>
      </c>
      <c r="L56" s="1133" t="n">
        <f aca="false">CapAcc!L7</f>
        <v>0.99</v>
      </c>
      <c r="M56" s="1133" t="n">
        <f aca="false">CapAcc!M7</f>
        <v>0.99</v>
      </c>
      <c r="N56" s="1133" t="n">
        <f aca="false">CapAcc!N7</f>
        <v>0.99</v>
      </c>
      <c r="O56" s="1133" t="n">
        <f aca="false">CapAcc!O7</f>
        <v>0.99</v>
      </c>
      <c r="P56" s="1133" t="n">
        <f aca="false">CapAcc!P7</f>
        <v>0.99</v>
      </c>
      <c r="Q56" s="1133" t="n">
        <f aca="false">CapAcc!Q7</f>
        <v>0.99</v>
      </c>
      <c r="R56" s="1133" t="n">
        <f aca="false">CapAcc!R7</f>
        <v>0.99</v>
      </c>
      <c r="S56" s="1133" t="n">
        <f aca="false">CapAcc!S7</f>
        <v>0.99</v>
      </c>
      <c r="T56" s="1133" t="n">
        <f aca="false">CapAcc!T7</f>
        <v>0.99</v>
      </c>
      <c r="U56" s="1133" t="n">
        <f aca="false">CapAcc!U7</f>
        <v>0.99</v>
      </c>
      <c r="V56" s="1133" t="n">
        <f aca="false">CapAcc!V7</f>
        <v>0.99</v>
      </c>
      <c r="W56" s="1133" t="n">
        <f aca="false">CapAcc!W7</f>
        <v>0.99</v>
      </c>
      <c r="X56" s="1133" t="n">
        <f aca="false">CapAcc!X7</f>
        <v>0.99</v>
      </c>
      <c r="Y56" s="1133" t="n">
        <f aca="false">CapAcc!Y7</f>
        <v>0.99</v>
      </c>
      <c r="Z56" s="1133" t="n">
        <f aca="false">CapAcc!Z7</f>
        <v>0.99</v>
      </c>
      <c r="AA56" s="1133" t="n">
        <f aca="false">CapAcc!AA7</f>
        <v>0.99</v>
      </c>
      <c r="AB56" s="1133" t="n">
        <f aca="false">CapAcc!AB7</f>
        <v>0.99</v>
      </c>
      <c r="AC56" s="1133" t="n">
        <f aca="false">CapAcc!AC7</f>
        <v>0.99</v>
      </c>
      <c r="AD56" s="1133" t="n">
        <f aca="false">CapAcc!AD7</f>
        <v>0.99</v>
      </c>
      <c r="AE56" s="1133" t="n">
        <f aca="false">CapAcc!AE7</f>
        <v>0.99</v>
      </c>
      <c r="AF56" s="1133" t="n">
        <f aca="false">CapAcc!AF7</f>
        <v>0.99</v>
      </c>
      <c r="AG56" s="1133" t="n">
        <f aca="false">CapAcc!AG7</f>
        <v>0.99</v>
      </c>
      <c r="AH56" s="1133" t="n">
        <f aca="false">CapAcc!AH7</f>
        <v>0</v>
      </c>
      <c r="AI56" s="1133" t="n">
        <f aca="false">CapAcc!AI7</f>
        <v>0</v>
      </c>
      <c r="AJ56" s="1133" t="n">
        <f aca="false">CapAcc!AJ7</f>
        <v>0</v>
      </c>
      <c r="AK56" s="1133" t="n">
        <f aca="false">CapAcc!AK7</f>
        <v>0</v>
      </c>
      <c r="AL56" s="1133" t="n">
        <f aca="false">CapAcc!AL7</f>
        <v>0</v>
      </c>
      <c r="AM56" s="1134" t="n">
        <f aca="false">CapAcc!AM7</f>
        <v>0</v>
      </c>
      <c r="AN56" s="100"/>
      <c r="AO56" s="100"/>
      <c r="AP56" s="100"/>
      <c r="AQ56" s="100"/>
      <c r="AR56" s="100"/>
      <c r="AS56" s="100"/>
      <c r="AT56" s="100"/>
      <c r="AU56" s="100"/>
      <c r="AV56" s="100"/>
      <c r="AW56" s="100"/>
      <c r="AX56" s="100"/>
      <c r="AY56" s="100"/>
      <c r="AZ56" s="100"/>
      <c r="BA56" s="100"/>
      <c r="BB56" s="100"/>
      <c r="BC56" s="100"/>
      <c r="BD56" s="100"/>
      <c r="BE56" s="100"/>
      <c r="BF56" s="100"/>
      <c r="BG56" s="100"/>
      <c r="BH56" s="100"/>
      <c r="BI56" s="100"/>
      <c r="BJ56" s="100"/>
      <c r="BK56" s="100"/>
      <c r="BL56" s="100"/>
      <c r="BM56" s="100"/>
      <c r="BN56" s="100"/>
      <c r="BO56" s="100"/>
      <c r="BP56" s="100"/>
      <c r="BQ56" s="100"/>
      <c r="BR56" s="100"/>
      <c r="BS56" s="100"/>
      <c r="BT56" s="100"/>
      <c r="BU56" s="100"/>
      <c r="BV56" s="100"/>
      <c r="BW56" s="100"/>
      <c r="BX56" s="100"/>
      <c r="BY56" s="100"/>
      <c r="BZ56" s="100"/>
      <c r="CA56" s="100"/>
      <c r="CB56" s="100"/>
      <c r="CC56" s="100"/>
      <c r="CD56" s="100"/>
      <c r="CE56" s="100"/>
      <c r="CF56" s="100"/>
      <c r="CG56" s="100"/>
      <c r="CH56" s="100"/>
      <c r="CI56" s="100"/>
      <c r="CJ56" s="100"/>
      <c r="CK56" s="100"/>
      <c r="CL56" s="100"/>
      <c r="CM56" s="100"/>
      <c r="CN56" s="100"/>
      <c r="CO56" s="100"/>
      <c r="CP56" s="100"/>
      <c r="CQ56" s="100"/>
      <c r="CR56" s="100"/>
      <c r="CS56" s="100"/>
      <c r="CT56" s="100"/>
      <c r="CU56" s="100"/>
      <c r="CV56" s="100"/>
      <c r="CW56" s="100"/>
      <c r="CX56" s="100"/>
      <c r="CY56" s="100"/>
      <c r="CZ56" s="100"/>
      <c r="DA56" s="100"/>
      <c r="DB56" s="100"/>
      <c r="DC56" s="100"/>
      <c r="DD56" s="100"/>
      <c r="DE56" s="100"/>
      <c r="DF56" s="100"/>
      <c r="DG56" s="100"/>
      <c r="DH56" s="100"/>
      <c r="DI56" s="100"/>
      <c r="DJ56" s="100"/>
      <c r="DK56" s="100"/>
      <c r="DL56" s="100"/>
      <c r="DM56" s="100"/>
      <c r="DN56" s="100"/>
      <c r="DO56" s="100"/>
      <c r="DP56" s="100"/>
      <c r="DQ56" s="100"/>
      <c r="DR56" s="100"/>
      <c r="DS56" s="100"/>
      <c r="DT56" s="100"/>
      <c r="DU56" s="100"/>
      <c r="DV56" s="100"/>
      <c r="DW56" s="100"/>
      <c r="DX56" s="100"/>
      <c r="DY56" s="100"/>
      <c r="DZ56" s="100"/>
      <c r="EA56" s="100"/>
      <c r="EB56" s="100"/>
      <c r="EC56" s="100"/>
      <c r="ED56" s="100"/>
      <c r="EE56" s="100"/>
      <c r="EF56" s="100"/>
      <c r="EG56" s="100"/>
      <c r="EH56" s="100"/>
      <c r="EI56" s="100"/>
      <c r="EJ56" s="100"/>
      <c r="EK56" s="100"/>
      <c r="EL56" s="100"/>
      <c r="EM56" s="100"/>
      <c r="EN56" s="100"/>
      <c r="EO56" s="100"/>
      <c r="EP56" s="100"/>
      <c r="EQ56" s="100"/>
      <c r="ER56" s="100"/>
      <c r="ES56" s="100"/>
      <c r="ET56" s="100"/>
      <c r="EU56" s="100"/>
      <c r="EV56" s="100"/>
      <c r="EW56" s="100"/>
      <c r="EX56" s="100"/>
      <c r="EY56" s="100"/>
      <c r="EZ56" s="100"/>
      <c r="FA56" s="100"/>
      <c r="FB56" s="100"/>
      <c r="FC56" s="100"/>
      <c r="FD56" s="100"/>
      <c r="FE56" s="100"/>
      <c r="FF56" s="100"/>
      <c r="FG56" s="100"/>
      <c r="FH56" s="100"/>
      <c r="FI56" s="100"/>
      <c r="FJ56" s="100"/>
      <c r="FK56" s="100"/>
      <c r="FL56" s="100"/>
      <c r="FM56" s="100"/>
      <c r="FN56" s="100"/>
      <c r="FO56" s="100"/>
      <c r="FP56" s="100"/>
      <c r="FQ56" s="100"/>
      <c r="FR56" s="100"/>
      <c r="FS56" s="100"/>
      <c r="FT56" s="100"/>
      <c r="FU56" s="100"/>
      <c r="FV56" s="100"/>
      <c r="FW56" s="100"/>
      <c r="FX56" s="100"/>
      <c r="FY56" s="100"/>
      <c r="FZ56" s="100"/>
      <c r="GA56" s="100"/>
      <c r="GB56" s="100"/>
      <c r="GC56" s="100"/>
      <c r="GD56" s="100"/>
      <c r="GE56" s="100"/>
      <c r="GF56" s="100"/>
      <c r="GG56" s="100"/>
      <c r="GH56" s="100"/>
      <c r="GI56" s="100"/>
      <c r="GJ56" s="100"/>
      <c r="GK56" s="100"/>
      <c r="GL56" s="100"/>
      <c r="GM56" s="100"/>
      <c r="GN56" s="100"/>
      <c r="GO56" s="100"/>
      <c r="GP56" s="100"/>
      <c r="GQ56" s="100"/>
      <c r="GR56" s="100"/>
      <c r="GS56" s="100"/>
      <c r="GT56" s="100"/>
      <c r="GU56" s="100"/>
      <c r="GV56" s="100"/>
      <c r="GW56" s="100"/>
      <c r="GX56" s="100"/>
      <c r="GY56" s="100"/>
      <c r="GZ56" s="100"/>
      <c r="HA56" s="100"/>
      <c r="HB56" s="100"/>
      <c r="HC56" s="100"/>
      <c r="HD56" s="100"/>
      <c r="HE56" s="100"/>
      <c r="HF56" s="100"/>
      <c r="HG56" s="100"/>
      <c r="HH56" s="100"/>
      <c r="HI56" s="100"/>
      <c r="HJ56" s="100"/>
      <c r="HK56" s="100"/>
      <c r="HL56" s="100"/>
      <c r="HM56" s="100"/>
      <c r="HN56" s="100"/>
      <c r="HO56" s="100"/>
      <c r="HP56" s="100"/>
      <c r="HQ56" s="100"/>
      <c r="HR56" s="100"/>
      <c r="HS56" s="100"/>
      <c r="HT56" s="100"/>
      <c r="HU56" s="100"/>
      <c r="HV56" s="100"/>
      <c r="HW56" s="100"/>
      <c r="HX56" s="100"/>
      <c r="HY56" s="100"/>
      <c r="HZ56" s="100"/>
      <c r="IA56" s="100"/>
      <c r="IB56" s="100"/>
      <c r="IC56" s="100"/>
      <c r="ID56" s="100"/>
      <c r="IE56" s="100"/>
      <c r="IF56" s="100"/>
      <c r="IG56" s="100"/>
      <c r="IH56" s="100"/>
      <c r="II56" s="100"/>
      <c r="IJ56" s="100"/>
      <c r="IK56" s="100"/>
      <c r="IL56" s="100"/>
      <c r="IM56" s="100"/>
      <c r="IN56" s="100"/>
      <c r="IO56" s="100"/>
      <c r="IP56" s="100"/>
      <c r="IQ56" s="100"/>
      <c r="IR56" s="100"/>
      <c r="IS56" s="100"/>
      <c r="IT56" s="100"/>
      <c r="IU56" s="100"/>
      <c r="IV56" s="100"/>
      <c r="IW56" s="100"/>
    </row>
    <row r="57" customFormat="false" ht="12.75" hidden="false" customHeight="false" outlineLevel="0" collapsed="false">
      <c r="A57" s="100"/>
      <c r="B57" s="1135" t="s">
        <v>740</v>
      </c>
      <c r="C57" s="100"/>
      <c r="D57" s="100" t="n">
        <f aca="false">CapAcc!D33</f>
        <v>0.01</v>
      </c>
      <c r="E57" s="100" t="n">
        <f aca="false">CapAcc!E33</f>
        <v>0.01</v>
      </c>
      <c r="F57" s="100" t="n">
        <f aca="false">CapAcc!F33</f>
        <v>0.01</v>
      </c>
      <c r="G57" s="100" t="n">
        <f aca="false">CapAcc!G33</f>
        <v>0.01</v>
      </c>
      <c r="H57" s="100" t="n">
        <f aca="false">CapAcc!H33</f>
        <v>0.01</v>
      </c>
      <c r="I57" s="100" t="n">
        <f aca="false">CapAcc!I33</f>
        <v>0.01</v>
      </c>
      <c r="J57" s="100" t="n">
        <f aca="false">CapAcc!J33</f>
        <v>0.01</v>
      </c>
      <c r="K57" s="100" t="n">
        <f aca="false">CapAcc!K33</f>
        <v>0.01</v>
      </c>
      <c r="L57" s="100" t="n">
        <f aca="false">CapAcc!L33</f>
        <v>0.01</v>
      </c>
      <c r="M57" s="100" t="n">
        <f aca="false">CapAcc!M33</f>
        <v>0.01</v>
      </c>
      <c r="N57" s="100" t="n">
        <f aca="false">CapAcc!N33</f>
        <v>0.01</v>
      </c>
      <c r="O57" s="100" t="n">
        <f aca="false">CapAcc!O33</f>
        <v>0.01</v>
      </c>
      <c r="P57" s="100" t="n">
        <f aca="false">CapAcc!P33</f>
        <v>0.01</v>
      </c>
      <c r="Q57" s="100" t="n">
        <f aca="false">CapAcc!Q33</f>
        <v>0.01</v>
      </c>
      <c r="R57" s="100" t="n">
        <f aca="false">CapAcc!R33</f>
        <v>0.01</v>
      </c>
      <c r="S57" s="100" t="n">
        <f aca="false">CapAcc!S33</f>
        <v>0.01</v>
      </c>
      <c r="T57" s="100" t="n">
        <f aca="false">CapAcc!T33</f>
        <v>0.01</v>
      </c>
      <c r="U57" s="100" t="n">
        <f aca="false">CapAcc!U33</f>
        <v>0.01</v>
      </c>
      <c r="V57" s="100" t="n">
        <f aca="false">CapAcc!V33</f>
        <v>0.01</v>
      </c>
      <c r="W57" s="100" t="n">
        <f aca="false">CapAcc!W33</f>
        <v>0.01</v>
      </c>
      <c r="X57" s="100" t="n">
        <f aca="false">CapAcc!X33</f>
        <v>0.01</v>
      </c>
      <c r="Y57" s="100" t="n">
        <f aca="false">CapAcc!Y33</f>
        <v>0.01</v>
      </c>
      <c r="Z57" s="100" t="n">
        <f aca="false">CapAcc!Z33</f>
        <v>0.01</v>
      </c>
      <c r="AA57" s="100" t="n">
        <f aca="false">CapAcc!AA33</f>
        <v>0.01</v>
      </c>
      <c r="AB57" s="100" t="n">
        <f aca="false">CapAcc!AB33</f>
        <v>0.01</v>
      </c>
      <c r="AC57" s="100" t="n">
        <f aca="false">CapAcc!AC33</f>
        <v>0.01</v>
      </c>
      <c r="AD57" s="100" t="n">
        <f aca="false">CapAcc!AD33</f>
        <v>0.01</v>
      </c>
      <c r="AE57" s="100" t="n">
        <f aca="false">CapAcc!AE33</f>
        <v>0.01</v>
      </c>
      <c r="AF57" s="100" t="n">
        <f aca="false">CapAcc!AF33</f>
        <v>0.01</v>
      </c>
      <c r="AG57" s="100" t="n">
        <f aca="false">CapAcc!AG33</f>
        <v>0.01</v>
      </c>
      <c r="AH57" s="100" t="n">
        <f aca="false">CapAcc!AH33</f>
        <v>0</v>
      </c>
      <c r="AI57" s="100" t="n">
        <f aca="false">CapAcc!AI33</f>
        <v>0</v>
      </c>
      <c r="AJ57" s="100" t="n">
        <f aca="false">CapAcc!AJ33</f>
        <v>0</v>
      </c>
      <c r="AK57" s="100" t="n">
        <f aca="false">CapAcc!AK33</f>
        <v>0</v>
      </c>
      <c r="AL57" s="100" t="n">
        <f aca="false">CapAcc!AL33</f>
        <v>0</v>
      </c>
      <c r="AM57" s="638" t="n">
        <f aca="false">CapAcc!AM33</f>
        <v>0</v>
      </c>
      <c r="AN57" s="100"/>
      <c r="AO57" s="100"/>
      <c r="AP57" s="100"/>
      <c r="AQ57" s="100"/>
      <c r="AR57" s="100"/>
      <c r="AS57" s="100"/>
      <c r="AT57" s="100"/>
      <c r="AU57" s="100"/>
      <c r="AV57" s="100"/>
      <c r="AW57" s="100"/>
      <c r="AX57" s="100"/>
      <c r="AY57" s="100"/>
      <c r="AZ57" s="100"/>
      <c r="BA57" s="100"/>
      <c r="BB57" s="100"/>
      <c r="BC57" s="100"/>
      <c r="BD57" s="100"/>
      <c r="BE57" s="100"/>
      <c r="BF57" s="100"/>
      <c r="BG57" s="100"/>
      <c r="BH57" s="100"/>
      <c r="BI57" s="100"/>
      <c r="BJ57" s="100"/>
      <c r="BK57" s="100"/>
      <c r="BL57" s="100"/>
      <c r="BM57" s="100"/>
      <c r="BN57" s="100"/>
      <c r="BO57" s="100"/>
      <c r="BP57" s="100"/>
      <c r="BQ57" s="100"/>
      <c r="BR57" s="100"/>
      <c r="BS57" s="100"/>
      <c r="BT57" s="100"/>
      <c r="BU57" s="100"/>
      <c r="BV57" s="100"/>
      <c r="BW57" s="100"/>
      <c r="BX57" s="100"/>
      <c r="BY57" s="100"/>
      <c r="BZ57" s="100"/>
      <c r="CA57" s="100"/>
      <c r="CB57" s="100"/>
      <c r="CC57" s="100"/>
      <c r="CD57" s="100"/>
      <c r="CE57" s="100"/>
      <c r="CF57" s="100"/>
      <c r="CG57" s="100"/>
      <c r="CH57" s="100"/>
      <c r="CI57" s="100"/>
      <c r="CJ57" s="100"/>
      <c r="CK57" s="100"/>
      <c r="CL57" s="100"/>
      <c r="CM57" s="100"/>
      <c r="CN57" s="100"/>
      <c r="CO57" s="100"/>
      <c r="CP57" s="100"/>
      <c r="CQ57" s="100"/>
      <c r="CR57" s="100"/>
      <c r="CS57" s="100"/>
      <c r="CT57" s="100"/>
      <c r="CU57" s="100"/>
      <c r="CV57" s="100"/>
      <c r="CW57" s="100"/>
      <c r="CX57" s="100"/>
      <c r="CY57" s="100"/>
      <c r="CZ57" s="100"/>
      <c r="DA57" s="100"/>
      <c r="DB57" s="100"/>
      <c r="DC57" s="100"/>
      <c r="DD57" s="100"/>
      <c r="DE57" s="100"/>
      <c r="DF57" s="100"/>
      <c r="DG57" s="100"/>
      <c r="DH57" s="100"/>
      <c r="DI57" s="100"/>
      <c r="DJ57" s="100"/>
      <c r="DK57" s="100"/>
      <c r="DL57" s="100"/>
      <c r="DM57" s="100"/>
      <c r="DN57" s="100"/>
      <c r="DO57" s="100"/>
      <c r="DP57" s="100"/>
      <c r="DQ57" s="100"/>
      <c r="DR57" s="100"/>
      <c r="DS57" s="100"/>
      <c r="DT57" s="100"/>
      <c r="DU57" s="100"/>
      <c r="DV57" s="100"/>
      <c r="DW57" s="100"/>
      <c r="DX57" s="100"/>
      <c r="DY57" s="100"/>
      <c r="DZ57" s="100"/>
      <c r="EA57" s="100"/>
      <c r="EB57" s="100"/>
      <c r="EC57" s="100"/>
      <c r="ED57" s="100"/>
      <c r="EE57" s="100"/>
      <c r="EF57" s="100"/>
      <c r="EG57" s="100"/>
      <c r="EH57" s="100"/>
      <c r="EI57" s="100"/>
      <c r="EJ57" s="100"/>
      <c r="EK57" s="100"/>
      <c r="EL57" s="100"/>
      <c r="EM57" s="100"/>
      <c r="EN57" s="100"/>
      <c r="EO57" s="100"/>
      <c r="EP57" s="100"/>
      <c r="EQ57" s="100"/>
      <c r="ER57" s="100"/>
      <c r="ES57" s="100"/>
      <c r="ET57" s="100"/>
      <c r="EU57" s="100"/>
      <c r="EV57" s="100"/>
      <c r="EW57" s="100"/>
      <c r="EX57" s="100"/>
      <c r="EY57" s="100"/>
      <c r="EZ57" s="100"/>
      <c r="FA57" s="100"/>
      <c r="FB57" s="100"/>
      <c r="FC57" s="100"/>
      <c r="FD57" s="100"/>
      <c r="FE57" s="100"/>
      <c r="FF57" s="100"/>
      <c r="FG57" s="100"/>
      <c r="FH57" s="100"/>
      <c r="FI57" s="100"/>
      <c r="FJ57" s="100"/>
      <c r="FK57" s="100"/>
      <c r="FL57" s="100"/>
      <c r="FM57" s="100"/>
      <c r="FN57" s="100"/>
      <c r="FO57" s="100"/>
      <c r="FP57" s="100"/>
      <c r="FQ57" s="100"/>
      <c r="FR57" s="100"/>
      <c r="FS57" s="100"/>
      <c r="FT57" s="100"/>
      <c r="FU57" s="100"/>
      <c r="FV57" s="100"/>
      <c r="FW57" s="100"/>
      <c r="FX57" s="100"/>
      <c r="FY57" s="100"/>
      <c r="FZ57" s="100"/>
      <c r="GA57" s="100"/>
      <c r="GB57" s="100"/>
      <c r="GC57" s="100"/>
      <c r="GD57" s="100"/>
      <c r="GE57" s="100"/>
      <c r="GF57" s="100"/>
      <c r="GG57" s="100"/>
      <c r="GH57" s="100"/>
      <c r="GI57" s="100"/>
      <c r="GJ57" s="100"/>
      <c r="GK57" s="100"/>
      <c r="GL57" s="100"/>
      <c r="GM57" s="100"/>
      <c r="GN57" s="100"/>
      <c r="GO57" s="100"/>
      <c r="GP57" s="100"/>
      <c r="GQ57" s="100"/>
      <c r="GR57" s="100"/>
      <c r="GS57" s="100"/>
      <c r="GT57" s="100"/>
      <c r="GU57" s="100"/>
      <c r="GV57" s="100"/>
      <c r="GW57" s="100"/>
      <c r="GX57" s="100"/>
      <c r="GY57" s="100"/>
      <c r="GZ57" s="100"/>
      <c r="HA57" s="100"/>
      <c r="HB57" s="100"/>
      <c r="HC57" s="100"/>
      <c r="HD57" s="100"/>
      <c r="HE57" s="100"/>
      <c r="HF57" s="100"/>
      <c r="HG57" s="100"/>
      <c r="HH57" s="100"/>
      <c r="HI57" s="100"/>
      <c r="HJ57" s="100"/>
      <c r="HK57" s="100"/>
      <c r="HL57" s="100"/>
      <c r="HM57" s="100"/>
      <c r="HN57" s="100"/>
      <c r="HO57" s="100"/>
      <c r="HP57" s="100"/>
      <c r="HQ57" s="100"/>
      <c r="HR57" s="100"/>
      <c r="HS57" s="100"/>
      <c r="HT57" s="100"/>
      <c r="HU57" s="100"/>
      <c r="HV57" s="100"/>
      <c r="HW57" s="100"/>
      <c r="HX57" s="100"/>
      <c r="HY57" s="100"/>
      <c r="HZ57" s="100"/>
      <c r="IA57" s="100"/>
      <c r="IB57" s="100"/>
      <c r="IC57" s="100"/>
      <c r="ID57" s="100"/>
      <c r="IE57" s="100"/>
      <c r="IF57" s="100"/>
      <c r="IG57" s="100"/>
      <c r="IH57" s="100"/>
      <c r="II57" s="100"/>
      <c r="IJ57" s="100"/>
      <c r="IK57" s="100"/>
      <c r="IL57" s="100"/>
      <c r="IM57" s="100"/>
      <c r="IN57" s="100"/>
      <c r="IO57" s="100"/>
      <c r="IP57" s="100"/>
      <c r="IQ57" s="100"/>
      <c r="IR57" s="100"/>
      <c r="IS57" s="100"/>
      <c r="IT57" s="100"/>
      <c r="IU57" s="100"/>
      <c r="IV57" s="100"/>
      <c r="IW57" s="100"/>
    </row>
    <row r="58" customFormat="false" ht="12.75" hidden="false" customHeight="false" outlineLevel="0" collapsed="false">
      <c r="A58" s="100"/>
      <c r="B58" s="1135"/>
      <c r="C58" s="100"/>
      <c r="D58" s="100"/>
      <c r="E58" s="100"/>
      <c r="F58" s="100"/>
      <c r="G58" s="100"/>
      <c r="H58" s="100"/>
      <c r="I58" s="100"/>
      <c r="J58" s="100"/>
      <c r="K58" s="100"/>
      <c r="L58" s="100"/>
      <c r="M58" s="100"/>
      <c r="N58" s="100"/>
      <c r="O58" s="100"/>
      <c r="P58" s="100"/>
      <c r="Q58" s="100"/>
      <c r="R58" s="100"/>
      <c r="S58" s="100"/>
      <c r="T58" s="100"/>
      <c r="U58" s="100"/>
      <c r="V58" s="100"/>
      <c r="W58" s="100"/>
      <c r="X58" s="100"/>
      <c r="Y58" s="100"/>
      <c r="Z58" s="100"/>
      <c r="AA58" s="100"/>
      <c r="AB58" s="100"/>
      <c r="AC58" s="100"/>
      <c r="AD58" s="100"/>
      <c r="AE58" s="100"/>
      <c r="AF58" s="100"/>
      <c r="AG58" s="100"/>
      <c r="AH58" s="100"/>
      <c r="AI58" s="100"/>
      <c r="AJ58" s="100"/>
      <c r="AK58" s="100"/>
      <c r="AL58" s="100"/>
      <c r="AM58" s="638"/>
      <c r="AN58" s="100"/>
      <c r="AO58" s="100"/>
      <c r="AP58" s="100"/>
      <c r="AQ58" s="100"/>
      <c r="AR58" s="100"/>
      <c r="AS58" s="100"/>
      <c r="AT58" s="100"/>
      <c r="AU58" s="100"/>
      <c r="AV58" s="100"/>
      <c r="AW58" s="100"/>
      <c r="AX58" s="100"/>
      <c r="AY58" s="100"/>
      <c r="AZ58" s="100"/>
      <c r="BA58" s="100"/>
      <c r="BB58" s="100"/>
      <c r="BC58" s="100"/>
      <c r="BD58" s="100"/>
      <c r="BE58" s="100"/>
      <c r="BF58" s="100"/>
      <c r="BG58" s="100"/>
      <c r="BH58" s="100"/>
      <c r="BI58" s="100"/>
      <c r="BJ58" s="100"/>
      <c r="BK58" s="100"/>
      <c r="BL58" s="100"/>
      <c r="BM58" s="100"/>
      <c r="BN58" s="100"/>
      <c r="BO58" s="100"/>
      <c r="BP58" s="100"/>
      <c r="BQ58" s="100"/>
      <c r="BR58" s="100"/>
      <c r="BS58" s="100"/>
      <c r="BT58" s="100"/>
      <c r="BU58" s="100"/>
      <c r="BV58" s="100"/>
      <c r="BW58" s="100"/>
      <c r="BX58" s="100"/>
      <c r="BY58" s="100"/>
      <c r="BZ58" s="100"/>
      <c r="CA58" s="100"/>
      <c r="CB58" s="100"/>
      <c r="CC58" s="100"/>
      <c r="CD58" s="100"/>
      <c r="CE58" s="100"/>
      <c r="CF58" s="100"/>
      <c r="CG58" s="100"/>
      <c r="CH58" s="100"/>
      <c r="CI58" s="100"/>
      <c r="CJ58" s="100"/>
      <c r="CK58" s="100"/>
      <c r="CL58" s="100"/>
      <c r="CM58" s="100"/>
      <c r="CN58" s="100"/>
      <c r="CO58" s="100"/>
      <c r="CP58" s="100"/>
      <c r="CQ58" s="100"/>
      <c r="CR58" s="100"/>
      <c r="CS58" s="100"/>
      <c r="CT58" s="100"/>
      <c r="CU58" s="100"/>
      <c r="CV58" s="100"/>
      <c r="CW58" s="100"/>
      <c r="CX58" s="100"/>
      <c r="CY58" s="100"/>
      <c r="CZ58" s="100"/>
      <c r="DA58" s="100"/>
      <c r="DB58" s="100"/>
      <c r="DC58" s="100"/>
      <c r="DD58" s="100"/>
      <c r="DE58" s="100"/>
      <c r="DF58" s="100"/>
      <c r="DG58" s="100"/>
      <c r="DH58" s="100"/>
      <c r="DI58" s="100"/>
      <c r="DJ58" s="100"/>
      <c r="DK58" s="100"/>
      <c r="DL58" s="100"/>
      <c r="DM58" s="100"/>
      <c r="DN58" s="100"/>
      <c r="DO58" s="100"/>
      <c r="DP58" s="100"/>
      <c r="DQ58" s="100"/>
      <c r="DR58" s="100"/>
      <c r="DS58" s="100"/>
      <c r="DT58" s="100"/>
      <c r="DU58" s="100"/>
      <c r="DV58" s="100"/>
      <c r="DW58" s="100"/>
      <c r="DX58" s="100"/>
      <c r="DY58" s="100"/>
      <c r="DZ58" s="100"/>
      <c r="EA58" s="100"/>
      <c r="EB58" s="100"/>
      <c r="EC58" s="100"/>
      <c r="ED58" s="100"/>
      <c r="EE58" s="100"/>
      <c r="EF58" s="100"/>
      <c r="EG58" s="100"/>
      <c r="EH58" s="100"/>
      <c r="EI58" s="100"/>
      <c r="EJ58" s="100"/>
      <c r="EK58" s="100"/>
      <c r="EL58" s="100"/>
      <c r="EM58" s="100"/>
      <c r="EN58" s="100"/>
      <c r="EO58" s="100"/>
      <c r="EP58" s="100"/>
      <c r="EQ58" s="100"/>
      <c r="ER58" s="100"/>
      <c r="ES58" s="100"/>
      <c r="ET58" s="100"/>
      <c r="EU58" s="100"/>
      <c r="EV58" s="100"/>
      <c r="EW58" s="100"/>
      <c r="EX58" s="100"/>
      <c r="EY58" s="100"/>
      <c r="EZ58" s="100"/>
      <c r="FA58" s="100"/>
      <c r="FB58" s="100"/>
      <c r="FC58" s="100"/>
      <c r="FD58" s="100"/>
      <c r="FE58" s="100"/>
      <c r="FF58" s="100"/>
      <c r="FG58" s="100"/>
      <c r="FH58" s="100"/>
      <c r="FI58" s="100"/>
      <c r="FJ58" s="100"/>
      <c r="FK58" s="100"/>
      <c r="FL58" s="100"/>
      <c r="FM58" s="100"/>
      <c r="FN58" s="100"/>
      <c r="FO58" s="100"/>
      <c r="FP58" s="100"/>
      <c r="FQ58" s="100"/>
      <c r="FR58" s="100"/>
      <c r="FS58" s="100"/>
      <c r="FT58" s="100"/>
      <c r="FU58" s="100"/>
      <c r="FV58" s="100"/>
      <c r="FW58" s="100"/>
      <c r="FX58" s="100"/>
      <c r="FY58" s="100"/>
      <c r="FZ58" s="100"/>
      <c r="GA58" s="100"/>
      <c r="GB58" s="100"/>
      <c r="GC58" s="100"/>
      <c r="GD58" s="100"/>
      <c r="GE58" s="100"/>
      <c r="GF58" s="100"/>
      <c r="GG58" s="100"/>
      <c r="GH58" s="100"/>
      <c r="GI58" s="100"/>
      <c r="GJ58" s="100"/>
      <c r="GK58" s="100"/>
      <c r="GL58" s="100"/>
      <c r="GM58" s="100"/>
      <c r="GN58" s="100"/>
      <c r="GO58" s="100"/>
      <c r="GP58" s="100"/>
      <c r="GQ58" s="100"/>
      <c r="GR58" s="100"/>
      <c r="GS58" s="100"/>
      <c r="GT58" s="100"/>
      <c r="GU58" s="100"/>
      <c r="GV58" s="100"/>
      <c r="GW58" s="100"/>
      <c r="GX58" s="100"/>
      <c r="GY58" s="100"/>
      <c r="GZ58" s="100"/>
      <c r="HA58" s="100"/>
      <c r="HB58" s="100"/>
      <c r="HC58" s="100"/>
      <c r="HD58" s="100"/>
      <c r="HE58" s="100"/>
      <c r="HF58" s="100"/>
      <c r="HG58" s="100"/>
      <c r="HH58" s="100"/>
      <c r="HI58" s="100"/>
      <c r="HJ58" s="100"/>
      <c r="HK58" s="100"/>
      <c r="HL58" s="100"/>
      <c r="HM58" s="100"/>
      <c r="HN58" s="100"/>
      <c r="HO58" s="100"/>
      <c r="HP58" s="100"/>
      <c r="HQ58" s="100"/>
      <c r="HR58" s="100"/>
      <c r="HS58" s="100"/>
      <c r="HT58" s="100"/>
      <c r="HU58" s="100"/>
      <c r="HV58" s="100"/>
      <c r="HW58" s="100"/>
      <c r="HX58" s="100"/>
      <c r="HY58" s="100"/>
      <c r="HZ58" s="100"/>
      <c r="IA58" s="100"/>
      <c r="IB58" s="100"/>
      <c r="IC58" s="100"/>
      <c r="ID58" s="100"/>
      <c r="IE58" s="100"/>
      <c r="IF58" s="100"/>
      <c r="IG58" s="100"/>
      <c r="IH58" s="100"/>
      <c r="II58" s="100"/>
      <c r="IJ58" s="100"/>
      <c r="IK58" s="100"/>
      <c r="IL58" s="100"/>
      <c r="IM58" s="100"/>
      <c r="IN58" s="100"/>
      <c r="IO58" s="100"/>
      <c r="IP58" s="100"/>
      <c r="IQ58" s="100"/>
      <c r="IR58" s="100"/>
      <c r="IS58" s="100"/>
      <c r="IT58" s="100"/>
      <c r="IU58" s="100"/>
      <c r="IV58" s="100"/>
      <c r="IW58" s="100"/>
    </row>
    <row r="59" customFormat="false" ht="12.75" hidden="false" customHeight="false" outlineLevel="0" collapsed="false">
      <c r="A59" s="100"/>
      <c r="B59" s="1136" t="s">
        <v>741</v>
      </c>
      <c r="C59" s="736"/>
      <c r="D59" s="100"/>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0"/>
      <c r="AC59" s="100"/>
      <c r="AD59" s="100"/>
      <c r="AE59" s="100"/>
      <c r="AF59" s="100"/>
      <c r="AG59" s="100"/>
      <c r="AH59" s="100"/>
      <c r="AI59" s="100"/>
      <c r="AJ59" s="100"/>
      <c r="AK59" s="100"/>
      <c r="AL59" s="100"/>
      <c r="AM59" s="638"/>
      <c r="AN59" s="100"/>
      <c r="AO59" s="100"/>
      <c r="AP59" s="100"/>
      <c r="AQ59" s="100"/>
      <c r="AR59" s="100"/>
      <c r="AS59" s="100"/>
      <c r="AT59" s="100"/>
      <c r="AU59" s="100"/>
      <c r="AV59" s="100"/>
      <c r="AW59" s="100"/>
      <c r="AX59" s="100"/>
      <c r="AY59" s="100"/>
      <c r="AZ59" s="100"/>
      <c r="BA59" s="100"/>
      <c r="BB59" s="100"/>
      <c r="BC59" s="100"/>
      <c r="BD59" s="100"/>
      <c r="BE59" s="100"/>
      <c r="BF59" s="100"/>
      <c r="BG59" s="100"/>
      <c r="BH59" s="100"/>
      <c r="BI59" s="100"/>
      <c r="BJ59" s="100"/>
      <c r="BK59" s="100"/>
      <c r="BL59" s="100"/>
      <c r="BM59" s="100"/>
      <c r="BN59" s="100"/>
      <c r="BO59" s="100"/>
      <c r="BP59" s="100"/>
      <c r="BQ59" s="100"/>
      <c r="BR59" s="100"/>
      <c r="BS59" s="100"/>
      <c r="BT59" s="100"/>
      <c r="BU59" s="100"/>
      <c r="BV59" s="100"/>
      <c r="BW59" s="100"/>
      <c r="BX59" s="100"/>
      <c r="BY59" s="100"/>
      <c r="BZ59" s="100"/>
      <c r="CA59" s="100"/>
      <c r="CB59" s="100"/>
      <c r="CC59" s="100"/>
      <c r="CD59" s="100"/>
      <c r="CE59" s="100"/>
      <c r="CF59" s="100"/>
      <c r="CG59" s="100"/>
      <c r="CH59" s="100"/>
      <c r="CI59" s="100"/>
      <c r="CJ59" s="100"/>
      <c r="CK59" s="100"/>
      <c r="CL59" s="100"/>
      <c r="CM59" s="100"/>
      <c r="CN59" s="100"/>
      <c r="CO59" s="100"/>
      <c r="CP59" s="100"/>
      <c r="CQ59" s="100"/>
      <c r="CR59" s="100"/>
      <c r="CS59" s="100"/>
      <c r="CT59" s="100"/>
      <c r="CU59" s="100"/>
      <c r="CV59" s="100"/>
      <c r="CW59" s="100"/>
      <c r="CX59" s="100"/>
      <c r="CY59" s="100"/>
      <c r="CZ59" s="100"/>
      <c r="DA59" s="100"/>
      <c r="DB59" s="100"/>
      <c r="DC59" s="100"/>
      <c r="DD59" s="100"/>
      <c r="DE59" s="100"/>
      <c r="DF59" s="100"/>
      <c r="DG59" s="100"/>
      <c r="DH59" s="100"/>
      <c r="DI59" s="100"/>
      <c r="DJ59" s="100"/>
      <c r="DK59" s="100"/>
      <c r="DL59" s="100"/>
      <c r="DM59" s="100"/>
      <c r="DN59" s="100"/>
      <c r="DO59" s="100"/>
      <c r="DP59" s="100"/>
      <c r="DQ59" s="100"/>
      <c r="DR59" s="100"/>
      <c r="DS59" s="100"/>
      <c r="DT59" s="100"/>
      <c r="DU59" s="100"/>
      <c r="DV59" s="100"/>
      <c r="DW59" s="100"/>
      <c r="DX59" s="100"/>
      <c r="DY59" s="100"/>
      <c r="DZ59" s="100"/>
      <c r="EA59" s="100"/>
      <c r="EB59" s="100"/>
      <c r="EC59" s="100"/>
      <c r="ED59" s="100"/>
      <c r="EE59" s="100"/>
      <c r="EF59" s="100"/>
      <c r="EG59" s="100"/>
      <c r="EH59" s="100"/>
      <c r="EI59" s="100"/>
      <c r="EJ59" s="100"/>
      <c r="EK59" s="100"/>
      <c r="EL59" s="100"/>
      <c r="EM59" s="100"/>
      <c r="EN59" s="100"/>
      <c r="EO59" s="100"/>
      <c r="EP59" s="100"/>
      <c r="EQ59" s="100"/>
      <c r="ER59" s="100"/>
      <c r="ES59" s="100"/>
      <c r="ET59" s="100"/>
      <c r="EU59" s="100"/>
      <c r="EV59" s="100"/>
      <c r="EW59" s="100"/>
      <c r="EX59" s="100"/>
      <c r="EY59" s="100"/>
      <c r="EZ59" s="100"/>
      <c r="FA59" s="100"/>
      <c r="FB59" s="100"/>
      <c r="FC59" s="100"/>
      <c r="FD59" s="100"/>
      <c r="FE59" s="100"/>
      <c r="FF59" s="100"/>
      <c r="FG59" s="100"/>
      <c r="FH59" s="100"/>
      <c r="FI59" s="100"/>
      <c r="FJ59" s="100"/>
      <c r="FK59" s="100"/>
      <c r="FL59" s="100"/>
      <c r="FM59" s="100"/>
      <c r="FN59" s="100"/>
      <c r="FO59" s="100"/>
      <c r="FP59" s="100"/>
      <c r="FQ59" s="100"/>
      <c r="FR59" s="100"/>
      <c r="FS59" s="100"/>
      <c r="FT59" s="100"/>
      <c r="FU59" s="100"/>
      <c r="FV59" s="100"/>
      <c r="FW59" s="100"/>
      <c r="FX59" s="100"/>
      <c r="FY59" s="100"/>
      <c r="FZ59" s="100"/>
      <c r="GA59" s="100"/>
      <c r="GB59" s="100"/>
      <c r="GC59" s="100"/>
      <c r="GD59" s="100"/>
      <c r="GE59" s="100"/>
      <c r="GF59" s="100"/>
      <c r="GG59" s="100"/>
      <c r="GH59" s="100"/>
      <c r="GI59" s="100"/>
      <c r="GJ59" s="100"/>
      <c r="GK59" s="100"/>
      <c r="GL59" s="100"/>
      <c r="GM59" s="100"/>
      <c r="GN59" s="100"/>
      <c r="GO59" s="100"/>
      <c r="GP59" s="100"/>
      <c r="GQ59" s="100"/>
      <c r="GR59" s="100"/>
      <c r="GS59" s="100"/>
      <c r="GT59" s="100"/>
      <c r="GU59" s="100"/>
      <c r="GV59" s="100"/>
      <c r="GW59" s="100"/>
      <c r="GX59" s="100"/>
      <c r="GY59" s="100"/>
      <c r="GZ59" s="100"/>
      <c r="HA59" s="100"/>
      <c r="HB59" s="100"/>
      <c r="HC59" s="100"/>
      <c r="HD59" s="100"/>
      <c r="HE59" s="100"/>
      <c r="HF59" s="100"/>
      <c r="HG59" s="100"/>
      <c r="HH59" s="100"/>
      <c r="HI59" s="100"/>
      <c r="HJ59" s="100"/>
      <c r="HK59" s="100"/>
      <c r="HL59" s="100"/>
      <c r="HM59" s="100"/>
      <c r="HN59" s="100"/>
      <c r="HO59" s="100"/>
      <c r="HP59" s="100"/>
      <c r="HQ59" s="100"/>
      <c r="HR59" s="100"/>
      <c r="HS59" s="100"/>
      <c r="HT59" s="100"/>
      <c r="HU59" s="100"/>
      <c r="HV59" s="100"/>
      <c r="HW59" s="100"/>
      <c r="HX59" s="100"/>
      <c r="HY59" s="100"/>
      <c r="HZ59" s="100"/>
      <c r="IA59" s="100"/>
      <c r="IB59" s="100"/>
      <c r="IC59" s="100"/>
      <c r="ID59" s="100"/>
      <c r="IE59" s="100"/>
      <c r="IF59" s="100"/>
      <c r="IG59" s="100"/>
      <c r="IH59" s="100"/>
      <c r="II59" s="100"/>
      <c r="IJ59" s="100"/>
      <c r="IK59" s="100"/>
      <c r="IL59" s="100"/>
      <c r="IM59" s="100"/>
      <c r="IN59" s="100"/>
      <c r="IO59" s="100"/>
      <c r="IP59" s="100"/>
      <c r="IQ59" s="100"/>
      <c r="IR59" s="100"/>
      <c r="IS59" s="100"/>
      <c r="IT59" s="100"/>
      <c r="IU59" s="100"/>
      <c r="IV59" s="100"/>
      <c r="IW59" s="100"/>
    </row>
    <row r="60" customFormat="false" ht="12.75" hidden="false" customHeight="false" outlineLevel="0" collapsed="false">
      <c r="A60" s="100"/>
      <c r="B60" s="1135" t="s">
        <v>742</v>
      </c>
      <c r="C60" s="736"/>
      <c r="D60" s="100" t="n">
        <f aca="false">D52</f>
        <v>12250.3807334591</v>
      </c>
      <c r="E60" s="100" t="n">
        <f aca="false">E52</f>
        <v>11893.121668321</v>
      </c>
      <c r="F60" s="100" t="n">
        <f aca="false">F52</f>
        <v>11502.968526409</v>
      </c>
      <c r="G60" s="100" t="n">
        <f aca="false">G52</f>
        <v>11070.1229115449</v>
      </c>
      <c r="H60" s="100" t="n">
        <f aca="false">H52</f>
        <v>10594.1100077067</v>
      </c>
      <c r="I60" s="100" t="n">
        <f aca="false">I52</f>
        <v>10070.8628412085</v>
      </c>
      <c r="J60" s="100" t="n">
        <f aca="false">J52</f>
        <v>9505.51781242627</v>
      </c>
      <c r="K60" s="100" t="n">
        <f aca="false">K52</f>
        <v>8888.35202394655</v>
      </c>
      <c r="L60" s="100" t="n">
        <f aca="false">L52</f>
        <v>8217.47035977989</v>
      </c>
      <c r="M60" s="100" t="n">
        <f aca="false">M52</f>
        <v>7487.90880521003</v>
      </c>
      <c r="N60" s="100" t="n">
        <f aca="false">N52</f>
        <v>6663.4651178596</v>
      </c>
      <c r="O60" s="100" t="n">
        <f aca="false">O52</f>
        <v>5763.77081928301</v>
      </c>
      <c r="P60" s="100" t="n">
        <f aca="false">P52</f>
        <v>4784.35445277219</v>
      </c>
      <c r="Q60" s="100" t="n">
        <f aca="false">Q52</f>
        <v>3718.14887778442</v>
      </c>
      <c r="R60" s="100" t="n">
        <f aca="false">R52</f>
        <v>2558.5817779884</v>
      </c>
      <c r="S60" s="100" t="n">
        <f aca="false">S52</f>
        <v>1295.13273763894</v>
      </c>
      <c r="T60" s="100" t="n">
        <f aca="false">T52</f>
        <v>0</v>
      </c>
      <c r="U60" s="100" t="n">
        <f aca="false">U52</f>
        <v>0</v>
      </c>
      <c r="V60" s="100" t="n">
        <f aca="false">V52</f>
        <v>0</v>
      </c>
      <c r="W60" s="100" t="n">
        <f aca="false">W52</f>
        <v>0</v>
      </c>
      <c r="X60" s="100" t="n">
        <f aca="false">X52</f>
        <v>0</v>
      </c>
      <c r="Y60" s="100" t="n">
        <f aca="false">Y52</f>
        <v>0</v>
      </c>
      <c r="Z60" s="100" t="n">
        <f aca="false">Z52</f>
        <v>0</v>
      </c>
      <c r="AA60" s="100" t="n">
        <f aca="false">AA52</f>
        <v>0</v>
      </c>
      <c r="AB60" s="100" t="n">
        <f aca="false">AB52</f>
        <v>0</v>
      </c>
      <c r="AC60" s="100" t="n">
        <f aca="false">AC52</f>
        <v>0</v>
      </c>
      <c r="AD60" s="100" t="n">
        <f aca="false">AD52</f>
        <v>0</v>
      </c>
      <c r="AE60" s="100" t="n">
        <f aca="false">AE52</f>
        <v>0</v>
      </c>
      <c r="AF60" s="100" t="n">
        <f aca="false">AF52</f>
        <v>0</v>
      </c>
      <c r="AG60" s="100" t="n">
        <f aca="false">AG52</f>
        <v>0</v>
      </c>
      <c r="AH60" s="100" t="n">
        <f aca="false">AH52</f>
        <v>0</v>
      </c>
      <c r="AI60" s="100" t="n">
        <f aca="false">AI52</f>
        <v>0</v>
      </c>
      <c r="AJ60" s="100" t="n">
        <f aca="false">AJ52</f>
        <v>0</v>
      </c>
      <c r="AK60" s="100" t="n">
        <f aca="false">AK52</f>
        <v>0</v>
      </c>
      <c r="AL60" s="100" t="n">
        <f aca="false">AL52</f>
        <v>0</v>
      </c>
      <c r="AM60" s="638"/>
      <c r="AN60" s="100"/>
      <c r="AO60" s="100"/>
      <c r="AP60" s="100"/>
      <c r="AQ60" s="100"/>
      <c r="AR60" s="100"/>
      <c r="AS60" s="100"/>
      <c r="AT60" s="100"/>
      <c r="AU60" s="100"/>
      <c r="AV60" s="100"/>
      <c r="AW60" s="100"/>
      <c r="AX60" s="100"/>
      <c r="AY60" s="100"/>
      <c r="AZ60" s="100"/>
      <c r="BA60" s="100"/>
      <c r="BB60" s="100"/>
      <c r="BC60" s="100"/>
      <c r="BD60" s="100"/>
      <c r="BE60" s="100"/>
      <c r="BF60" s="100"/>
      <c r="BG60" s="100"/>
      <c r="BH60" s="100"/>
      <c r="BI60" s="100"/>
      <c r="BJ60" s="100"/>
      <c r="BK60" s="100"/>
      <c r="BL60" s="100"/>
      <c r="BM60" s="100"/>
      <c r="BN60" s="100"/>
      <c r="BO60" s="100"/>
      <c r="BP60" s="100"/>
      <c r="BQ60" s="100"/>
      <c r="BR60" s="100"/>
      <c r="BS60" s="100"/>
      <c r="BT60" s="100"/>
      <c r="BU60" s="100"/>
      <c r="BV60" s="100"/>
      <c r="BW60" s="100"/>
      <c r="BX60" s="100"/>
      <c r="BY60" s="100"/>
      <c r="BZ60" s="100"/>
      <c r="CA60" s="100"/>
      <c r="CB60" s="100"/>
      <c r="CC60" s="100"/>
      <c r="CD60" s="100"/>
      <c r="CE60" s="100"/>
      <c r="CF60" s="100"/>
      <c r="CG60" s="100"/>
      <c r="CH60" s="100"/>
      <c r="CI60" s="100"/>
      <c r="CJ60" s="100"/>
      <c r="CK60" s="100"/>
      <c r="CL60" s="100"/>
      <c r="CM60" s="100"/>
      <c r="CN60" s="100"/>
      <c r="CO60" s="100"/>
      <c r="CP60" s="100"/>
      <c r="CQ60" s="100"/>
      <c r="CR60" s="100"/>
      <c r="CS60" s="100"/>
      <c r="CT60" s="100"/>
      <c r="CU60" s="100"/>
      <c r="CV60" s="100"/>
      <c r="CW60" s="100"/>
      <c r="CX60" s="100"/>
      <c r="CY60" s="100"/>
      <c r="CZ60" s="100"/>
      <c r="DA60" s="100"/>
      <c r="DB60" s="100"/>
      <c r="DC60" s="100"/>
      <c r="DD60" s="100"/>
      <c r="DE60" s="100"/>
      <c r="DF60" s="100"/>
      <c r="DG60" s="100"/>
      <c r="DH60" s="100"/>
      <c r="DI60" s="100"/>
      <c r="DJ60" s="100"/>
      <c r="DK60" s="100"/>
      <c r="DL60" s="100"/>
      <c r="DM60" s="100"/>
      <c r="DN60" s="100"/>
      <c r="DO60" s="100"/>
      <c r="DP60" s="100"/>
      <c r="DQ60" s="100"/>
      <c r="DR60" s="100"/>
      <c r="DS60" s="100"/>
      <c r="DT60" s="100"/>
      <c r="DU60" s="100"/>
      <c r="DV60" s="100"/>
      <c r="DW60" s="100"/>
      <c r="DX60" s="100"/>
      <c r="DY60" s="100"/>
      <c r="DZ60" s="100"/>
      <c r="EA60" s="100"/>
      <c r="EB60" s="100"/>
      <c r="EC60" s="100"/>
      <c r="ED60" s="100"/>
      <c r="EE60" s="100"/>
      <c r="EF60" s="100"/>
      <c r="EG60" s="100"/>
      <c r="EH60" s="100"/>
      <c r="EI60" s="100"/>
      <c r="EJ60" s="100"/>
      <c r="EK60" s="100"/>
      <c r="EL60" s="100"/>
      <c r="EM60" s="100"/>
      <c r="EN60" s="100"/>
      <c r="EO60" s="100"/>
      <c r="EP60" s="100"/>
      <c r="EQ60" s="100"/>
      <c r="ER60" s="100"/>
      <c r="ES60" s="100"/>
      <c r="ET60" s="100"/>
      <c r="EU60" s="100"/>
      <c r="EV60" s="100"/>
      <c r="EW60" s="100"/>
      <c r="EX60" s="100"/>
      <c r="EY60" s="100"/>
      <c r="EZ60" s="100"/>
      <c r="FA60" s="100"/>
      <c r="FB60" s="100"/>
      <c r="FC60" s="100"/>
      <c r="FD60" s="100"/>
      <c r="FE60" s="100"/>
      <c r="FF60" s="100"/>
      <c r="FG60" s="100"/>
      <c r="FH60" s="100"/>
      <c r="FI60" s="100"/>
      <c r="FJ60" s="100"/>
      <c r="FK60" s="100"/>
      <c r="FL60" s="100"/>
      <c r="FM60" s="100"/>
      <c r="FN60" s="100"/>
      <c r="FO60" s="100"/>
      <c r="FP60" s="100"/>
      <c r="FQ60" s="100"/>
      <c r="FR60" s="100"/>
      <c r="FS60" s="100"/>
      <c r="FT60" s="100"/>
      <c r="FU60" s="100"/>
      <c r="FV60" s="100"/>
      <c r="FW60" s="100"/>
      <c r="FX60" s="100"/>
      <c r="FY60" s="100"/>
      <c r="FZ60" s="100"/>
      <c r="GA60" s="100"/>
      <c r="GB60" s="100"/>
      <c r="GC60" s="100"/>
      <c r="GD60" s="100"/>
      <c r="GE60" s="100"/>
      <c r="GF60" s="100"/>
      <c r="GG60" s="100"/>
      <c r="GH60" s="100"/>
      <c r="GI60" s="100"/>
      <c r="GJ60" s="100"/>
      <c r="GK60" s="100"/>
      <c r="GL60" s="100"/>
      <c r="GM60" s="100"/>
      <c r="GN60" s="100"/>
      <c r="GO60" s="100"/>
      <c r="GP60" s="100"/>
      <c r="GQ60" s="100"/>
      <c r="GR60" s="100"/>
      <c r="GS60" s="100"/>
      <c r="GT60" s="100"/>
      <c r="GU60" s="100"/>
      <c r="GV60" s="100"/>
      <c r="GW60" s="100"/>
      <c r="GX60" s="100"/>
      <c r="GY60" s="100"/>
      <c r="GZ60" s="100"/>
      <c r="HA60" s="100"/>
      <c r="HB60" s="100"/>
      <c r="HC60" s="100"/>
      <c r="HD60" s="100"/>
      <c r="HE60" s="100"/>
      <c r="HF60" s="100"/>
      <c r="HG60" s="100"/>
      <c r="HH60" s="100"/>
      <c r="HI60" s="100"/>
      <c r="HJ60" s="100"/>
      <c r="HK60" s="100"/>
      <c r="HL60" s="100"/>
      <c r="HM60" s="100"/>
      <c r="HN60" s="100"/>
      <c r="HO60" s="100"/>
      <c r="HP60" s="100"/>
      <c r="HQ60" s="100"/>
      <c r="HR60" s="100"/>
      <c r="HS60" s="100"/>
      <c r="HT60" s="100"/>
      <c r="HU60" s="100"/>
      <c r="HV60" s="100"/>
      <c r="HW60" s="100"/>
      <c r="HX60" s="100"/>
      <c r="HY60" s="100"/>
      <c r="HZ60" s="100"/>
      <c r="IA60" s="100"/>
      <c r="IB60" s="100"/>
      <c r="IC60" s="100"/>
      <c r="ID60" s="100"/>
      <c r="IE60" s="100"/>
      <c r="IF60" s="100"/>
      <c r="IG60" s="100"/>
      <c r="IH60" s="100"/>
      <c r="II60" s="100"/>
      <c r="IJ60" s="100"/>
      <c r="IK60" s="100"/>
      <c r="IL60" s="100"/>
      <c r="IM60" s="100"/>
      <c r="IN60" s="100"/>
      <c r="IO60" s="100"/>
      <c r="IP60" s="100"/>
      <c r="IQ60" s="100"/>
      <c r="IR60" s="100"/>
      <c r="IS60" s="100"/>
      <c r="IT60" s="100"/>
      <c r="IU60" s="100"/>
      <c r="IV60" s="100"/>
      <c r="IW60" s="100"/>
    </row>
    <row r="61" customFormat="false" ht="12.75" hidden="false" customHeight="false" outlineLevel="0" collapsed="false">
      <c r="A61" s="100"/>
      <c r="B61" s="1137" t="s">
        <v>743</v>
      </c>
      <c r="C61" s="736"/>
      <c r="D61" s="100" t="n">
        <f aca="false">D53</f>
        <v>31582.1946786041</v>
      </c>
      <c r="E61" s="100" t="n">
        <f aca="false">E53</f>
        <v>19655.4160770651</v>
      </c>
      <c r="F61" s="100" t="n">
        <f aca="false">F53</f>
        <v>12456.3530508092</v>
      </c>
      <c r="G61" s="100" t="n">
        <f aca="false">G53</f>
        <v>8093.91936972311</v>
      </c>
      <c r="H61" s="100" t="n">
        <f aca="false">H53</f>
        <v>3731.48568863706</v>
      </c>
      <c r="I61" s="100" t="n">
        <f aca="false">I53</f>
        <v>1496.52401642843</v>
      </c>
      <c r="J61" s="100" t="n">
        <f aca="false">J53</f>
        <v>1389.0343530972</v>
      </c>
      <c r="K61" s="100" t="n">
        <f aca="false">K53</f>
        <v>1281.54468976598</v>
      </c>
      <c r="L61" s="100" t="n">
        <f aca="false">L53</f>
        <v>1174.05502643475</v>
      </c>
      <c r="M61" s="100" t="n">
        <f aca="false">M53</f>
        <v>1066.56536310353</v>
      </c>
      <c r="N61" s="100" t="n">
        <f aca="false">N53</f>
        <v>959.075699772307</v>
      </c>
      <c r="O61" s="100" t="n">
        <f aca="false">O53</f>
        <v>851.586036441084</v>
      </c>
      <c r="P61" s="100" t="n">
        <f aca="false">P53</f>
        <v>744.09637310986</v>
      </c>
      <c r="Q61" s="100" t="n">
        <f aca="false">Q53</f>
        <v>636.606709778635</v>
      </c>
      <c r="R61" s="100" t="n">
        <f aca="false">R53</f>
        <v>529.11704644741</v>
      </c>
      <c r="S61" s="100" t="n">
        <f aca="false">S53</f>
        <v>421.627383116185</v>
      </c>
      <c r="T61" s="100" t="n">
        <f aca="false">T53</f>
        <v>314.137719784956</v>
      </c>
      <c r="U61" s="100" t="n">
        <f aca="false">U53</f>
        <v>275.258479856641</v>
      </c>
      <c r="V61" s="100" t="n">
        <f aca="false">V53</f>
        <v>236.379239928326</v>
      </c>
      <c r="W61" s="100" t="n">
        <f aca="false">W53</f>
        <v>0</v>
      </c>
      <c r="X61" s="100" t="n">
        <f aca="false">X53</f>
        <v>0</v>
      </c>
      <c r="Y61" s="100" t="n">
        <f aca="false">Y53</f>
        <v>0</v>
      </c>
      <c r="Z61" s="100" t="n">
        <f aca="false">Z53</f>
        <v>0</v>
      </c>
      <c r="AA61" s="100" t="n">
        <f aca="false">AA53</f>
        <v>0</v>
      </c>
      <c r="AB61" s="100" t="n">
        <f aca="false">AB53</f>
        <v>0</v>
      </c>
      <c r="AC61" s="100" t="n">
        <f aca="false">AC53</f>
        <v>0</v>
      </c>
      <c r="AD61" s="100" t="n">
        <f aca="false">AD53</f>
        <v>0</v>
      </c>
      <c r="AE61" s="100" t="n">
        <f aca="false">AE53</f>
        <v>0</v>
      </c>
      <c r="AF61" s="100" t="n">
        <f aca="false">AF53</f>
        <v>0</v>
      </c>
      <c r="AG61" s="100" t="n">
        <f aca="false">AG53</f>
        <v>0</v>
      </c>
      <c r="AH61" s="100" t="n">
        <f aca="false">AH53</f>
        <v>0</v>
      </c>
      <c r="AI61" s="100" t="n">
        <f aca="false">AI53</f>
        <v>0</v>
      </c>
      <c r="AJ61" s="100" t="n">
        <f aca="false">AJ53</f>
        <v>0</v>
      </c>
      <c r="AK61" s="100" t="n">
        <f aca="false">AK53</f>
        <v>0</v>
      </c>
      <c r="AL61" s="100" t="n">
        <f aca="false">AL53</f>
        <v>0</v>
      </c>
      <c r="AM61" s="638"/>
      <c r="AN61" s="100"/>
      <c r="AO61" s="100"/>
      <c r="AP61" s="100"/>
      <c r="AQ61" s="100"/>
      <c r="AR61" s="100"/>
      <c r="AS61" s="100"/>
      <c r="AT61" s="100"/>
      <c r="AU61" s="100"/>
      <c r="AV61" s="100"/>
      <c r="AW61" s="100"/>
      <c r="AX61" s="100"/>
      <c r="AY61" s="100"/>
      <c r="AZ61" s="100"/>
      <c r="BA61" s="100"/>
      <c r="BB61" s="100"/>
      <c r="BC61" s="100"/>
      <c r="BD61" s="100"/>
      <c r="BE61" s="100"/>
      <c r="BF61" s="100"/>
      <c r="BG61" s="100"/>
      <c r="BH61" s="100"/>
      <c r="BI61" s="100"/>
      <c r="BJ61" s="100"/>
      <c r="BK61" s="100"/>
      <c r="BL61" s="100"/>
      <c r="BM61" s="100"/>
      <c r="BN61" s="100"/>
      <c r="BO61" s="100"/>
      <c r="BP61" s="100"/>
      <c r="BQ61" s="100"/>
      <c r="BR61" s="100"/>
      <c r="BS61" s="100"/>
      <c r="BT61" s="100"/>
      <c r="BU61" s="100"/>
      <c r="BV61" s="100"/>
      <c r="BW61" s="100"/>
      <c r="BX61" s="100"/>
      <c r="BY61" s="100"/>
      <c r="BZ61" s="100"/>
      <c r="CA61" s="100"/>
      <c r="CB61" s="100"/>
      <c r="CC61" s="100"/>
      <c r="CD61" s="100"/>
      <c r="CE61" s="100"/>
      <c r="CF61" s="100"/>
      <c r="CG61" s="100"/>
      <c r="CH61" s="100"/>
      <c r="CI61" s="100"/>
      <c r="CJ61" s="100"/>
      <c r="CK61" s="100"/>
      <c r="CL61" s="100"/>
      <c r="CM61" s="100"/>
      <c r="CN61" s="100"/>
      <c r="CO61" s="100"/>
      <c r="CP61" s="100"/>
      <c r="CQ61" s="100"/>
      <c r="CR61" s="100"/>
      <c r="CS61" s="100"/>
      <c r="CT61" s="100"/>
      <c r="CU61" s="100"/>
      <c r="CV61" s="100"/>
      <c r="CW61" s="100"/>
      <c r="CX61" s="100"/>
      <c r="CY61" s="100"/>
      <c r="CZ61" s="100"/>
      <c r="DA61" s="100"/>
      <c r="DB61" s="100"/>
      <c r="DC61" s="100"/>
      <c r="DD61" s="100"/>
      <c r="DE61" s="100"/>
      <c r="DF61" s="100"/>
      <c r="DG61" s="100"/>
      <c r="DH61" s="100"/>
      <c r="DI61" s="100"/>
      <c r="DJ61" s="100"/>
      <c r="DK61" s="100"/>
      <c r="DL61" s="100"/>
      <c r="DM61" s="100"/>
      <c r="DN61" s="100"/>
      <c r="DO61" s="100"/>
      <c r="DP61" s="100"/>
      <c r="DQ61" s="100"/>
      <c r="DR61" s="100"/>
      <c r="DS61" s="100"/>
      <c r="DT61" s="100"/>
      <c r="DU61" s="100"/>
      <c r="DV61" s="100"/>
      <c r="DW61" s="100"/>
      <c r="DX61" s="100"/>
      <c r="DY61" s="100"/>
      <c r="DZ61" s="100"/>
      <c r="EA61" s="100"/>
      <c r="EB61" s="100"/>
      <c r="EC61" s="100"/>
      <c r="ED61" s="100"/>
      <c r="EE61" s="100"/>
      <c r="EF61" s="100"/>
      <c r="EG61" s="100"/>
      <c r="EH61" s="100"/>
      <c r="EI61" s="100"/>
      <c r="EJ61" s="100"/>
      <c r="EK61" s="100"/>
      <c r="EL61" s="100"/>
      <c r="EM61" s="100"/>
      <c r="EN61" s="100"/>
      <c r="EO61" s="100"/>
      <c r="EP61" s="100"/>
      <c r="EQ61" s="100"/>
      <c r="ER61" s="100"/>
      <c r="ES61" s="100"/>
      <c r="ET61" s="100"/>
      <c r="EU61" s="100"/>
      <c r="EV61" s="100"/>
      <c r="EW61" s="100"/>
      <c r="EX61" s="100"/>
      <c r="EY61" s="100"/>
      <c r="EZ61" s="100"/>
      <c r="FA61" s="100"/>
      <c r="FB61" s="100"/>
      <c r="FC61" s="100"/>
      <c r="FD61" s="100"/>
      <c r="FE61" s="100"/>
      <c r="FF61" s="100"/>
      <c r="FG61" s="100"/>
      <c r="FH61" s="100"/>
      <c r="FI61" s="100"/>
      <c r="FJ61" s="100"/>
      <c r="FK61" s="100"/>
      <c r="FL61" s="100"/>
      <c r="FM61" s="100"/>
      <c r="FN61" s="100"/>
      <c r="FO61" s="100"/>
      <c r="FP61" s="100"/>
      <c r="FQ61" s="100"/>
      <c r="FR61" s="100"/>
      <c r="FS61" s="100"/>
      <c r="FT61" s="100"/>
      <c r="FU61" s="100"/>
      <c r="FV61" s="100"/>
      <c r="FW61" s="100"/>
      <c r="FX61" s="100"/>
      <c r="FY61" s="100"/>
      <c r="FZ61" s="100"/>
      <c r="GA61" s="100"/>
      <c r="GB61" s="100"/>
      <c r="GC61" s="100"/>
      <c r="GD61" s="100"/>
      <c r="GE61" s="100"/>
      <c r="GF61" s="100"/>
      <c r="GG61" s="100"/>
      <c r="GH61" s="100"/>
      <c r="GI61" s="100"/>
      <c r="GJ61" s="100"/>
      <c r="GK61" s="100"/>
      <c r="GL61" s="100"/>
      <c r="GM61" s="100"/>
      <c r="GN61" s="100"/>
      <c r="GO61" s="100"/>
      <c r="GP61" s="100"/>
      <c r="GQ61" s="100"/>
      <c r="GR61" s="100"/>
      <c r="GS61" s="100"/>
      <c r="GT61" s="100"/>
      <c r="GU61" s="100"/>
      <c r="GV61" s="100"/>
      <c r="GW61" s="100"/>
      <c r="GX61" s="100"/>
      <c r="GY61" s="100"/>
      <c r="GZ61" s="100"/>
      <c r="HA61" s="100"/>
      <c r="HB61" s="100"/>
      <c r="HC61" s="100"/>
      <c r="HD61" s="100"/>
      <c r="HE61" s="100"/>
      <c r="HF61" s="100"/>
      <c r="HG61" s="100"/>
      <c r="HH61" s="100"/>
      <c r="HI61" s="100"/>
      <c r="HJ61" s="100"/>
      <c r="HK61" s="100"/>
      <c r="HL61" s="100"/>
      <c r="HM61" s="100"/>
      <c r="HN61" s="100"/>
      <c r="HO61" s="100"/>
      <c r="HP61" s="100"/>
      <c r="HQ61" s="100"/>
      <c r="HR61" s="100"/>
      <c r="HS61" s="100"/>
      <c r="HT61" s="100"/>
      <c r="HU61" s="100"/>
      <c r="HV61" s="100"/>
      <c r="HW61" s="100"/>
      <c r="HX61" s="100"/>
      <c r="HY61" s="100"/>
      <c r="HZ61" s="100"/>
      <c r="IA61" s="100"/>
      <c r="IB61" s="100"/>
      <c r="IC61" s="100"/>
      <c r="ID61" s="100"/>
      <c r="IE61" s="100"/>
      <c r="IF61" s="100"/>
      <c r="IG61" s="100"/>
      <c r="IH61" s="100"/>
      <c r="II61" s="100"/>
      <c r="IJ61" s="100"/>
      <c r="IK61" s="100"/>
      <c r="IL61" s="100"/>
      <c r="IM61" s="100"/>
      <c r="IN61" s="100"/>
      <c r="IO61" s="100"/>
      <c r="IP61" s="100"/>
      <c r="IQ61" s="100"/>
      <c r="IR61" s="100"/>
      <c r="IS61" s="100"/>
      <c r="IT61" s="100"/>
      <c r="IU61" s="100"/>
      <c r="IV61" s="100"/>
      <c r="IW61" s="100"/>
    </row>
    <row r="62" customFormat="false" ht="13.5" hidden="false" customHeight="false" outlineLevel="0" collapsed="false">
      <c r="A62" s="100"/>
      <c r="B62" s="1138" t="s">
        <v>744</v>
      </c>
      <c r="C62" s="1139"/>
      <c r="D62" s="332" t="n">
        <f aca="false">IF(D61&gt;D60,0,D60-D61)</f>
        <v>0</v>
      </c>
      <c r="E62" s="332" t="n">
        <f aca="false">IF(E61&gt;E60,0,E60-E61)</f>
        <v>0</v>
      </c>
      <c r="F62" s="332" t="n">
        <f aca="false">IF(F61&gt;F60,0,F60-F61)</f>
        <v>0</v>
      </c>
      <c r="G62" s="332" t="n">
        <f aca="false">IF(G61&gt;G60,0,G60-G61)</f>
        <v>2976.20354182176</v>
      </c>
      <c r="H62" s="332" t="n">
        <f aca="false">IF(H61&gt;H60,0,H60-H61)</f>
        <v>6862.62431906961</v>
      </c>
      <c r="I62" s="332" t="n">
        <f aca="false">IF(I61&gt;I60,0,I60-I61)</f>
        <v>8574.33882478007</v>
      </c>
      <c r="J62" s="332" t="n">
        <f aca="false">IF(J61&gt;J60,0,J60-J61)</f>
        <v>8116.48345932907</v>
      </c>
      <c r="K62" s="332" t="n">
        <f aca="false">IF(K61&gt;K60,0,K60-K61)</f>
        <v>7606.80733418058</v>
      </c>
      <c r="L62" s="332" t="n">
        <f aca="false">IF(L61&gt;L60,0,L60-L61)</f>
        <v>7043.41533334513</v>
      </c>
      <c r="M62" s="332" t="n">
        <f aca="false">IF(M61&gt;M60,0,M60-M61)</f>
        <v>6421.3434421065</v>
      </c>
      <c r="N62" s="332" t="n">
        <f aca="false">IF(N61&gt;N60,0,N60-N61)</f>
        <v>5704.38941808729</v>
      </c>
      <c r="O62" s="332" t="n">
        <f aca="false">IF(O61&gt;O60,0,O60-O61)</f>
        <v>4912.18478284193</v>
      </c>
      <c r="P62" s="332" t="n">
        <f aca="false">IF(P61&gt;P60,0,P60-P61)</f>
        <v>4040.25807966233</v>
      </c>
      <c r="Q62" s="332" t="n">
        <f aca="false">IF(Q61&gt;Q60,0,Q60-Q61)</f>
        <v>3081.54216800578</v>
      </c>
      <c r="R62" s="332" t="n">
        <f aca="false">IF(R61&gt;R60,0,R60-R61)</f>
        <v>2029.46473154099</v>
      </c>
      <c r="S62" s="332" t="n">
        <f aca="false">IF(S61&gt;S60,0,S60-S61)</f>
        <v>873.505354522752</v>
      </c>
      <c r="T62" s="332" t="n">
        <f aca="false">IF(T61&gt;T60,0,T60-T61)</f>
        <v>0</v>
      </c>
      <c r="U62" s="332" t="n">
        <f aca="false">IF(U61&gt;U60,0,U60-U61)</f>
        <v>0</v>
      </c>
      <c r="V62" s="332" t="n">
        <f aca="false">IF(V61&gt;V60,0,V60-V61)</f>
        <v>0</v>
      </c>
      <c r="W62" s="332" t="n">
        <f aca="false">IF(W61&gt;W60,0,W60-W61)</f>
        <v>0</v>
      </c>
      <c r="X62" s="332" t="n">
        <f aca="false">IF(X61&gt;X60,0,X60-X61)</f>
        <v>0</v>
      </c>
      <c r="Y62" s="332" t="n">
        <f aca="false">IF(Y61&gt;Y60,0,Y60-Y61)</f>
        <v>0</v>
      </c>
      <c r="Z62" s="332" t="n">
        <f aca="false">IF(Z61&gt;Z60,0,Z60-Z61)</f>
        <v>0</v>
      </c>
      <c r="AA62" s="332" t="n">
        <f aca="false">IF(AA61&gt;AA60,0,AA60-AA61)</f>
        <v>0</v>
      </c>
      <c r="AB62" s="332" t="n">
        <f aca="false">IF(AB61&gt;AB60,0,AB60-AB61)</f>
        <v>0</v>
      </c>
      <c r="AC62" s="332" t="n">
        <f aca="false">IF(AC61&gt;AC60,0,AC60-AC61)</f>
        <v>0</v>
      </c>
      <c r="AD62" s="332" t="n">
        <f aca="false">IF(AD61&gt;AD60,0,AD60-AD61)</f>
        <v>0</v>
      </c>
      <c r="AE62" s="332" t="n">
        <f aca="false">IF(AE61&gt;AE60,0,AE60-AE61)</f>
        <v>0</v>
      </c>
      <c r="AF62" s="332" t="n">
        <f aca="false">IF(AF61&gt;AF60,0,AF60-AF61)</f>
        <v>0</v>
      </c>
      <c r="AG62" s="332" t="n">
        <f aca="false">IF(AG61&gt;AG60,0,AG60-AG61)</f>
        <v>0</v>
      </c>
      <c r="AH62" s="332" t="n">
        <f aca="false">IF(AH61&gt;AH60,0,AH60-AH61)</f>
        <v>0</v>
      </c>
      <c r="AI62" s="332" t="n">
        <f aca="false">IF(AI61&gt;AI60,0,AI60-AI61)</f>
        <v>0</v>
      </c>
      <c r="AJ62" s="332" t="n">
        <f aca="false">IF(AJ61&gt;AJ60,0,AJ60-AJ61)</f>
        <v>0</v>
      </c>
      <c r="AK62" s="332" t="n">
        <f aca="false">IF(AK61&gt;AK60,0,AK60-AK61)</f>
        <v>0</v>
      </c>
      <c r="AL62" s="332" t="n">
        <f aca="false">IF(AL61&gt;AL60,0,AL60-AL61)</f>
        <v>0</v>
      </c>
      <c r="AM62" s="638"/>
      <c r="AN62" s="100"/>
      <c r="AO62" s="100"/>
      <c r="AP62" s="100"/>
      <c r="AQ62" s="100"/>
      <c r="AR62" s="100"/>
      <c r="AS62" s="100"/>
      <c r="AT62" s="100"/>
      <c r="AU62" s="100"/>
      <c r="AV62" s="100"/>
      <c r="AW62" s="100"/>
      <c r="AX62" s="100"/>
      <c r="AY62" s="100"/>
      <c r="AZ62" s="100"/>
      <c r="BA62" s="100"/>
      <c r="BB62" s="100"/>
      <c r="BC62" s="100"/>
      <c r="BD62" s="100"/>
      <c r="BE62" s="100"/>
      <c r="BF62" s="100"/>
      <c r="BG62" s="100"/>
      <c r="BH62" s="100"/>
      <c r="BI62" s="100"/>
      <c r="BJ62" s="100"/>
      <c r="BK62" s="100"/>
      <c r="BL62" s="100"/>
      <c r="BM62" s="100"/>
      <c r="BN62" s="100"/>
      <c r="BO62" s="100"/>
      <c r="BP62" s="100"/>
      <c r="BQ62" s="100"/>
      <c r="BR62" s="100"/>
      <c r="BS62" s="100"/>
      <c r="BT62" s="100"/>
      <c r="BU62" s="100"/>
      <c r="BV62" s="100"/>
      <c r="BW62" s="100"/>
      <c r="BX62" s="100"/>
      <c r="BY62" s="100"/>
      <c r="BZ62" s="100"/>
      <c r="CA62" s="100"/>
      <c r="CB62" s="100"/>
      <c r="CC62" s="100"/>
      <c r="CD62" s="100"/>
      <c r="CE62" s="100"/>
      <c r="CF62" s="100"/>
      <c r="CG62" s="100"/>
      <c r="CH62" s="100"/>
      <c r="CI62" s="100"/>
      <c r="CJ62" s="100"/>
      <c r="CK62" s="100"/>
      <c r="CL62" s="100"/>
      <c r="CM62" s="100"/>
      <c r="CN62" s="100"/>
      <c r="CO62" s="100"/>
      <c r="CP62" s="100"/>
      <c r="CQ62" s="100"/>
      <c r="CR62" s="100"/>
      <c r="CS62" s="100"/>
      <c r="CT62" s="100"/>
      <c r="CU62" s="100"/>
      <c r="CV62" s="100"/>
      <c r="CW62" s="100"/>
      <c r="CX62" s="100"/>
      <c r="CY62" s="100"/>
      <c r="CZ62" s="100"/>
      <c r="DA62" s="100"/>
      <c r="DB62" s="100"/>
      <c r="DC62" s="100"/>
      <c r="DD62" s="100"/>
      <c r="DE62" s="100"/>
      <c r="DF62" s="100"/>
      <c r="DG62" s="100"/>
      <c r="DH62" s="100"/>
      <c r="DI62" s="100"/>
      <c r="DJ62" s="100"/>
      <c r="DK62" s="100"/>
      <c r="DL62" s="100"/>
      <c r="DM62" s="100"/>
      <c r="DN62" s="100"/>
      <c r="DO62" s="100"/>
      <c r="DP62" s="100"/>
      <c r="DQ62" s="100"/>
      <c r="DR62" s="100"/>
      <c r="DS62" s="100"/>
      <c r="DT62" s="100"/>
      <c r="DU62" s="100"/>
      <c r="DV62" s="100"/>
      <c r="DW62" s="100"/>
      <c r="DX62" s="100"/>
      <c r="DY62" s="100"/>
      <c r="DZ62" s="100"/>
      <c r="EA62" s="100"/>
      <c r="EB62" s="100"/>
      <c r="EC62" s="100"/>
      <c r="ED62" s="100"/>
      <c r="EE62" s="100"/>
      <c r="EF62" s="100"/>
      <c r="EG62" s="100"/>
      <c r="EH62" s="100"/>
      <c r="EI62" s="100"/>
      <c r="EJ62" s="100"/>
      <c r="EK62" s="100"/>
      <c r="EL62" s="100"/>
      <c r="EM62" s="100"/>
      <c r="EN62" s="100"/>
      <c r="EO62" s="100"/>
      <c r="EP62" s="100"/>
      <c r="EQ62" s="100"/>
      <c r="ER62" s="100"/>
      <c r="ES62" s="100"/>
      <c r="ET62" s="100"/>
      <c r="EU62" s="100"/>
      <c r="EV62" s="100"/>
      <c r="EW62" s="100"/>
      <c r="EX62" s="100"/>
      <c r="EY62" s="100"/>
      <c r="EZ62" s="100"/>
      <c r="FA62" s="100"/>
      <c r="FB62" s="100"/>
      <c r="FC62" s="100"/>
      <c r="FD62" s="100"/>
      <c r="FE62" s="100"/>
      <c r="FF62" s="100"/>
      <c r="FG62" s="100"/>
      <c r="FH62" s="100"/>
      <c r="FI62" s="100"/>
      <c r="FJ62" s="100"/>
      <c r="FK62" s="100"/>
      <c r="FL62" s="100"/>
      <c r="FM62" s="100"/>
      <c r="FN62" s="100"/>
      <c r="FO62" s="100"/>
      <c r="FP62" s="100"/>
      <c r="FQ62" s="100"/>
      <c r="FR62" s="100"/>
      <c r="FS62" s="100"/>
      <c r="FT62" s="100"/>
      <c r="FU62" s="100"/>
      <c r="FV62" s="100"/>
      <c r="FW62" s="100"/>
      <c r="FX62" s="100"/>
      <c r="FY62" s="100"/>
      <c r="FZ62" s="100"/>
      <c r="GA62" s="100"/>
      <c r="GB62" s="100"/>
      <c r="GC62" s="100"/>
      <c r="GD62" s="100"/>
      <c r="GE62" s="100"/>
      <c r="GF62" s="100"/>
      <c r="GG62" s="100"/>
      <c r="GH62" s="100"/>
      <c r="GI62" s="100"/>
      <c r="GJ62" s="100"/>
      <c r="GK62" s="100"/>
      <c r="GL62" s="100"/>
      <c r="GM62" s="100"/>
      <c r="GN62" s="100"/>
      <c r="GO62" s="100"/>
      <c r="GP62" s="100"/>
      <c r="GQ62" s="100"/>
      <c r="GR62" s="100"/>
      <c r="GS62" s="100"/>
      <c r="GT62" s="100"/>
      <c r="GU62" s="100"/>
      <c r="GV62" s="100"/>
      <c r="GW62" s="100"/>
      <c r="GX62" s="100"/>
      <c r="GY62" s="100"/>
      <c r="GZ62" s="100"/>
      <c r="HA62" s="100"/>
      <c r="HB62" s="100"/>
      <c r="HC62" s="100"/>
      <c r="HD62" s="100"/>
      <c r="HE62" s="100"/>
      <c r="HF62" s="100"/>
      <c r="HG62" s="100"/>
      <c r="HH62" s="100"/>
      <c r="HI62" s="100"/>
      <c r="HJ62" s="100"/>
      <c r="HK62" s="100"/>
      <c r="HL62" s="100"/>
      <c r="HM62" s="100"/>
      <c r="HN62" s="100"/>
      <c r="HO62" s="100"/>
      <c r="HP62" s="100"/>
      <c r="HQ62" s="100"/>
      <c r="HR62" s="100"/>
      <c r="HS62" s="100"/>
      <c r="HT62" s="100"/>
      <c r="HU62" s="100"/>
      <c r="HV62" s="100"/>
      <c r="HW62" s="100"/>
      <c r="HX62" s="100"/>
      <c r="HY62" s="100"/>
      <c r="HZ62" s="100"/>
      <c r="IA62" s="100"/>
      <c r="IB62" s="100"/>
      <c r="IC62" s="100"/>
      <c r="ID62" s="100"/>
      <c r="IE62" s="100"/>
      <c r="IF62" s="100"/>
      <c r="IG62" s="100"/>
      <c r="IH62" s="100"/>
      <c r="II62" s="100"/>
      <c r="IJ62" s="100"/>
      <c r="IK62" s="100"/>
      <c r="IL62" s="100"/>
      <c r="IM62" s="100"/>
      <c r="IN62" s="100"/>
      <c r="IO62" s="100"/>
      <c r="IP62" s="100"/>
      <c r="IQ62" s="100"/>
      <c r="IR62" s="100"/>
      <c r="IS62" s="100"/>
      <c r="IT62" s="100"/>
      <c r="IU62" s="100"/>
      <c r="IV62" s="100"/>
      <c r="IW62" s="100"/>
    </row>
    <row r="63" customFormat="false" ht="12.75" hidden="false" customHeight="false" outlineLevel="0" collapsed="false">
      <c r="A63" s="100"/>
      <c r="B63" s="1135"/>
      <c r="C63" s="736"/>
      <c r="D63" s="100"/>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638"/>
      <c r="AN63" s="100"/>
      <c r="AO63" s="100"/>
      <c r="AP63" s="100"/>
      <c r="AQ63" s="100"/>
      <c r="AR63" s="100"/>
      <c r="AS63" s="100"/>
      <c r="AT63" s="100"/>
      <c r="AU63" s="100"/>
      <c r="AV63" s="100"/>
      <c r="AW63" s="100"/>
      <c r="AX63" s="100"/>
      <c r="AY63" s="100"/>
      <c r="AZ63" s="100"/>
      <c r="BA63" s="100"/>
      <c r="BB63" s="100"/>
      <c r="BC63" s="100"/>
      <c r="BD63" s="100"/>
      <c r="BE63" s="100"/>
      <c r="BF63" s="100"/>
      <c r="BG63" s="100"/>
      <c r="BH63" s="100"/>
      <c r="BI63" s="100"/>
      <c r="BJ63" s="100"/>
      <c r="BK63" s="100"/>
      <c r="BL63" s="100"/>
      <c r="BM63" s="100"/>
      <c r="BN63" s="100"/>
      <c r="BO63" s="100"/>
      <c r="BP63" s="100"/>
      <c r="BQ63" s="100"/>
      <c r="BR63" s="100"/>
      <c r="BS63" s="100"/>
      <c r="BT63" s="100"/>
      <c r="BU63" s="100"/>
      <c r="BV63" s="100"/>
      <c r="BW63" s="100"/>
      <c r="BX63" s="100"/>
      <c r="BY63" s="100"/>
      <c r="BZ63" s="100"/>
      <c r="CA63" s="100"/>
      <c r="CB63" s="100"/>
      <c r="CC63" s="100"/>
      <c r="CD63" s="100"/>
      <c r="CE63" s="100"/>
      <c r="CF63" s="100"/>
      <c r="CG63" s="100"/>
      <c r="CH63" s="100"/>
      <c r="CI63" s="100"/>
      <c r="CJ63" s="100"/>
      <c r="CK63" s="100"/>
      <c r="CL63" s="100"/>
      <c r="CM63" s="100"/>
      <c r="CN63" s="100"/>
      <c r="CO63" s="100"/>
      <c r="CP63" s="100"/>
      <c r="CQ63" s="100"/>
      <c r="CR63" s="100"/>
      <c r="CS63" s="100"/>
      <c r="CT63" s="100"/>
      <c r="CU63" s="100"/>
      <c r="CV63" s="100"/>
      <c r="CW63" s="100"/>
      <c r="CX63" s="100"/>
      <c r="CY63" s="100"/>
      <c r="CZ63" s="100"/>
      <c r="DA63" s="100"/>
      <c r="DB63" s="100"/>
      <c r="DC63" s="100"/>
      <c r="DD63" s="100"/>
      <c r="DE63" s="100"/>
      <c r="DF63" s="100"/>
      <c r="DG63" s="100"/>
      <c r="DH63" s="100"/>
      <c r="DI63" s="100"/>
      <c r="DJ63" s="100"/>
      <c r="DK63" s="100"/>
      <c r="DL63" s="100"/>
      <c r="DM63" s="100"/>
      <c r="DN63" s="100"/>
      <c r="DO63" s="100"/>
      <c r="DP63" s="100"/>
      <c r="DQ63" s="100"/>
      <c r="DR63" s="100"/>
      <c r="DS63" s="100"/>
      <c r="DT63" s="100"/>
      <c r="DU63" s="100"/>
      <c r="DV63" s="100"/>
      <c r="DW63" s="100"/>
      <c r="DX63" s="100"/>
      <c r="DY63" s="100"/>
      <c r="DZ63" s="100"/>
      <c r="EA63" s="100"/>
      <c r="EB63" s="100"/>
      <c r="EC63" s="100"/>
      <c r="ED63" s="100"/>
      <c r="EE63" s="100"/>
      <c r="EF63" s="100"/>
      <c r="EG63" s="100"/>
      <c r="EH63" s="100"/>
      <c r="EI63" s="100"/>
      <c r="EJ63" s="100"/>
      <c r="EK63" s="100"/>
      <c r="EL63" s="100"/>
      <c r="EM63" s="100"/>
      <c r="EN63" s="100"/>
      <c r="EO63" s="100"/>
      <c r="EP63" s="100"/>
      <c r="EQ63" s="100"/>
      <c r="ER63" s="100"/>
      <c r="ES63" s="100"/>
      <c r="ET63" s="100"/>
      <c r="EU63" s="100"/>
      <c r="EV63" s="100"/>
      <c r="EW63" s="100"/>
      <c r="EX63" s="100"/>
      <c r="EY63" s="100"/>
      <c r="EZ63" s="100"/>
      <c r="FA63" s="100"/>
      <c r="FB63" s="100"/>
      <c r="FC63" s="100"/>
      <c r="FD63" s="100"/>
      <c r="FE63" s="100"/>
      <c r="FF63" s="100"/>
      <c r="FG63" s="100"/>
      <c r="FH63" s="100"/>
      <c r="FI63" s="100"/>
      <c r="FJ63" s="100"/>
      <c r="FK63" s="100"/>
      <c r="FL63" s="100"/>
      <c r="FM63" s="100"/>
      <c r="FN63" s="100"/>
      <c r="FO63" s="100"/>
      <c r="FP63" s="100"/>
      <c r="FQ63" s="100"/>
      <c r="FR63" s="100"/>
      <c r="FS63" s="100"/>
      <c r="FT63" s="100"/>
      <c r="FU63" s="100"/>
      <c r="FV63" s="100"/>
      <c r="FW63" s="100"/>
      <c r="FX63" s="100"/>
      <c r="FY63" s="100"/>
      <c r="FZ63" s="100"/>
      <c r="GA63" s="100"/>
      <c r="GB63" s="100"/>
      <c r="GC63" s="100"/>
      <c r="GD63" s="100"/>
      <c r="GE63" s="100"/>
      <c r="GF63" s="100"/>
      <c r="GG63" s="100"/>
      <c r="GH63" s="100"/>
      <c r="GI63" s="100"/>
      <c r="GJ63" s="100"/>
      <c r="GK63" s="100"/>
      <c r="GL63" s="100"/>
      <c r="GM63" s="100"/>
      <c r="GN63" s="100"/>
      <c r="GO63" s="100"/>
      <c r="GP63" s="100"/>
      <c r="GQ63" s="100"/>
      <c r="GR63" s="100"/>
      <c r="GS63" s="100"/>
      <c r="GT63" s="100"/>
      <c r="GU63" s="100"/>
      <c r="GV63" s="100"/>
      <c r="GW63" s="100"/>
      <c r="GX63" s="100"/>
      <c r="GY63" s="100"/>
      <c r="GZ63" s="100"/>
      <c r="HA63" s="100"/>
      <c r="HB63" s="100"/>
      <c r="HC63" s="100"/>
      <c r="HD63" s="100"/>
      <c r="HE63" s="100"/>
      <c r="HF63" s="100"/>
      <c r="HG63" s="100"/>
      <c r="HH63" s="100"/>
      <c r="HI63" s="100"/>
      <c r="HJ63" s="100"/>
      <c r="HK63" s="100"/>
      <c r="HL63" s="100"/>
      <c r="HM63" s="100"/>
      <c r="HN63" s="100"/>
      <c r="HO63" s="100"/>
      <c r="HP63" s="100"/>
      <c r="HQ63" s="100"/>
      <c r="HR63" s="100"/>
      <c r="HS63" s="100"/>
      <c r="HT63" s="100"/>
      <c r="HU63" s="100"/>
      <c r="HV63" s="100"/>
      <c r="HW63" s="100"/>
      <c r="HX63" s="100"/>
      <c r="HY63" s="100"/>
      <c r="HZ63" s="100"/>
      <c r="IA63" s="100"/>
      <c r="IB63" s="100"/>
      <c r="IC63" s="100"/>
      <c r="ID63" s="100"/>
      <c r="IE63" s="100"/>
      <c r="IF63" s="100"/>
      <c r="IG63" s="100"/>
      <c r="IH63" s="100"/>
      <c r="II63" s="100"/>
      <c r="IJ63" s="100"/>
      <c r="IK63" s="100"/>
      <c r="IL63" s="100"/>
      <c r="IM63" s="100"/>
      <c r="IN63" s="100"/>
      <c r="IO63" s="100"/>
      <c r="IP63" s="100"/>
      <c r="IQ63" s="100"/>
      <c r="IR63" s="100"/>
      <c r="IS63" s="100"/>
      <c r="IT63" s="100"/>
      <c r="IU63" s="100"/>
      <c r="IV63" s="100"/>
      <c r="IW63" s="100"/>
    </row>
    <row r="64" customFormat="false" ht="12.75" hidden="false" customHeight="false" outlineLevel="0" collapsed="false">
      <c r="A64" s="100"/>
      <c r="B64" s="1136" t="s">
        <v>745</v>
      </c>
      <c r="C64" s="437"/>
      <c r="D64" s="313" t="n">
        <f aca="false">D62-C62</f>
        <v>0</v>
      </c>
      <c r="E64" s="313" t="n">
        <f aca="false">E62-D62</f>
        <v>0</v>
      </c>
      <c r="F64" s="313" t="n">
        <f aca="false">F62-E62</f>
        <v>0</v>
      </c>
      <c r="G64" s="313" t="n">
        <f aca="false">G62-F62</f>
        <v>2976.20354182176</v>
      </c>
      <c r="H64" s="313" t="n">
        <f aca="false">H62-G62</f>
        <v>3886.42077724785</v>
      </c>
      <c r="I64" s="313" t="n">
        <f aca="false">I62-H62</f>
        <v>1711.71450571047</v>
      </c>
      <c r="J64" s="313" t="n">
        <f aca="false">J62-I62</f>
        <v>-457.855365451006</v>
      </c>
      <c r="K64" s="313" t="n">
        <f aca="false">K62-J62</f>
        <v>-509.676125148493</v>
      </c>
      <c r="L64" s="313" t="n">
        <f aca="false">L62-K62</f>
        <v>-563.392000835441</v>
      </c>
      <c r="M64" s="313" t="n">
        <f aca="false">M62-L62</f>
        <v>-622.071891238637</v>
      </c>
      <c r="N64" s="313" t="n">
        <f aca="false">N62-M62</f>
        <v>-716.954024019204</v>
      </c>
      <c r="O64" s="313" t="n">
        <f aca="false">O62-N62</f>
        <v>-792.204635245369</v>
      </c>
      <c r="P64" s="313" t="n">
        <f aca="false">P62-O62</f>
        <v>-871.926703179592</v>
      </c>
      <c r="Q64" s="313" t="n">
        <f aca="false">Q62-P62</f>
        <v>-958.715911656549</v>
      </c>
      <c r="R64" s="313" t="n">
        <f aca="false">R62-Q62</f>
        <v>-1052.0774364648</v>
      </c>
      <c r="S64" s="313" t="n">
        <f aca="false">S62-R62</f>
        <v>-1155.95937701824</v>
      </c>
      <c r="T64" s="313" t="n">
        <f aca="false">T62-S62</f>
        <v>-873.505354522752</v>
      </c>
      <c r="U64" s="313" t="n">
        <f aca="false">U62-T62</f>
        <v>0</v>
      </c>
      <c r="V64" s="313" t="n">
        <f aca="false">V62-U62</f>
        <v>0</v>
      </c>
      <c r="W64" s="313" t="n">
        <f aca="false">W62-V62</f>
        <v>0</v>
      </c>
      <c r="X64" s="313" t="n">
        <f aca="false">X62-W62</f>
        <v>0</v>
      </c>
      <c r="Y64" s="313" t="n">
        <f aca="false">Y62-X62</f>
        <v>0</v>
      </c>
      <c r="Z64" s="313" t="n">
        <f aca="false">Z62-Y62</f>
        <v>0</v>
      </c>
      <c r="AA64" s="313" t="n">
        <f aca="false">AA62-Z62</f>
        <v>0</v>
      </c>
      <c r="AB64" s="313" t="n">
        <f aca="false">AB62-AA62</f>
        <v>0</v>
      </c>
      <c r="AC64" s="313" t="n">
        <f aca="false">AC62-AB62</f>
        <v>0</v>
      </c>
      <c r="AD64" s="313" t="n">
        <f aca="false">AD62-AC62</f>
        <v>0</v>
      </c>
      <c r="AE64" s="313" t="n">
        <f aca="false">AE62-AD62</f>
        <v>0</v>
      </c>
      <c r="AF64" s="313" t="n">
        <f aca="false">AF62-AE62</f>
        <v>0</v>
      </c>
      <c r="AG64" s="313" t="n">
        <f aca="false">AG62-AF62</f>
        <v>0</v>
      </c>
      <c r="AH64" s="313" t="n">
        <f aca="false">AH62-AG62</f>
        <v>0</v>
      </c>
      <c r="AI64" s="313" t="n">
        <f aca="false">AI62-AH62</f>
        <v>0</v>
      </c>
      <c r="AJ64" s="313" t="n">
        <f aca="false">AJ62-AI62</f>
        <v>0</v>
      </c>
      <c r="AK64" s="313" t="n">
        <f aca="false">AK62-AJ62</f>
        <v>0</v>
      </c>
      <c r="AL64" s="313" t="n">
        <f aca="false">AL62-AK62</f>
        <v>0</v>
      </c>
      <c r="AM64" s="638"/>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100"/>
      <c r="BR64" s="100"/>
      <c r="BS64" s="100"/>
      <c r="BT64" s="100"/>
      <c r="BU64" s="100"/>
      <c r="BV64" s="100"/>
      <c r="BW64" s="100"/>
      <c r="BX64" s="100"/>
      <c r="BY64" s="100"/>
      <c r="BZ64" s="100"/>
      <c r="CA64" s="100"/>
      <c r="CB64" s="100"/>
      <c r="CC64" s="100"/>
      <c r="CD64" s="100"/>
      <c r="CE64" s="100"/>
      <c r="CF64" s="100"/>
      <c r="CG64" s="100"/>
      <c r="CH64" s="100"/>
      <c r="CI64" s="100"/>
      <c r="CJ64" s="100"/>
      <c r="CK64" s="100"/>
      <c r="CL64" s="100"/>
      <c r="CM64" s="100"/>
      <c r="CN64" s="100"/>
      <c r="CO64" s="100"/>
      <c r="CP64" s="100"/>
      <c r="CQ64" s="100"/>
      <c r="CR64" s="100"/>
      <c r="CS64" s="100"/>
      <c r="CT64" s="100"/>
      <c r="CU64" s="100"/>
      <c r="CV64" s="100"/>
      <c r="CW64" s="100"/>
      <c r="CX64" s="100"/>
      <c r="CY64" s="100"/>
      <c r="CZ64" s="100"/>
      <c r="DA64" s="100"/>
      <c r="DB64" s="100"/>
      <c r="DC64" s="100"/>
      <c r="DD64" s="100"/>
      <c r="DE64" s="100"/>
      <c r="DF64" s="100"/>
      <c r="DG64" s="100"/>
      <c r="DH64" s="100"/>
      <c r="DI64" s="100"/>
      <c r="DJ64" s="100"/>
      <c r="DK64" s="100"/>
      <c r="DL64" s="100"/>
      <c r="DM64" s="100"/>
      <c r="DN64" s="100"/>
      <c r="DO64" s="100"/>
      <c r="DP64" s="100"/>
      <c r="DQ64" s="100"/>
      <c r="DR64" s="100"/>
      <c r="DS64" s="100"/>
      <c r="DT64" s="100"/>
      <c r="DU64" s="100"/>
      <c r="DV64" s="100"/>
      <c r="DW64" s="100"/>
      <c r="DX64" s="100"/>
      <c r="DY64" s="100"/>
      <c r="DZ64" s="100"/>
      <c r="EA64" s="100"/>
      <c r="EB64" s="100"/>
      <c r="EC64" s="100"/>
      <c r="ED64" s="100"/>
      <c r="EE64" s="100"/>
      <c r="EF64" s="100"/>
      <c r="EG64" s="100"/>
      <c r="EH64" s="100"/>
      <c r="EI64" s="100"/>
      <c r="EJ64" s="100"/>
      <c r="EK64" s="100"/>
      <c r="EL64" s="100"/>
      <c r="EM64" s="100"/>
      <c r="EN64" s="100"/>
      <c r="EO64" s="100"/>
      <c r="EP64" s="100"/>
      <c r="EQ64" s="100"/>
      <c r="ER64" s="100"/>
      <c r="ES64" s="100"/>
      <c r="ET64" s="100"/>
      <c r="EU64" s="100"/>
      <c r="EV64" s="100"/>
      <c r="EW64" s="100"/>
      <c r="EX64" s="100"/>
      <c r="EY64" s="100"/>
      <c r="EZ64" s="100"/>
      <c r="FA64" s="100"/>
      <c r="FB64" s="100"/>
      <c r="FC64" s="100"/>
      <c r="FD64" s="100"/>
      <c r="FE64" s="100"/>
      <c r="FF64" s="100"/>
      <c r="FG64" s="100"/>
      <c r="FH64" s="100"/>
      <c r="FI64" s="100"/>
      <c r="FJ64" s="100"/>
      <c r="FK64" s="100"/>
      <c r="FL64" s="100"/>
      <c r="FM64" s="100"/>
      <c r="FN64" s="100"/>
      <c r="FO64" s="100"/>
      <c r="FP64" s="100"/>
      <c r="FQ64" s="100"/>
      <c r="FR64" s="100"/>
      <c r="FS64" s="100"/>
      <c r="FT64" s="100"/>
      <c r="FU64" s="100"/>
      <c r="FV64" s="100"/>
      <c r="FW64" s="100"/>
      <c r="FX64" s="100"/>
      <c r="FY64" s="100"/>
      <c r="FZ64" s="100"/>
      <c r="GA64" s="100"/>
      <c r="GB64" s="100"/>
      <c r="GC64" s="100"/>
      <c r="GD64" s="100"/>
      <c r="GE64" s="100"/>
      <c r="GF64" s="100"/>
      <c r="GG64" s="100"/>
      <c r="GH64" s="100"/>
      <c r="GI64" s="100"/>
      <c r="GJ64" s="100"/>
      <c r="GK64" s="100"/>
      <c r="GL64" s="100"/>
      <c r="GM64" s="100"/>
      <c r="GN64" s="100"/>
      <c r="GO64" s="100"/>
      <c r="GP64" s="100"/>
      <c r="GQ64" s="100"/>
      <c r="GR64" s="100"/>
      <c r="GS64" s="100"/>
      <c r="GT64" s="100"/>
      <c r="GU64" s="100"/>
      <c r="GV64" s="100"/>
      <c r="GW64" s="100"/>
      <c r="GX64" s="100"/>
      <c r="GY64" s="100"/>
      <c r="GZ64" s="100"/>
      <c r="HA64" s="100"/>
      <c r="HB64" s="100"/>
      <c r="HC64" s="100"/>
      <c r="HD64" s="100"/>
      <c r="HE64" s="100"/>
      <c r="HF64" s="100"/>
      <c r="HG64" s="100"/>
      <c r="HH64" s="100"/>
      <c r="HI64" s="100"/>
      <c r="HJ64" s="100"/>
      <c r="HK64" s="100"/>
      <c r="HL64" s="100"/>
      <c r="HM64" s="100"/>
      <c r="HN64" s="100"/>
      <c r="HO64" s="100"/>
      <c r="HP64" s="100"/>
      <c r="HQ64" s="100"/>
      <c r="HR64" s="100"/>
      <c r="HS64" s="100"/>
      <c r="HT64" s="100"/>
      <c r="HU64" s="100"/>
      <c r="HV64" s="100"/>
      <c r="HW64" s="100"/>
      <c r="HX64" s="100"/>
      <c r="HY64" s="100"/>
      <c r="HZ64" s="100"/>
      <c r="IA64" s="100"/>
      <c r="IB64" s="100"/>
      <c r="IC64" s="100"/>
      <c r="ID64" s="100"/>
      <c r="IE64" s="100"/>
      <c r="IF64" s="100"/>
      <c r="IG64" s="100"/>
      <c r="IH64" s="100"/>
      <c r="II64" s="100"/>
      <c r="IJ64" s="100"/>
      <c r="IK64" s="100"/>
      <c r="IL64" s="100"/>
      <c r="IM64" s="100"/>
      <c r="IN64" s="100"/>
      <c r="IO64" s="100"/>
      <c r="IP64" s="100"/>
      <c r="IQ64" s="100"/>
      <c r="IR64" s="100"/>
      <c r="IS64" s="100"/>
      <c r="IT64" s="100"/>
      <c r="IU64" s="100"/>
      <c r="IV64" s="100"/>
      <c r="IW64" s="100"/>
    </row>
    <row r="65" customFormat="false" ht="12.75" hidden="false" customHeight="false" outlineLevel="0" collapsed="false">
      <c r="A65" s="100"/>
      <c r="B65" s="1140"/>
      <c r="C65" s="437"/>
      <c r="D65" s="313"/>
      <c r="E65" s="313"/>
      <c r="F65" s="313"/>
      <c r="G65" s="313"/>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313"/>
      <c r="AM65" s="638"/>
      <c r="AN65" s="100"/>
      <c r="AO65" s="100"/>
      <c r="AP65" s="100"/>
      <c r="AQ65" s="100"/>
      <c r="AR65" s="100"/>
      <c r="AS65" s="100"/>
      <c r="AT65" s="100"/>
      <c r="AU65" s="100"/>
      <c r="AV65" s="100"/>
      <c r="AW65" s="100"/>
      <c r="AX65" s="100"/>
      <c r="AY65" s="100"/>
      <c r="AZ65" s="100"/>
      <c r="BA65" s="100"/>
      <c r="BB65" s="100"/>
      <c r="BC65" s="100"/>
      <c r="BD65" s="100"/>
      <c r="BE65" s="100"/>
      <c r="BF65" s="100"/>
      <c r="BG65" s="100"/>
      <c r="BH65" s="100"/>
      <c r="BI65" s="100"/>
      <c r="BJ65" s="100"/>
      <c r="BK65" s="100"/>
      <c r="BL65" s="100"/>
      <c r="BM65" s="100"/>
      <c r="BN65" s="100"/>
      <c r="BO65" s="100"/>
      <c r="BP65" s="100"/>
      <c r="BQ65" s="100"/>
      <c r="BR65" s="100"/>
      <c r="BS65" s="100"/>
      <c r="BT65" s="100"/>
      <c r="BU65" s="100"/>
      <c r="BV65" s="100"/>
      <c r="BW65" s="100"/>
      <c r="BX65" s="100"/>
      <c r="BY65" s="100"/>
      <c r="BZ65" s="100"/>
      <c r="CA65" s="100"/>
      <c r="CB65" s="100"/>
      <c r="CC65" s="100"/>
      <c r="CD65" s="100"/>
      <c r="CE65" s="100"/>
      <c r="CF65" s="100"/>
      <c r="CG65" s="100"/>
      <c r="CH65" s="100"/>
      <c r="CI65" s="100"/>
      <c r="CJ65" s="100"/>
      <c r="CK65" s="100"/>
      <c r="CL65" s="100"/>
      <c r="CM65" s="100"/>
      <c r="CN65" s="100"/>
      <c r="CO65" s="100"/>
      <c r="CP65" s="100"/>
      <c r="CQ65" s="100"/>
      <c r="CR65" s="100"/>
      <c r="CS65" s="100"/>
      <c r="CT65" s="100"/>
      <c r="CU65" s="100"/>
      <c r="CV65" s="100"/>
      <c r="CW65" s="100"/>
      <c r="CX65" s="100"/>
      <c r="CY65" s="100"/>
      <c r="CZ65" s="100"/>
      <c r="DA65" s="100"/>
      <c r="DB65" s="100"/>
      <c r="DC65" s="100"/>
      <c r="DD65" s="100"/>
      <c r="DE65" s="100"/>
      <c r="DF65" s="100"/>
      <c r="DG65" s="100"/>
      <c r="DH65" s="100"/>
      <c r="DI65" s="100"/>
      <c r="DJ65" s="100"/>
      <c r="DK65" s="100"/>
      <c r="DL65" s="100"/>
      <c r="DM65" s="100"/>
      <c r="DN65" s="100"/>
      <c r="DO65" s="100"/>
      <c r="DP65" s="100"/>
      <c r="DQ65" s="100"/>
      <c r="DR65" s="100"/>
      <c r="DS65" s="100"/>
      <c r="DT65" s="100"/>
      <c r="DU65" s="100"/>
      <c r="DV65" s="100"/>
      <c r="DW65" s="100"/>
      <c r="DX65" s="100"/>
      <c r="DY65" s="100"/>
      <c r="DZ65" s="100"/>
      <c r="EA65" s="100"/>
      <c r="EB65" s="100"/>
      <c r="EC65" s="100"/>
      <c r="ED65" s="100"/>
      <c r="EE65" s="100"/>
      <c r="EF65" s="100"/>
      <c r="EG65" s="100"/>
      <c r="EH65" s="100"/>
      <c r="EI65" s="100"/>
      <c r="EJ65" s="100"/>
      <c r="EK65" s="100"/>
      <c r="EL65" s="100"/>
      <c r="EM65" s="100"/>
      <c r="EN65" s="100"/>
      <c r="EO65" s="100"/>
      <c r="EP65" s="100"/>
      <c r="EQ65" s="100"/>
      <c r="ER65" s="100"/>
      <c r="ES65" s="100"/>
      <c r="ET65" s="100"/>
      <c r="EU65" s="100"/>
      <c r="EV65" s="100"/>
      <c r="EW65" s="100"/>
      <c r="EX65" s="100"/>
      <c r="EY65" s="100"/>
      <c r="EZ65" s="100"/>
      <c r="FA65" s="100"/>
      <c r="FB65" s="100"/>
      <c r="FC65" s="100"/>
      <c r="FD65" s="100"/>
      <c r="FE65" s="100"/>
      <c r="FF65" s="100"/>
      <c r="FG65" s="100"/>
      <c r="FH65" s="100"/>
      <c r="FI65" s="100"/>
      <c r="FJ65" s="100"/>
      <c r="FK65" s="100"/>
      <c r="FL65" s="100"/>
      <c r="FM65" s="100"/>
      <c r="FN65" s="100"/>
      <c r="FO65" s="100"/>
      <c r="FP65" s="100"/>
      <c r="FQ65" s="100"/>
      <c r="FR65" s="100"/>
      <c r="FS65" s="100"/>
      <c r="FT65" s="100"/>
      <c r="FU65" s="100"/>
      <c r="FV65" s="100"/>
      <c r="FW65" s="100"/>
      <c r="FX65" s="100"/>
      <c r="FY65" s="100"/>
      <c r="FZ65" s="100"/>
      <c r="GA65" s="100"/>
      <c r="GB65" s="100"/>
      <c r="GC65" s="100"/>
      <c r="GD65" s="100"/>
      <c r="GE65" s="100"/>
      <c r="GF65" s="100"/>
      <c r="GG65" s="100"/>
      <c r="GH65" s="100"/>
      <c r="GI65" s="100"/>
      <c r="GJ65" s="100"/>
      <c r="GK65" s="100"/>
      <c r="GL65" s="100"/>
      <c r="GM65" s="100"/>
      <c r="GN65" s="100"/>
      <c r="GO65" s="100"/>
      <c r="GP65" s="100"/>
      <c r="GQ65" s="100"/>
      <c r="GR65" s="100"/>
      <c r="GS65" s="100"/>
      <c r="GT65" s="100"/>
      <c r="GU65" s="100"/>
      <c r="GV65" s="100"/>
      <c r="GW65" s="100"/>
      <c r="GX65" s="100"/>
      <c r="GY65" s="100"/>
      <c r="GZ65" s="100"/>
      <c r="HA65" s="100"/>
      <c r="HB65" s="100"/>
      <c r="HC65" s="100"/>
      <c r="HD65" s="100"/>
      <c r="HE65" s="100"/>
      <c r="HF65" s="100"/>
      <c r="HG65" s="100"/>
      <c r="HH65" s="100"/>
      <c r="HI65" s="100"/>
      <c r="HJ65" s="100"/>
      <c r="HK65" s="100"/>
      <c r="HL65" s="100"/>
      <c r="HM65" s="100"/>
      <c r="HN65" s="100"/>
      <c r="HO65" s="100"/>
      <c r="HP65" s="100"/>
      <c r="HQ65" s="100"/>
      <c r="HR65" s="100"/>
      <c r="HS65" s="100"/>
      <c r="HT65" s="100"/>
      <c r="HU65" s="100"/>
      <c r="HV65" s="100"/>
      <c r="HW65" s="100"/>
      <c r="HX65" s="100"/>
      <c r="HY65" s="100"/>
      <c r="HZ65" s="100"/>
      <c r="IA65" s="100"/>
      <c r="IB65" s="100"/>
      <c r="IC65" s="100"/>
      <c r="ID65" s="100"/>
      <c r="IE65" s="100"/>
      <c r="IF65" s="100"/>
      <c r="IG65" s="100"/>
      <c r="IH65" s="100"/>
      <c r="II65" s="100"/>
      <c r="IJ65" s="100"/>
      <c r="IK65" s="100"/>
      <c r="IL65" s="100"/>
      <c r="IM65" s="100"/>
      <c r="IN65" s="100"/>
      <c r="IO65" s="100"/>
      <c r="IP65" s="100"/>
      <c r="IQ65" s="100"/>
      <c r="IR65" s="100"/>
      <c r="IS65" s="100"/>
      <c r="IT65" s="100"/>
      <c r="IU65" s="100"/>
      <c r="IV65" s="100"/>
      <c r="IW65" s="100"/>
    </row>
    <row r="66" customFormat="false" ht="12.75" hidden="false" customHeight="false" outlineLevel="0" collapsed="false">
      <c r="A66" s="100"/>
      <c r="B66" s="1136" t="s">
        <v>746</v>
      </c>
      <c r="C66" s="1141" t="s">
        <v>747</v>
      </c>
      <c r="D66" s="100"/>
      <c r="E66" s="100"/>
      <c r="F66" s="100"/>
      <c r="G66" s="100"/>
      <c r="H66" s="100"/>
      <c r="I66" s="100"/>
      <c r="J66" s="100"/>
      <c r="K66" s="100"/>
      <c r="L66" s="100"/>
      <c r="M66" s="100"/>
      <c r="N66" s="100"/>
      <c r="O66" s="100"/>
      <c r="P66" s="100"/>
      <c r="Q66" s="100"/>
      <c r="R66" s="100"/>
      <c r="S66" s="100"/>
      <c r="T66" s="100"/>
      <c r="U66" s="100"/>
      <c r="V66" s="100"/>
      <c r="W66" s="100"/>
      <c r="X66" s="100"/>
      <c r="Y66" s="100"/>
      <c r="Z66" s="100"/>
      <c r="AA66" s="100"/>
      <c r="AB66" s="100"/>
      <c r="AC66" s="100"/>
      <c r="AD66" s="100"/>
      <c r="AE66" s="100"/>
      <c r="AF66" s="100"/>
      <c r="AG66" s="100"/>
      <c r="AH66" s="100"/>
      <c r="AI66" s="100"/>
      <c r="AJ66" s="100"/>
      <c r="AK66" s="100"/>
      <c r="AL66" s="100"/>
      <c r="AM66" s="638"/>
      <c r="AN66" s="100"/>
      <c r="AO66" s="100"/>
      <c r="AP66" s="100"/>
      <c r="AQ66" s="100"/>
      <c r="AR66" s="100"/>
      <c r="AS66" s="100"/>
      <c r="AT66" s="100"/>
      <c r="AU66" s="100"/>
      <c r="AV66" s="100"/>
      <c r="AW66" s="100"/>
      <c r="AX66" s="100"/>
      <c r="AY66" s="100"/>
      <c r="AZ66" s="100"/>
      <c r="BA66" s="100"/>
      <c r="BB66" s="100"/>
      <c r="BC66" s="100"/>
      <c r="BD66" s="100"/>
      <c r="BE66" s="100"/>
      <c r="BF66" s="100"/>
      <c r="BG66" s="100"/>
      <c r="BH66" s="100"/>
      <c r="BI66" s="100"/>
      <c r="BJ66" s="100"/>
      <c r="BK66" s="100"/>
      <c r="BL66" s="100"/>
      <c r="BM66" s="100"/>
      <c r="BN66" s="100"/>
      <c r="BO66" s="100"/>
      <c r="BP66" s="100"/>
      <c r="BQ66" s="100"/>
      <c r="BR66" s="100"/>
      <c r="BS66" s="100"/>
      <c r="BT66" s="100"/>
      <c r="BU66" s="100"/>
      <c r="BV66" s="100"/>
      <c r="BW66" s="100"/>
      <c r="BX66" s="100"/>
      <c r="BY66" s="100"/>
      <c r="BZ66" s="100"/>
      <c r="CA66" s="100"/>
      <c r="CB66" s="100"/>
      <c r="CC66" s="100"/>
      <c r="CD66" s="100"/>
      <c r="CE66" s="100"/>
      <c r="CF66" s="100"/>
      <c r="CG66" s="100"/>
      <c r="CH66" s="100"/>
      <c r="CI66" s="100"/>
      <c r="CJ66" s="100"/>
      <c r="CK66" s="100"/>
      <c r="CL66" s="100"/>
      <c r="CM66" s="100"/>
      <c r="CN66" s="100"/>
      <c r="CO66" s="100"/>
      <c r="CP66" s="100"/>
      <c r="CQ66" s="100"/>
      <c r="CR66" s="100"/>
      <c r="CS66" s="100"/>
      <c r="CT66" s="100"/>
      <c r="CU66" s="100"/>
      <c r="CV66" s="100"/>
      <c r="CW66" s="100"/>
      <c r="CX66" s="100"/>
      <c r="CY66" s="100"/>
      <c r="CZ66" s="100"/>
      <c r="DA66" s="100"/>
      <c r="DB66" s="100"/>
      <c r="DC66" s="100"/>
      <c r="DD66" s="100"/>
      <c r="DE66" s="100"/>
      <c r="DF66" s="100"/>
      <c r="DG66" s="100"/>
      <c r="DH66" s="100"/>
      <c r="DI66" s="100"/>
      <c r="DJ66" s="100"/>
      <c r="DK66" s="100"/>
      <c r="DL66" s="100"/>
      <c r="DM66" s="100"/>
      <c r="DN66" s="100"/>
      <c r="DO66" s="100"/>
      <c r="DP66" s="100"/>
      <c r="DQ66" s="100"/>
      <c r="DR66" s="100"/>
      <c r="DS66" s="100"/>
      <c r="DT66" s="100"/>
      <c r="DU66" s="100"/>
      <c r="DV66" s="100"/>
      <c r="DW66" s="100"/>
      <c r="DX66" s="100"/>
      <c r="DY66" s="100"/>
      <c r="DZ66" s="100"/>
      <c r="EA66" s="100"/>
      <c r="EB66" s="100"/>
      <c r="EC66" s="100"/>
      <c r="ED66" s="100"/>
      <c r="EE66" s="100"/>
      <c r="EF66" s="100"/>
      <c r="EG66" s="100"/>
      <c r="EH66" s="100"/>
      <c r="EI66" s="100"/>
      <c r="EJ66" s="100"/>
      <c r="EK66" s="100"/>
      <c r="EL66" s="100"/>
      <c r="EM66" s="100"/>
      <c r="EN66" s="100"/>
      <c r="EO66" s="100"/>
      <c r="EP66" s="100"/>
      <c r="EQ66" s="100"/>
      <c r="ER66" s="100"/>
      <c r="ES66" s="100"/>
      <c r="ET66" s="100"/>
      <c r="EU66" s="100"/>
      <c r="EV66" s="100"/>
      <c r="EW66" s="100"/>
      <c r="EX66" s="100"/>
      <c r="EY66" s="100"/>
      <c r="EZ66" s="100"/>
      <c r="FA66" s="100"/>
      <c r="FB66" s="100"/>
      <c r="FC66" s="100"/>
      <c r="FD66" s="100"/>
      <c r="FE66" s="100"/>
      <c r="FF66" s="100"/>
      <c r="FG66" s="100"/>
      <c r="FH66" s="100"/>
      <c r="FI66" s="100"/>
      <c r="FJ66" s="100"/>
      <c r="FK66" s="100"/>
      <c r="FL66" s="100"/>
      <c r="FM66" s="100"/>
      <c r="FN66" s="100"/>
      <c r="FO66" s="100"/>
      <c r="FP66" s="100"/>
      <c r="FQ66" s="100"/>
      <c r="FR66" s="100"/>
      <c r="FS66" s="100"/>
      <c r="FT66" s="100"/>
      <c r="FU66" s="100"/>
      <c r="FV66" s="100"/>
      <c r="FW66" s="100"/>
      <c r="FX66" s="100"/>
      <c r="FY66" s="100"/>
      <c r="FZ66" s="100"/>
      <c r="GA66" s="100"/>
      <c r="GB66" s="100"/>
      <c r="GC66" s="100"/>
      <c r="GD66" s="100"/>
      <c r="GE66" s="100"/>
      <c r="GF66" s="100"/>
      <c r="GG66" s="100"/>
      <c r="GH66" s="100"/>
      <c r="GI66" s="100"/>
      <c r="GJ66" s="100"/>
      <c r="GK66" s="100"/>
      <c r="GL66" s="100"/>
      <c r="GM66" s="100"/>
      <c r="GN66" s="100"/>
      <c r="GO66" s="100"/>
      <c r="GP66" s="100"/>
      <c r="GQ66" s="100"/>
      <c r="GR66" s="100"/>
      <c r="GS66" s="100"/>
      <c r="GT66" s="100"/>
      <c r="GU66" s="100"/>
      <c r="GV66" s="100"/>
      <c r="GW66" s="100"/>
      <c r="GX66" s="100"/>
      <c r="GY66" s="100"/>
      <c r="GZ66" s="100"/>
      <c r="HA66" s="100"/>
      <c r="HB66" s="100"/>
      <c r="HC66" s="100"/>
      <c r="HD66" s="100"/>
      <c r="HE66" s="100"/>
      <c r="HF66" s="100"/>
      <c r="HG66" s="100"/>
      <c r="HH66" s="100"/>
      <c r="HI66" s="100"/>
      <c r="HJ66" s="100"/>
      <c r="HK66" s="100"/>
      <c r="HL66" s="100"/>
      <c r="HM66" s="100"/>
      <c r="HN66" s="100"/>
      <c r="HO66" s="100"/>
      <c r="HP66" s="100"/>
      <c r="HQ66" s="100"/>
      <c r="HR66" s="100"/>
      <c r="HS66" s="100"/>
      <c r="HT66" s="100"/>
      <c r="HU66" s="100"/>
      <c r="HV66" s="100"/>
      <c r="HW66" s="100"/>
      <c r="HX66" s="100"/>
      <c r="HY66" s="100"/>
      <c r="HZ66" s="100"/>
      <c r="IA66" s="100"/>
      <c r="IB66" s="100"/>
      <c r="IC66" s="100"/>
      <c r="ID66" s="100"/>
      <c r="IE66" s="100"/>
      <c r="IF66" s="100"/>
      <c r="IG66" s="100"/>
      <c r="IH66" s="100"/>
      <c r="II66" s="100"/>
      <c r="IJ66" s="100"/>
      <c r="IK66" s="100"/>
      <c r="IL66" s="100"/>
      <c r="IM66" s="100"/>
      <c r="IN66" s="100"/>
      <c r="IO66" s="100"/>
      <c r="IP66" s="100"/>
      <c r="IQ66" s="100"/>
      <c r="IR66" s="100"/>
      <c r="IS66" s="100"/>
      <c r="IT66" s="100"/>
      <c r="IU66" s="100"/>
      <c r="IV66" s="100"/>
      <c r="IW66" s="100"/>
    </row>
    <row r="67" customFormat="false" ht="12.75" hidden="false" customHeight="false" outlineLevel="0" collapsed="false">
      <c r="A67" s="100"/>
      <c r="B67" s="1135" t="s">
        <v>748</v>
      </c>
      <c r="C67" s="437" t="n">
        <f aca="false">SUM(D67:AL67)</f>
        <v>8488.59543653227</v>
      </c>
      <c r="D67" s="100" t="n">
        <f aca="false">IF(D$64&gt;0,D$64*D56,0)</f>
        <v>0</v>
      </c>
      <c r="E67" s="100" t="n">
        <f aca="false">IF(E$64&gt;0,E$64*E56,0)</f>
        <v>0</v>
      </c>
      <c r="F67" s="100" t="n">
        <f aca="false">IF(F$64&gt;0,F$64*F56,0)</f>
        <v>0</v>
      </c>
      <c r="G67" s="100" t="n">
        <f aca="false">IF(G$64&gt;0,G$64*G56,0)</f>
        <v>2946.44150640354</v>
      </c>
      <c r="H67" s="100" t="n">
        <f aca="false">IF(H$64&gt;0,H$64*H56,0)</f>
        <v>3847.55656947537</v>
      </c>
      <c r="I67" s="100" t="n">
        <f aca="false">IF(I$64&gt;0,I$64*I56,0)</f>
        <v>1694.59736065336</v>
      </c>
      <c r="J67" s="100" t="n">
        <f aca="false">IF(J$64&gt;0,J$64*J56,0)</f>
        <v>0</v>
      </c>
      <c r="K67" s="100" t="n">
        <f aca="false">IF(K$64&gt;0,K$64*K56,0)</f>
        <v>0</v>
      </c>
      <c r="L67" s="100" t="n">
        <f aca="false">IF(L$64&gt;0,L$64*L56,0)</f>
        <v>0</v>
      </c>
      <c r="M67" s="100" t="n">
        <f aca="false">IF(M$64&gt;0,M$64*M56,0)</f>
        <v>0</v>
      </c>
      <c r="N67" s="100" t="n">
        <f aca="false">IF(N$64&gt;0,N$64*N56,0)</f>
        <v>0</v>
      </c>
      <c r="O67" s="100" t="n">
        <f aca="false">IF(O$64&gt;0,O$64*O56,0)</f>
        <v>0</v>
      </c>
      <c r="P67" s="100" t="n">
        <f aca="false">IF(P$64&gt;0,P$64*P56,0)</f>
        <v>0</v>
      </c>
      <c r="Q67" s="100" t="n">
        <f aca="false">IF(Q$64&gt;0,Q$64*Q56,0)</f>
        <v>0</v>
      </c>
      <c r="R67" s="100" t="n">
        <f aca="false">IF(R$64&gt;0,R$64*R56,0)</f>
        <v>0</v>
      </c>
      <c r="S67" s="100" t="n">
        <f aca="false">IF(S$64&gt;0,S$64*S56,0)</f>
        <v>0</v>
      </c>
      <c r="T67" s="100" t="n">
        <f aca="false">IF(T$64&gt;0,T$64*T56,0)</f>
        <v>0</v>
      </c>
      <c r="U67" s="100" t="n">
        <f aca="false">IF(U$64&gt;0,U$64*U56,0)</f>
        <v>0</v>
      </c>
      <c r="V67" s="100" t="n">
        <f aca="false">IF(V$64&gt;0,V$64*V56,0)</f>
        <v>0</v>
      </c>
      <c r="W67" s="100" t="n">
        <f aca="false">IF(W$64&gt;0,W$64*W56,0)</f>
        <v>0</v>
      </c>
      <c r="X67" s="100" t="n">
        <f aca="false">IF(X$64&gt;0,X$64*X56,0)</f>
        <v>0</v>
      </c>
      <c r="Y67" s="100" t="n">
        <f aca="false">IF(Y$64&gt;0,Y$64*Y56,0)</f>
        <v>0</v>
      </c>
      <c r="Z67" s="100" t="n">
        <f aca="false">IF(Z$64&gt;0,Z$64*Z56,0)</f>
        <v>0</v>
      </c>
      <c r="AA67" s="100" t="n">
        <f aca="false">IF(AA$64&gt;0,AA$64*AA56,0)</f>
        <v>0</v>
      </c>
      <c r="AB67" s="100" t="n">
        <f aca="false">IF(AB$64&gt;0,AB$64*AB56,0)</f>
        <v>0</v>
      </c>
      <c r="AC67" s="100" t="n">
        <f aca="false">IF(AC$64&gt;0,AC$64*AC56,0)</f>
        <v>0</v>
      </c>
      <c r="AD67" s="100" t="n">
        <f aca="false">IF(AD$64&gt;0,AD$64*AD56,0)</f>
        <v>0</v>
      </c>
      <c r="AE67" s="100" t="n">
        <f aca="false">IF(AE$64&gt;0,AE$64*AE56,0)</f>
        <v>0</v>
      </c>
      <c r="AF67" s="100" t="n">
        <f aca="false">IF(AF$64&gt;0,AF$64*AF56,0)</f>
        <v>0</v>
      </c>
      <c r="AG67" s="100" t="n">
        <f aca="false">IF(AG$64&gt;0,AG$64*AG56,0)</f>
        <v>0</v>
      </c>
      <c r="AH67" s="100" t="n">
        <f aca="false">IF(AH$64&gt;0,AH$64*AH56,0)</f>
        <v>0</v>
      </c>
      <c r="AI67" s="100" t="n">
        <f aca="false">IF(AI$64&gt;0,AI$64*AI56,0)</f>
        <v>0</v>
      </c>
      <c r="AJ67" s="100" t="n">
        <f aca="false">IF(AJ$64&gt;0,AJ$64*AJ56,0)</f>
        <v>0</v>
      </c>
      <c r="AK67" s="100" t="n">
        <f aca="false">IF(AK$64&gt;0,AK$64*AK56,0)</f>
        <v>0</v>
      </c>
      <c r="AL67" s="100" t="n">
        <f aca="false">IF(AL$64&gt;0,AL$64*AL56,0)</f>
        <v>0</v>
      </c>
      <c r="AM67" s="638"/>
      <c r="AN67" s="100"/>
      <c r="AO67" s="100"/>
      <c r="AP67" s="100"/>
      <c r="AQ67" s="100"/>
      <c r="AR67" s="100"/>
      <c r="AS67" s="100"/>
      <c r="AT67" s="100"/>
      <c r="AU67" s="100"/>
      <c r="AV67" s="100"/>
      <c r="AW67" s="100"/>
      <c r="AX67" s="100"/>
      <c r="AY67" s="100"/>
      <c r="AZ67" s="100"/>
      <c r="BA67" s="100"/>
      <c r="BB67" s="100"/>
      <c r="BC67" s="100"/>
      <c r="BD67" s="100"/>
      <c r="BE67" s="100"/>
      <c r="BF67" s="100"/>
      <c r="BG67" s="100"/>
      <c r="BH67" s="100"/>
      <c r="BI67" s="100"/>
      <c r="BJ67" s="100"/>
      <c r="BK67" s="100"/>
      <c r="BL67" s="100"/>
      <c r="BM67" s="100"/>
      <c r="BN67" s="100"/>
      <c r="BO67" s="100"/>
      <c r="BP67" s="100"/>
      <c r="BQ67" s="100"/>
      <c r="BR67" s="100"/>
      <c r="BS67" s="100"/>
      <c r="BT67" s="100"/>
      <c r="BU67" s="100"/>
      <c r="BV67" s="100"/>
      <c r="BW67" s="100"/>
      <c r="BX67" s="100"/>
      <c r="BY67" s="100"/>
      <c r="BZ67" s="100"/>
      <c r="CA67" s="100"/>
      <c r="CB67" s="100"/>
      <c r="CC67" s="100"/>
      <c r="CD67" s="100"/>
      <c r="CE67" s="100"/>
      <c r="CF67" s="100"/>
      <c r="CG67" s="100"/>
      <c r="CH67" s="100"/>
      <c r="CI67" s="100"/>
      <c r="CJ67" s="100"/>
      <c r="CK67" s="100"/>
      <c r="CL67" s="100"/>
      <c r="CM67" s="100"/>
      <c r="CN67" s="100"/>
      <c r="CO67" s="100"/>
      <c r="CP67" s="100"/>
      <c r="CQ67" s="100"/>
      <c r="CR67" s="100"/>
      <c r="CS67" s="100"/>
      <c r="CT67" s="100"/>
      <c r="CU67" s="100"/>
      <c r="CV67" s="100"/>
      <c r="CW67" s="100"/>
      <c r="CX67" s="100"/>
      <c r="CY67" s="100"/>
      <c r="CZ67" s="100"/>
      <c r="DA67" s="100"/>
      <c r="DB67" s="100"/>
      <c r="DC67" s="100"/>
      <c r="DD67" s="100"/>
      <c r="DE67" s="100"/>
      <c r="DF67" s="100"/>
      <c r="DG67" s="100"/>
      <c r="DH67" s="100"/>
      <c r="DI67" s="100"/>
      <c r="DJ67" s="100"/>
      <c r="DK67" s="100"/>
      <c r="DL67" s="100"/>
      <c r="DM67" s="100"/>
      <c r="DN67" s="100"/>
      <c r="DO67" s="100"/>
      <c r="DP67" s="100"/>
      <c r="DQ67" s="100"/>
      <c r="DR67" s="100"/>
      <c r="DS67" s="100"/>
      <c r="DT67" s="100"/>
      <c r="DU67" s="100"/>
      <c r="DV67" s="100"/>
      <c r="DW67" s="100"/>
      <c r="DX67" s="100"/>
      <c r="DY67" s="100"/>
      <c r="DZ67" s="100"/>
      <c r="EA67" s="100"/>
      <c r="EB67" s="100"/>
      <c r="EC67" s="100"/>
      <c r="ED67" s="100"/>
      <c r="EE67" s="100"/>
      <c r="EF67" s="100"/>
      <c r="EG67" s="100"/>
      <c r="EH67" s="100"/>
      <c r="EI67" s="100"/>
      <c r="EJ67" s="100"/>
      <c r="EK67" s="100"/>
      <c r="EL67" s="100"/>
      <c r="EM67" s="100"/>
      <c r="EN67" s="100"/>
      <c r="EO67" s="100"/>
      <c r="EP67" s="100"/>
      <c r="EQ67" s="100"/>
      <c r="ER67" s="100"/>
      <c r="ES67" s="100"/>
      <c r="ET67" s="100"/>
      <c r="EU67" s="100"/>
      <c r="EV67" s="100"/>
      <c r="EW67" s="100"/>
      <c r="EX67" s="100"/>
      <c r="EY67" s="100"/>
      <c r="EZ67" s="100"/>
      <c r="FA67" s="100"/>
      <c r="FB67" s="100"/>
      <c r="FC67" s="100"/>
      <c r="FD67" s="100"/>
      <c r="FE67" s="100"/>
      <c r="FF67" s="100"/>
      <c r="FG67" s="100"/>
      <c r="FH67" s="100"/>
      <c r="FI67" s="100"/>
      <c r="FJ67" s="100"/>
      <c r="FK67" s="100"/>
      <c r="FL67" s="100"/>
      <c r="FM67" s="100"/>
      <c r="FN67" s="100"/>
      <c r="FO67" s="100"/>
      <c r="FP67" s="100"/>
      <c r="FQ67" s="100"/>
      <c r="FR67" s="100"/>
      <c r="FS67" s="100"/>
      <c r="FT67" s="100"/>
      <c r="FU67" s="100"/>
      <c r="FV67" s="100"/>
      <c r="FW67" s="100"/>
      <c r="FX67" s="100"/>
      <c r="FY67" s="100"/>
      <c r="FZ67" s="100"/>
      <c r="GA67" s="100"/>
      <c r="GB67" s="100"/>
      <c r="GC67" s="100"/>
      <c r="GD67" s="100"/>
      <c r="GE67" s="100"/>
      <c r="GF67" s="100"/>
      <c r="GG67" s="100"/>
      <c r="GH67" s="100"/>
      <c r="GI67" s="100"/>
      <c r="GJ67" s="100"/>
      <c r="GK67" s="100"/>
      <c r="GL67" s="100"/>
      <c r="GM67" s="100"/>
      <c r="GN67" s="100"/>
      <c r="GO67" s="100"/>
      <c r="GP67" s="100"/>
      <c r="GQ67" s="100"/>
      <c r="GR67" s="100"/>
      <c r="GS67" s="100"/>
      <c r="GT67" s="100"/>
      <c r="GU67" s="100"/>
      <c r="GV67" s="100"/>
      <c r="GW67" s="100"/>
      <c r="GX67" s="100"/>
      <c r="GY67" s="100"/>
      <c r="GZ67" s="100"/>
      <c r="HA67" s="100"/>
      <c r="HB67" s="100"/>
      <c r="HC67" s="100"/>
      <c r="HD67" s="100"/>
      <c r="HE67" s="100"/>
      <c r="HF67" s="100"/>
      <c r="HG67" s="100"/>
      <c r="HH67" s="100"/>
      <c r="HI67" s="100"/>
      <c r="HJ67" s="100"/>
      <c r="HK67" s="100"/>
      <c r="HL67" s="100"/>
      <c r="HM67" s="100"/>
      <c r="HN67" s="100"/>
      <c r="HO67" s="100"/>
      <c r="HP67" s="100"/>
      <c r="HQ67" s="100"/>
      <c r="HR67" s="100"/>
      <c r="HS67" s="100"/>
      <c r="HT67" s="100"/>
      <c r="HU67" s="100"/>
      <c r="HV67" s="100"/>
      <c r="HW67" s="100"/>
      <c r="HX67" s="100"/>
      <c r="HY67" s="100"/>
      <c r="HZ67" s="100"/>
      <c r="IA67" s="100"/>
      <c r="IB67" s="100"/>
      <c r="IC67" s="100"/>
      <c r="ID67" s="100"/>
      <c r="IE67" s="100"/>
      <c r="IF67" s="100"/>
      <c r="IG67" s="100"/>
      <c r="IH67" s="100"/>
      <c r="II67" s="100"/>
      <c r="IJ67" s="100"/>
      <c r="IK67" s="100"/>
      <c r="IL67" s="100"/>
      <c r="IM67" s="100"/>
      <c r="IN67" s="100"/>
      <c r="IO67" s="100"/>
      <c r="IP67" s="100"/>
      <c r="IQ67" s="100"/>
      <c r="IR67" s="100"/>
      <c r="IS67" s="100"/>
      <c r="IT67" s="100"/>
      <c r="IU67" s="100"/>
      <c r="IV67" s="100"/>
      <c r="IW67" s="100"/>
    </row>
    <row r="68" customFormat="false" ht="12.75" hidden="false" customHeight="false" outlineLevel="0" collapsed="false">
      <c r="A68" s="100"/>
      <c r="B68" s="1135" t="s">
        <v>749</v>
      </c>
      <c r="C68" s="437" t="n">
        <f aca="false">SUM(D68:AL68)</f>
        <v>85.7433882478007</v>
      </c>
      <c r="D68" s="100" t="n">
        <f aca="false">IF(D$64&gt;0,D$64*D57,0)</f>
        <v>0</v>
      </c>
      <c r="E68" s="100" t="n">
        <f aca="false">IF(E$64&gt;0,E$64*E57,0)</f>
        <v>0</v>
      </c>
      <c r="F68" s="100" t="n">
        <f aca="false">IF(F$64&gt;0,F$64*F57,0)</f>
        <v>0</v>
      </c>
      <c r="G68" s="100" t="n">
        <f aca="false">IF(G$64&gt;0,G$64*G57,0)</f>
        <v>29.7620354182176</v>
      </c>
      <c r="H68" s="100" t="n">
        <f aca="false">IF(H$64&gt;0,H$64*H57,0)</f>
        <v>38.8642077724785</v>
      </c>
      <c r="I68" s="100" t="n">
        <f aca="false">IF(I$64&gt;0,I$64*I57,0)</f>
        <v>17.1171450571047</v>
      </c>
      <c r="J68" s="100" t="n">
        <f aca="false">IF(J$64&gt;0,J$64*J57,0)</f>
        <v>0</v>
      </c>
      <c r="K68" s="100" t="n">
        <f aca="false">IF(K$64&gt;0,K$64*K57,0)</f>
        <v>0</v>
      </c>
      <c r="L68" s="100" t="n">
        <f aca="false">IF(L$64&gt;0,L$64*L57,0)</f>
        <v>0</v>
      </c>
      <c r="M68" s="100" t="n">
        <f aca="false">IF(M$64&gt;0,M$64*M57,0)</f>
        <v>0</v>
      </c>
      <c r="N68" s="100" t="n">
        <f aca="false">IF(N$64&gt;0,N$64*N57,0)</f>
        <v>0</v>
      </c>
      <c r="O68" s="100" t="n">
        <f aca="false">IF(O$64&gt;0,O$64*O57,0)</f>
        <v>0</v>
      </c>
      <c r="P68" s="100" t="n">
        <f aca="false">IF(P$64&gt;0,P$64*P57,0)</f>
        <v>0</v>
      </c>
      <c r="Q68" s="100" t="n">
        <f aca="false">IF(Q$64&gt;0,Q$64*Q57,0)</f>
        <v>0</v>
      </c>
      <c r="R68" s="100" t="n">
        <f aca="false">IF(R$64&gt;0,R$64*R57,0)</f>
        <v>0</v>
      </c>
      <c r="S68" s="100" t="n">
        <f aca="false">IF(S$64&gt;0,S$64*S57,0)</f>
        <v>0</v>
      </c>
      <c r="T68" s="100" t="n">
        <f aca="false">IF(T$64&gt;0,T$64*T57,0)</f>
        <v>0</v>
      </c>
      <c r="U68" s="100" t="n">
        <f aca="false">IF(U$64&gt;0,U$64*U57,0)</f>
        <v>0</v>
      </c>
      <c r="V68" s="100" t="n">
        <f aca="false">IF(V$64&gt;0,V$64*V57,0)</f>
        <v>0</v>
      </c>
      <c r="W68" s="100" t="n">
        <f aca="false">IF(W$64&gt;0,W$64*W57,0)</f>
        <v>0</v>
      </c>
      <c r="X68" s="100" t="n">
        <f aca="false">IF(X$64&gt;0,X$64*X57,0)</f>
        <v>0</v>
      </c>
      <c r="Y68" s="100" t="n">
        <f aca="false">IF(Y$64&gt;0,Y$64*Y57,0)</f>
        <v>0</v>
      </c>
      <c r="Z68" s="100" t="n">
        <f aca="false">IF(Z$64&gt;0,Z$64*Z57,0)</f>
        <v>0</v>
      </c>
      <c r="AA68" s="100" t="n">
        <f aca="false">IF(AA$64&gt;0,AA$64*AA57,0)</f>
        <v>0</v>
      </c>
      <c r="AB68" s="100" t="n">
        <f aca="false">IF(AB$64&gt;0,AB$64*AB57,0)</f>
        <v>0</v>
      </c>
      <c r="AC68" s="100" t="n">
        <f aca="false">IF(AC$64&gt;0,AC$64*AC57,0)</f>
        <v>0</v>
      </c>
      <c r="AD68" s="100" t="n">
        <f aca="false">IF(AD$64&gt;0,AD$64*AD57,0)</f>
        <v>0</v>
      </c>
      <c r="AE68" s="100" t="n">
        <f aca="false">IF(AE$64&gt;0,AE$64*AE57,0)</f>
        <v>0</v>
      </c>
      <c r="AF68" s="100" t="n">
        <f aca="false">IF(AF$64&gt;0,AF$64*AF57,0)</f>
        <v>0</v>
      </c>
      <c r="AG68" s="100" t="n">
        <f aca="false">IF(AG$64&gt;0,AG$64*AG57,0)</f>
        <v>0</v>
      </c>
      <c r="AH68" s="100" t="n">
        <f aca="false">IF(AH$64&gt;0,AH$64*AH57,0)</f>
        <v>0</v>
      </c>
      <c r="AI68" s="100" t="n">
        <f aca="false">IF(AI$64&gt;0,AI$64*AI57,0)</f>
        <v>0</v>
      </c>
      <c r="AJ68" s="100" t="n">
        <f aca="false">IF(AJ$64&gt;0,AJ$64*AJ57,0)</f>
        <v>0</v>
      </c>
      <c r="AK68" s="100" t="n">
        <f aca="false">IF(AK$64&gt;0,AK$64*AK57,0)</f>
        <v>0</v>
      </c>
      <c r="AL68" s="100" t="n">
        <f aca="false">IF(AL$64&gt;0,AL$64*AL57,0)</f>
        <v>0</v>
      </c>
      <c r="AM68" s="638"/>
      <c r="AN68" s="100"/>
      <c r="AO68" s="100"/>
      <c r="AP68" s="100"/>
      <c r="AQ68" s="100"/>
      <c r="AR68" s="100"/>
      <c r="AS68" s="100"/>
      <c r="AT68" s="100"/>
      <c r="AU68" s="100"/>
      <c r="AV68" s="100"/>
      <c r="AW68" s="100"/>
      <c r="AX68" s="100"/>
      <c r="AY68" s="100"/>
      <c r="AZ68" s="100"/>
      <c r="BA68" s="100"/>
      <c r="BB68" s="100"/>
      <c r="BC68" s="100"/>
      <c r="BD68" s="100"/>
      <c r="BE68" s="100"/>
      <c r="BF68" s="100"/>
      <c r="BG68" s="100"/>
      <c r="BH68" s="100"/>
      <c r="BI68" s="100"/>
      <c r="BJ68" s="100"/>
      <c r="BK68" s="100"/>
      <c r="BL68" s="100"/>
      <c r="BM68" s="100"/>
      <c r="BN68" s="100"/>
      <c r="BO68" s="100"/>
      <c r="BP68" s="100"/>
      <c r="BQ68" s="100"/>
      <c r="BR68" s="100"/>
      <c r="BS68" s="100"/>
      <c r="BT68" s="100"/>
      <c r="BU68" s="100"/>
      <c r="BV68" s="100"/>
      <c r="BW68" s="100"/>
      <c r="BX68" s="100"/>
      <c r="BY68" s="100"/>
      <c r="BZ68" s="100"/>
      <c r="CA68" s="100"/>
      <c r="CB68" s="100"/>
      <c r="CC68" s="100"/>
      <c r="CD68" s="100"/>
      <c r="CE68" s="100"/>
      <c r="CF68" s="100"/>
      <c r="CG68" s="100"/>
      <c r="CH68" s="100"/>
      <c r="CI68" s="100"/>
      <c r="CJ68" s="100"/>
      <c r="CK68" s="100"/>
      <c r="CL68" s="100"/>
      <c r="CM68" s="100"/>
      <c r="CN68" s="100"/>
      <c r="CO68" s="100"/>
      <c r="CP68" s="100"/>
      <c r="CQ68" s="100"/>
      <c r="CR68" s="100"/>
      <c r="CS68" s="100"/>
      <c r="CT68" s="100"/>
      <c r="CU68" s="100"/>
      <c r="CV68" s="100"/>
      <c r="CW68" s="100"/>
      <c r="CX68" s="100"/>
      <c r="CY68" s="100"/>
      <c r="CZ68" s="100"/>
      <c r="DA68" s="100"/>
      <c r="DB68" s="100"/>
      <c r="DC68" s="100"/>
      <c r="DD68" s="100"/>
      <c r="DE68" s="100"/>
      <c r="DF68" s="100"/>
      <c r="DG68" s="100"/>
      <c r="DH68" s="100"/>
      <c r="DI68" s="100"/>
      <c r="DJ68" s="100"/>
      <c r="DK68" s="100"/>
      <c r="DL68" s="100"/>
      <c r="DM68" s="100"/>
      <c r="DN68" s="100"/>
      <c r="DO68" s="100"/>
      <c r="DP68" s="100"/>
      <c r="DQ68" s="100"/>
      <c r="DR68" s="100"/>
      <c r="DS68" s="100"/>
      <c r="DT68" s="100"/>
      <c r="DU68" s="100"/>
      <c r="DV68" s="100"/>
      <c r="DW68" s="100"/>
      <c r="DX68" s="100"/>
      <c r="DY68" s="100"/>
      <c r="DZ68" s="100"/>
      <c r="EA68" s="100"/>
      <c r="EB68" s="100"/>
      <c r="EC68" s="100"/>
      <c r="ED68" s="100"/>
      <c r="EE68" s="100"/>
      <c r="EF68" s="100"/>
      <c r="EG68" s="100"/>
      <c r="EH68" s="100"/>
      <c r="EI68" s="100"/>
      <c r="EJ68" s="100"/>
      <c r="EK68" s="100"/>
      <c r="EL68" s="100"/>
      <c r="EM68" s="100"/>
      <c r="EN68" s="100"/>
      <c r="EO68" s="100"/>
      <c r="EP68" s="100"/>
      <c r="EQ68" s="100"/>
      <c r="ER68" s="100"/>
      <c r="ES68" s="100"/>
      <c r="ET68" s="100"/>
      <c r="EU68" s="100"/>
      <c r="EV68" s="100"/>
      <c r="EW68" s="100"/>
      <c r="EX68" s="100"/>
      <c r="EY68" s="100"/>
      <c r="EZ68" s="100"/>
      <c r="FA68" s="100"/>
      <c r="FB68" s="100"/>
      <c r="FC68" s="100"/>
      <c r="FD68" s="100"/>
      <c r="FE68" s="100"/>
      <c r="FF68" s="100"/>
      <c r="FG68" s="100"/>
      <c r="FH68" s="100"/>
      <c r="FI68" s="100"/>
      <c r="FJ68" s="100"/>
      <c r="FK68" s="100"/>
      <c r="FL68" s="100"/>
      <c r="FM68" s="100"/>
      <c r="FN68" s="100"/>
      <c r="FO68" s="100"/>
      <c r="FP68" s="100"/>
      <c r="FQ68" s="100"/>
      <c r="FR68" s="100"/>
      <c r="FS68" s="100"/>
      <c r="FT68" s="100"/>
      <c r="FU68" s="100"/>
      <c r="FV68" s="100"/>
      <c r="FW68" s="100"/>
      <c r="FX68" s="100"/>
      <c r="FY68" s="100"/>
      <c r="FZ68" s="100"/>
      <c r="GA68" s="100"/>
      <c r="GB68" s="100"/>
      <c r="GC68" s="100"/>
      <c r="GD68" s="100"/>
      <c r="GE68" s="100"/>
      <c r="GF68" s="100"/>
      <c r="GG68" s="100"/>
      <c r="GH68" s="100"/>
      <c r="GI68" s="100"/>
      <c r="GJ68" s="100"/>
      <c r="GK68" s="100"/>
      <c r="GL68" s="100"/>
      <c r="GM68" s="100"/>
      <c r="GN68" s="100"/>
      <c r="GO68" s="100"/>
      <c r="GP68" s="100"/>
      <c r="GQ68" s="100"/>
      <c r="GR68" s="100"/>
      <c r="GS68" s="100"/>
      <c r="GT68" s="100"/>
      <c r="GU68" s="100"/>
      <c r="GV68" s="100"/>
      <c r="GW68" s="100"/>
      <c r="GX68" s="100"/>
      <c r="GY68" s="100"/>
      <c r="GZ68" s="100"/>
      <c r="HA68" s="100"/>
      <c r="HB68" s="100"/>
      <c r="HC68" s="100"/>
      <c r="HD68" s="100"/>
      <c r="HE68" s="100"/>
      <c r="HF68" s="100"/>
      <c r="HG68" s="100"/>
      <c r="HH68" s="100"/>
      <c r="HI68" s="100"/>
      <c r="HJ68" s="100"/>
      <c r="HK68" s="100"/>
      <c r="HL68" s="100"/>
      <c r="HM68" s="100"/>
      <c r="HN68" s="100"/>
      <c r="HO68" s="100"/>
      <c r="HP68" s="100"/>
      <c r="HQ68" s="100"/>
      <c r="HR68" s="100"/>
      <c r="HS68" s="100"/>
      <c r="HT68" s="100"/>
      <c r="HU68" s="100"/>
      <c r="HV68" s="100"/>
      <c r="HW68" s="100"/>
      <c r="HX68" s="100"/>
      <c r="HY68" s="100"/>
      <c r="HZ68" s="100"/>
      <c r="IA68" s="100"/>
      <c r="IB68" s="100"/>
      <c r="IC68" s="100"/>
      <c r="ID68" s="100"/>
      <c r="IE68" s="100"/>
      <c r="IF68" s="100"/>
      <c r="IG68" s="100"/>
      <c r="IH68" s="100"/>
      <c r="II68" s="100"/>
      <c r="IJ68" s="100"/>
      <c r="IK68" s="100"/>
      <c r="IL68" s="100"/>
      <c r="IM68" s="100"/>
      <c r="IN68" s="100"/>
      <c r="IO68" s="100"/>
      <c r="IP68" s="100"/>
      <c r="IQ68" s="100"/>
      <c r="IR68" s="100"/>
      <c r="IS68" s="100"/>
      <c r="IT68" s="100"/>
      <c r="IU68" s="100"/>
      <c r="IV68" s="100"/>
      <c r="IW68" s="100"/>
    </row>
    <row r="69" customFormat="false" ht="12.75" hidden="false" customHeight="false" outlineLevel="0" collapsed="false">
      <c r="A69" s="100"/>
      <c r="B69" s="1135"/>
      <c r="C69" s="437"/>
      <c r="D69" s="100"/>
      <c r="E69" s="100"/>
      <c r="F69" s="100"/>
      <c r="G69" s="100"/>
      <c r="H69" s="100"/>
      <c r="I69" s="100"/>
      <c r="J69" s="100"/>
      <c r="K69" s="100"/>
      <c r="L69" s="100"/>
      <c r="M69" s="100"/>
      <c r="N69" s="100"/>
      <c r="O69" s="100"/>
      <c r="P69" s="100"/>
      <c r="Q69" s="100"/>
      <c r="R69" s="100"/>
      <c r="S69" s="100"/>
      <c r="T69" s="100"/>
      <c r="U69" s="100"/>
      <c r="V69" s="100"/>
      <c r="W69" s="100"/>
      <c r="X69" s="100"/>
      <c r="Y69" s="100"/>
      <c r="Z69" s="100"/>
      <c r="AA69" s="100"/>
      <c r="AB69" s="100"/>
      <c r="AC69" s="100"/>
      <c r="AD69" s="100"/>
      <c r="AE69" s="100"/>
      <c r="AF69" s="100"/>
      <c r="AG69" s="100"/>
      <c r="AH69" s="100"/>
      <c r="AI69" s="100"/>
      <c r="AJ69" s="100"/>
      <c r="AK69" s="100"/>
      <c r="AL69" s="100"/>
      <c r="AM69" s="638"/>
      <c r="AN69" s="100"/>
      <c r="AO69" s="100"/>
      <c r="AP69" s="100"/>
      <c r="AQ69" s="100"/>
      <c r="AR69" s="100"/>
      <c r="AS69" s="100"/>
      <c r="AT69" s="100"/>
      <c r="AU69" s="100"/>
      <c r="AV69" s="100"/>
      <c r="AW69" s="100"/>
      <c r="AX69" s="100"/>
      <c r="AY69" s="100"/>
      <c r="AZ69" s="100"/>
      <c r="BA69" s="100"/>
      <c r="BB69" s="100"/>
      <c r="BC69" s="100"/>
      <c r="BD69" s="100"/>
      <c r="BE69" s="100"/>
      <c r="BF69" s="100"/>
      <c r="BG69" s="100"/>
      <c r="BH69" s="100"/>
      <c r="BI69" s="100"/>
      <c r="BJ69" s="100"/>
      <c r="BK69" s="100"/>
      <c r="BL69" s="100"/>
      <c r="BM69" s="100"/>
      <c r="BN69" s="100"/>
      <c r="BO69" s="100"/>
      <c r="BP69" s="100"/>
      <c r="BQ69" s="100"/>
      <c r="BR69" s="100"/>
      <c r="BS69" s="100"/>
      <c r="BT69" s="100"/>
      <c r="BU69" s="100"/>
      <c r="BV69" s="100"/>
      <c r="BW69" s="100"/>
      <c r="BX69" s="100"/>
      <c r="BY69" s="100"/>
      <c r="BZ69" s="100"/>
      <c r="CA69" s="100"/>
      <c r="CB69" s="100"/>
      <c r="CC69" s="100"/>
      <c r="CD69" s="100"/>
      <c r="CE69" s="100"/>
      <c r="CF69" s="100"/>
      <c r="CG69" s="100"/>
      <c r="CH69" s="100"/>
      <c r="CI69" s="100"/>
      <c r="CJ69" s="100"/>
      <c r="CK69" s="100"/>
      <c r="CL69" s="100"/>
      <c r="CM69" s="100"/>
      <c r="CN69" s="100"/>
      <c r="CO69" s="100"/>
      <c r="CP69" s="100"/>
      <c r="CQ69" s="100"/>
      <c r="CR69" s="100"/>
      <c r="CS69" s="100"/>
      <c r="CT69" s="100"/>
      <c r="CU69" s="100"/>
      <c r="CV69" s="100"/>
      <c r="CW69" s="100"/>
      <c r="CX69" s="100"/>
      <c r="CY69" s="100"/>
      <c r="CZ69" s="100"/>
      <c r="DA69" s="100"/>
      <c r="DB69" s="100"/>
      <c r="DC69" s="100"/>
      <c r="DD69" s="100"/>
      <c r="DE69" s="100"/>
      <c r="DF69" s="100"/>
      <c r="DG69" s="100"/>
      <c r="DH69" s="100"/>
      <c r="DI69" s="100"/>
      <c r="DJ69" s="100"/>
      <c r="DK69" s="100"/>
      <c r="DL69" s="100"/>
      <c r="DM69" s="100"/>
      <c r="DN69" s="100"/>
      <c r="DO69" s="100"/>
      <c r="DP69" s="100"/>
      <c r="DQ69" s="100"/>
      <c r="DR69" s="100"/>
      <c r="DS69" s="100"/>
      <c r="DT69" s="100"/>
      <c r="DU69" s="100"/>
      <c r="DV69" s="100"/>
      <c r="DW69" s="100"/>
      <c r="DX69" s="100"/>
      <c r="DY69" s="100"/>
      <c r="DZ69" s="100"/>
      <c r="EA69" s="100"/>
      <c r="EB69" s="100"/>
      <c r="EC69" s="100"/>
      <c r="ED69" s="100"/>
      <c r="EE69" s="100"/>
      <c r="EF69" s="100"/>
      <c r="EG69" s="100"/>
      <c r="EH69" s="100"/>
      <c r="EI69" s="100"/>
      <c r="EJ69" s="100"/>
      <c r="EK69" s="100"/>
      <c r="EL69" s="100"/>
      <c r="EM69" s="100"/>
      <c r="EN69" s="100"/>
      <c r="EO69" s="100"/>
      <c r="EP69" s="100"/>
      <c r="EQ69" s="100"/>
      <c r="ER69" s="100"/>
      <c r="ES69" s="100"/>
      <c r="ET69" s="100"/>
      <c r="EU69" s="100"/>
      <c r="EV69" s="100"/>
      <c r="EW69" s="100"/>
      <c r="EX69" s="100"/>
      <c r="EY69" s="100"/>
      <c r="EZ69" s="100"/>
      <c r="FA69" s="100"/>
      <c r="FB69" s="100"/>
      <c r="FC69" s="100"/>
      <c r="FD69" s="100"/>
      <c r="FE69" s="100"/>
      <c r="FF69" s="100"/>
      <c r="FG69" s="100"/>
      <c r="FH69" s="100"/>
      <c r="FI69" s="100"/>
      <c r="FJ69" s="100"/>
      <c r="FK69" s="100"/>
      <c r="FL69" s="100"/>
      <c r="FM69" s="100"/>
      <c r="FN69" s="100"/>
      <c r="FO69" s="100"/>
      <c r="FP69" s="100"/>
      <c r="FQ69" s="100"/>
      <c r="FR69" s="100"/>
      <c r="FS69" s="100"/>
      <c r="FT69" s="100"/>
      <c r="FU69" s="100"/>
      <c r="FV69" s="100"/>
      <c r="FW69" s="100"/>
      <c r="FX69" s="100"/>
      <c r="FY69" s="100"/>
      <c r="FZ69" s="100"/>
      <c r="GA69" s="100"/>
      <c r="GB69" s="100"/>
      <c r="GC69" s="100"/>
      <c r="GD69" s="100"/>
      <c r="GE69" s="100"/>
      <c r="GF69" s="100"/>
      <c r="GG69" s="100"/>
      <c r="GH69" s="100"/>
      <c r="GI69" s="100"/>
      <c r="GJ69" s="100"/>
      <c r="GK69" s="100"/>
      <c r="GL69" s="100"/>
      <c r="GM69" s="100"/>
      <c r="GN69" s="100"/>
      <c r="GO69" s="100"/>
      <c r="GP69" s="100"/>
      <c r="GQ69" s="100"/>
      <c r="GR69" s="100"/>
      <c r="GS69" s="100"/>
      <c r="GT69" s="100"/>
      <c r="GU69" s="100"/>
      <c r="GV69" s="100"/>
      <c r="GW69" s="100"/>
      <c r="GX69" s="100"/>
      <c r="GY69" s="100"/>
      <c r="GZ69" s="100"/>
      <c r="HA69" s="100"/>
      <c r="HB69" s="100"/>
      <c r="HC69" s="100"/>
      <c r="HD69" s="100"/>
      <c r="HE69" s="100"/>
      <c r="HF69" s="100"/>
      <c r="HG69" s="100"/>
      <c r="HH69" s="100"/>
      <c r="HI69" s="100"/>
      <c r="HJ69" s="100"/>
      <c r="HK69" s="100"/>
      <c r="HL69" s="100"/>
      <c r="HM69" s="100"/>
      <c r="HN69" s="100"/>
      <c r="HO69" s="100"/>
      <c r="HP69" s="100"/>
      <c r="HQ69" s="100"/>
      <c r="HR69" s="100"/>
      <c r="HS69" s="100"/>
      <c r="HT69" s="100"/>
      <c r="HU69" s="100"/>
      <c r="HV69" s="100"/>
      <c r="HW69" s="100"/>
      <c r="HX69" s="100"/>
      <c r="HY69" s="100"/>
      <c r="HZ69" s="100"/>
      <c r="IA69" s="100"/>
      <c r="IB69" s="100"/>
      <c r="IC69" s="100"/>
      <c r="ID69" s="100"/>
      <c r="IE69" s="100"/>
      <c r="IF69" s="100"/>
      <c r="IG69" s="100"/>
      <c r="IH69" s="100"/>
      <c r="II69" s="100"/>
      <c r="IJ69" s="100"/>
      <c r="IK69" s="100"/>
      <c r="IL69" s="100"/>
      <c r="IM69" s="100"/>
      <c r="IN69" s="100"/>
      <c r="IO69" s="100"/>
      <c r="IP69" s="100"/>
      <c r="IQ69" s="100"/>
      <c r="IR69" s="100"/>
      <c r="IS69" s="100"/>
      <c r="IT69" s="100"/>
      <c r="IU69" s="100"/>
      <c r="IV69" s="100"/>
      <c r="IW69" s="100"/>
    </row>
    <row r="70" customFormat="false" ht="12.75" hidden="false" customHeight="false" outlineLevel="0" collapsed="false">
      <c r="A70" s="100"/>
      <c r="B70" s="1136" t="s">
        <v>750</v>
      </c>
      <c r="C70" s="736"/>
      <c r="D70" s="100"/>
      <c r="E70" s="100"/>
      <c r="F70" s="100"/>
      <c r="G70" s="100"/>
      <c r="H70" s="100"/>
      <c r="I70" s="100"/>
      <c r="J70" s="100"/>
      <c r="K70" s="100"/>
      <c r="L70" s="100"/>
      <c r="M70" s="100"/>
      <c r="N70" s="100"/>
      <c r="O70" s="100"/>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638"/>
      <c r="AN70" s="100"/>
      <c r="AO70" s="100"/>
      <c r="AP70" s="100"/>
      <c r="AQ70" s="100"/>
      <c r="AR70" s="100"/>
      <c r="AS70" s="100"/>
      <c r="AT70" s="100"/>
      <c r="AU70" s="100"/>
      <c r="AV70" s="100"/>
      <c r="AW70" s="100"/>
      <c r="AX70" s="100"/>
      <c r="AY70" s="100"/>
      <c r="AZ70" s="100"/>
      <c r="BA70" s="100"/>
      <c r="BB70" s="100"/>
      <c r="BC70" s="100"/>
      <c r="BD70" s="100"/>
      <c r="BE70" s="100"/>
      <c r="BF70" s="100"/>
      <c r="BG70" s="100"/>
      <c r="BH70" s="100"/>
      <c r="BI70" s="100"/>
      <c r="BJ70" s="100"/>
      <c r="BK70" s="100"/>
      <c r="BL70" s="100"/>
      <c r="BM70" s="100"/>
      <c r="BN70" s="100"/>
      <c r="BO70" s="100"/>
      <c r="BP70" s="100"/>
      <c r="BQ70" s="100"/>
      <c r="BR70" s="100"/>
      <c r="BS70" s="100"/>
      <c r="BT70" s="100"/>
      <c r="BU70" s="100"/>
      <c r="BV70" s="100"/>
      <c r="BW70" s="100"/>
      <c r="BX70" s="100"/>
      <c r="BY70" s="100"/>
      <c r="BZ70" s="100"/>
      <c r="CA70" s="100"/>
      <c r="CB70" s="100"/>
      <c r="CC70" s="100"/>
      <c r="CD70" s="100"/>
      <c r="CE70" s="100"/>
      <c r="CF70" s="100"/>
      <c r="CG70" s="100"/>
      <c r="CH70" s="100"/>
      <c r="CI70" s="100"/>
      <c r="CJ70" s="100"/>
      <c r="CK70" s="100"/>
      <c r="CL70" s="100"/>
      <c r="CM70" s="100"/>
      <c r="CN70" s="100"/>
      <c r="CO70" s="100"/>
      <c r="CP70" s="100"/>
      <c r="CQ70" s="100"/>
      <c r="CR70" s="100"/>
      <c r="CS70" s="100"/>
      <c r="CT70" s="100"/>
      <c r="CU70" s="100"/>
      <c r="CV70" s="100"/>
      <c r="CW70" s="100"/>
      <c r="CX70" s="100"/>
      <c r="CY70" s="100"/>
      <c r="CZ70" s="100"/>
      <c r="DA70" s="100"/>
      <c r="DB70" s="100"/>
      <c r="DC70" s="100"/>
      <c r="DD70" s="100"/>
      <c r="DE70" s="100"/>
      <c r="DF70" s="100"/>
      <c r="DG70" s="100"/>
      <c r="DH70" s="100"/>
      <c r="DI70" s="100"/>
      <c r="DJ70" s="100"/>
      <c r="DK70" s="100"/>
      <c r="DL70" s="100"/>
      <c r="DM70" s="100"/>
      <c r="DN70" s="100"/>
      <c r="DO70" s="100"/>
      <c r="DP70" s="100"/>
      <c r="DQ70" s="100"/>
      <c r="DR70" s="100"/>
      <c r="DS70" s="100"/>
      <c r="DT70" s="100"/>
      <c r="DU70" s="100"/>
      <c r="DV70" s="100"/>
      <c r="DW70" s="100"/>
      <c r="DX70" s="100"/>
      <c r="DY70" s="100"/>
      <c r="DZ70" s="100"/>
      <c r="EA70" s="100"/>
      <c r="EB70" s="100"/>
      <c r="EC70" s="100"/>
      <c r="ED70" s="100"/>
      <c r="EE70" s="100"/>
      <c r="EF70" s="100"/>
      <c r="EG70" s="100"/>
      <c r="EH70" s="100"/>
      <c r="EI70" s="100"/>
      <c r="EJ70" s="100"/>
      <c r="EK70" s="100"/>
      <c r="EL70" s="100"/>
      <c r="EM70" s="100"/>
      <c r="EN70" s="100"/>
      <c r="EO70" s="100"/>
      <c r="EP70" s="100"/>
      <c r="EQ70" s="100"/>
      <c r="ER70" s="100"/>
      <c r="ES70" s="100"/>
      <c r="ET70" s="100"/>
      <c r="EU70" s="100"/>
      <c r="EV70" s="100"/>
      <c r="EW70" s="100"/>
      <c r="EX70" s="100"/>
      <c r="EY70" s="100"/>
      <c r="EZ70" s="100"/>
      <c r="FA70" s="100"/>
      <c r="FB70" s="100"/>
      <c r="FC70" s="100"/>
      <c r="FD70" s="100"/>
      <c r="FE70" s="100"/>
      <c r="FF70" s="100"/>
      <c r="FG70" s="100"/>
      <c r="FH70" s="100"/>
      <c r="FI70" s="100"/>
      <c r="FJ70" s="100"/>
      <c r="FK70" s="100"/>
      <c r="FL70" s="100"/>
      <c r="FM70" s="100"/>
      <c r="FN70" s="100"/>
      <c r="FO70" s="100"/>
      <c r="FP70" s="100"/>
      <c r="FQ70" s="100"/>
      <c r="FR70" s="100"/>
      <c r="FS70" s="100"/>
      <c r="FT70" s="100"/>
      <c r="FU70" s="100"/>
      <c r="FV70" s="100"/>
      <c r="FW70" s="100"/>
      <c r="FX70" s="100"/>
      <c r="FY70" s="100"/>
      <c r="FZ70" s="100"/>
      <c r="GA70" s="100"/>
      <c r="GB70" s="100"/>
      <c r="GC70" s="100"/>
      <c r="GD70" s="100"/>
      <c r="GE70" s="100"/>
      <c r="GF70" s="100"/>
      <c r="GG70" s="100"/>
      <c r="GH70" s="100"/>
      <c r="GI70" s="100"/>
      <c r="GJ70" s="100"/>
      <c r="GK70" s="100"/>
      <c r="GL70" s="100"/>
      <c r="GM70" s="100"/>
      <c r="GN70" s="100"/>
      <c r="GO70" s="100"/>
      <c r="GP70" s="100"/>
      <c r="GQ70" s="100"/>
      <c r="GR70" s="100"/>
      <c r="GS70" s="100"/>
      <c r="GT70" s="100"/>
      <c r="GU70" s="100"/>
      <c r="GV70" s="100"/>
      <c r="GW70" s="100"/>
      <c r="GX70" s="100"/>
      <c r="GY70" s="100"/>
      <c r="GZ70" s="100"/>
      <c r="HA70" s="100"/>
      <c r="HB70" s="100"/>
      <c r="HC70" s="100"/>
      <c r="HD70" s="100"/>
      <c r="HE70" s="100"/>
      <c r="HF70" s="100"/>
      <c r="HG70" s="100"/>
      <c r="HH70" s="100"/>
      <c r="HI70" s="100"/>
      <c r="HJ70" s="100"/>
      <c r="HK70" s="100"/>
      <c r="HL70" s="100"/>
      <c r="HM70" s="100"/>
      <c r="HN70" s="100"/>
      <c r="HO70" s="100"/>
      <c r="HP70" s="100"/>
      <c r="HQ70" s="100"/>
      <c r="HR70" s="100"/>
      <c r="HS70" s="100"/>
      <c r="HT70" s="100"/>
      <c r="HU70" s="100"/>
      <c r="HV70" s="100"/>
      <c r="HW70" s="100"/>
      <c r="HX70" s="100"/>
      <c r="HY70" s="100"/>
      <c r="HZ70" s="100"/>
      <c r="IA70" s="100"/>
      <c r="IB70" s="100"/>
      <c r="IC70" s="100"/>
      <c r="ID70" s="100"/>
      <c r="IE70" s="100"/>
      <c r="IF70" s="100"/>
      <c r="IG70" s="100"/>
      <c r="IH70" s="100"/>
      <c r="II70" s="100"/>
      <c r="IJ70" s="100"/>
      <c r="IK70" s="100"/>
      <c r="IL70" s="100"/>
      <c r="IM70" s="100"/>
      <c r="IN70" s="100"/>
      <c r="IO70" s="100"/>
      <c r="IP70" s="100"/>
      <c r="IQ70" s="100"/>
      <c r="IR70" s="100"/>
      <c r="IS70" s="100"/>
      <c r="IT70" s="100"/>
      <c r="IU70" s="100"/>
      <c r="IV70" s="100"/>
      <c r="IW70" s="100"/>
    </row>
    <row r="71" customFormat="false" ht="12.75" hidden="false" customHeight="false" outlineLevel="0" collapsed="false">
      <c r="A71" s="130"/>
      <c r="B71" s="1137" t="s">
        <v>751</v>
      </c>
      <c r="C71" s="437" t="n">
        <f aca="false">SUM(D71:AL71)</f>
        <v>8488.59543653227</v>
      </c>
      <c r="D71" s="242" t="n">
        <v>0</v>
      </c>
      <c r="E71" s="130" t="n">
        <f aca="false">IF(E$64&gt;0,0,-E$64*D77)</f>
        <v>-0</v>
      </c>
      <c r="F71" s="130" t="n">
        <f aca="false">IF(F$64&gt;0,0,-F$64*E77)</f>
        <v>-0</v>
      </c>
      <c r="G71" s="130" t="n">
        <f aca="false">IF(G$64&gt;0,0,-G$64*F77)</f>
        <v>0</v>
      </c>
      <c r="H71" s="130" t="n">
        <f aca="false">IF(H$64&gt;0,0,-H$64*G77)</f>
        <v>0</v>
      </c>
      <c r="I71" s="130" t="n">
        <f aca="false">IF(I$64&gt;0,0,-I$64*H77)</f>
        <v>0</v>
      </c>
      <c r="J71" s="130" t="n">
        <f aca="false">IF(J$64&gt;0,0,-J$64*I77)</f>
        <v>453.276811796496</v>
      </c>
      <c r="K71" s="130" t="n">
        <f aca="false">IF(K$64&gt;0,0,-K$64*J77)</f>
        <v>504.579363897008</v>
      </c>
      <c r="L71" s="130" t="n">
        <f aca="false">IF(L$64&gt;0,0,-L$64*K77)</f>
        <v>557.758080827086</v>
      </c>
      <c r="M71" s="130" t="n">
        <f aca="false">IF(M$64&gt;0,0,-M$64*L77)</f>
        <v>615.85117232625</v>
      </c>
      <c r="N71" s="130" t="n">
        <f aca="false">IF(N$64&gt;0,0,-N$64*M77)</f>
        <v>709.784483779012</v>
      </c>
      <c r="O71" s="130" t="n">
        <f aca="false">IF(O$64&gt;0,0,-O$64*N77)</f>
        <v>784.282588892915</v>
      </c>
      <c r="P71" s="130" t="n">
        <f aca="false">IF(P$64&gt;0,0,-P$64*O77)</f>
        <v>863.207436147796</v>
      </c>
      <c r="Q71" s="130" t="n">
        <f aca="false">IF(Q$64&gt;0,0,-Q$64*P77)</f>
        <v>949.128752539983</v>
      </c>
      <c r="R71" s="130" t="n">
        <f aca="false">IF(R$64&gt;0,0,-R$64*Q77)</f>
        <v>1041.55666210015</v>
      </c>
      <c r="S71" s="130" t="n">
        <f aca="false">IF(S$64&gt;0,0,-S$64*R77)</f>
        <v>1144.39978324805</v>
      </c>
      <c r="T71" s="130" t="n">
        <f aca="false">IF(T$64&gt;0,0,-T$64*S77)</f>
        <v>864.770300977525</v>
      </c>
      <c r="U71" s="130" t="n">
        <f aca="false">IF(U$64&gt;0,0,-U$64*T77)</f>
        <v>-0</v>
      </c>
      <c r="V71" s="130" t="n">
        <f aca="false">IF(V$64&gt;0,0,-V$64*U77)</f>
        <v>-0</v>
      </c>
      <c r="W71" s="130" t="n">
        <f aca="false">IF(W$64&gt;0,0,-W$64*V77)</f>
        <v>-0</v>
      </c>
      <c r="X71" s="130" t="n">
        <f aca="false">IF(X$64&gt;0,0,-X$64*W77)</f>
        <v>-0</v>
      </c>
      <c r="Y71" s="130" t="n">
        <f aca="false">IF(Y$64&gt;0,0,-Y$64*X77)</f>
        <v>-0</v>
      </c>
      <c r="Z71" s="130" t="n">
        <f aca="false">IF(Z$64&gt;0,0,-Z$64*Y77)</f>
        <v>-0</v>
      </c>
      <c r="AA71" s="130" t="n">
        <f aca="false">IF(AA$64&gt;0,0,-AA$64*Z77)</f>
        <v>-0</v>
      </c>
      <c r="AB71" s="130" t="n">
        <f aca="false">IF(AB$64&gt;0,0,-AB$64*AA77)</f>
        <v>-0</v>
      </c>
      <c r="AC71" s="130" t="n">
        <f aca="false">IF(AC$64&gt;0,0,-AC$64*AB77)</f>
        <v>-0</v>
      </c>
      <c r="AD71" s="130" t="n">
        <f aca="false">IF(AD$64&gt;0,0,-AD$64*AC77)</f>
        <v>-0</v>
      </c>
      <c r="AE71" s="130" t="n">
        <f aca="false">IF(AE$64&gt;0,0,-AE$64*AD77)</f>
        <v>-0</v>
      </c>
      <c r="AF71" s="130" t="n">
        <f aca="false">IF(AF$64&gt;0,0,-AF$64*AE77)</f>
        <v>-0</v>
      </c>
      <c r="AG71" s="130" t="n">
        <f aca="false">IF(AG$64&gt;0,0,-AG$64*AF77)</f>
        <v>-0</v>
      </c>
      <c r="AH71" s="130" t="n">
        <f aca="false">IF(AH$64&gt;0,0,-AH$64*AG77)</f>
        <v>-0</v>
      </c>
      <c r="AI71" s="130" t="n">
        <f aca="false">IF(AI$64&gt;0,0,-AI$64*AH77)</f>
        <v>-0</v>
      </c>
      <c r="AJ71" s="130" t="n">
        <f aca="false">IF(AJ$64&gt;0,0,-AJ$64*AI77)</f>
        <v>-0</v>
      </c>
      <c r="AK71" s="130" t="n">
        <f aca="false">IF(AK$64&gt;0,0,-AK$64*AJ77)</f>
        <v>-0</v>
      </c>
      <c r="AL71" s="130" t="n">
        <f aca="false">IF(AL$64&gt;0,0,-AL$64*AK77)</f>
        <v>-0</v>
      </c>
      <c r="AM71" s="639"/>
      <c r="AN71" s="130"/>
      <c r="AO71" s="130"/>
      <c r="AP71" s="130"/>
      <c r="AQ71" s="130"/>
      <c r="AR71" s="130"/>
      <c r="AS71" s="130"/>
      <c r="AT71" s="130"/>
      <c r="AU71" s="130"/>
      <c r="AV71" s="130"/>
      <c r="AW71" s="130"/>
      <c r="AX71" s="130"/>
      <c r="AY71" s="130"/>
      <c r="AZ71" s="130"/>
      <c r="BA71" s="130"/>
      <c r="BB71" s="130"/>
      <c r="BC71" s="130"/>
      <c r="BD71" s="130"/>
      <c r="BE71" s="130"/>
      <c r="BF71" s="130"/>
      <c r="BG71" s="130"/>
      <c r="BH71" s="130"/>
      <c r="BI71" s="130"/>
      <c r="BJ71" s="130"/>
      <c r="BK71" s="130"/>
      <c r="BL71" s="130"/>
      <c r="BM71" s="130"/>
      <c r="BN71" s="130"/>
      <c r="BO71" s="130"/>
      <c r="BP71" s="130"/>
      <c r="BQ71" s="130"/>
      <c r="BR71" s="130"/>
      <c r="BS71" s="130"/>
      <c r="BT71" s="130"/>
      <c r="BU71" s="130"/>
      <c r="BV71" s="130"/>
      <c r="BW71" s="130"/>
      <c r="BX71" s="130"/>
      <c r="BY71" s="130"/>
      <c r="BZ71" s="130"/>
      <c r="CA71" s="130"/>
      <c r="CB71" s="130"/>
      <c r="CC71" s="130"/>
      <c r="CD71" s="130"/>
      <c r="CE71" s="130"/>
      <c r="CF71" s="130"/>
      <c r="CG71" s="130"/>
      <c r="CH71" s="130"/>
      <c r="CI71" s="130"/>
      <c r="CJ71" s="130"/>
      <c r="CK71" s="130"/>
      <c r="CL71" s="130"/>
      <c r="CM71" s="130"/>
      <c r="CN71" s="130"/>
      <c r="CO71" s="130"/>
      <c r="CP71" s="130"/>
      <c r="CQ71" s="130"/>
      <c r="CR71" s="130"/>
      <c r="CS71" s="130"/>
      <c r="CT71" s="130"/>
      <c r="CU71" s="130"/>
      <c r="CV71" s="130"/>
      <c r="CW71" s="130"/>
      <c r="CX71" s="130"/>
      <c r="CY71" s="130"/>
      <c r="CZ71" s="130"/>
      <c r="DA71" s="130"/>
      <c r="DB71" s="130"/>
      <c r="DC71" s="130"/>
      <c r="DD71" s="130"/>
      <c r="DE71" s="130"/>
      <c r="DF71" s="130"/>
      <c r="DG71" s="130"/>
      <c r="DH71" s="130"/>
      <c r="DI71" s="130"/>
      <c r="DJ71" s="130"/>
      <c r="DK71" s="130"/>
      <c r="DL71" s="130"/>
      <c r="DM71" s="130"/>
      <c r="DN71" s="130"/>
      <c r="DO71" s="130"/>
      <c r="DP71" s="130"/>
      <c r="DQ71" s="130"/>
      <c r="DR71" s="130"/>
      <c r="DS71" s="130"/>
      <c r="DT71" s="130"/>
      <c r="DU71" s="130"/>
      <c r="DV71" s="130"/>
      <c r="DW71" s="130"/>
      <c r="DX71" s="130"/>
      <c r="DY71" s="130"/>
      <c r="DZ71" s="130"/>
      <c r="EA71" s="130"/>
      <c r="EB71" s="130"/>
      <c r="EC71" s="130"/>
      <c r="ED71" s="130"/>
      <c r="EE71" s="130"/>
      <c r="EF71" s="130"/>
      <c r="EG71" s="130"/>
      <c r="EH71" s="130"/>
      <c r="EI71" s="130"/>
      <c r="EJ71" s="130"/>
      <c r="EK71" s="130"/>
      <c r="EL71" s="130"/>
      <c r="EM71" s="130"/>
      <c r="EN71" s="130"/>
      <c r="EO71" s="130"/>
      <c r="EP71" s="130"/>
      <c r="EQ71" s="130"/>
      <c r="ER71" s="130"/>
      <c r="ES71" s="130"/>
      <c r="ET71" s="130"/>
      <c r="EU71" s="130"/>
      <c r="EV71" s="130"/>
      <c r="EW71" s="130"/>
      <c r="EX71" s="130"/>
      <c r="EY71" s="130"/>
      <c r="EZ71" s="130"/>
      <c r="FA71" s="130"/>
      <c r="FB71" s="130"/>
      <c r="FC71" s="130"/>
      <c r="FD71" s="130"/>
      <c r="FE71" s="130"/>
      <c r="FF71" s="130"/>
      <c r="FG71" s="130"/>
      <c r="FH71" s="130"/>
      <c r="FI71" s="130"/>
      <c r="FJ71" s="130"/>
      <c r="FK71" s="130"/>
      <c r="FL71" s="130"/>
      <c r="FM71" s="130"/>
      <c r="FN71" s="130"/>
      <c r="FO71" s="130"/>
      <c r="FP71" s="130"/>
      <c r="FQ71" s="130"/>
      <c r="FR71" s="130"/>
      <c r="FS71" s="130"/>
      <c r="FT71" s="130"/>
      <c r="FU71" s="130"/>
      <c r="FV71" s="130"/>
      <c r="FW71" s="130"/>
      <c r="FX71" s="130"/>
      <c r="FY71" s="130"/>
      <c r="FZ71" s="130"/>
      <c r="GA71" s="130"/>
      <c r="GB71" s="130"/>
      <c r="GC71" s="130"/>
      <c r="GD71" s="130"/>
      <c r="GE71" s="130"/>
      <c r="GF71" s="130"/>
      <c r="GG71" s="130"/>
      <c r="GH71" s="130"/>
      <c r="GI71" s="130"/>
      <c r="GJ71" s="130"/>
      <c r="GK71" s="130"/>
      <c r="GL71" s="130"/>
      <c r="GM71" s="130"/>
      <c r="GN71" s="130"/>
      <c r="GO71" s="130"/>
      <c r="GP71" s="130"/>
      <c r="GQ71" s="130"/>
      <c r="GR71" s="130"/>
      <c r="GS71" s="130"/>
      <c r="GT71" s="130"/>
      <c r="GU71" s="130"/>
      <c r="GV71" s="130"/>
      <c r="GW71" s="130"/>
      <c r="GX71" s="130"/>
      <c r="GY71" s="130"/>
      <c r="GZ71" s="130"/>
      <c r="HA71" s="130"/>
      <c r="HB71" s="130"/>
      <c r="HC71" s="130"/>
      <c r="HD71" s="130"/>
      <c r="HE71" s="130"/>
      <c r="HF71" s="130"/>
      <c r="HG71" s="130"/>
      <c r="HH71" s="130"/>
      <c r="HI71" s="130"/>
      <c r="HJ71" s="130"/>
      <c r="HK71" s="130"/>
      <c r="HL71" s="130"/>
      <c r="HM71" s="130"/>
      <c r="HN71" s="130"/>
      <c r="HO71" s="130"/>
      <c r="HP71" s="130"/>
      <c r="HQ71" s="130"/>
      <c r="HR71" s="130"/>
      <c r="HS71" s="130"/>
      <c r="HT71" s="130"/>
      <c r="HU71" s="130"/>
      <c r="HV71" s="130"/>
      <c r="HW71" s="130"/>
      <c r="HX71" s="130"/>
      <c r="HY71" s="130"/>
      <c r="HZ71" s="130"/>
      <c r="IA71" s="130"/>
      <c r="IB71" s="130"/>
      <c r="IC71" s="130"/>
      <c r="ID71" s="130"/>
      <c r="IE71" s="130"/>
      <c r="IF71" s="130"/>
      <c r="IG71" s="130"/>
      <c r="IH71" s="130"/>
      <c r="II71" s="130"/>
      <c r="IJ71" s="130"/>
      <c r="IK71" s="130"/>
      <c r="IL71" s="130"/>
      <c r="IM71" s="130"/>
      <c r="IN71" s="130"/>
      <c r="IO71" s="130"/>
      <c r="IP71" s="130"/>
      <c r="IQ71" s="130"/>
      <c r="IR71" s="130"/>
      <c r="IS71" s="130"/>
      <c r="IT71" s="130"/>
      <c r="IU71" s="130"/>
      <c r="IV71" s="130"/>
      <c r="IW71" s="130"/>
    </row>
    <row r="72" customFormat="false" ht="12.75" hidden="false" customHeight="false" outlineLevel="0" collapsed="false">
      <c r="A72" s="130"/>
      <c r="B72" s="1137" t="s">
        <v>334</v>
      </c>
      <c r="C72" s="437" t="n">
        <f aca="false">SUM(D72:AL72)</f>
        <v>85.7433882478007</v>
      </c>
      <c r="D72" s="242" t="n">
        <v>0</v>
      </c>
      <c r="E72" s="130" t="n">
        <f aca="false">IF(E$64&gt;0,0,-E$64*D78)</f>
        <v>-0</v>
      </c>
      <c r="F72" s="130" t="n">
        <f aca="false">IF(F$64&gt;0,0,-F$64*E78)</f>
        <v>-0</v>
      </c>
      <c r="G72" s="130" t="n">
        <f aca="false">IF(G$64&gt;0,0,-G$64*F78)</f>
        <v>0</v>
      </c>
      <c r="H72" s="130" t="n">
        <f aca="false">IF(H$64&gt;0,0,-H$64*G78)</f>
        <v>0</v>
      </c>
      <c r="I72" s="130" t="n">
        <f aca="false">IF(I$64&gt;0,0,-I$64*H78)</f>
        <v>0</v>
      </c>
      <c r="J72" s="130" t="n">
        <f aca="false">IF(J$64&gt;0,0,-J$64*I78)</f>
        <v>4.57855365451006</v>
      </c>
      <c r="K72" s="130" t="n">
        <f aca="false">IF(K$64&gt;0,0,-K$64*J78)</f>
        <v>5.09676125148493</v>
      </c>
      <c r="L72" s="130" t="n">
        <f aca="false">IF(L$64&gt;0,0,-L$64*K78)</f>
        <v>5.63392000835441</v>
      </c>
      <c r="M72" s="130" t="n">
        <f aca="false">IF(M$64&gt;0,0,-M$64*L78)</f>
        <v>6.22071891238636</v>
      </c>
      <c r="N72" s="130" t="n">
        <f aca="false">IF(N$64&gt;0,0,-N$64*M78)</f>
        <v>7.16954024019204</v>
      </c>
      <c r="O72" s="130" t="n">
        <f aca="false">IF(O$64&gt;0,0,-O$64*N78)</f>
        <v>7.92204635245369</v>
      </c>
      <c r="P72" s="130" t="n">
        <f aca="false">IF(P$64&gt;0,0,-P$64*O78)</f>
        <v>8.71926703179592</v>
      </c>
      <c r="Q72" s="130" t="n">
        <f aca="false">IF(Q$64&gt;0,0,-Q$64*P78)</f>
        <v>9.58715911656549</v>
      </c>
      <c r="R72" s="130" t="n">
        <f aca="false">IF(R$64&gt;0,0,-R$64*Q78)</f>
        <v>10.520774364648</v>
      </c>
      <c r="S72" s="130" t="n">
        <f aca="false">IF(S$64&gt;0,0,-S$64*R78)</f>
        <v>11.5595937701824</v>
      </c>
      <c r="T72" s="130" t="n">
        <f aca="false">IF(T$64&gt;0,0,-T$64*S78)</f>
        <v>8.73505354522752</v>
      </c>
      <c r="U72" s="130" t="n">
        <f aca="false">IF(U$64&gt;0,0,-U$64*T78)</f>
        <v>-0</v>
      </c>
      <c r="V72" s="130" t="n">
        <f aca="false">IF(V$64&gt;0,0,-V$64*U78)</f>
        <v>-0</v>
      </c>
      <c r="W72" s="130" t="n">
        <f aca="false">IF(W$64&gt;0,0,-W$64*V78)</f>
        <v>-0</v>
      </c>
      <c r="X72" s="130" t="n">
        <f aca="false">IF(X$64&gt;0,0,-X$64*W78)</f>
        <v>-0</v>
      </c>
      <c r="Y72" s="130" t="n">
        <f aca="false">IF(Y$64&gt;0,0,-Y$64*X78)</f>
        <v>-0</v>
      </c>
      <c r="Z72" s="130" t="n">
        <f aca="false">IF(Z$64&gt;0,0,-Z$64*Y78)</f>
        <v>-0</v>
      </c>
      <c r="AA72" s="130" t="n">
        <f aca="false">IF(AA$64&gt;0,0,-AA$64*Z78)</f>
        <v>-0</v>
      </c>
      <c r="AB72" s="130" t="n">
        <f aca="false">IF(AB$64&gt;0,0,-AB$64*AA78)</f>
        <v>-0</v>
      </c>
      <c r="AC72" s="130" t="n">
        <f aca="false">IF(AC$64&gt;0,0,-AC$64*AB78)</f>
        <v>-0</v>
      </c>
      <c r="AD72" s="130" t="n">
        <f aca="false">IF(AD$64&gt;0,0,-AD$64*AC78)</f>
        <v>-0</v>
      </c>
      <c r="AE72" s="130" t="n">
        <f aca="false">IF(AE$64&gt;0,0,-AE$64*AD78)</f>
        <v>-0</v>
      </c>
      <c r="AF72" s="130" t="n">
        <f aca="false">IF(AF$64&gt;0,0,-AF$64*AE78)</f>
        <v>-0</v>
      </c>
      <c r="AG72" s="130" t="n">
        <f aca="false">IF(AG$64&gt;0,0,-AG$64*AF78)</f>
        <v>-0</v>
      </c>
      <c r="AH72" s="130" t="n">
        <f aca="false">IF(AH$64&gt;0,0,-AH$64*AG78)</f>
        <v>-0</v>
      </c>
      <c r="AI72" s="130" t="n">
        <f aca="false">IF(AI$64&gt;0,0,-AI$64*AH78)</f>
        <v>-0</v>
      </c>
      <c r="AJ72" s="130" t="n">
        <f aca="false">IF(AJ$64&gt;0,0,-AJ$64*AI78)</f>
        <v>-0</v>
      </c>
      <c r="AK72" s="130" t="n">
        <f aca="false">IF(AK$64&gt;0,0,-AK$64*AJ78)</f>
        <v>-0</v>
      </c>
      <c r="AL72" s="130" t="n">
        <f aca="false">IF(AL$64&gt;0,0,-AL$64*AK78)</f>
        <v>-0</v>
      </c>
      <c r="AM72" s="639"/>
      <c r="AN72" s="130"/>
      <c r="AO72" s="130"/>
      <c r="AP72" s="130"/>
      <c r="AQ72" s="130"/>
      <c r="AR72" s="130"/>
      <c r="AS72" s="130"/>
      <c r="AT72" s="130"/>
      <c r="AU72" s="130"/>
      <c r="AV72" s="130"/>
      <c r="AW72" s="130"/>
      <c r="AX72" s="130"/>
      <c r="AY72" s="130"/>
      <c r="AZ72" s="130"/>
      <c r="BA72" s="130"/>
      <c r="BB72" s="130"/>
      <c r="BC72" s="130"/>
      <c r="BD72" s="130"/>
      <c r="BE72" s="130"/>
      <c r="BF72" s="130"/>
      <c r="BG72" s="130"/>
      <c r="BH72" s="130"/>
      <c r="BI72" s="130"/>
      <c r="BJ72" s="130"/>
      <c r="BK72" s="130"/>
      <c r="BL72" s="130"/>
      <c r="BM72" s="130"/>
      <c r="BN72" s="130"/>
      <c r="BO72" s="130"/>
      <c r="BP72" s="130"/>
      <c r="BQ72" s="130"/>
      <c r="BR72" s="130"/>
      <c r="BS72" s="130"/>
      <c r="BT72" s="130"/>
      <c r="BU72" s="130"/>
      <c r="BV72" s="130"/>
      <c r="BW72" s="130"/>
      <c r="BX72" s="130"/>
      <c r="BY72" s="130"/>
      <c r="BZ72" s="130"/>
      <c r="CA72" s="130"/>
      <c r="CB72" s="130"/>
      <c r="CC72" s="130"/>
      <c r="CD72" s="130"/>
      <c r="CE72" s="130"/>
      <c r="CF72" s="130"/>
      <c r="CG72" s="130"/>
      <c r="CH72" s="130"/>
      <c r="CI72" s="130"/>
      <c r="CJ72" s="130"/>
      <c r="CK72" s="130"/>
      <c r="CL72" s="130"/>
      <c r="CM72" s="130"/>
      <c r="CN72" s="130"/>
      <c r="CO72" s="130"/>
      <c r="CP72" s="130"/>
      <c r="CQ72" s="130"/>
      <c r="CR72" s="130"/>
      <c r="CS72" s="130"/>
      <c r="CT72" s="130"/>
      <c r="CU72" s="130"/>
      <c r="CV72" s="130"/>
      <c r="CW72" s="130"/>
      <c r="CX72" s="130"/>
      <c r="CY72" s="130"/>
      <c r="CZ72" s="130"/>
      <c r="DA72" s="130"/>
      <c r="DB72" s="130"/>
      <c r="DC72" s="130"/>
      <c r="DD72" s="130"/>
      <c r="DE72" s="130"/>
      <c r="DF72" s="130"/>
      <c r="DG72" s="130"/>
      <c r="DH72" s="130"/>
      <c r="DI72" s="130"/>
      <c r="DJ72" s="130"/>
      <c r="DK72" s="130"/>
      <c r="DL72" s="130"/>
      <c r="DM72" s="130"/>
      <c r="DN72" s="130"/>
      <c r="DO72" s="130"/>
      <c r="DP72" s="130"/>
      <c r="DQ72" s="130"/>
      <c r="DR72" s="130"/>
      <c r="DS72" s="130"/>
      <c r="DT72" s="130"/>
      <c r="DU72" s="130"/>
      <c r="DV72" s="130"/>
      <c r="DW72" s="130"/>
      <c r="DX72" s="130"/>
      <c r="DY72" s="130"/>
      <c r="DZ72" s="130"/>
      <c r="EA72" s="130"/>
      <c r="EB72" s="130"/>
      <c r="EC72" s="130"/>
      <c r="ED72" s="130"/>
      <c r="EE72" s="130"/>
      <c r="EF72" s="130"/>
      <c r="EG72" s="130"/>
      <c r="EH72" s="130"/>
      <c r="EI72" s="130"/>
      <c r="EJ72" s="130"/>
      <c r="EK72" s="130"/>
      <c r="EL72" s="130"/>
      <c r="EM72" s="130"/>
      <c r="EN72" s="130"/>
      <c r="EO72" s="130"/>
      <c r="EP72" s="130"/>
      <c r="EQ72" s="130"/>
      <c r="ER72" s="130"/>
      <c r="ES72" s="130"/>
      <c r="ET72" s="130"/>
      <c r="EU72" s="130"/>
      <c r="EV72" s="130"/>
      <c r="EW72" s="130"/>
      <c r="EX72" s="130"/>
      <c r="EY72" s="130"/>
      <c r="EZ72" s="130"/>
      <c r="FA72" s="130"/>
      <c r="FB72" s="130"/>
      <c r="FC72" s="130"/>
      <c r="FD72" s="130"/>
      <c r="FE72" s="130"/>
      <c r="FF72" s="130"/>
      <c r="FG72" s="130"/>
      <c r="FH72" s="130"/>
      <c r="FI72" s="130"/>
      <c r="FJ72" s="130"/>
      <c r="FK72" s="130"/>
      <c r="FL72" s="130"/>
      <c r="FM72" s="130"/>
      <c r="FN72" s="130"/>
      <c r="FO72" s="130"/>
      <c r="FP72" s="130"/>
      <c r="FQ72" s="130"/>
      <c r="FR72" s="130"/>
      <c r="FS72" s="130"/>
      <c r="FT72" s="130"/>
      <c r="FU72" s="130"/>
      <c r="FV72" s="130"/>
      <c r="FW72" s="130"/>
      <c r="FX72" s="130"/>
      <c r="FY72" s="130"/>
      <c r="FZ72" s="130"/>
      <c r="GA72" s="130"/>
      <c r="GB72" s="130"/>
      <c r="GC72" s="130"/>
      <c r="GD72" s="130"/>
      <c r="GE72" s="130"/>
      <c r="GF72" s="130"/>
      <c r="GG72" s="130"/>
      <c r="GH72" s="130"/>
      <c r="GI72" s="130"/>
      <c r="GJ72" s="130"/>
      <c r="GK72" s="130"/>
      <c r="GL72" s="130"/>
      <c r="GM72" s="130"/>
      <c r="GN72" s="130"/>
      <c r="GO72" s="130"/>
      <c r="GP72" s="130"/>
      <c r="GQ72" s="130"/>
      <c r="GR72" s="130"/>
      <c r="GS72" s="130"/>
      <c r="GT72" s="130"/>
      <c r="GU72" s="130"/>
      <c r="GV72" s="130"/>
      <c r="GW72" s="130"/>
      <c r="GX72" s="130"/>
      <c r="GY72" s="130"/>
      <c r="GZ72" s="130"/>
      <c r="HA72" s="130"/>
      <c r="HB72" s="130"/>
      <c r="HC72" s="130"/>
      <c r="HD72" s="130"/>
      <c r="HE72" s="130"/>
      <c r="HF72" s="130"/>
      <c r="HG72" s="130"/>
      <c r="HH72" s="130"/>
      <c r="HI72" s="130"/>
      <c r="HJ72" s="130"/>
      <c r="HK72" s="130"/>
      <c r="HL72" s="130"/>
      <c r="HM72" s="130"/>
      <c r="HN72" s="130"/>
      <c r="HO72" s="130"/>
      <c r="HP72" s="130"/>
      <c r="HQ72" s="130"/>
      <c r="HR72" s="130"/>
      <c r="HS72" s="130"/>
      <c r="HT72" s="130"/>
      <c r="HU72" s="130"/>
      <c r="HV72" s="130"/>
      <c r="HW72" s="130"/>
      <c r="HX72" s="130"/>
      <c r="HY72" s="130"/>
      <c r="HZ72" s="130"/>
      <c r="IA72" s="130"/>
      <c r="IB72" s="130"/>
      <c r="IC72" s="130"/>
      <c r="ID72" s="130"/>
      <c r="IE72" s="130"/>
      <c r="IF72" s="130"/>
      <c r="IG72" s="130"/>
      <c r="IH72" s="130"/>
      <c r="II72" s="130"/>
      <c r="IJ72" s="130"/>
      <c r="IK72" s="130"/>
      <c r="IL72" s="130"/>
      <c r="IM72" s="130"/>
      <c r="IN72" s="130"/>
      <c r="IO72" s="130"/>
      <c r="IP72" s="130"/>
      <c r="IQ72" s="130"/>
      <c r="IR72" s="130"/>
      <c r="IS72" s="130"/>
      <c r="IT72" s="130"/>
      <c r="IU72" s="130"/>
      <c r="IV72" s="130"/>
      <c r="IW72" s="130"/>
    </row>
    <row r="73" customFormat="false" ht="12.75" hidden="false" customHeight="false" outlineLevel="0" collapsed="false">
      <c r="A73" s="100"/>
      <c r="B73" s="1135"/>
      <c r="C73" s="736"/>
      <c r="D73" s="100"/>
      <c r="E73" s="100"/>
      <c r="F73" s="100"/>
      <c r="G73" s="100"/>
      <c r="H73" s="100"/>
      <c r="I73" s="100"/>
      <c r="J73" s="100"/>
      <c r="K73" s="100"/>
      <c r="L73" s="100"/>
      <c r="M73" s="100"/>
      <c r="N73" s="100"/>
      <c r="O73" s="100"/>
      <c r="P73" s="100"/>
      <c r="Q73" s="100"/>
      <c r="R73" s="100"/>
      <c r="S73" s="100"/>
      <c r="T73" s="100"/>
      <c r="U73" s="100"/>
      <c r="V73" s="100"/>
      <c r="W73" s="100"/>
      <c r="X73" s="100"/>
      <c r="Y73" s="100"/>
      <c r="Z73" s="100"/>
      <c r="AA73" s="100"/>
      <c r="AB73" s="100"/>
      <c r="AC73" s="100"/>
      <c r="AD73" s="100"/>
      <c r="AE73" s="100"/>
      <c r="AF73" s="100"/>
      <c r="AG73" s="100"/>
      <c r="AH73" s="100"/>
      <c r="AI73" s="100"/>
      <c r="AJ73" s="100"/>
      <c r="AK73" s="100"/>
      <c r="AL73" s="100"/>
      <c r="AM73" s="638"/>
      <c r="AN73" s="100"/>
      <c r="AO73" s="100"/>
      <c r="AP73" s="100"/>
      <c r="AQ73" s="100"/>
      <c r="AR73" s="100"/>
      <c r="AS73" s="100"/>
      <c r="AT73" s="100"/>
      <c r="AU73" s="100"/>
      <c r="AV73" s="100"/>
      <c r="AW73" s="100"/>
      <c r="AX73" s="100"/>
      <c r="AY73" s="100"/>
      <c r="AZ73" s="100"/>
      <c r="BA73" s="100"/>
      <c r="BB73" s="100"/>
      <c r="BC73" s="100"/>
      <c r="BD73" s="100"/>
      <c r="BE73" s="100"/>
      <c r="BF73" s="100"/>
      <c r="BG73" s="100"/>
      <c r="BH73" s="100"/>
      <c r="BI73" s="100"/>
      <c r="BJ73" s="100"/>
      <c r="BK73" s="100"/>
      <c r="BL73" s="100"/>
      <c r="BM73" s="100"/>
      <c r="BN73" s="100"/>
      <c r="BO73" s="100"/>
      <c r="BP73" s="100"/>
      <c r="BQ73" s="100"/>
      <c r="BR73" s="100"/>
      <c r="BS73" s="100"/>
      <c r="BT73" s="100"/>
      <c r="BU73" s="100"/>
      <c r="BV73" s="100"/>
      <c r="BW73" s="100"/>
      <c r="BX73" s="100"/>
      <c r="BY73" s="100"/>
      <c r="BZ73" s="100"/>
      <c r="CA73" s="100"/>
      <c r="CB73" s="100"/>
      <c r="CC73" s="100"/>
      <c r="CD73" s="100"/>
      <c r="CE73" s="100"/>
      <c r="CF73" s="100"/>
      <c r="CG73" s="100"/>
      <c r="CH73" s="100"/>
      <c r="CI73" s="100"/>
      <c r="CJ73" s="100"/>
      <c r="CK73" s="100"/>
      <c r="CL73" s="100"/>
      <c r="CM73" s="100"/>
      <c r="CN73" s="100"/>
      <c r="CO73" s="100"/>
      <c r="CP73" s="100"/>
      <c r="CQ73" s="100"/>
      <c r="CR73" s="100"/>
      <c r="CS73" s="100"/>
      <c r="CT73" s="100"/>
      <c r="CU73" s="100"/>
      <c r="CV73" s="100"/>
      <c r="CW73" s="100"/>
      <c r="CX73" s="100"/>
      <c r="CY73" s="100"/>
      <c r="CZ73" s="100"/>
      <c r="DA73" s="100"/>
      <c r="DB73" s="100"/>
      <c r="DC73" s="100"/>
      <c r="DD73" s="100"/>
      <c r="DE73" s="100"/>
      <c r="DF73" s="100"/>
      <c r="DG73" s="100"/>
      <c r="DH73" s="100"/>
      <c r="DI73" s="100"/>
      <c r="DJ73" s="100"/>
      <c r="DK73" s="100"/>
      <c r="DL73" s="100"/>
      <c r="DM73" s="100"/>
      <c r="DN73" s="100"/>
      <c r="DO73" s="100"/>
      <c r="DP73" s="100"/>
      <c r="DQ73" s="100"/>
      <c r="DR73" s="100"/>
      <c r="DS73" s="100"/>
      <c r="DT73" s="100"/>
      <c r="DU73" s="100"/>
      <c r="DV73" s="100"/>
      <c r="DW73" s="100"/>
      <c r="DX73" s="100"/>
      <c r="DY73" s="100"/>
      <c r="DZ73" s="100"/>
      <c r="EA73" s="100"/>
      <c r="EB73" s="100"/>
      <c r="EC73" s="100"/>
      <c r="ED73" s="100"/>
      <c r="EE73" s="100"/>
      <c r="EF73" s="100"/>
      <c r="EG73" s="100"/>
      <c r="EH73" s="100"/>
      <c r="EI73" s="100"/>
      <c r="EJ73" s="100"/>
      <c r="EK73" s="100"/>
      <c r="EL73" s="100"/>
      <c r="EM73" s="100"/>
      <c r="EN73" s="100"/>
      <c r="EO73" s="100"/>
      <c r="EP73" s="100"/>
      <c r="EQ73" s="100"/>
      <c r="ER73" s="100"/>
      <c r="ES73" s="100"/>
      <c r="ET73" s="100"/>
      <c r="EU73" s="100"/>
      <c r="EV73" s="100"/>
      <c r="EW73" s="100"/>
      <c r="EX73" s="100"/>
      <c r="EY73" s="100"/>
      <c r="EZ73" s="100"/>
      <c r="FA73" s="100"/>
      <c r="FB73" s="100"/>
      <c r="FC73" s="100"/>
      <c r="FD73" s="100"/>
      <c r="FE73" s="100"/>
      <c r="FF73" s="100"/>
      <c r="FG73" s="100"/>
      <c r="FH73" s="100"/>
      <c r="FI73" s="100"/>
      <c r="FJ73" s="100"/>
      <c r="FK73" s="100"/>
      <c r="FL73" s="100"/>
      <c r="FM73" s="100"/>
      <c r="FN73" s="100"/>
      <c r="FO73" s="100"/>
      <c r="FP73" s="100"/>
      <c r="FQ73" s="100"/>
      <c r="FR73" s="100"/>
      <c r="FS73" s="100"/>
      <c r="FT73" s="100"/>
      <c r="FU73" s="100"/>
      <c r="FV73" s="100"/>
      <c r="FW73" s="100"/>
      <c r="FX73" s="100"/>
      <c r="FY73" s="100"/>
      <c r="FZ73" s="100"/>
      <c r="GA73" s="100"/>
      <c r="GB73" s="100"/>
      <c r="GC73" s="100"/>
      <c r="GD73" s="100"/>
      <c r="GE73" s="100"/>
      <c r="GF73" s="100"/>
      <c r="GG73" s="100"/>
      <c r="GH73" s="100"/>
      <c r="GI73" s="100"/>
      <c r="GJ73" s="100"/>
      <c r="GK73" s="100"/>
      <c r="GL73" s="100"/>
      <c r="GM73" s="100"/>
      <c r="GN73" s="100"/>
      <c r="GO73" s="100"/>
      <c r="GP73" s="100"/>
      <c r="GQ73" s="100"/>
      <c r="GR73" s="100"/>
      <c r="GS73" s="100"/>
      <c r="GT73" s="100"/>
      <c r="GU73" s="100"/>
      <c r="GV73" s="100"/>
      <c r="GW73" s="100"/>
      <c r="GX73" s="100"/>
      <c r="GY73" s="100"/>
      <c r="GZ73" s="100"/>
      <c r="HA73" s="100"/>
      <c r="HB73" s="100"/>
      <c r="HC73" s="100"/>
      <c r="HD73" s="100"/>
      <c r="HE73" s="100"/>
      <c r="HF73" s="100"/>
      <c r="HG73" s="100"/>
      <c r="HH73" s="100"/>
      <c r="HI73" s="100"/>
      <c r="HJ73" s="100"/>
      <c r="HK73" s="100"/>
      <c r="HL73" s="100"/>
      <c r="HM73" s="100"/>
      <c r="HN73" s="100"/>
      <c r="HO73" s="100"/>
      <c r="HP73" s="100"/>
      <c r="HQ73" s="100"/>
      <c r="HR73" s="100"/>
      <c r="HS73" s="100"/>
      <c r="HT73" s="100"/>
      <c r="HU73" s="100"/>
      <c r="HV73" s="100"/>
      <c r="HW73" s="100"/>
      <c r="HX73" s="100"/>
      <c r="HY73" s="100"/>
      <c r="HZ73" s="100"/>
      <c r="IA73" s="100"/>
      <c r="IB73" s="100"/>
      <c r="IC73" s="100"/>
      <c r="ID73" s="100"/>
      <c r="IE73" s="100"/>
      <c r="IF73" s="100"/>
      <c r="IG73" s="100"/>
      <c r="IH73" s="100"/>
      <c r="II73" s="100"/>
      <c r="IJ73" s="100"/>
      <c r="IK73" s="100"/>
      <c r="IL73" s="100"/>
      <c r="IM73" s="100"/>
      <c r="IN73" s="100"/>
      <c r="IO73" s="100"/>
      <c r="IP73" s="100"/>
      <c r="IQ73" s="100"/>
      <c r="IR73" s="100"/>
      <c r="IS73" s="100"/>
      <c r="IT73" s="100"/>
      <c r="IU73" s="100"/>
      <c r="IV73" s="100"/>
      <c r="IW73" s="100"/>
    </row>
    <row r="74" customFormat="false" ht="12.75" hidden="false" customHeight="false" outlineLevel="0" collapsed="false">
      <c r="A74" s="100"/>
      <c r="B74" s="1136" t="s">
        <v>752</v>
      </c>
      <c r="C74" s="736"/>
      <c r="D74" s="100"/>
      <c r="E74" s="100"/>
      <c r="F74" s="100"/>
      <c r="G74" s="100"/>
      <c r="H74" s="100"/>
      <c r="I74" s="100"/>
      <c r="J74" s="100"/>
      <c r="K74" s="100"/>
      <c r="L74" s="100"/>
      <c r="M74" s="100"/>
      <c r="N74" s="100"/>
      <c r="O74" s="100"/>
      <c r="P74" s="100"/>
      <c r="Q74" s="100"/>
      <c r="R74" s="100"/>
      <c r="S74" s="100"/>
      <c r="T74" s="100"/>
      <c r="U74" s="100"/>
      <c r="V74" s="100"/>
      <c r="W74" s="100"/>
      <c r="X74" s="100"/>
      <c r="Y74" s="100"/>
      <c r="Z74" s="100"/>
      <c r="AA74" s="100"/>
      <c r="AB74" s="100"/>
      <c r="AC74" s="100"/>
      <c r="AD74" s="100"/>
      <c r="AE74" s="100"/>
      <c r="AF74" s="100"/>
      <c r="AG74" s="100"/>
      <c r="AH74" s="100"/>
      <c r="AI74" s="100"/>
      <c r="AJ74" s="100"/>
      <c r="AK74" s="100"/>
      <c r="AL74" s="100"/>
      <c r="AM74" s="638"/>
      <c r="AN74" s="100"/>
      <c r="AO74" s="100"/>
      <c r="AP74" s="100"/>
      <c r="AQ74" s="100"/>
      <c r="AR74" s="100"/>
      <c r="AS74" s="100"/>
      <c r="AT74" s="100"/>
      <c r="AU74" s="100"/>
      <c r="AV74" s="100"/>
      <c r="AW74" s="100"/>
      <c r="AX74" s="100"/>
      <c r="AY74" s="100"/>
      <c r="AZ74" s="100"/>
      <c r="BA74" s="100"/>
      <c r="BB74" s="100"/>
      <c r="BC74" s="100"/>
      <c r="BD74" s="100"/>
      <c r="BE74" s="100"/>
      <c r="BF74" s="100"/>
      <c r="BG74" s="100"/>
      <c r="BH74" s="100"/>
      <c r="BI74" s="100"/>
      <c r="BJ74" s="100"/>
      <c r="BK74" s="100"/>
      <c r="BL74" s="100"/>
      <c r="BM74" s="100"/>
      <c r="BN74" s="100"/>
      <c r="BO74" s="100"/>
      <c r="BP74" s="100"/>
      <c r="BQ74" s="100"/>
      <c r="BR74" s="100"/>
      <c r="BS74" s="100"/>
      <c r="BT74" s="100"/>
      <c r="BU74" s="100"/>
      <c r="BV74" s="100"/>
      <c r="BW74" s="100"/>
      <c r="BX74" s="100"/>
      <c r="BY74" s="100"/>
      <c r="BZ74" s="100"/>
      <c r="CA74" s="100"/>
      <c r="CB74" s="100"/>
      <c r="CC74" s="100"/>
      <c r="CD74" s="100"/>
      <c r="CE74" s="100"/>
      <c r="CF74" s="100"/>
      <c r="CG74" s="100"/>
      <c r="CH74" s="100"/>
      <c r="CI74" s="100"/>
      <c r="CJ74" s="100"/>
      <c r="CK74" s="100"/>
      <c r="CL74" s="100"/>
      <c r="CM74" s="100"/>
      <c r="CN74" s="100"/>
      <c r="CO74" s="100"/>
      <c r="CP74" s="100"/>
      <c r="CQ74" s="100"/>
      <c r="CR74" s="100"/>
      <c r="CS74" s="100"/>
      <c r="CT74" s="100"/>
      <c r="CU74" s="100"/>
      <c r="CV74" s="100"/>
      <c r="CW74" s="100"/>
      <c r="CX74" s="100"/>
      <c r="CY74" s="100"/>
      <c r="CZ74" s="100"/>
      <c r="DA74" s="100"/>
      <c r="DB74" s="100"/>
      <c r="DC74" s="100"/>
      <c r="DD74" s="100"/>
      <c r="DE74" s="100"/>
      <c r="DF74" s="100"/>
      <c r="DG74" s="100"/>
      <c r="DH74" s="100"/>
      <c r="DI74" s="100"/>
      <c r="DJ74" s="100"/>
      <c r="DK74" s="100"/>
      <c r="DL74" s="100"/>
      <c r="DM74" s="100"/>
      <c r="DN74" s="100"/>
      <c r="DO74" s="100"/>
      <c r="DP74" s="100"/>
      <c r="DQ74" s="100"/>
      <c r="DR74" s="100"/>
      <c r="DS74" s="100"/>
      <c r="DT74" s="100"/>
      <c r="DU74" s="100"/>
      <c r="DV74" s="100"/>
      <c r="DW74" s="100"/>
      <c r="DX74" s="100"/>
      <c r="DY74" s="100"/>
      <c r="DZ74" s="100"/>
      <c r="EA74" s="100"/>
      <c r="EB74" s="100"/>
      <c r="EC74" s="100"/>
      <c r="ED74" s="100"/>
      <c r="EE74" s="100"/>
      <c r="EF74" s="100"/>
      <c r="EG74" s="100"/>
      <c r="EH74" s="100"/>
      <c r="EI74" s="100"/>
      <c r="EJ74" s="100"/>
      <c r="EK74" s="100"/>
      <c r="EL74" s="100"/>
      <c r="EM74" s="100"/>
      <c r="EN74" s="100"/>
      <c r="EO74" s="100"/>
      <c r="EP74" s="100"/>
      <c r="EQ74" s="100"/>
      <c r="ER74" s="100"/>
      <c r="ES74" s="100"/>
      <c r="ET74" s="100"/>
      <c r="EU74" s="100"/>
      <c r="EV74" s="100"/>
      <c r="EW74" s="100"/>
      <c r="EX74" s="100"/>
      <c r="EY74" s="100"/>
      <c r="EZ74" s="100"/>
      <c r="FA74" s="100"/>
      <c r="FB74" s="100"/>
      <c r="FC74" s="100"/>
      <c r="FD74" s="100"/>
      <c r="FE74" s="100"/>
      <c r="FF74" s="100"/>
      <c r="FG74" s="100"/>
      <c r="FH74" s="100"/>
      <c r="FI74" s="100"/>
      <c r="FJ74" s="100"/>
      <c r="FK74" s="100"/>
      <c r="FL74" s="100"/>
      <c r="FM74" s="100"/>
      <c r="FN74" s="100"/>
      <c r="FO74" s="100"/>
      <c r="FP74" s="100"/>
      <c r="FQ74" s="100"/>
      <c r="FR74" s="100"/>
      <c r="FS74" s="100"/>
      <c r="FT74" s="100"/>
      <c r="FU74" s="100"/>
      <c r="FV74" s="100"/>
      <c r="FW74" s="100"/>
      <c r="FX74" s="100"/>
      <c r="FY74" s="100"/>
      <c r="FZ74" s="100"/>
      <c r="GA74" s="100"/>
      <c r="GB74" s="100"/>
      <c r="GC74" s="100"/>
      <c r="GD74" s="100"/>
      <c r="GE74" s="100"/>
      <c r="GF74" s="100"/>
      <c r="GG74" s="100"/>
      <c r="GH74" s="100"/>
      <c r="GI74" s="100"/>
      <c r="GJ74" s="100"/>
      <c r="GK74" s="100"/>
      <c r="GL74" s="100"/>
      <c r="GM74" s="100"/>
      <c r="GN74" s="100"/>
      <c r="GO74" s="100"/>
      <c r="GP74" s="100"/>
      <c r="GQ74" s="100"/>
      <c r="GR74" s="100"/>
      <c r="GS74" s="100"/>
      <c r="GT74" s="100"/>
      <c r="GU74" s="100"/>
      <c r="GV74" s="100"/>
      <c r="GW74" s="100"/>
      <c r="GX74" s="100"/>
      <c r="GY74" s="100"/>
      <c r="GZ74" s="100"/>
      <c r="HA74" s="100"/>
      <c r="HB74" s="100"/>
      <c r="HC74" s="100"/>
      <c r="HD74" s="100"/>
      <c r="HE74" s="100"/>
      <c r="HF74" s="100"/>
      <c r="HG74" s="100"/>
      <c r="HH74" s="100"/>
      <c r="HI74" s="100"/>
      <c r="HJ74" s="100"/>
      <c r="HK74" s="100"/>
      <c r="HL74" s="100"/>
      <c r="HM74" s="100"/>
      <c r="HN74" s="100"/>
      <c r="HO74" s="100"/>
      <c r="HP74" s="100"/>
      <c r="HQ74" s="100"/>
      <c r="HR74" s="100"/>
      <c r="HS74" s="100"/>
      <c r="HT74" s="100"/>
      <c r="HU74" s="100"/>
      <c r="HV74" s="100"/>
      <c r="HW74" s="100"/>
      <c r="HX74" s="100"/>
      <c r="HY74" s="100"/>
      <c r="HZ74" s="100"/>
      <c r="IA74" s="100"/>
      <c r="IB74" s="100"/>
      <c r="IC74" s="100"/>
      <c r="ID74" s="100"/>
      <c r="IE74" s="100"/>
      <c r="IF74" s="100"/>
      <c r="IG74" s="100"/>
      <c r="IH74" s="100"/>
      <c r="II74" s="100"/>
      <c r="IJ74" s="100"/>
      <c r="IK74" s="100"/>
      <c r="IL74" s="100"/>
      <c r="IM74" s="100"/>
      <c r="IN74" s="100"/>
      <c r="IO74" s="100"/>
      <c r="IP74" s="100"/>
      <c r="IQ74" s="100"/>
      <c r="IR74" s="100"/>
      <c r="IS74" s="100"/>
      <c r="IT74" s="100"/>
      <c r="IU74" s="100"/>
      <c r="IV74" s="100"/>
      <c r="IW74" s="100"/>
    </row>
    <row r="75" customFormat="false" ht="12.75" hidden="false" customHeight="false" outlineLevel="0" collapsed="false">
      <c r="A75" s="100"/>
      <c r="B75" s="1137" t="s">
        <v>751</v>
      </c>
      <c r="C75" s="327"/>
      <c r="D75" s="130" t="n">
        <f aca="false">SUM($D$67:D67)-SUM($D$71:D71)</f>
        <v>0</v>
      </c>
      <c r="E75" s="130" t="n">
        <f aca="false">SUM($D$67:E67)-SUM($D$71:E71)</f>
        <v>0</v>
      </c>
      <c r="F75" s="130" t="n">
        <f aca="false">SUM($D$67:F67)-SUM($D$71:F71)</f>
        <v>0</v>
      </c>
      <c r="G75" s="130" t="n">
        <f aca="false">SUM($D$67:G67)-SUM($D$71:G71)</f>
        <v>2946.44150640354</v>
      </c>
      <c r="H75" s="130" t="n">
        <f aca="false">SUM($D$67:H67)-SUM($D$71:H71)</f>
        <v>6793.99807587891</v>
      </c>
      <c r="I75" s="130" t="n">
        <f aca="false">SUM($D$67:I67)-SUM($D$71:I71)</f>
        <v>8488.59543653227</v>
      </c>
      <c r="J75" s="130" t="n">
        <f aca="false">SUM($D$67:J67)-SUM($D$71:J71)</f>
        <v>8035.31862473578</v>
      </c>
      <c r="K75" s="130" t="n">
        <f aca="false">SUM($D$67:K67)-SUM($D$71:K71)</f>
        <v>7530.73926083877</v>
      </c>
      <c r="L75" s="130" t="n">
        <f aca="false">SUM($D$67:L67)-SUM($D$71:L71)</f>
        <v>6972.98118001168</v>
      </c>
      <c r="M75" s="130" t="n">
        <f aca="false">SUM($D$67:M67)-SUM($D$71:M71)</f>
        <v>6357.13000768543</v>
      </c>
      <c r="N75" s="130" t="n">
        <f aca="false">SUM($D$67:N67)-SUM($D$71:N71)</f>
        <v>5647.34552390642</v>
      </c>
      <c r="O75" s="130" t="n">
        <f aca="false">SUM($D$67:O67)-SUM($D$71:O71)</f>
        <v>4863.06293501351</v>
      </c>
      <c r="P75" s="130" t="n">
        <f aca="false">SUM($D$67:P67)-SUM($D$71:P71)</f>
        <v>3999.85549886571</v>
      </c>
      <c r="Q75" s="130" t="n">
        <f aca="false">SUM($D$67:Q67)-SUM($D$71:Q71)</f>
        <v>3050.72674632573</v>
      </c>
      <c r="R75" s="130" t="n">
        <f aca="false">SUM($D$67:R67)-SUM($D$71:R71)</f>
        <v>2009.17008422558</v>
      </c>
      <c r="S75" s="130" t="n">
        <f aca="false">SUM($D$67:S67)-SUM($D$71:S71)</f>
        <v>864.770300977524</v>
      </c>
      <c r="T75" s="130" t="n">
        <f aca="false">SUM($D$67:T67)-SUM($D$71:T71)</f>
        <v>0</v>
      </c>
      <c r="U75" s="130" t="n">
        <f aca="false">SUM($D$67:U67)-SUM($D$71:U71)</f>
        <v>0</v>
      </c>
      <c r="V75" s="130" t="n">
        <f aca="false">SUM($D$67:V67)-SUM($D$71:V71)</f>
        <v>0</v>
      </c>
      <c r="W75" s="130" t="n">
        <f aca="false">SUM($D$67:W67)-SUM($D$71:W71)</f>
        <v>0</v>
      </c>
      <c r="X75" s="130" t="n">
        <f aca="false">SUM($D$67:X67)-SUM($D$71:X71)</f>
        <v>0</v>
      </c>
      <c r="Y75" s="130" t="n">
        <f aca="false">SUM($D$67:Y67)-SUM($D$71:Y71)</f>
        <v>0</v>
      </c>
      <c r="Z75" s="130" t="n">
        <f aca="false">SUM($D$67:Z67)-SUM($D$71:Z71)</f>
        <v>0</v>
      </c>
      <c r="AA75" s="130" t="n">
        <f aca="false">SUM($D$67:AA67)-SUM($D$71:AA71)</f>
        <v>0</v>
      </c>
      <c r="AB75" s="130" t="n">
        <f aca="false">SUM($D$67:AB67)-SUM($D$71:AB71)</f>
        <v>0</v>
      </c>
      <c r="AC75" s="130" t="n">
        <f aca="false">SUM($D$67:AC67)-SUM($D$71:AC71)</f>
        <v>0</v>
      </c>
      <c r="AD75" s="130" t="n">
        <f aca="false">SUM($D$67:AD67)-SUM($D$71:AD71)</f>
        <v>0</v>
      </c>
      <c r="AE75" s="130" t="n">
        <f aca="false">SUM($D$67:AE67)-SUM($D$71:AE71)</f>
        <v>0</v>
      </c>
      <c r="AF75" s="130" t="n">
        <f aca="false">SUM($D$67:AF67)-SUM($D$71:AF71)</f>
        <v>0</v>
      </c>
      <c r="AG75" s="130" t="n">
        <f aca="false">SUM($D$67:AG67)-SUM($D$71:AG71)</f>
        <v>0</v>
      </c>
      <c r="AH75" s="130" t="n">
        <f aca="false">SUM($D$67:AH67)-SUM($D$71:AH71)</f>
        <v>0</v>
      </c>
      <c r="AI75" s="130" t="n">
        <f aca="false">SUM($D$67:AI67)-SUM($D$71:AI71)</f>
        <v>0</v>
      </c>
      <c r="AJ75" s="130" t="n">
        <f aca="false">SUM($D$67:AJ67)-SUM($D$71:AJ71)</f>
        <v>0</v>
      </c>
      <c r="AK75" s="130" t="n">
        <f aca="false">SUM($D$67:AK67)-SUM($D$71:AK71)</f>
        <v>0</v>
      </c>
      <c r="AL75" s="130" t="n">
        <f aca="false">SUM($D$67:AL67)-SUM($D$71:AL71)</f>
        <v>0</v>
      </c>
      <c r="AM75" s="638"/>
      <c r="AN75" s="100"/>
      <c r="AO75" s="100"/>
      <c r="AP75" s="100"/>
      <c r="AQ75" s="100"/>
      <c r="AR75" s="100"/>
      <c r="AS75" s="100"/>
      <c r="AT75" s="100"/>
      <c r="AU75" s="100"/>
      <c r="AV75" s="100"/>
      <c r="AW75" s="100"/>
      <c r="AX75" s="100"/>
      <c r="AY75" s="100"/>
      <c r="AZ75" s="100"/>
      <c r="BA75" s="100"/>
      <c r="BB75" s="100"/>
      <c r="BC75" s="100"/>
      <c r="BD75" s="100"/>
      <c r="BE75" s="100"/>
      <c r="BF75" s="100"/>
      <c r="BG75" s="100"/>
      <c r="BH75" s="100"/>
      <c r="BI75" s="100"/>
      <c r="BJ75" s="100"/>
      <c r="BK75" s="100"/>
      <c r="BL75" s="100"/>
      <c r="BM75" s="100"/>
      <c r="BN75" s="100"/>
      <c r="BO75" s="100"/>
      <c r="BP75" s="100"/>
      <c r="BQ75" s="100"/>
      <c r="BR75" s="100"/>
      <c r="BS75" s="100"/>
      <c r="BT75" s="100"/>
      <c r="BU75" s="100"/>
      <c r="BV75" s="100"/>
      <c r="BW75" s="100"/>
      <c r="BX75" s="100"/>
      <c r="BY75" s="100"/>
      <c r="BZ75" s="100"/>
      <c r="CA75" s="100"/>
      <c r="CB75" s="100"/>
      <c r="CC75" s="100"/>
      <c r="CD75" s="100"/>
      <c r="CE75" s="100"/>
      <c r="CF75" s="100"/>
      <c r="CG75" s="100"/>
      <c r="CH75" s="100"/>
      <c r="CI75" s="100"/>
      <c r="CJ75" s="100"/>
      <c r="CK75" s="100"/>
      <c r="CL75" s="100"/>
      <c r="CM75" s="100"/>
      <c r="CN75" s="100"/>
      <c r="CO75" s="100"/>
      <c r="CP75" s="100"/>
      <c r="CQ75" s="100"/>
      <c r="CR75" s="100"/>
      <c r="CS75" s="100"/>
      <c r="CT75" s="100"/>
      <c r="CU75" s="100"/>
      <c r="CV75" s="100"/>
      <c r="CW75" s="100"/>
      <c r="CX75" s="100"/>
      <c r="CY75" s="100"/>
      <c r="CZ75" s="100"/>
      <c r="DA75" s="100"/>
      <c r="DB75" s="100"/>
      <c r="DC75" s="100"/>
      <c r="DD75" s="100"/>
      <c r="DE75" s="100"/>
      <c r="DF75" s="100"/>
      <c r="DG75" s="100"/>
      <c r="DH75" s="100"/>
      <c r="DI75" s="100"/>
      <c r="DJ75" s="100"/>
      <c r="DK75" s="100"/>
      <c r="DL75" s="100"/>
      <c r="DM75" s="100"/>
      <c r="DN75" s="100"/>
      <c r="DO75" s="100"/>
      <c r="DP75" s="100"/>
      <c r="DQ75" s="100"/>
      <c r="DR75" s="100"/>
      <c r="DS75" s="100"/>
      <c r="DT75" s="100"/>
      <c r="DU75" s="100"/>
      <c r="DV75" s="100"/>
      <c r="DW75" s="100"/>
      <c r="DX75" s="100"/>
      <c r="DY75" s="100"/>
      <c r="DZ75" s="100"/>
      <c r="EA75" s="100"/>
      <c r="EB75" s="100"/>
      <c r="EC75" s="100"/>
      <c r="ED75" s="100"/>
      <c r="EE75" s="100"/>
      <c r="EF75" s="100"/>
      <c r="EG75" s="100"/>
      <c r="EH75" s="100"/>
      <c r="EI75" s="100"/>
      <c r="EJ75" s="100"/>
      <c r="EK75" s="100"/>
      <c r="EL75" s="100"/>
      <c r="EM75" s="100"/>
      <c r="EN75" s="100"/>
      <c r="EO75" s="100"/>
      <c r="EP75" s="100"/>
      <c r="EQ75" s="100"/>
      <c r="ER75" s="100"/>
      <c r="ES75" s="100"/>
      <c r="ET75" s="100"/>
      <c r="EU75" s="100"/>
      <c r="EV75" s="100"/>
      <c r="EW75" s="100"/>
      <c r="EX75" s="100"/>
      <c r="EY75" s="100"/>
      <c r="EZ75" s="100"/>
      <c r="FA75" s="100"/>
      <c r="FB75" s="100"/>
      <c r="FC75" s="100"/>
      <c r="FD75" s="100"/>
      <c r="FE75" s="100"/>
      <c r="FF75" s="100"/>
      <c r="FG75" s="100"/>
      <c r="FH75" s="100"/>
      <c r="FI75" s="100"/>
      <c r="FJ75" s="100"/>
      <c r="FK75" s="100"/>
      <c r="FL75" s="100"/>
      <c r="FM75" s="100"/>
      <c r="FN75" s="100"/>
      <c r="FO75" s="100"/>
      <c r="FP75" s="100"/>
      <c r="FQ75" s="100"/>
      <c r="FR75" s="100"/>
      <c r="FS75" s="100"/>
      <c r="FT75" s="100"/>
      <c r="FU75" s="100"/>
      <c r="FV75" s="100"/>
      <c r="FW75" s="100"/>
      <c r="FX75" s="100"/>
      <c r="FY75" s="100"/>
      <c r="FZ75" s="100"/>
      <c r="GA75" s="100"/>
      <c r="GB75" s="100"/>
      <c r="GC75" s="100"/>
      <c r="GD75" s="100"/>
      <c r="GE75" s="100"/>
      <c r="GF75" s="100"/>
      <c r="GG75" s="100"/>
      <c r="GH75" s="100"/>
      <c r="GI75" s="100"/>
      <c r="GJ75" s="100"/>
      <c r="GK75" s="100"/>
      <c r="GL75" s="100"/>
      <c r="GM75" s="100"/>
      <c r="GN75" s="100"/>
      <c r="GO75" s="100"/>
      <c r="GP75" s="100"/>
      <c r="GQ75" s="100"/>
      <c r="GR75" s="100"/>
      <c r="GS75" s="100"/>
      <c r="GT75" s="100"/>
      <c r="GU75" s="100"/>
      <c r="GV75" s="100"/>
      <c r="GW75" s="100"/>
      <c r="GX75" s="100"/>
      <c r="GY75" s="100"/>
      <c r="GZ75" s="100"/>
      <c r="HA75" s="100"/>
      <c r="HB75" s="100"/>
      <c r="HC75" s="100"/>
      <c r="HD75" s="100"/>
      <c r="HE75" s="100"/>
      <c r="HF75" s="100"/>
      <c r="HG75" s="100"/>
      <c r="HH75" s="100"/>
      <c r="HI75" s="100"/>
      <c r="HJ75" s="100"/>
      <c r="HK75" s="100"/>
      <c r="HL75" s="100"/>
      <c r="HM75" s="100"/>
      <c r="HN75" s="100"/>
      <c r="HO75" s="100"/>
      <c r="HP75" s="100"/>
      <c r="HQ75" s="100"/>
      <c r="HR75" s="100"/>
      <c r="HS75" s="100"/>
      <c r="HT75" s="100"/>
      <c r="HU75" s="100"/>
      <c r="HV75" s="100"/>
      <c r="HW75" s="100"/>
      <c r="HX75" s="100"/>
      <c r="HY75" s="100"/>
      <c r="HZ75" s="100"/>
      <c r="IA75" s="100"/>
      <c r="IB75" s="100"/>
      <c r="IC75" s="100"/>
      <c r="ID75" s="100"/>
      <c r="IE75" s="100"/>
      <c r="IF75" s="100"/>
      <c r="IG75" s="100"/>
      <c r="IH75" s="100"/>
      <c r="II75" s="100"/>
      <c r="IJ75" s="100"/>
      <c r="IK75" s="100"/>
      <c r="IL75" s="100"/>
      <c r="IM75" s="100"/>
      <c r="IN75" s="100"/>
      <c r="IO75" s="100"/>
      <c r="IP75" s="100"/>
      <c r="IQ75" s="100"/>
      <c r="IR75" s="100"/>
      <c r="IS75" s="100"/>
      <c r="IT75" s="100"/>
      <c r="IU75" s="100"/>
      <c r="IV75" s="100"/>
      <c r="IW75" s="100"/>
    </row>
    <row r="76" customFormat="false" ht="12.75" hidden="false" customHeight="false" outlineLevel="0" collapsed="false">
      <c r="A76" s="100"/>
      <c r="B76" s="1137" t="s">
        <v>334</v>
      </c>
      <c r="C76" s="327"/>
      <c r="D76" s="130" t="n">
        <f aca="false">SUM($D$68:D68)-SUM($D$72:D72)</f>
        <v>0</v>
      </c>
      <c r="E76" s="130" t="n">
        <f aca="false">SUM($D$68:E68)-SUM($D$72:E72)</f>
        <v>0</v>
      </c>
      <c r="F76" s="130" t="n">
        <f aca="false">SUM($D$68:F68)-SUM($D$72:F72)</f>
        <v>0</v>
      </c>
      <c r="G76" s="130" t="n">
        <f aca="false">SUM($D$68:G68)-SUM($D$72:G72)</f>
        <v>29.7620354182176</v>
      </c>
      <c r="H76" s="130" t="n">
        <f aca="false">SUM($D$68:H68)-SUM($D$72:H72)</f>
        <v>68.6262431906961</v>
      </c>
      <c r="I76" s="130" t="n">
        <f aca="false">SUM($D$68:I68)-SUM($D$72:I72)</f>
        <v>85.7433882478007</v>
      </c>
      <c r="J76" s="130" t="n">
        <f aca="false">SUM($D$68:J68)-SUM($D$72:J72)</f>
        <v>81.1648345932907</v>
      </c>
      <c r="K76" s="130" t="n">
        <f aca="false">SUM($D$68:K68)-SUM($D$72:K72)</f>
        <v>76.0680733418057</v>
      </c>
      <c r="L76" s="130" t="n">
        <f aca="false">SUM($D$68:L68)-SUM($D$72:L72)</f>
        <v>70.4341533334513</v>
      </c>
      <c r="M76" s="130" t="n">
        <f aca="false">SUM($D$68:M68)-SUM($D$72:M72)</f>
        <v>64.213434421065</v>
      </c>
      <c r="N76" s="130" t="n">
        <f aca="false">SUM($D$68:N68)-SUM($D$72:N72)</f>
        <v>57.0438941808729</v>
      </c>
      <c r="O76" s="130" t="n">
        <f aca="false">SUM($D$68:O68)-SUM($D$72:O72)</f>
        <v>49.1218478284192</v>
      </c>
      <c r="P76" s="130" t="n">
        <f aca="false">SUM($D$68:P68)-SUM($D$72:P72)</f>
        <v>40.4025807966233</v>
      </c>
      <c r="Q76" s="130" t="n">
        <f aca="false">SUM($D$68:Q68)-SUM($D$72:Q72)</f>
        <v>30.8154216800578</v>
      </c>
      <c r="R76" s="130" t="n">
        <f aca="false">SUM($D$68:R68)-SUM($D$72:R72)</f>
        <v>20.2946473154099</v>
      </c>
      <c r="S76" s="130" t="n">
        <f aca="false">SUM($D$68:S68)-SUM($D$72:S72)</f>
        <v>8.73505354522752</v>
      </c>
      <c r="T76" s="130" t="n">
        <f aca="false">SUM($D$68:T68)-SUM($D$72:T72)</f>
        <v>0</v>
      </c>
      <c r="U76" s="130" t="n">
        <f aca="false">SUM($D$68:U68)-SUM($D$72:U72)</f>
        <v>0</v>
      </c>
      <c r="V76" s="130" t="n">
        <f aca="false">SUM($D$68:V68)-SUM($D$72:V72)</f>
        <v>0</v>
      </c>
      <c r="W76" s="130" t="n">
        <f aca="false">SUM($D$68:W68)-SUM($D$72:W72)</f>
        <v>0</v>
      </c>
      <c r="X76" s="130" t="n">
        <f aca="false">SUM($D$68:X68)-SUM($D$72:X72)</f>
        <v>0</v>
      </c>
      <c r="Y76" s="130" t="n">
        <f aca="false">SUM($D$68:Y68)-SUM($D$72:Y72)</f>
        <v>0</v>
      </c>
      <c r="Z76" s="130" t="n">
        <f aca="false">SUM($D$68:Z68)-SUM($D$72:Z72)</f>
        <v>0</v>
      </c>
      <c r="AA76" s="130" t="n">
        <f aca="false">SUM($D$68:AA68)-SUM($D$72:AA72)</f>
        <v>0</v>
      </c>
      <c r="AB76" s="130" t="n">
        <f aca="false">SUM($D$68:AB68)-SUM($D$72:AB72)</f>
        <v>0</v>
      </c>
      <c r="AC76" s="130" t="n">
        <f aca="false">SUM($D$68:AC68)-SUM($D$72:AC72)</f>
        <v>0</v>
      </c>
      <c r="AD76" s="130" t="n">
        <f aca="false">SUM($D$68:AD68)-SUM($D$72:AD72)</f>
        <v>0</v>
      </c>
      <c r="AE76" s="130" t="n">
        <f aca="false">SUM($D$68:AE68)-SUM($D$72:AE72)</f>
        <v>0</v>
      </c>
      <c r="AF76" s="130" t="n">
        <f aca="false">SUM($D$68:AF68)-SUM($D$72:AF72)</f>
        <v>0</v>
      </c>
      <c r="AG76" s="130" t="n">
        <f aca="false">SUM($D$68:AG68)-SUM($D$72:AG72)</f>
        <v>0</v>
      </c>
      <c r="AH76" s="130" t="n">
        <f aca="false">SUM($D$68:AH68)-SUM($D$72:AH72)</f>
        <v>0</v>
      </c>
      <c r="AI76" s="130" t="n">
        <f aca="false">SUM($D$68:AI68)-SUM($D$72:AI72)</f>
        <v>0</v>
      </c>
      <c r="AJ76" s="130" t="n">
        <f aca="false">SUM($D$68:AJ68)-SUM($D$72:AJ72)</f>
        <v>0</v>
      </c>
      <c r="AK76" s="130" t="n">
        <f aca="false">SUM($D$68:AK68)-SUM($D$72:AK72)</f>
        <v>0</v>
      </c>
      <c r="AL76" s="130" t="n">
        <f aca="false">SUM($D$68:AL68)-SUM($D$72:AL72)</f>
        <v>0</v>
      </c>
      <c r="AM76" s="638"/>
      <c r="AN76" s="100"/>
      <c r="AO76" s="100"/>
      <c r="AP76" s="100"/>
      <c r="AQ76" s="100"/>
      <c r="AR76" s="100"/>
      <c r="AS76" s="100"/>
      <c r="AT76" s="100"/>
      <c r="AU76" s="100"/>
      <c r="AV76" s="100"/>
      <c r="AW76" s="100"/>
      <c r="AX76" s="100"/>
      <c r="AY76" s="100"/>
      <c r="AZ76" s="100"/>
      <c r="BA76" s="100"/>
      <c r="BB76" s="100"/>
      <c r="BC76" s="100"/>
      <c r="BD76" s="100"/>
      <c r="BE76" s="100"/>
      <c r="BF76" s="100"/>
      <c r="BG76" s="100"/>
      <c r="BH76" s="100"/>
      <c r="BI76" s="100"/>
      <c r="BJ76" s="100"/>
      <c r="BK76" s="100"/>
      <c r="BL76" s="100"/>
      <c r="BM76" s="100"/>
      <c r="BN76" s="100"/>
      <c r="BO76" s="100"/>
      <c r="BP76" s="100"/>
      <c r="BQ76" s="100"/>
      <c r="BR76" s="100"/>
      <c r="BS76" s="100"/>
      <c r="BT76" s="100"/>
      <c r="BU76" s="100"/>
      <c r="BV76" s="100"/>
      <c r="BW76" s="100"/>
      <c r="BX76" s="100"/>
      <c r="BY76" s="100"/>
      <c r="BZ76" s="100"/>
      <c r="CA76" s="100"/>
      <c r="CB76" s="100"/>
      <c r="CC76" s="100"/>
      <c r="CD76" s="100"/>
      <c r="CE76" s="100"/>
      <c r="CF76" s="100"/>
      <c r="CG76" s="100"/>
      <c r="CH76" s="100"/>
      <c r="CI76" s="100"/>
      <c r="CJ76" s="100"/>
      <c r="CK76" s="100"/>
      <c r="CL76" s="100"/>
      <c r="CM76" s="100"/>
      <c r="CN76" s="100"/>
      <c r="CO76" s="100"/>
      <c r="CP76" s="100"/>
      <c r="CQ76" s="100"/>
      <c r="CR76" s="100"/>
      <c r="CS76" s="100"/>
      <c r="CT76" s="100"/>
      <c r="CU76" s="100"/>
      <c r="CV76" s="100"/>
      <c r="CW76" s="100"/>
      <c r="CX76" s="100"/>
      <c r="CY76" s="100"/>
      <c r="CZ76" s="100"/>
      <c r="DA76" s="100"/>
      <c r="DB76" s="100"/>
      <c r="DC76" s="100"/>
      <c r="DD76" s="100"/>
      <c r="DE76" s="100"/>
      <c r="DF76" s="100"/>
      <c r="DG76" s="100"/>
      <c r="DH76" s="100"/>
      <c r="DI76" s="100"/>
      <c r="DJ76" s="100"/>
      <c r="DK76" s="100"/>
      <c r="DL76" s="100"/>
      <c r="DM76" s="100"/>
      <c r="DN76" s="100"/>
      <c r="DO76" s="100"/>
      <c r="DP76" s="100"/>
      <c r="DQ76" s="100"/>
      <c r="DR76" s="100"/>
      <c r="DS76" s="100"/>
      <c r="DT76" s="100"/>
      <c r="DU76" s="100"/>
      <c r="DV76" s="100"/>
      <c r="DW76" s="100"/>
      <c r="DX76" s="100"/>
      <c r="DY76" s="100"/>
      <c r="DZ76" s="100"/>
      <c r="EA76" s="100"/>
      <c r="EB76" s="100"/>
      <c r="EC76" s="100"/>
      <c r="ED76" s="100"/>
      <c r="EE76" s="100"/>
      <c r="EF76" s="100"/>
      <c r="EG76" s="100"/>
      <c r="EH76" s="100"/>
      <c r="EI76" s="100"/>
      <c r="EJ76" s="100"/>
      <c r="EK76" s="100"/>
      <c r="EL76" s="100"/>
      <c r="EM76" s="100"/>
      <c r="EN76" s="100"/>
      <c r="EO76" s="100"/>
      <c r="EP76" s="100"/>
      <c r="EQ76" s="100"/>
      <c r="ER76" s="100"/>
      <c r="ES76" s="100"/>
      <c r="ET76" s="100"/>
      <c r="EU76" s="100"/>
      <c r="EV76" s="100"/>
      <c r="EW76" s="100"/>
      <c r="EX76" s="100"/>
      <c r="EY76" s="100"/>
      <c r="EZ76" s="100"/>
      <c r="FA76" s="100"/>
      <c r="FB76" s="100"/>
      <c r="FC76" s="100"/>
      <c r="FD76" s="100"/>
      <c r="FE76" s="100"/>
      <c r="FF76" s="100"/>
      <c r="FG76" s="100"/>
      <c r="FH76" s="100"/>
      <c r="FI76" s="100"/>
      <c r="FJ76" s="100"/>
      <c r="FK76" s="100"/>
      <c r="FL76" s="100"/>
      <c r="FM76" s="100"/>
      <c r="FN76" s="100"/>
      <c r="FO76" s="100"/>
      <c r="FP76" s="100"/>
      <c r="FQ76" s="100"/>
      <c r="FR76" s="100"/>
      <c r="FS76" s="100"/>
      <c r="FT76" s="100"/>
      <c r="FU76" s="100"/>
      <c r="FV76" s="100"/>
      <c r="FW76" s="100"/>
      <c r="FX76" s="100"/>
      <c r="FY76" s="100"/>
      <c r="FZ76" s="100"/>
      <c r="GA76" s="100"/>
      <c r="GB76" s="100"/>
      <c r="GC76" s="100"/>
      <c r="GD76" s="100"/>
      <c r="GE76" s="100"/>
      <c r="GF76" s="100"/>
      <c r="GG76" s="100"/>
      <c r="GH76" s="100"/>
      <c r="GI76" s="100"/>
      <c r="GJ76" s="100"/>
      <c r="GK76" s="100"/>
      <c r="GL76" s="100"/>
      <c r="GM76" s="100"/>
      <c r="GN76" s="100"/>
      <c r="GO76" s="100"/>
      <c r="GP76" s="100"/>
      <c r="GQ76" s="100"/>
      <c r="GR76" s="100"/>
      <c r="GS76" s="100"/>
      <c r="GT76" s="100"/>
      <c r="GU76" s="100"/>
      <c r="GV76" s="100"/>
      <c r="GW76" s="100"/>
      <c r="GX76" s="100"/>
      <c r="GY76" s="100"/>
      <c r="GZ76" s="100"/>
      <c r="HA76" s="100"/>
      <c r="HB76" s="100"/>
      <c r="HC76" s="100"/>
      <c r="HD76" s="100"/>
      <c r="HE76" s="100"/>
      <c r="HF76" s="100"/>
      <c r="HG76" s="100"/>
      <c r="HH76" s="100"/>
      <c r="HI76" s="100"/>
      <c r="HJ76" s="100"/>
      <c r="HK76" s="100"/>
      <c r="HL76" s="100"/>
      <c r="HM76" s="100"/>
      <c r="HN76" s="100"/>
      <c r="HO76" s="100"/>
      <c r="HP76" s="100"/>
      <c r="HQ76" s="100"/>
      <c r="HR76" s="100"/>
      <c r="HS76" s="100"/>
      <c r="HT76" s="100"/>
      <c r="HU76" s="100"/>
      <c r="HV76" s="100"/>
      <c r="HW76" s="100"/>
      <c r="HX76" s="100"/>
      <c r="HY76" s="100"/>
      <c r="HZ76" s="100"/>
      <c r="IA76" s="100"/>
      <c r="IB76" s="100"/>
      <c r="IC76" s="100"/>
      <c r="ID76" s="100"/>
      <c r="IE76" s="100"/>
      <c r="IF76" s="100"/>
      <c r="IG76" s="100"/>
      <c r="IH76" s="100"/>
      <c r="II76" s="100"/>
      <c r="IJ76" s="100"/>
      <c r="IK76" s="100"/>
      <c r="IL76" s="100"/>
      <c r="IM76" s="100"/>
      <c r="IN76" s="100"/>
      <c r="IO76" s="100"/>
      <c r="IP76" s="100"/>
      <c r="IQ76" s="100"/>
      <c r="IR76" s="100"/>
      <c r="IS76" s="100"/>
      <c r="IT76" s="100"/>
      <c r="IU76" s="100"/>
      <c r="IV76" s="100"/>
      <c r="IW76" s="100"/>
    </row>
    <row r="77" customFormat="false" ht="12.75" hidden="false" customHeight="false" outlineLevel="0" collapsed="false">
      <c r="A77" s="100"/>
      <c r="B77" s="1140" t="s">
        <v>753</v>
      </c>
      <c r="C77" s="437"/>
      <c r="D77" s="313" t="n">
        <f aca="false">IF(SUM(D$75:D$76)=0,0,D75/(SUM(D$75:D$76)))</f>
        <v>0</v>
      </c>
      <c r="E77" s="313" t="n">
        <f aca="false">IF(SUM(E$75:E$76)=0,0,E75/(SUM(E$75:E$76)))</f>
        <v>0</v>
      </c>
      <c r="F77" s="313" t="n">
        <f aca="false">IF(SUM(F$75:F$76)=0,0,F75/(SUM(F$75:F$76)))</f>
        <v>0</v>
      </c>
      <c r="G77" s="313" t="n">
        <f aca="false">IF(SUM(G$75:G$76)=0,0,G75/(SUM(G$75:G$76)))</f>
        <v>0.99</v>
      </c>
      <c r="H77" s="313" t="n">
        <f aca="false">IF(SUM(H$75:H$76)=0,0,H75/(SUM(H$75:H$76)))</f>
        <v>0.99</v>
      </c>
      <c r="I77" s="313" t="n">
        <f aca="false">IF(SUM(I$75:I$76)=0,0,I75/(SUM(I$75:I$76)))</f>
        <v>0.99</v>
      </c>
      <c r="J77" s="313" t="n">
        <f aca="false">IF(SUM(J$75:J$76)=0,0,J75/(SUM(J$75:J$76)))</f>
        <v>0.99</v>
      </c>
      <c r="K77" s="313" t="n">
        <f aca="false">IF(SUM(K$75:K$76)=0,0,K75/(SUM(K$75:K$76)))</f>
        <v>0.99</v>
      </c>
      <c r="L77" s="313" t="n">
        <f aca="false">IF(SUM(L$75:L$76)=0,0,L75/(SUM(L$75:L$76)))</f>
        <v>0.99</v>
      </c>
      <c r="M77" s="313" t="n">
        <f aca="false">IF(SUM(M$75:M$76)=0,0,M75/(SUM(M$75:M$76)))</f>
        <v>0.99</v>
      </c>
      <c r="N77" s="313" t="n">
        <f aca="false">IF(SUM(N$75:N$76)=0,0,N75/(SUM(N$75:N$76)))</f>
        <v>0.99</v>
      </c>
      <c r="O77" s="313" t="n">
        <f aca="false">IF(SUM(O$75:O$76)=0,0,O75/(SUM(O$75:O$76)))</f>
        <v>0.99</v>
      </c>
      <c r="P77" s="313" t="n">
        <f aca="false">IF(SUM(P$75:P$76)=0,0,P75/(SUM(P$75:P$76)))</f>
        <v>0.99</v>
      </c>
      <c r="Q77" s="313" t="n">
        <f aca="false">IF(SUM(Q$75:Q$76)=0,0,Q75/(SUM(Q$75:Q$76)))</f>
        <v>0.99</v>
      </c>
      <c r="R77" s="313" t="n">
        <f aca="false">IF(SUM(R$75:R$76)=0,0,R75/(SUM(R$75:R$76)))</f>
        <v>0.99</v>
      </c>
      <c r="S77" s="313" t="n">
        <f aca="false">IF(SUM(S$75:S$76)=0,0,S75/(SUM(S$75:S$76)))</f>
        <v>0.99</v>
      </c>
      <c r="T77" s="313" t="n">
        <f aca="false">IF(SUM(T$75:T$76)=0,0,T75/(SUM(T$75:T$76)))</f>
        <v>0</v>
      </c>
      <c r="U77" s="313" t="n">
        <f aca="false">IF(SUM(U$75:U$76)=0,0,U75/(SUM(U$75:U$76)))</f>
        <v>0</v>
      </c>
      <c r="V77" s="313" t="n">
        <f aca="false">IF(SUM(V$75:V$76)=0,0,V75/(SUM(V$75:V$76)))</f>
        <v>0</v>
      </c>
      <c r="W77" s="313" t="n">
        <f aca="false">IF(SUM(W$75:W$76)=0,0,W75/(SUM(W$75:W$76)))</f>
        <v>0</v>
      </c>
      <c r="X77" s="313" t="n">
        <f aca="false">IF(SUM(X$75:X$76)=0,0,X75/(SUM(X$75:X$76)))</f>
        <v>0</v>
      </c>
      <c r="Y77" s="313" t="n">
        <f aca="false">IF(SUM(Y$75:Y$76)=0,0,Y75/(SUM(Y$75:Y$76)))</f>
        <v>0</v>
      </c>
      <c r="Z77" s="313" t="n">
        <f aca="false">IF(SUM(Z$75:Z$76)=0,0,Z75/(SUM(Z$75:Z$76)))</f>
        <v>0</v>
      </c>
      <c r="AA77" s="313" t="n">
        <f aca="false">IF(SUM(AA$75:AA$76)=0,0,AA75/(SUM(AA$75:AA$76)))</f>
        <v>0</v>
      </c>
      <c r="AB77" s="313" t="n">
        <f aca="false">IF(SUM(AB$75:AB$76)=0,0,AB75/(SUM(AB$75:AB$76)))</f>
        <v>0</v>
      </c>
      <c r="AC77" s="313" t="n">
        <f aca="false">IF(SUM(AC$75:AC$76)=0,0,AC75/(SUM(AC$75:AC$76)))</f>
        <v>0</v>
      </c>
      <c r="AD77" s="313" t="n">
        <f aca="false">IF(SUM(AD$75:AD$76)=0,0,AD75/(SUM(AD$75:AD$76)))</f>
        <v>0</v>
      </c>
      <c r="AE77" s="313" t="n">
        <f aca="false">IF(SUM(AE$75:AE$76)=0,0,AE75/(SUM(AE$75:AE$76)))</f>
        <v>0</v>
      </c>
      <c r="AF77" s="313" t="n">
        <f aca="false">IF(SUM(AF$75:AF$76)=0,0,AF75/(SUM(AF$75:AF$76)))</f>
        <v>0</v>
      </c>
      <c r="AG77" s="313" t="n">
        <f aca="false">IF(SUM(AG$75:AG$76)=0,0,AG75/(SUM(AG$75:AG$76)))</f>
        <v>0</v>
      </c>
      <c r="AH77" s="313" t="n">
        <f aca="false">IF(SUM(AH$75:AH$76)=0,0,AH75/(SUM(AH$75:AH$76)))</f>
        <v>0</v>
      </c>
      <c r="AI77" s="313" t="n">
        <f aca="false">IF(SUM(AI$75:AI$76)=0,0,AI75/(SUM(AI$75:AI$76)))</f>
        <v>0</v>
      </c>
      <c r="AJ77" s="313" t="n">
        <f aca="false">IF(SUM(AJ$75:AJ$76)=0,0,AJ75/(SUM(AJ$75:AJ$76)))</f>
        <v>0</v>
      </c>
      <c r="AK77" s="313" t="n">
        <f aca="false">IF(SUM(AK$75:AK$76)=0,0,AK75/(SUM(AK$75:AK$76)))</f>
        <v>0</v>
      </c>
      <c r="AL77" s="313" t="n">
        <f aca="false">IF(SUM(AL$75:AL$76)=0,0,AL75/(SUM(AL$75:AL$76)))</f>
        <v>0</v>
      </c>
      <c r="AM77" s="638"/>
      <c r="AN77" s="100"/>
      <c r="AO77" s="100"/>
      <c r="AP77" s="100"/>
      <c r="AQ77" s="100"/>
      <c r="AR77" s="100"/>
      <c r="AS77" s="100"/>
      <c r="AT77" s="100"/>
      <c r="AU77" s="100"/>
      <c r="AV77" s="100"/>
      <c r="AW77" s="100"/>
      <c r="AX77" s="100"/>
      <c r="AY77" s="100"/>
      <c r="AZ77" s="100"/>
      <c r="BA77" s="100"/>
      <c r="BB77" s="100"/>
      <c r="BC77" s="100"/>
      <c r="BD77" s="100"/>
      <c r="BE77" s="100"/>
      <c r="BF77" s="100"/>
      <c r="BG77" s="100"/>
      <c r="BH77" s="100"/>
      <c r="BI77" s="100"/>
      <c r="BJ77" s="100"/>
      <c r="BK77" s="100"/>
      <c r="BL77" s="100"/>
      <c r="BM77" s="100"/>
      <c r="BN77" s="100"/>
      <c r="BO77" s="100"/>
      <c r="BP77" s="100"/>
      <c r="BQ77" s="100"/>
      <c r="BR77" s="100"/>
      <c r="BS77" s="100"/>
      <c r="BT77" s="100"/>
      <c r="BU77" s="100"/>
      <c r="BV77" s="100"/>
      <c r="BW77" s="100"/>
      <c r="BX77" s="100"/>
      <c r="BY77" s="100"/>
      <c r="BZ77" s="100"/>
      <c r="CA77" s="100"/>
      <c r="CB77" s="100"/>
      <c r="CC77" s="100"/>
      <c r="CD77" s="100"/>
      <c r="CE77" s="100"/>
      <c r="CF77" s="100"/>
      <c r="CG77" s="100"/>
      <c r="CH77" s="100"/>
      <c r="CI77" s="100"/>
      <c r="CJ77" s="100"/>
      <c r="CK77" s="100"/>
      <c r="CL77" s="100"/>
      <c r="CM77" s="100"/>
      <c r="CN77" s="100"/>
      <c r="CO77" s="100"/>
      <c r="CP77" s="100"/>
      <c r="CQ77" s="100"/>
      <c r="CR77" s="100"/>
      <c r="CS77" s="100"/>
      <c r="CT77" s="100"/>
      <c r="CU77" s="100"/>
      <c r="CV77" s="100"/>
      <c r="CW77" s="100"/>
      <c r="CX77" s="100"/>
      <c r="CY77" s="100"/>
      <c r="CZ77" s="100"/>
      <c r="DA77" s="100"/>
      <c r="DB77" s="100"/>
      <c r="DC77" s="100"/>
      <c r="DD77" s="100"/>
      <c r="DE77" s="100"/>
      <c r="DF77" s="100"/>
      <c r="DG77" s="100"/>
      <c r="DH77" s="100"/>
      <c r="DI77" s="100"/>
      <c r="DJ77" s="100"/>
      <c r="DK77" s="100"/>
      <c r="DL77" s="100"/>
      <c r="DM77" s="100"/>
      <c r="DN77" s="100"/>
      <c r="DO77" s="100"/>
      <c r="DP77" s="100"/>
      <c r="DQ77" s="100"/>
      <c r="DR77" s="100"/>
      <c r="DS77" s="100"/>
      <c r="DT77" s="100"/>
      <c r="DU77" s="100"/>
      <c r="DV77" s="100"/>
      <c r="DW77" s="100"/>
      <c r="DX77" s="100"/>
      <c r="DY77" s="100"/>
      <c r="DZ77" s="100"/>
      <c r="EA77" s="100"/>
      <c r="EB77" s="100"/>
      <c r="EC77" s="100"/>
      <c r="ED77" s="100"/>
      <c r="EE77" s="100"/>
      <c r="EF77" s="100"/>
      <c r="EG77" s="100"/>
      <c r="EH77" s="100"/>
      <c r="EI77" s="100"/>
      <c r="EJ77" s="100"/>
      <c r="EK77" s="100"/>
      <c r="EL77" s="100"/>
      <c r="EM77" s="100"/>
      <c r="EN77" s="100"/>
      <c r="EO77" s="100"/>
      <c r="EP77" s="100"/>
      <c r="EQ77" s="100"/>
      <c r="ER77" s="100"/>
      <c r="ES77" s="100"/>
      <c r="ET77" s="100"/>
      <c r="EU77" s="100"/>
      <c r="EV77" s="100"/>
      <c r="EW77" s="100"/>
      <c r="EX77" s="100"/>
      <c r="EY77" s="100"/>
      <c r="EZ77" s="100"/>
      <c r="FA77" s="100"/>
      <c r="FB77" s="100"/>
      <c r="FC77" s="100"/>
      <c r="FD77" s="100"/>
      <c r="FE77" s="100"/>
      <c r="FF77" s="100"/>
      <c r="FG77" s="100"/>
      <c r="FH77" s="100"/>
      <c r="FI77" s="100"/>
      <c r="FJ77" s="100"/>
      <c r="FK77" s="100"/>
      <c r="FL77" s="100"/>
      <c r="FM77" s="100"/>
      <c r="FN77" s="100"/>
      <c r="FO77" s="100"/>
      <c r="FP77" s="100"/>
      <c r="FQ77" s="100"/>
      <c r="FR77" s="100"/>
      <c r="FS77" s="100"/>
      <c r="FT77" s="100"/>
      <c r="FU77" s="100"/>
      <c r="FV77" s="100"/>
      <c r="FW77" s="100"/>
      <c r="FX77" s="100"/>
      <c r="FY77" s="100"/>
      <c r="FZ77" s="100"/>
      <c r="GA77" s="100"/>
      <c r="GB77" s="100"/>
      <c r="GC77" s="100"/>
      <c r="GD77" s="100"/>
      <c r="GE77" s="100"/>
      <c r="GF77" s="100"/>
      <c r="GG77" s="100"/>
      <c r="GH77" s="100"/>
      <c r="GI77" s="100"/>
      <c r="GJ77" s="100"/>
      <c r="GK77" s="100"/>
      <c r="GL77" s="100"/>
      <c r="GM77" s="100"/>
      <c r="GN77" s="100"/>
      <c r="GO77" s="100"/>
      <c r="GP77" s="100"/>
      <c r="GQ77" s="100"/>
      <c r="GR77" s="100"/>
      <c r="GS77" s="100"/>
      <c r="GT77" s="100"/>
      <c r="GU77" s="100"/>
      <c r="GV77" s="100"/>
      <c r="GW77" s="100"/>
      <c r="GX77" s="100"/>
      <c r="GY77" s="100"/>
      <c r="GZ77" s="100"/>
      <c r="HA77" s="100"/>
      <c r="HB77" s="100"/>
      <c r="HC77" s="100"/>
      <c r="HD77" s="100"/>
      <c r="HE77" s="100"/>
      <c r="HF77" s="100"/>
      <c r="HG77" s="100"/>
      <c r="HH77" s="100"/>
      <c r="HI77" s="100"/>
      <c r="HJ77" s="100"/>
      <c r="HK77" s="100"/>
      <c r="HL77" s="100"/>
      <c r="HM77" s="100"/>
      <c r="HN77" s="100"/>
      <c r="HO77" s="100"/>
      <c r="HP77" s="100"/>
      <c r="HQ77" s="100"/>
      <c r="HR77" s="100"/>
      <c r="HS77" s="100"/>
      <c r="HT77" s="100"/>
      <c r="HU77" s="100"/>
      <c r="HV77" s="100"/>
      <c r="HW77" s="100"/>
      <c r="HX77" s="100"/>
      <c r="HY77" s="100"/>
      <c r="HZ77" s="100"/>
      <c r="IA77" s="100"/>
      <c r="IB77" s="100"/>
      <c r="IC77" s="100"/>
      <c r="ID77" s="100"/>
      <c r="IE77" s="100"/>
      <c r="IF77" s="100"/>
      <c r="IG77" s="100"/>
      <c r="IH77" s="100"/>
      <c r="II77" s="100"/>
      <c r="IJ77" s="100"/>
      <c r="IK77" s="100"/>
      <c r="IL77" s="100"/>
      <c r="IM77" s="100"/>
      <c r="IN77" s="100"/>
      <c r="IO77" s="100"/>
      <c r="IP77" s="100"/>
      <c r="IQ77" s="100"/>
      <c r="IR77" s="100"/>
      <c r="IS77" s="100"/>
      <c r="IT77" s="100"/>
      <c r="IU77" s="100"/>
      <c r="IV77" s="100"/>
      <c r="IW77" s="100"/>
    </row>
    <row r="78" customFormat="false" ht="12.75" hidden="false" customHeight="false" outlineLevel="0" collapsed="false">
      <c r="A78" s="100"/>
      <c r="B78" s="1140" t="s">
        <v>753</v>
      </c>
      <c r="C78" s="437"/>
      <c r="D78" s="313" t="n">
        <f aca="false">IF(SUM(D$75:D$76)=0,0,D76/(SUM(D$75:D$76)))</f>
        <v>0</v>
      </c>
      <c r="E78" s="313" t="n">
        <f aca="false">IF(SUM(E$75:E$76)=0,0,E76/(SUM(E$75:E$76)))</f>
        <v>0</v>
      </c>
      <c r="F78" s="313" t="n">
        <f aca="false">IF(SUM(F$75:F$76)=0,0,F76/(SUM(F$75:F$76)))</f>
        <v>0</v>
      </c>
      <c r="G78" s="313" t="n">
        <f aca="false">IF(SUM(G$75:G$76)=0,0,G76/(SUM(G$75:G$76)))</f>
        <v>0.01</v>
      </c>
      <c r="H78" s="313" t="n">
        <f aca="false">IF(SUM(H$75:H$76)=0,0,H76/(SUM(H$75:H$76)))</f>
        <v>0.01</v>
      </c>
      <c r="I78" s="313" t="n">
        <f aca="false">IF(SUM(I$75:I$76)=0,0,I76/(SUM(I$75:I$76)))</f>
        <v>0.01</v>
      </c>
      <c r="J78" s="313" t="n">
        <f aca="false">IF(SUM(J$75:J$76)=0,0,J76/(SUM(J$75:J$76)))</f>
        <v>0.01</v>
      </c>
      <c r="K78" s="313" t="n">
        <f aca="false">IF(SUM(K$75:K$76)=0,0,K76/(SUM(K$75:K$76)))</f>
        <v>0.01</v>
      </c>
      <c r="L78" s="313" t="n">
        <f aca="false">IF(SUM(L$75:L$76)=0,0,L76/(SUM(L$75:L$76)))</f>
        <v>0.01</v>
      </c>
      <c r="M78" s="313" t="n">
        <f aca="false">IF(SUM(M$75:M$76)=0,0,M76/(SUM(M$75:M$76)))</f>
        <v>0.01</v>
      </c>
      <c r="N78" s="313" t="n">
        <f aca="false">IF(SUM(N$75:N$76)=0,0,N76/(SUM(N$75:N$76)))</f>
        <v>0.01</v>
      </c>
      <c r="O78" s="313" t="n">
        <f aca="false">IF(SUM(O$75:O$76)=0,0,O76/(SUM(O$75:O$76)))</f>
        <v>0.01</v>
      </c>
      <c r="P78" s="313" t="n">
        <f aca="false">IF(SUM(P$75:P$76)=0,0,P76/(SUM(P$75:P$76)))</f>
        <v>0.01</v>
      </c>
      <c r="Q78" s="313" t="n">
        <f aca="false">IF(SUM(Q$75:Q$76)=0,0,Q76/(SUM(Q$75:Q$76)))</f>
        <v>0.01</v>
      </c>
      <c r="R78" s="313" t="n">
        <f aca="false">IF(SUM(R$75:R$76)=0,0,R76/(SUM(R$75:R$76)))</f>
        <v>0.01</v>
      </c>
      <c r="S78" s="313" t="n">
        <f aca="false">IF(SUM(S$75:S$76)=0,0,S76/(SUM(S$75:S$76)))</f>
        <v>0.01</v>
      </c>
      <c r="T78" s="313" t="n">
        <f aca="false">IF(SUM(T$75:T$76)=0,0,T76/(SUM(T$75:T$76)))</f>
        <v>0</v>
      </c>
      <c r="U78" s="313" t="n">
        <f aca="false">IF(SUM(U$75:U$76)=0,0,U76/(SUM(U$75:U$76)))</f>
        <v>0</v>
      </c>
      <c r="V78" s="313" t="n">
        <f aca="false">IF(SUM(V$75:V$76)=0,0,V76/(SUM(V$75:V$76)))</f>
        <v>0</v>
      </c>
      <c r="W78" s="313" t="n">
        <f aca="false">IF(SUM(W$75:W$76)=0,0,W76/(SUM(W$75:W$76)))</f>
        <v>0</v>
      </c>
      <c r="X78" s="313" t="n">
        <f aca="false">IF(SUM(X$75:X$76)=0,0,X76/(SUM(X$75:X$76)))</f>
        <v>0</v>
      </c>
      <c r="Y78" s="313" t="n">
        <f aca="false">IF(SUM(Y$75:Y$76)=0,0,Y76/(SUM(Y$75:Y$76)))</f>
        <v>0</v>
      </c>
      <c r="Z78" s="313" t="n">
        <f aca="false">IF(SUM(Z$75:Z$76)=0,0,Z76/(SUM(Z$75:Z$76)))</f>
        <v>0</v>
      </c>
      <c r="AA78" s="313" t="n">
        <f aca="false">IF(SUM(AA$75:AA$76)=0,0,AA76/(SUM(AA$75:AA$76)))</f>
        <v>0</v>
      </c>
      <c r="AB78" s="313" t="n">
        <f aca="false">IF(SUM(AB$75:AB$76)=0,0,AB76/(SUM(AB$75:AB$76)))</f>
        <v>0</v>
      </c>
      <c r="AC78" s="313" t="n">
        <f aca="false">IF(SUM(AC$75:AC$76)=0,0,AC76/(SUM(AC$75:AC$76)))</f>
        <v>0</v>
      </c>
      <c r="AD78" s="313" t="n">
        <f aca="false">IF(SUM(AD$75:AD$76)=0,0,AD76/(SUM(AD$75:AD$76)))</f>
        <v>0</v>
      </c>
      <c r="AE78" s="313" t="n">
        <f aca="false">IF(SUM(AE$75:AE$76)=0,0,AE76/(SUM(AE$75:AE$76)))</f>
        <v>0</v>
      </c>
      <c r="AF78" s="313" t="n">
        <f aca="false">IF(SUM(AF$75:AF$76)=0,0,AF76/(SUM(AF$75:AF$76)))</f>
        <v>0</v>
      </c>
      <c r="AG78" s="313" t="n">
        <f aca="false">IF(SUM(AG$75:AG$76)=0,0,AG76/(SUM(AG$75:AG$76)))</f>
        <v>0</v>
      </c>
      <c r="AH78" s="313" t="n">
        <f aca="false">IF(SUM(AH$75:AH$76)=0,0,AH76/(SUM(AH$75:AH$76)))</f>
        <v>0</v>
      </c>
      <c r="AI78" s="313" t="n">
        <f aca="false">IF(SUM(AI$75:AI$76)=0,0,AI76/(SUM(AI$75:AI$76)))</f>
        <v>0</v>
      </c>
      <c r="AJ78" s="313" t="n">
        <f aca="false">IF(SUM(AJ$75:AJ$76)=0,0,AJ76/(SUM(AJ$75:AJ$76)))</f>
        <v>0</v>
      </c>
      <c r="AK78" s="313" t="n">
        <f aca="false">IF(SUM(AK$75:AK$76)=0,0,AK76/(SUM(AK$75:AK$76)))</f>
        <v>0</v>
      </c>
      <c r="AL78" s="313" t="n">
        <f aca="false">IF(SUM(AL$75:AL$76)=0,0,AL76/(SUM(AL$75:AL$76)))</f>
        <v>0</v>
      </c>
      <c r="AM78" s="638"/>
      <c r="AN78" s="100"/>
      <c r="AO78" s="100"/>
      <c r="AP78" s="100"/>
      <c r="AQ78" s="100"/>
      <c r="AR78" s="100"/>
      <c r="AS78" s="100"/>
      <c r="AT78" s="100"/>
      <c r="AU78" s="100"/>
      <c r="AV78" s="100"/>
      <c r="AW78" s="100"/>
      <c r="AX78" s="100"/>
      <c r="AY78" s="100"/>
      <c r="AZ78" s="100"/>
      <c r="BA78" s="100"/>
      <c r="BB78" s="100"/>
      <c r="BC78" s="100"/>
      <c r="BD78" s="100"/>
      <c r="BE78" s="100"/>
      <c r="BF78" s="100"/>
      <c r="BG78" s="100"/>
      <c r="BH78" s="100"/>
      <c r="BI78" s="100"/>
      <c r="BJ78" s="100"/>
      <c r="BK78" s="100"/>
      <c r="BL78" s="100"/>
      <c r="BM78" s="100"/>
      <c r="BN78" s="100"/>
      <c r="BO78" s="100"/>
      <c r="BP78" s="100"/>
      <c r="BQ78" s="100"/>
      <c r="BR78" s="100"/>
      <c r="BS78" s="100"/>
      <c r="BT78" s="100"/>
      <c r="BU78" s="100"/>
      <c r="BV78" s="100"/>
      <c r="BW78" s="100"/>
      <c r="BX78" s="100"/>
      <c r="BY78" s="100"/>
      <c r="BZ78" s="100"/>
      <c r="CA78" s="100"/>
      <c r="CB78" s="100"/>
      <c r="CC78" s="100"/>
      <c r="CD78" s="100"/>
      <c r="CE78" s="100"/>
      <c r="CF78" s="100"/>
      <c r="CG78" s="100"/>
      <c r="CH78" s="100"/>
      <c r="CI78" s="100"/>
      <c r="CJ78" s="100"/>
      <c r="CK78" s="100"/>
      <c r="CL78" s="100"/>
      <c r="CM78" s="100"/>
      <c r="CN78" s="100"/>
      <c r="CO78" s="100"/>
      <c r="CP78" s="100"/>
      <c r="CQ78" s="100"/>
      <c r="CR78" s="100"/>
      <c r="CS78" s="100"/>
      <c r="CT78" s="100"/>
      <c r="CU78" s="100"/>
      <c r="CV78" s="100"/>
      <c r="CW78" s="100"/>
      <c r="CX78" s="100"/>
      <c r="CY78" s="100"/>
      <c r="CZ78" s="100"/>
      <c r="DA78" s="100"/>
      <c r="DB78" s="100"/>
      <c r="DC78" s="100"/>
      <c r="DD78" s="100"/>
      <c r="DE78" s="100"/>
      <c r="DF78" s="100"/>
      <c r="DG78" s="100"/>
      <c r="DH78" s="100"/>
      <c r="DI78" s="100"/>
      <c r="DJ78" s="100"/>
      <c r="DK78" s="100"/>
      <c r="DL78" s="100"/>
      <c r="DM78" s="100"/>
      <c r="DN78" s="100"/>
      <c r="DO78" s="100"/>
      <c r="DP78" s="100"/>
      <c r="DQ78" s="100"/>
      <c r="DR78" s="100"/>
      <c r="DS78" s="100"/>
      <c r="DT78" s="100"/>
      <c r="DU78" s="100"/>
      <c r="DV78" s="100"/>
      <c r="DW78" s="100"/>
      <c r="DX78" s="100"/>
      <c r="DY78" s="100"/>
      <c r="DZ78" s="100"/>
      <c r="EA78" s="100"/>
      <c r="EB78" s="100"/>
      <c r="EC78" s="100"/>
      <c r="ED78" s="100"/>
      <c r="EE78" s="100"/>
      <c r="EF78" s="100"/>
      <c r="EG78" s="100"/>
      <c r="EH78" s="100"/>
      <c r="EI78" s="100"/>
      <c r="EJ78" s="100"/>
      <c r="EK78" s="100"/>
      <c r="EL78" s="100"/>
      <c r="EM78" s="100"/>
      <c r="EN78" s="100"/>
      <c r="EO78" s="100"/>
      <c r="EP78" s="100"/>
      <c r="EQ78" s="100"/>
      <c r="ER78" s="100"/>
      <c r="ES78" s="100"/>
      <c r="ET78" s="100"/>
      <c r="EU78" s="100"/>
      <c r="EV78" s="100"/>
      <c r="EW78" s="100"/>
      <c r="EX78" s="100"/>
      <c r="EY78" s="100"/>
      <c r="EZ78" s="100"/>
      <c r="FA78" s="100"/>
      <c r="FB78" s="100"/>
      <c r="FC78" s="100"/>
      <c r="FD78" s="100"/>
      <c r="FE78" s="100"/>
      <c r="FF78" s="100"/>
      <c r="FG78" s="100"/>
      <c r="FH78" s="100"/>
      <c r="FI78" s="100"/>
      <c r="FJ78" s="100"/>
      <c r="FK78" s="100"/>
      <c r="FL78" s="100"/>
      <c r="FM78" s="100"/>
      <c r="FN78" s="100"/>
      <c r="FO78" s="100"/>
      <c r="FP78" s="100"/>
      <c r="FQ78" s="100"/>
      <c r="FR78" s="100"/>
      <c r="FS78" s="100"/>
      <c r="FT78" s="100"/>
      <c r="FU78" s="100"/>
      <c r="FV78" s="100"/>
      <c r="FW78" s="100"/>
      <c r="FX78" s="100"/>
      <c r="FY78" s="100"/>
      <c r="FZ78" s="100"/>
      <c r="GA78" s="100"/>
      <c r="GB78" s="100"/>
      <c r="GC78" s="100"/>
      <c r="GD78" s="100"/>
      <c r="GE78" s="100"/>
      <c r="GF78" s="100"/>
      <c r="GG78" s="100"/>
      <c r="GH78" s="100"/>
      <c r="GI78" s="100"/>
      <c r="GJ78" s="100"/>
      <c r="GK78" s="100"/>
      <c r="GL78" s="100"/>
      <c r="GM78" s="100"/>
      <c r="GN78" s="100"/>
      <c r="GO78" s="100"/>
      <c r="GP78" s="100"/>
      <c r="GQ78" s="100"/>
      <c r="GR78" s="100"/>
      <c r="GS78" s="100"/>
      <c r="GT78" s="100"/>
      <c r="GU78" s="100"/>
      <c r="GV78" s="100"/>
      <c r="GW78" s="100"/>
      <c r="GX78" s="100"/>
      <c r="GY78" s="100"/>
      <c r="GZ78" s="100"/>
      <c r="HA78" s="100"/>
      <c r="HB78" s="100"/>
      <c r="HC78" s="100"/>
      <c r="HD78" s="100"/>
      <c r="HE78" s="100"/>
      <c r="HF78" s="100"/>
      <c r="HG78" s="100"/>
      <c r="HH78" s="100"/>
      <c r="HI78" s="100"/>
      <c r="HJ78" s="100"/>
      <c r="HK78" s="100"/>
      <c r="HL78" s="100"/>
      <c r="HM78" s="100"/>
      <c r="HN78" s="100"/>
      <c r="HO78" s="100"/>
      <c r="HP78" s="100"/>
      <c r="HQ78" s="100"/>
      <c r="HR78" s="100"/>
      <c r="HS78" s="100"/>
      <c r="HT78" s="100"/>
      <c r="HU78" s="100"/>
      <c r="HV78" s="100"/>
      <c r="HW78" s="100"/>
      <c r="HX78" s="100"/>
      <c r="HY78" s="100"/>
      <c r="HZ78" s="100"/>
      <c r="IA78" s="100"/>
      <c r="IB78" s="100"/>
      <c r="IC78" s="100"/>
      <c r="ID78" s="100"/>
      <c r="IE78" s="100"/>
      <c r="IF78" s="100"/>
      <c r="IG78" s="100"/>
      <c r="IH78" s="100"/>
      <c r="II78" s="100"/>
      <c r="IJ78" s="100"/>
      <c r="IK78" s="100"/>
      <c r="IL78" s="100"/>
      <c r="IM78" s="100"/>
      <c r="IN78" s="100"/>
      <c r="IO78" s="100"/>
      <c r="IP78" s="100"/>
      <c r="IQ78" s="100"/>
      <c r="IR78" s="100"/>
      <c r="IS78" s="100"/>
      <c r="IT78" s="100"/>
      <c r="IU78" s="100"/>
      <c r="IV78" s="100"/>
      <c r="IW78" s="100"/>
    </row>
    <row r="79" customFormat="false" ht="12.75" hidden="false" customHeight="false" outlineLevel="0" collapsed="false">
      <c r="A79" s="100"/>
      <c r="B79" s="1135"/>
      <c r="C79" s="736"/>
      <c r="D79" s="100"/>
      <c r="E79" s="100"/>
      <c r="F79" s="100"/>
      <c r="G79" s="100"/>
      <c r="H79" s="100"/>
      <c r="I79" s="100"/>
      <c r="J79" s="100"/>
      <c r="K79" s="100"/>
      <c r="L79" s="100"/>
      <c r="M79" s="100"/>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638"/>
      <c r="AN79" s="100"/>
      <c r="AO79" s="100"/>
      <c r="AP79" s="100"/>
      <c r="AQ79" s="100"/>
      <c r="AR79" s="100"/>
      <c r="AS79" s="100"/>
      <c r="AT79" s="100"/>
      <c r="AU79" s="100"/>
      <c r="AV79" s="100"/>
      <c r="AW79" s="100"/>
      <c r="AX79" s="100"/>
      <c r="AY79" s="100"/>
      <c r="AZ79" s="100"/>
      <c r="BA79" s="100"/>
      <c r="BB79" s="100"/>
      <c r="BC79" s="100"/>
      <c r="BD79" s="100"/>
      <c r="BE79" s="100"/>
      <c r="BF79" s="100"/>
      <c r="BG79" s="100"/>
      <c r="BH79" s="100"/>
      <c r="BI79" s="100"/>
      <c r="BJ79" s="100"/>
      <c r="BK79" s="100"/>
      <c r="BL79" s="100"/>
      <c r="BM79" s="100"/>
      <c r="BN79" s="100"/>
      <c r="BO79" s="100"/>
      <c r="BP79" s="100"/>
      <c r="BQ79" s="100"/>
      <c r="BR79" s="100"/>
      <c r="BS79" s="100"/>
      <c r="BT79" s="100"/>
      <c r="BU79" s="100"/>
      <c r="BV79" s="100"/>
      <c r="BW79" s="100"/>
      <c r="BX79" s="100"/>
      <c r="BY79" s="100"/>
      <c r="BZ79" s="100"/>
      <c r="CA79" s="100"/>
      <c r="CB79" s="100"/>
      <c r="CC79" s="100"/>
      <c r="CD79" s="100"/>
      <c r="CE79" s="100"/>
      <c r="CF79" s="100"/>
      <c r="CG79" s="100"/>
      <c r="CH79" s="100"/>
      <c r="CI79" s="100"/>
      <c r="CJ79" s="100"/>
      <c r="CK79" s="100"/>
      <c r="CL79" s="100"/>
      <c r="CM79" s="100"/>
      <c r="CN79" s="100"/>
      <c r="CO79" s="100"/>
      <c r="CP79" s="100"/>
      <c r="CQ79" s="100"/>
      <c r="CR79" s="100"/>
      <c r="CS79" s="100"/>
      <c r="CT79" s="100"/>
      <c r="CU79" s="100"/>
      <c r="CV79" s="100"/>
      <c r="CW79" s="100"/>
      <c r="CX79" s="100"/>
      <c r="CY79" s="100"/>
      <c r="CZ79" s="100"/>
      <c r="DA79" s="100"/>
      <c r="DB79" s="100"/>
      <c r="DC79" s="100"/>
      <c r="DD79" s="100"/>
      <c r="DE79" s="100"/>
      <c r="DF79" s="100"/>
      <c r="DG79" s="100"/>
      <c r="DH79" s="100"/>
      <c r="DI79" s="100"/>
      <c r="DJ79" s="100"/>
      <c r="DK79" s="100"/>
      <c r="DL79" s="100"/>
      <c r="DM79" s="100"/>
      <c r="DN79" s="100"/>
      <c r="DO79" s="100"/>
      <c r="DP79" s="100"/>
      <c r="DQ79" s="100"/>
      <c r="DR79" s="100"/>
      <c r="DS79" s="100"/>
      <c r="DT79" s="100"/>
      <c r="DU79" s="100"/>
      <c r="DV79" s="100"/>
      <c r="DW79" s="100"/>
      <c r="DX79" s="100"/>
      <c r="DY79" s="100"/>
      <c r="DZ79" s="100"/>
      <c r="EA79" s="100"/>
      <c r="EB79" s="100"/>
      <c r="EC79" s="100"/>
      <c r="ED79" s="100"/>
      <c r="EE79" s="100"/>
      <c r="EF79" s="100"/>
      <c r="EG79" s="100"/>
      <c r="EH79" s="100"/>
      <c r="EI79" s="100"/>
      <c r="EJ79" s="100"/>
      <c r="EK79" s="100"/>
      <c r="EL79" s="100"/>
      <c r="EM79" s="100"/>
      <c r="EN79" s="100"/>
      <c r="EO79" s="100"/>
      <c r="EP79" s="100"/>
      <c r="EQ79" s="100"/>
      <c r="ER79" s="100"/>
      <c r="ES79" s="100"/>
      <c r="ET79" s="100"/>
      <c r="EU79" s="100"/>
      <c r="EV79" s="100"/>
      <c r="EW79" s="100"/>
      <c r="EX79" s="100"/>
      <c r="EY79" s="100"/>
      <c r="EZ79" s="100"/>
      <c r="FA79" s="100"/>
      <c r="FB79" s="100"/>
      <c r="FC79" s="100"/>
      <c r="FD79" s="100"/>
      <c r="FE79" s="100"/>
      <c r="FF79" s="100"/>
      <c r="FG79" s="100"/>
      <c r="FH79" s="100"/>
      <c r="FI79" s="100"/>
      <c r="FJ79" s="100"/>
      <c r="FK79" s="100"/>
      <c r="FL79" s="100"/>
      <c r="FM79" s="100"/>
      <c r="FN79" s="100"/>
      <c r="FO79" s="100"/>
      <c r="FP79" s="100"/>
      <c r="FQ79" s="100"/>
      <c r="FR79" s="100"/>
      <c r="FS79" s="100"/>
      <c r="FT79" s="100"/>
      <c r="FU79" s="100"/>
      <c r="FV79" s="100"/>
      <c r="FW79" s="100"/>
      <c r="FX79" s="100"/>
      <c r="FY79" s="100"/>
      <c r="FZ79" s="100"/>
      <c r="GA79" s="100"/>
      <c r="GB79" s="100"/>
      <c r="GC79" s="100"/>
      <c r="GD79" s="100"/>
      <c r="GE79" s="100"/>
      <c r="GF79" s="100"/>
      <c r="GG79" s="100"/>
      <c r="GH79" s="100"/>
      <c r="GI79" s="100"/>
      <c r="GJ79" s="100"/>
      <c r="GK79" s="100"/>
      <c r="GL79" s="100"/>
      <c r="GM79" s="100"/>
      <c r="GN79" s="100"/>
      <c r="GO79" s="100"/>
      <c r="GP79" s="100"/>
      <c r="GQ79" s="100"/>
      <c r="GR79" s="100"/>
      <c r="GS79" s="100"/>
      <c r="GT79" s="100"/>
      <c r="GU79" s="100"/>
      <c r="GV79" s="100"/>
      <c r="GW79" s="100"/>
      <c r="GX79" s="100"/>
      <c r="GY79" s="100"/>
      <c r="GZ79" s="100"/>
      <c r="HA79" s="100"/>
      <c r="HB79" s="100"/>
      <c r="HC79" s="100"/>
      <c r="HD79" s="100"/>
      <c r="HE79" s="100"/>
      <c r="HF79" s="100"/>
      <c r="HG79" s="100"/>
      <c r="HH79" s="100"/>
      <c r="HI79" s="100"/>
      <c r="HJ79" s="100"/>
      <c r="HK79" s="100"/>
      <c r="HL79" s="100"/>
      <c r="HM79" s="100"/>
      <c r="HN79" s="100"/>
      <c r="HO79" s="100"/>
      <c r="HP79" s="100"/>
      <c r="HQ79" s="100"/>
      <c r="HR79" s="100"/>
      <c r="HS79" s="100"/>
      <c r="HT79" s="100"/>
      <c r="HU79" s="100"/>
      <c r="HV79" s="100"/>
      <c r="HW79" s="100"/>
      <c r="HX79" s="100"/>
      <c r="HY79" s="100"/>
      <c r="HZ79" s="100"/>
      <c r="IA79" s="100"/>
      <c r="IB79" s="100"/>
      <c r="IC79" s="100"/>
      <c r="ID79" s="100"/>
      <c r="IE79" s="100"/>
      <c r="IF79" s="100"/>
      <c r="IG79" s="100"/>
      <c r="IH79" s="100"/>
      <c r="II79" s="100"/>
      <c r="IJ79" s="100"/>
      <c r="IK79" s="100"/>
      <c r="IL79" s="100"/>
      <c r="IM79" s="100"/>
      <c r="IN79" s="100"/>
      <c r="IO79" s="100"/>
      <c r="IP79" s="100"/>
      <c r="IQ79" s="100"/>
      <c r="IR79" s="100"/>
      <c r="IS79" s="100"/>
      <c r="IT79" s="100"/>
      <c r="IU79" s="100"/>
      <c r="IV79" s="100"/>
      <c r="IW79" s="100"/>
    </row>
    <row r="80" customFormat="false" ht="12.75" hidden="false" customHeight="false" outlineLevel="0" collapsed="false">
      <c r="A80" s="100"/>
      <c r="B80" s="1136" t="s">
        <v>754</v>
      </c>
      <c r="C80" s="327"/>
      <c r="D80" s="130"/>
      <c r="E80" s="130"/>
      <c r="F80" s="130"/>
      <c r="G80" s="130"/>
      <c r="H80" s="130"/>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c r="AH80" s="130"/>
      <c r="AI80" s="130"/>
      <c r="AJ80" s="130"/>
      <c r="AK80" s="130"/>
      <c r="AL80" s="130"/>
      <c r="AM80" s="638"/>
      <c r="AN80" s="100"/>
      <c r="AO80" s="100"/>
      <c r="AP80" s="100"/>
      <c r="AQ80" s="100"/>
      <c r="AR80" s="100"/>
      <c r="AS80" s="100"/>
      <c r="AT80" s="100"/>
      <c r="AU80" s="100"/>
      <c r="AV80" s="100"/>
      <c r="AW80" s="100"/>
      <c r="AX80" s="100"/>
      <c r="AY80" s="100"/>
      <c r="AZ80" s="100"/>
      <c r="BA80" s="100"/>
      <c r="BB80" s="100"/>
      <c r="BC80" s="100"/>
      <c r="BD80" s="100"/>
      <c r="BE80" s="100"/>
      <c r="BF80" s="100"/>
      <c r="BG80" s="100"/>
      <c r="BH80" s="100"/>
      <c r="BI80" s="100"/>
      <c r="BJ80" s="100"/>
      <c r="BK80" s="100"/>
      <c r="BL80" s="100"/>
      <c r="BM80" s="100"/>
      <c r="BN80" s="100"/>
      <c r="BO80" s="100"/>
      <c r="BP80" s="100"/>
      <c r="BQ80" s="100"/>
      <c r="BR80" s="100"/>
      <c r="BS80" s="100"/>
      <c r="BT80" s="100"/>
      <c r="BU80" s="100"/>
      <c r="BV80" s="100"/>
      <c r="BW80" s="100"/>
      <c r="BX80" s="100"/>
      <c r="BY80" s="100"/>
      <c r="BZ80" s="100"/>
      <c r="CA80" s="100"/>
      <c r="CB80" s="100"/>
      <c r="CC80" s="100"/>
      <c r="CD80" s="100"/>
      <c r="CE80" s="100"/>
      <c r="CF80" s="100"/>
      <c r="CG80" s="100"/>
      <c r="CH80" s="100"/>
      <c r="CI80" s="100"/>
      <c r="CJ80" s="100"/>
      <c r="CK80" s="100"/>
      <c r="CL80" s="100"/>
      <c r="CM80" s="100"/>
      <c r="CN80" s="100"/>
      <c r="CO80" s="100"/>
      <c r="CP80" s="100"/>
      <c r="CQ80" s="100"/>
      <c r="CR80" s="100"/>
      <c r="CS80" s="100"/>
      <c r="CT80" s="100"/>
      <c r="CU80" s="100"/>
      <c r="CV80" s="100"/>
      <c r="CW80" s="100"/>
      <c r="CX80" s="100"/>
      <c r="CY80" s="100"/>
      <c r="CZ80" s="100"/>
      <c r="DA80" s="100"/>
      <c r="DB80" s="100"/>
      <c r="DC80" s="100"/>
      <c r="DD80" s="100"/>
      <c r="DE80" s="100"/>
      <c r="DF80" s="100"/>
      <c r="DG80" s="100"/>
      <c r="DH80" s="100"/>
      <c r="DI80" s="100"/>
      <c r="DJ80" s="100"/>
      <c r="DK80" s="100"/>
      <c r="DL80" s="100"/>
      <c r="DM80" s="100"/>
      <c r="DN80" s="100"/>
      <c r="DO80" s="100"/>
      <c r="DP80" s="100"/>
      <c r="DQ80" s="100"/>
      <c r="DR80" s="100"/>
      <c r="DS80" s="100"/>
      <c r="DT80" s="100"/>
      <c r="DU80" s="100"/>
      <c r="DV80" s="100"/>
      <c r="DW80" s="100"/>
      <c r="DX80" s="100"/>
      <c r="DY80" s="100"/>
      <c r="DZ80" s="100"/>
      <c r="EA80" s="100"/>
      <c r="EB80" s="100"/>
      <c r="EC80" s="100"/>
      <c r="ED80" s="100"/>
      <c r="EE80" s="100"/>
      <c r="EF80" s="100"/>
      <c r="EG80" s="100"/>
      <c r="EH80" s="100"/>
      <c r="EI80" s="100"/>
      <c r="EJ80" s="100"/>
      <c r="EK80" s="100"/>
      <c r="EL80" s="100"/>
      <c r="EM80" s="100"/>
      <c r="EN80" s="100"/>
      <c r="EO80" s="100"/>
      <c r="EP80" s="100"/>
      <c r="EQ80" s="100"/>
      <c r="ER80" s="100"/>
      <c r="ES80" s="100"/>
      <c r="ET80" s="100"/>
      <c r="EU80" s="100"/>
      <c r="EV80" s="100"/>
      <c r="EW80" s="100"/>
      <c r="EX80" s="100"/>
      <c r="EY80" s="100"/>
      <c r="EZ80" s="100"/>
      <c r="FA80" s="100"/>
      <c r="FB80" s="100"/>
      <c r="FC80" s="100"/>
      <c r="FD80" s="100"/>
      <c r="FE80" s="100"/>
      <c r="FF80" s="100"/>
      <c r="FG80" s="100"/>
      <c r="FH80" s="100"/>
      <c r="FI80" s="100"/>
      <c r="FJ80" s="100"/>
      <c r="FK80" s="100"/>
      <c r="FL80" s="100"/>
      <c r="FM80" s="100"/>
      <c r="FN80" s="100"/>
      <c r="FO80" s="100"/>
      <c r="FP80" s="100"/>
      <c r="FQ80" s="100"/>
      <c r="FR80" s="100"/>
      <c r="FS80" s="100"/>
      <c r="FT80" s="100"/>
      <c r="FU80" s="100"/>
      <c r="FV80" s="100"/>
      <c r="FW80" s="100"/>
      <c r="FX80" s="100"/>
      <c r="FY80" s="100"/>
      <c r="FZ80" s="100"/>
      <c r="GA80" s="100"/>
      <c r="GB80" s="100"/>
      <c r="GC80" s="100"/>
      <c r="GD80" s="100"/>
      <c r="GE80" s="100"/>
      <c r="GF80" s="100"/>
      <c r="GG80" s="100"/>
      <c r="GH80" s="100"/>
      <c r="GI80" s="100"/>
      <c r="GJ80" s="100"/>
      <c r="GK80" s="100"/>
      <c r="GL80" s="100"/>
      <c r="GM80" s="100"/>
      <c r="GN80" s="100"/>
      <c r="GO80" s="100"/>
      <c r="GP80" s="100"/>
      <c r="GQ80" s="100"/>
      <c r="GR80" s="100"/>
      <c r="GS80" s="100"/>
      <c r="GT80" s="100"/>
      <c r="GU80" s="100"/>
      <c r="GV80" s="100"/>
      <c r="GW80" s="100"/>
      <c r="GX80" s="100"/>
      <c r="GY80" s="100"/>
      <c r="GZ80" s="100"/>
      <c r="HA80" s="100"/>
      <c r="HB80" s="100"/>
      <c r="HC80" s="100"/>
      <c r="HD80" s="100"/>
      <c r="HE80" s="100"/>
      <c r="HF80" s="100"/>
      <c r="HG80" s="100"/>
      <c r="HH80" s="100"/>
      <c r="HI80" s="100"/>
      <c r="HJ80" s="100"/>
      <c r="HK80" s="100"/>
      <c r="HL80" s="100"/>
      <c r="HM80" s="100"/>
      <c r="HN80" s="100"/>
      <c r="HO80" s="100"/>
      <c r="HP80" s="100"/>
      <c r="HQ80" s="100"/>
      <c r="HR80" s="100"/>
      <c r="HS80" s="100"/>
      <c r="HT80" s="100"/>
      <c r="HU80" s="100"/>
      <c r="HV80" s="100"/>
      <c r="HW80" s="100"/>
      <c r="HX80" s="100"/>
      <c r="HY80" s="100"/>
      <c r="HZ80" s="100"/>
      <c r="IA80" s="100"/>
      <c r="IB80" s="100"/>
      <c r="IC80" s="100"/>
      <c r="ID80" s="100"/>
      <c r="IE80" s="100"/>
      <c r="IF80" s="100"/>
      <c r="IG80" s="100"/>
      <c r="IH80" s="100"/>
      <c r="II80" s="100"/>
      <c r="IJ80" s="100"/>
      <c r="IK80" s="100"/>
      <c r="IL80" s="100"/>
      <c r="IM80" s="100"/>
      <c r="IN80" s="100"/>
      <c r="IO80" s="100"/>
      <c r="IP80" s="100"/>
      <c r="IQ80" s="100"/>
      <c r="IR80" s="100"/>
      <c r="IS80" s="100"/>
      <c r="IT80" s="100"/>
      <c r="IU80" s="100"/>
      <c r="IV80" s="100"/>
      <c r="IW80" s="100"/>
    </row>
    <row r="81" customFormat="false" ht="12.75" hidden="false" customHeight="false" outlineLevel="0" collapsed="false">
      <c r="A81" s="100"/>
      <c r="B81" s="1135" t="s">
        <v>751</v>
      </c>
      <c r="C81" s="437" t="n">
        <f aca="false">SUM(D81:AL81)</f>
        <v>16977.1908730645</v>
      </c>
      <c r="D81" s="130" t="n">
        <f aca="false">ABS(D$64)*D56</f>
        <v>0</v>
      </c>
      <c r="E81" s="130" t="n">
        <f aca="false">ABS(E$64)*E56</f>
        <v>0</v>
      </c>
      <c r="F81" s="130" t="n">
        <f aca="false">ABS(F$64)*F56</f>
        <v>0</v>
      </c>
      <c r="G81" s="130" t="n">
        <f aca="false">ABS(G$64)*G56</f>
        <v>2946.44150640354</v>
      </c>
      <c r="H81" s="130" t="n">
        <f aca="false">ABS(H$64)*H56</f>
        <v>3847.55656947537</v>
      </c>
      <c r="I81" s="130" t="n">
        <f aca="false">ABS(I$64)*I56</f>
        <v>1694.59736065336</v>
      </c>
      <c r="J81" s="130" t="n">
        <f aca="false">ABS(J$64)*J56</f>
        <v>453.276811796496</v>
      </c>
      <c r="K81" s="130" t="n">
        <f aca="false">ABS(K$64)*K56</f>
        <v>504.579363897008</v>
      </c>
      <c r="L81" s="130" t="n">
        <f aca="false">ABS(L$64)*L56</f>
        <v>557.758080827086</v>
      </c>
      <c r="M81" s="130" t="n">
        <f aca="false">ABS(M$64)*M56</f>
        <v>615.85117232625</v>
      </c>
      <c r="N81" s="130" t="n">
        <f aca="false">ABS(N$64)*N56</f>
        <v>709.784483779012</v>
      </c>
      <c r="O81" s="130" t="n">
        <f aca="false">ABS(O$64)*O56</f>
        <v>784.282588892915</v>
      </c>
      <c r="P81" s="130" t="n">
        <f aca="false">ABS(P$64)*P56</f>
        <v>863.207436147796</v>
      </c>
      <c r="Q81" s="130" t="n">
        <f aca="false">ABS(Q$64)*Q56</f>
        <v>949.128752539983</v>
      </c>
      <c r="R81" s="130" t="n">
        <f aca="false">ABS(R$64)*R56</f>
        <v>1041.55666210015</v>
      </c>
      <c r="S81" s="130" t="n">
        <f aca="false">ABS(S$64)*S56</f>
        <v>1144.39978324805</v>
      </c>
      <c r="T81" s="130" t="n">
        <f aca="false">ABS(T$64)*T56</f>
        <v>864.770300977525</v>
      </c>
      <c r="U81" s="130" t="n">
        <f aca="false">ABS(U$64)*U56</f>
        <v>0</v>
      </c>
      <c r="V81" s="130" t="n">
        <f aca="false">ABS(V$64)*V56</f>
        <v>0</v>
      </c>
      <c r="W81" s="130" t="n">
        <f aca="false">ABS(W$64)*W56</f>
        <v>0</v>
      </c>
      <c r="X81" s="130" t="n">
        <f aca="false">ABS(X$64)*X56</f>
        <v>0</v>
      </c>
      <c r="Y81" s="130" t="n">
        <f aca="false">ABS(Y$64)*Y56</f>
        <v>0</v>
      </c>
      <c r="Z81" s="130" t="n">
        <f aca="false">ABS(Z$64)*Z56</f>
        <v>0</v>
      </c>
      <c r="AA81" s="130" t="n">
        <f aca="false">ABS(AA$64)*AA56</f>
        <v>0</v>
      </c>
      <c r="AB81" s="130" t="n">
        <f aca="false">ABS(AB$64)*AB56</f>
        <v>0</v>
      </c>
      <c r="AC81" s="130" t="n">
        <f aca="false">ABS(AC$64)*AC56</f>
        <v>0</v>
      </c>
      <c r="AD81" s="130" t="n">
        <f aca="false">ABS(AD$64)*AD56</f>
        <v>0</v>
      </c>
      <c r="AE81" s="130" t="n">
        <f aca="false">ABS(AE$64)*AE56</f>
        <v>0</v>
      </c>
      <c r="AF81" s="130" t="n">
        <f aca="false">ABS(AF$64)*AF56</f>
        <v>0</v>
      </c>
      <c r="AG81" s="130" t="n">
        <f aca="false">ABS(AG$64)*AG56</f>
        <v>0</v>
      </c>
      <c r="AH81" s="130" t="n">
        <f aca="false">ABS(AH$64)*AH56</f>
        <v>0</v>
      </c>
      <c r="AI81" s="130" t="n">
        <f aca="false">ABS(AI$64)*AI56</f>
        <v>0</v>
      </c>
      <c r="AJ81" s="130" t="n">
        <f aca="false">ABS(AJ$64)*AJ56</f>
        <v>0</v>
      </c>
      <c r="AK81" s="130" t="n">
        <f aca="false">ABS(AK$64)*AK56</f>
        <v>0</v>
      </c>
      <c r="AL81" s="130" t="n">
        <f aca="false">ABS(AL$64)*AL56</f>
        <v>0</v>
      </c>
      <c r="AM81" s="638"/>
      <c r="AN81" s="100"/>
      <c r="AO81" s="100"/>
      <c r="AP81" s="100"/>
      <c r="AQ81" s="100"/>
      <c r="AR81" s="100"/>
      <c r="AS81" s="100"/>
      <c r="AT81" s="100"/>
      <c r="AU81" s="100"/>
      <c r="AV81" s="100"/>
      <c r="AW81" s="100"/>
      <c r="AX81" s="100"/>
      <c r="AY81" s="100"/>
      <c r="AZ81" s="100"/>
      <c r="BA81" s="100"/>
      <c r="BB81" s="100"/>
      <c r="BC81" s="100"/>
      <c r="BD81" s="100"/>
      <c r="BE81" s="100"/>
      <c r="BF81" s="100"/>
      <c r="BG81" s="100"/>
      <c r="BH81" s="100"/>
      <c r="BI81" s="100"/>
      <c r="BJ81" s="100"/>
      <c r="BK81" s="100"/>
      <c r="BL81" s="100"/>
      <c r="BM81" s="100"/>
      <c r="BN81" s="100"/>
      <c r="BO81" s="100"/>
      <c r="BP81" s="100"/>
      <c r="BQ81" s="100"/>
      <c r="BR81" s="100"/>
      <c r="BS81" s="100"/>
      <c r="BT81" s="100"/>
      <c r="BU81" s="100"/>
      <c r="BV81" s="100"/>
      <c r="BW81" s="100"/>
      <c r="BX81" s="100"/>
      <c r="BY81" s="100"/>
      <c r="BZ81" s="100"/>
      <c r="CA81" s="100"/>
      <c r="CB81" s="100"/>
      <c r="CC81" s="100"/>
      <c r="CD81" s="100"/>
      <c r="CE81" s="100"/>
      <c r="CF81" s="100"/>
      <c r="CG81" s="100"/>
      <c r="CH81" s="100"/>
      <c r="CI81" s="100"/>
      <c r="CJ81" s="100"/>
      <c r="CK81" s="100"/>
      <c r="CL81" s="100"/>
      <c r="CM81" s="100"/>
      <c r="CN81" s="100"/>
      <c r="CO81" s="100"/>
      <c r="CP81" s="100"/>
      <c r="CQ81" s="100"/>
      <c r="CR81" s="100"/>
      <c r="CS81" s="100"/>
      <c r="CT81" s="100"/>
      <c r="CU81" s="100"/>
      <c r="CV81" s="100"/>
      <c r="CW81" s="100"/>
      <c r="CX81" s="100"/>
      <c r="CY81" s="100"/>
      <c r="CZ81" s="100"/>
      <c r="DA81" s="100"/>
      <c r="DB81" s="100"/>
      <c r="DC81" s="100"/>
      <c r="DD81" s="100"/>
      <c r="DE81" s="100"/>
      <c r="DF81" s="100"/>
      <c r="DG81" s="100"/>
      <c r="DH81" s="100"/>
      <c r="DI81" s="100"/>
      <c r="DJ81" s="100"/>
      <c r="DK81" s="100"/>
      <c r="DL81" s="100"/>
      <c r="DM81" s="100"/>
      <c r="DN81" s="100"/>
      <c r="DO81" s="100"/>
      <c r="DP81" s="100"/>
      <c r="DQ81" s="100"/>
      <c r="DR81" s="100"/>
      <c r="DS81" s="100"/>
      <c r="DT81" s="100"/>
      <c r="DU81" s="100"/>
      <c r="DV81" s="100"/>
      <c r="DW81" s="100"/>
      <c r="DX81" s="100"/>
      <c r="DY81" s="100"/>
      <c r="DZ81" s="100"/>
      <c r="EA81" s="100"/>
      <c r="EB81" s="100"/>
      <c r="EC81" s="100"/>
      <c r="ED81" s="100"/>
      <c r="EE81" s="100"/>
      <c r="EF81" s="100"/>
      <c r="EG81" s="100"/>
      <c r="EH81" s="100"/>
      <c r="EI81" s="100"/>
      <c r="EJ81" s="100"/>
      <c r="EK81" s="100"/>
      <c r="EL81" s="100"/>
      <c r="EM81" s="100"/>
      <c r="EN81" s="100"/>
      <c r="EO81" s="100"/>
      <c r="EP81" s="100"/>
      <c r="EQ81" s="100"/>
      <c r="ER81" s="100"/>
      <c r="ES81" s="100"/>
      <c r="ET81" s="100"/>
      <c r="EU81" s="100"/>
      <c r="EV81" s="100"/>
      <c r="EW81" s="100"/>
      <c r="EX81" s="100"/>
      <c r="EY81" s="100"/>
      <c r="EZ81" s="100"/>
      <c r="FA81" s="100"/>
      <c r="FB81" s="100"/>
      <c r="FC81" s="100"/>
      <c r="FD81" s="100"/>
      <c r="FE81" s="100"/>
      <c r="FF81" s="100"/>
      <c r="FG81" s="100"/>
      <c r="FH81" s="100"/>
      <c r="FI81" s="100"/>
      <c r="FJ81" s="100"/>
      <c r="FK81" s="100"/>
      <c r="FL81" s="100"/>
      <c r="FM81" s="100"/>
      <c r="FN81" s="100"/>
      <c r="FO81" s="100"/>
      <c r="FP81" s="100"/>
      <c r="FQ81" s="100"/>
      <c r="FR81" s="100"/>
      <c r="FS81" s="100"/>
      <c r="FT81" s="100"/>
      <c r="FU81" s="100"/>
      <c r="FV81" s="100"/>
      <c r="FW81" s="100"/>
      <c r="FX81" s="100"/>
      <c r="FY81" s="100"/>
      <c r="FZ81" s="100"/>
      <c r="GA81" s="100"/>
      <c r="GB81" s="100"/>
      <c r="GC81" s="100"/>
      <c r="GD81" s="100"/>
      <c r="GE81" s="100"/>
      <c r="GF81" s="100"/>
      <c r="GG81" s="100"/>
      <c r="GH81" s="100"/>
      <c r="GI81" s="100"/>
      <c r="GJ81" s="100"/>
      <c r="GK81" s="100"/>
      <c r="GL81" s="100"/>
      <c r="GM81" s="100"/>
      <c r="GN81" s="100"/>
      <c r="GO81" s="100"/>
      <c r="GP81" s="100"/>
      <c r="GQ81" s="100"/>
      <c r="GR81" s="100"/>
      <c r="GS81" s="100"/>
      <c r="GT81" s="100"/>
      <c r="GU81" s="100"/>
      <c r="GV81" s="100"/>
      <c r="GW81" s="100"/>
      <c r="GX81" s="100"/>
      <c r="GY81" s="100"/>
      <c r="GZ81" s="100"/>
      <c r="HA81" s="100"/>
      <c r="HB81" s="100"/>
      <c r="HC81" s="100"/>
      <c r="HD81" s="100"/>
      <c r="HE81" s="100"/>
      <c r="HF81" s="100"/>
      <c r="HG81" s="100"/>
      <c r="HH81" s="100"/>
      <c r="HI81" s="100"/>
      <c r="HJ81" s="100"/>
      <c r="HK81" s="100"/>
      <c r="HL81" s="100"/>
      <c r="HM81" s="100"/>
      <c r="HN81" s="100"/>
      <c r="HO81" s="100"/>
      <c r="HP81" s="100"/>
      <c r="HQ81" s="100"/>
      <c r="HR81" s="100"/>
      <c r="HS81" s="100"/>
      <c r="HT81" s="100"/>
      <c r="HU81" s="100"/>
      <c r="HV81" s="100"/>
      <c r="HW81" s="100"/>
      <c r="HX81" s="100"/>
      <c r="HY81" s="100"/>
      <c r="HZ81" s="100"/>
      <c r="IA81" s="100"/>
      <c r="IB81" s="100"/>
      <c r="IC81" s="100"/>
      <c r="ID81" s="100"/>
      <c r="IE81" s="100"/>
      <c r="IF81" s="100"/>
      <c r="IG81" s="100"/>
      <c r="IH81" s="100"/>
      <c r="II81" s="100"/>
      <c r="IJ81" s="100"/>
      <c r="IK81" s="100"/>
      <c r="IL81" s="100"/>
      <c r="IM81" s="100"/>
      <c r="IN81" s="100"/>
      <c r="IO81" s="100"/>
      <c r="IP81" s="100"/>
      <c r="IQ81" s="100"/>
      <c r="IR81" s="100"/>
      <c r="IS81" s="100"/>
      <c r="IT81" s="100"/>
      <c r="IU81" s="100"/>
      <c r="IV81" s="100"/>
      <c r="IW81" s="100"/>
    </row>
    <row r="82" customFormat="false" ht="12.75" hidden="false" customHeight="false" outlineLevel="0" collapsed="false">
      <c r="A82" s="100"/>
      <c r="B82" s="1135" t="s">
        <v>334</v>
      </c>
      <c r="C82" s="437" t="n">
        <f aca="false">SUM(D82:AL82)</f>
        <v>171.486776495601</v>
      </c>
      <c r="D82" s="130" t="n">
        <f aca="false">ABS(D$64)*D57</f>
        <v>0</v>
      </c>
      <c r="E82" s="130" t="n">
        <f aca="false">ABS(E$64)*E57</f>
        <v>0</v>
      </c>
      <c r="F82" s="130" t="n">
        <f aca="false">ABS(F$64)*F57</f>
        <v>0</v>
      </c>
      <c r="G82" s="130" t="n">
        <f aca="false">ABS(G$64)*G57</f>
        <v>29.7620354182176</v>
      </c>
      <c r="H82" s="130" t="n">
        <f aca="false">ABS(H$64)*H57</f>
        <v>38.8642077724785</v>
      </c>
      <c r="I82" s="130" t="n">
        <f aca="false">ABS(I$64)*I57</f>
        <v>17.1171450571047</v>
      </c>
      <c r="J82" s="130" t="n">
        <f aca="false">ABS(J$64)*J57</f>
        <v>4.57855365451006</v>
      </c>
      <c r="K82" s="130" t="n">
        <f aca="false">ABS(K$64)*K57</f>
        <v>5.09676125148493</v>
      </c>
      <c r="L82" s="130" t="n">
        <f aca="false">ABS(L$64)*L57</f>
        <v>5.63392000835441</v>
      </c>
      <c r="M82" s="130" t="n">
        <f aca="false">ABS(M$64)*M57</f>
        <v>6.22071891238636</v>
      </c>
      <c r="N82" s="130" t="n">
        <f aca="false">ABS(N$64)*N57</f>
        <v>7.16954024019204</v>
      </c>
      <c r="O82" s="130" t="n">
        <f aca="false">ABS(O$64)*O57</f>
        <v>7.92204635245369</v>
      </c>
      <c r="P82" s="130" t="n">
        <f aca="false">ABS(P$64)*P57</f>
        <v>8.71926703179592</v>
      </c>
      <c r="Q82" s="130" t="n">
        <f aca="false">ABS(Q$64)*Q57</f>
        <v>9.58715911656549</v>
      </c>
      <c r="R82" s="130" t="n">
        <f aca="false">ABS(R$64)*R57</f>
        <v>10.520774364648</v>
      </c>
      <c r="S82" s="130" t="n">
        <f aca="false">ABS(S$64)*S57</f>
        <v>11.5595937701824</v>
      </c>
      <c r="T82" s="130" t="n">
        <f aca="false">ABS(T$64)*T57</f>
        <v>8.73505354522752</v>
      </c>
      <c r="U82" s="130" t="n">
        <f aca="false">ABS(U$64)*U57</f>
        <v>0</v>
      </c>
      <c r="V82" s="130" t="n">
        <f aca="false">ABS(V$64)*V57</f>
        <v>0</v>
      </c>
      <c r="W82" s="130" t="n">
        <f aca="false">ABS(W$64)*W57</f>
        <v>0</v>
      </c>
      <c r="X82" s="130" t="n">
        <f aca="false">ABS(X$64)*X57</f>
        <v>0</v>
      </c>
      <c r="Y82" s="130" t="n">
        <f aca="false">ABS(Y$64)*Y57</f>
        <v>0</v>
      </c>
      <c r="Z82" s="130" t="n">
        <f aca="false">ABS(Z$64)*Z57</f>
        <v>0</v>
      </c>
      <c r="AA82" s="130" t="n">
        <f aca="false">ABS(AA$64)*AA57</f>
        <v>0</v>
      </c>
      <c r="AB82" s="130" t="n">
        <f aca="false">ABS(AB$64)*AB57</f>
        <v>0</v>
      </c>
      <c r="AC82" s="130" t="n">
        <f aca="false">ABS(AC$64)*AC57</f>
        <v>0</v>
      </c>
      <c r="AD82" s="130" t="n">
        <f aca="false">ABS(AD$64)*AD57</f>
        <v>0</v>
      </c>
      <c r="AE82" s="130" t="n">
        <f aca="false">ABS(AE$64)*AE57</f>
        <v>0</v>
      </c>
      <c r="AF82" s="130" t="n">
        <f aca="false">ABS(AF$64)*AF57</f>
        <v>0</v>
      </c>
      <c r="AG82" s="130" t="n">
        <f aca="false">ABS(AG$64)*AG57</f>
        <v>0</v>
      </c>
      <c r="AH82" s="130" t="n">
        <f aca="false">ABS(AH$64)*AH57</f>
        <v>0</v>
      </c>
      <c r="AI82" s="130" t="n">
        <f aca="false">ABS(AI$64)*AI57</f>
        <v>0</v>
      </c>
      <c r="AJ82" s="130" t="n">
        <f aca="false">ABS(AJ$64)*AJ57</f>
        <v>0</v>
      </c>
      <c r="AK82" s="130" t="n">
        <f aca="false">ABS(AK$64)*AK57</f>
        <v>0</v>
      </c>
      <c r="AL82" s="130" t="n">
        <f aca="false">ABS(AL$64)*AL57</f>
        <v>0</v>
      </c>
      <c r="AM82" s="638"/>
      <c r="AN82" s="100"/>
      <c r="AO82" s="100"/>
      <c r="AP82" s="100"/>
      <c r="AQ82" s="100"/>
      <c r="AR82" s="100"/>
      <c r="AS82" s="100"/>
      <c r="AT82" s="100"/>
      <c r="AU82" s="100"/>
      <c r="AV82" s="100"/>
      <c r="AW82" s="100"/>
      <c r="AX82" s="100"/>
      <c r="AY82" s="100"/>
      <c r="AZ82" s="100"/>
      <c r="BA82" s="100"/>
      <c r="BB82" s="100"/>
      <c r="BC82" s="100"/>
      <c r="BD82" s="100"/>
      <c r="BE82" s="100"/>
      <c r="BF82" s="100"/>
      <c r="BG82" s="100"/>
      <c r="BH82" s="100"/>
      <c r="BI82" s="100"/>
      <c r="BJ82" s="100"/>
      <c r="BK82" s="100"/>
      <c r="BL82" s="100"/>
      <c r="BM82" s="100"/>
      <c r="BN82" s="100"/>
      <c r="BO82" s="100"/>
      <c r="BP82" s="100"/>
      <c r="BQ82" s="100"/>
      <c r="BR82" s="100"/>
      <c r="BS82" s="100"/>
      <c r="BT82" s="100"/>
      <c r="BU82" s="100"/>
      <c r="BV82" s="100"/>
      <c r="BW82" s="100"/>
      <c r="BX82" s="100"/>
      <c r="BY82" s="100"/>
      <c r="BZ82" s="100"/>
      <c r="CA82" s="100"/>
      <c r="CB82" s="100"/>
      <c r="CC82" s="100"/>
      <c r="CD82" s="100"/>
      <c r="CE82" s="100"/>
      <c r="CF82" s="100"/>
      <c r="CG82" s="100"/>
      <c r="CH82" s="100"/>
      <c r="CI82" s="100"/>
      <c r="CJ82" s="100"/>
      <c r="CK82" s="100"/>
      <c r="CL82" s="100"/>
      <c r="CM82" s="100"/>
      <c r="CN82" s="100"/>
      <c r="CO82" s="100"/>
      <c r="CP82" s="100"/>
      <c r="CQ82" s="100"/>
      <c r="CR82" s="100"/>
      <c r="CS82" s="100"/>
      <c r="CT82" s="100"/>
      <c r="CU82" s="100"/>
      <c r="CV82" s="100"/>
      <c r="CW82" s="100"/>
      <c r="CX82" s="100"/>
      <c r="CY82" s="100"/>
      <c r="CZ82" s="100"/>
      <c r="DA82" s="100"/>
      <c r="DB82" s="100"/>
      <c r="DC82" s="100"/>
      <c r="DD82" s="100"/>
      <c r="DE82" s="100"/>
      <c r="DF82" s="100"/>
      <c r="DG82" s="100"/>
      <c r="DH82" s="100"/>
      <c r="DI82" s="100"/>
      <c r="DJ82" s="100"/>
      <c r="DK82" s="100"/>
      <c r="DL82" s="100"/>
      <c r="DM82" s="100"/>
      <c r="DN82" s="100"/>
      <c r="DO82" s="100"/>
      <c r="DP82" s="100"/>
      <c r="DQ82" s="100"/>
      <c r="DR82" s="100"/>
      <c r="DS82" s="100"/>
      <c r="DT82" s="100"/>
      <c r="DU82" s="100"/>
      <c r="DV82" s="100"/>
      <c r="DW82" s="100"/>
      <c r="DX82" s="100"/>
      <c r="DY82" s="100"/>
      <c r="DZ82" s="100"/>
      <c r="EA82" s="100"/>
      <c r="EB82" s="100"/>
      <c r="EC82" s="100"/>
      <c r="ED82" s="100"/>
      <c r="EE82" s="100"/>
      <c r="EF82" s="100"/>
      <c r="EG82" s="100"/>
      <c r="EH82" s="100"/>
      <c r="EI82" s="100"/>
      <c r="EJ82" s="100"/>
      <c r="EK82" s="100"/>
      <c r="EL82" s="100"/>
      <c r="EM82" s="100"/>
      <c r="EN82" s="100"/>
      <c r="EO82" s="100"/>
      <c r="EP82" s="100"/>
      <c r="EQ82" s="100"/>
      <c r="ER82" s="100"/>
      <c r="ES82" s="100"/>
      <c r="ET82" s="100"/>
      <c r="EU82" s="100"/>
      <c r="EV82" s="100"/>
      <c r="EW82" s="100"/>
      <c r="EX82" s="100"/>
      <c r="EY82" s="100"/>
      <c r="EZ82" s="100"/>
      <c r="FA82" s="100"/>
      <c r="FB82" s="100"/>
      <c r="FC82" s="100"/>
      <c r="FD82" s="100"/>
      <c r="FE82" s="100"/>
      <c r="FF82" s="100"/>
      <c r="FG82" s="100"/>
      <c r="FH82" s="100"/>
      <c r="FI82" s="100"/>
      <c r="FJ82" s="100"/>
      <c r="FK82" s="100"/>
      <c r="FL82" s="100"/>
      <c r="FM82" s="100"/>
      <c r="FN82" s="100"/>
      <c r="FO82" s="100"/>
      <c r="FP82" s="100"/>
      <c r="FQ82" s="100"/>
      <c r="FR82" s="100"/>
      <c r="FS82" s="100"/>
      <c r="FT82" s="100"/>
      <c r="FU82" s="100"/>
      <c r="FV82" s="100"/>
      <c r="FW82" s="100"/>
      <c r="FX82" s="100"/>
      <c r="FY82" s="100"/>
      <c r="FZ82" s="100"/>
      <c r="GA82" s="100"/>
      <c r="GB82" s="100"/>
      <c r="GC82" s="100"/>
      <c r="GD82" s="100"/>
      <c r="GE82" s="100"/>
      <c r="GF82" s="100"/>
      <c r="GG82" s="100"/>
      <c r="GH82" s="100"/>
      <c r="GI82" s="100"/>
      <c r="GJ82" s="100"/>
      <c r="GK82" s="100"/>
      <c r="GL82" s="100"/>
      <c r="GM82" s="100"/>
      <c r="GN82" s="100"/>
      <c r="GO82" s="100"/>
      <c r="GP82" s="100"/>
      <c r="GQ82" s="100"/>
      <c r="GR82" s="100"/>
      <c r="GS82" s="100"/>
      <c r="GT82" s="100"/>
      <c r="GU82" s="100"/>
      <c r="GV82" s="100"/>
      <c r="GW82" s="100"/>
      <c r="GX82" s="100"/>
      <c r="GY82" s="100"/>
      <c r="GZ82" s="100"/>
      <c r="HA82" s="100"/>
      <c r="HB82" s="100"/>
      <c r="HC82" s="100"/>
      <c r="HD82" s="100"/>
      <c r="HE82" s="100"/>
      <c r="HF82" s="100"/>
      <c r="HG82" s="100"/>
      <c r="HH82" s="100"/>
      <c r="HI82" s="100"/>
      <c r="HJ82" s="100"/>
      <c r="HK82" s="100"/>
      <c r="HL82" s="100"/>
      <c r="HM82" s="100"/>
      <c r="HN82" s="100"/>
      <c r="HO82" s="100"/>
      <c r="HP82" s="100"/>
      <c r="HQ82" s="100"/>
      <c r="HR82" s="100"/>
      <c r="HS82" s="100"/>
      <c r="HT82" s="100"/>
      <c r="HU82" s="100"/>
      <c r="HV82" s="100"/>
      <c r="HW82" s="100"/>
      <c r="HX82" s="100"/>
      <c r="HY82" s="100"/>
      <c r="HZ82" s="100"/>
      <c r="IA82" s="100"/>
      <c r="IB82" s="100"/>
      <c r="IC82" s="100"/>
      <c r="ID82" s="100"/>
      <c r="IE82" s="100"/>
      <c r="IF82" s="100"/>
      <c r="IG82" s="100"/>
      <c r="IH82" s="100"/>
      <c r="II82" s="100"/>
      <c r="IJ82" s="100"/>
      <c r="IK82" s="100"/>
      <c r="IL82" s="100"/>
      <c r="IM82" s="100"/>
      <c r="IN82" s="100"/>
      <c r="IO82" s="100"/>
      <c r="IP82" s="100"/>
      <c r="IQ82" s="100"/>
      <c r="IR82" s="100"/>
      <c r="IS82" s="100"/>
      <c r="IT82" s="100"/>
      <c r="IU82" s="100"/>
      <c r="IV82" s="100"/>
      <c r="IW82" s="100"/>
    </row>
    <row r="83" customFormat="false" ht="12.75" hidden="false" customHeight="false" outlineLevel="0" collapsed="false">
      <c r="A83" s="100"/>
      <c r="B83" s="1137"/>
      <c r="C83" s="327"/>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c r="AI83" s="130"/>
      <c r="AJ83" s="130"/>
      <c r="AK83" s="130"/>
      <c r="AL83" s="130"/>
      <c r="AM83" s="638"/>
      <c r="AN83" s="100"/>
      <c r="AO83" s="100"/>
      <c r="AP83" s="100"/>
      <c r="AQ83" s="100"/>
      <c r="AR83" s="100"/>
      <c r="AS83" s="100"/>
      <c r="AT83" s="100"/>
      <c r="AU83" s="100"/>
      <c r="AV83" s="100"/>
      <c r="AW83" s="100"/>
      <c r="AX83" s="100"/>
      <c r="AY83" s="100"/>
      <c r="AZ83" s="100"/>
      <c r="BA83" s="100"/>
      <c r="BB83" s="100"/>
      <c r="BC83" s="100"/>
      <c r="BD83" s="100"/>
      <c r="BE83" s="100"/>
      <c r="BF83" s="100"/>
      <c r="BG83" s="100"/>
      <c r="BH83" s="100"/>
      <c r="BI83" s="100"/>
      <c r="BJ83" s="100"/>
      <c r="BK83" s="100"/>
      <c r="BL83" s="100"/>
      <c r="BM83" s="100"/>
      <c r="BN83" s="100"/>
      <c r="BO83" s="100"/>
      <c r="BP83" s="100"/>
      <c r="BQ83" s="100"/>
      <c r="BR83" s="100"/>
      <c r="BS83" s="100"/>
      <c r="BT83" s="100"/>
      <c r="BU83" s="100"/>
      <c r="BV83" s="100"/>
      <c r="BW83" s="100"/>
      <c r="BX83" s="100"/>
      <c r="BY83" s="100"/>
      <c r="BZ83" s="100"/>
      <c r="CA83" s="100"/>
      <c r="CB83" s="100"/>
      <c r="CC83" s="100"/>
      <c r="CD83" s="100"/>
      <c r="CE83" s="100"/>
      <c r="CF83" s="100"/>
      <c r="CG83" s="100"/>
      <c r="CH83" s="100"/>
      <c r="CI83" s="100"/>
      <c r="CJ83" s="100"/>
      <c r="CK83" s="100"/>
      <c r="CL83" s="100"/>
      <c r="CM83" s="100"/>
      <c r="CN83" s="100"/>
      <c r="CO83" s="100"/>
      <c r="CP83" s="100"/>
      <c r="CQ83" s="100"/>
      <c r="CR83" s="100"/>
      <c r="CS83" s="100"/>
      <c r="CT83" s="100"/>
      <c r="CU83" s="100"/>
      <c r="CV83" s="100"/>
      <c r="CW83" s="100"/>
      <c r="CX83" s="100"/>
      <c r="CY83" s="100"/>
      <c r="CZ83" s="100"/>
      <c r="DA83" s="100"/>
      <c r="DB83" s="100"/>
      <c r="DC83" s="100"/>
      <c r="DD83" s="100"/>
      <c r="DE83" s="100"/>
      <c r="DF83" s="100"/>
      <c r="DG83" s="100"/>
      <c r="DH83" s="100"/>
      <c r="DI83" s="100"/>
      <c r="DJ83" s="100"/>
      <c r="DK83" s="100"/>
      <c r="DL83" s="100"/>
      <c r="DM83" s="100"/>
      <c r="DN83" s="100"/>
      <c r="DO83" s="100"/>
      <c r="DP83" s="100"/>
      <c r="DQ83" s="100"/>
      <c r="DR83" s="100"/>
      <c r="DS83" s="100"/>
      <c r="DT83" s="100"/>
      <c r="DU83" s="100"/>
      <c r="DV83" s="100"/>
      <c r="DW83" s="100"/>
      <c r="DX83" s="100"/>
      <c r="DY83" s="100"/>
      <c r="DZ83" s="100"/>
      <c r="EA83" s="100"/>
      <c r="EB83" s="100"/>
      <c r="EC83" s="100"/>
      <c r="ED83" s="100"/>
      <c r="EE83" s="100"/>
      <c r="EF83" s="100"/>
      <c r="EG83" s="100"/>
      <c r="EH83" s="100"/>
      <c r="EI83" s="100"/>
      <c r="EJ83" s="100"/>
      <c r="EK83" s="100"/>
      <c r="EL83" s="100"/>
      <c r="EM83" s="100"/>
      <c r="EN83" s="100"/>
      <c r="EO83" s="100"/>
      <c r="EP83" s="100"/>
      <c r="EQ83" s="100"/>
      <c r="ER83" s="100"/>
      <c r="ES83" s="100"/>
      <c r="ET83" s="100"/>
      <c r="EU83" s="100"/>
      <c r="EV83" s="100"/>
      <c r="EW83" s="100"/>
      <c r="EX83" s="100"/>
      <c r="EY83" s="100"/>
      <c r="EZ83" s="100"/>
      <c r="FA83" s="100"/>
      <c r="FB83" s="100"/>
      <c r="FC83" s="100"/>
      <c r="FD83" s="100"/>
      <c r="FE83" s="100"/>
      <c r="FF83" s="100"/>
      <c r="FG83" s="100"/>
      <c r="FH83" s="100"/>
      <c r="FI83" s="100"/>
      <c r="FJ83" s="100"/>
      <c r="FK83" s="100"/>
      <c r="FL83" s="100"/>
      <c r="FM83" s="100"/>
      <c r="FN83" s="100"/>
      <c r="FO83" s="100"/>
      <c r="FP83" s="100"/>
      <c r="FQ83" s="100"/>
      <c r="FR83" s="100"/>
      <c r="FS83" s="100"/>
      <c r="FT83" s="100"/>
      <c r="FU83" s="100"/>
      <c r="FV83" s="100"/>
      <c r="FW83" s="100"/>
      <c r="FX83" s="100"/>
      <c r="FY83" s="100"/>
      <c r="FZ83" s="100"/>
      <c r="GA83" s="100"/>
      <c r="GB83" s="100"/>
      <c r="GC83" s="100"/>
      <c r="GD83" s="100"/>
      <c r="GE83" s="100"/>
      <c r="GF83" s="100"/>
      <c r="GG83" s="100"/>
      <c r="GH83" s="100"/>
      <c r="GI83" s="100"/>
      <c r="GJ83" s="100"/>
      <c r="GK83" s="100"/>
      <c r="GL83" s="100"/>
      <c r="GM83" s="100"/>
      <c r="GN83" s="100"/>
      <c r="GO83" s="100"/>
      <c r="GP83" s="100"/>
      <c r="GQ83" s="100"/>
      <c r="GR83" s="100"/>
      <c r="GS83" s="100"/>
      <c r="GT83" s="100"/>
      <c r="GU83" s="100"/>
      <c r="GV83" s="100"/>
      <c r="GW83" s="100"/>
      <c r="GX83" s="100"/>
      <c r="GY83" s="100"/>
      <c r="GZ83" s="100"/>
      <c r="HA83" s="100"/>
      <c r="HB83" s="100"/>
      <c r="HC83" s="100"/>
      <c r="HD83" s="100"/>
      <c r="HE83" s="100"/>
      <c r="HF83" s="100"/>
      <c r="HG83" s="100"/>
      <c r="HH83" s="100"/>
      <c r="HI83" s="100"/>
      <c r="HJ83" s="100"/>
      <c r="HK83" s="100"/>
      <c r="HL83" s="100"/>
      <c r="HM83" s="100"/>
      <c r="HN83" s="100"/>
      <c r="HO83" s="100"/>
      <c r="HP83" s="100"/>
      <c r="HQ83" s="100"/>
      <c r="HR83" s="100"/>
      <c r="HS83" s="100"/>
      <c r="HT83" s="100"/>
      <c r="HU83" s="100"/>
      <c r="HV83" s="100"/>
      <c r="HW83" s="100"/>
      <c r="HX83" s="100"/>
      <c r="HY83" s="100"/>
      <c r="HZ83" s="100"/>
      <c r="IA83" s="100"/>
      <c r="IB83" s="100"/>
      <c r="IC83" s="100"/>
      <c r="ID83" s="100"/>
      <c r="IE83" s="100"/>
      <c r="IF83" s="100"/>
      <c r="IG83" s="100"/>
      <c r="IH83" s="100"/>
      <c r="II83" s="100"/>
      <c r="IJ83" s="100"/>
      <c r="IK83" s="100"/>
      <c r="IL83" s="100"/>
      <c r="IM83" s="100"/>
      <c r="IN83" s="100"/>
      <c r="IO83" s="100"/>
      <c r="IP83" s="100"/>
      <c r="IQ83" s="100"/>
      <c r="IR83" s="100"/>
      <c r="IS83" s="100"/>
      <c r="IT83" s="100"/>
      <c r="IU83" s="100"/>
      <c r="IV83" s="100"/>
      <c r="IW83" s="100"/>
    </row>
    <row r="84" customFormat="false" ht="12.75" hidden="false" customHeight="false" outlineLevel="0" collapsed="false">
      <c r="A84" s="100"/>
      <c r="B84" s="1136" t="s">
        <v>755</v>
      </c>
      <c r="C84" s="327"/>
      <c r="D84" s="130"/>
      <c r="E84" s="130"/>
      <c r="F84" s="130"/>
      <c r="G84" s="130"/>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638"/>
      <c r="AN84" s="100"/>
      <c r="AO84" s="100"/>
      <c r="AP84" s="100"/>
      <c r="AQ84" s="100"/>
      <c r="AR84" s="100"/>
      <c r="AS84" s="100"/>
      <c r="AT84" s="100"/>
      <c r="AU84" s="100"/>
      <c r="AV84" s="100"/>
      <c r="AW84" s="100"/>
      <c r="AX84" s="100"/>
      <c r="AY84" s="100"/>
      <c r="AZ84" s="100"/>
      <c r="BA84" s="100"/>
      <c r="BB84" s="100"/>
      <c r="BC84" s="100"/>
      <c r="BD84" s="100"/>
      <c r="BE84" s="100"/>
      <c r="BF84" s="100"/>
      <c r="BG84" s="100"/>
      <c r="BH84" s="100"/>
      <c r="BI84" s="100"/>
      <c r="BJ84" s="100"/>
      <c r="BK84" s="100"/>
      <c r="BL84" s="100"/>
      <c r="BM84" s="100"/>
      <c r="BN84" s="100"/>
      <c r="BO84" s="100"/>
      <c r="BP84" s="100"/>
      <c r="BQ84" s="100"/>
      <c r="BR84" s="100"/>
      <c r="BS84" s="100"/>
      <c r="BT84" s="100"/>
      <c r="BU84" s="100"/>
      <c r="BV84" s="100"/>
      <c r="BW84" s="100"/>
      <c r="BX84" s="100"/>
      <c r="BY84" s="100"/>
      <c r="BZ84" s="100"/>
      <c r="CA84" s="100"/>
      <c r="CB84" s="100"/>
      <c r="CC84" s="100"/>
      <c r="CD84" s="100"/>
      <c r="CE84" s="100"/>
      <c r="CF84" s="100"/>
      <c r="CG84" s="100"/>
      <c r="CH84" s="100"/>
      <c r="CI84" s="100"/>
      <c r="CJ84" s="100"/>
      <c r="CK84" s="100"/>
      <c r="CL84" s="100"/>
      <c r="CM84" s="100"/>
      <c r="CN84" s="100"/>
      <c r="CO84" s="100"/>
      <c r="CP84" s="100"/>
      <c r="CQ84" s="100"/>
      <c r="CR84" s="100"/>
      <c r="CS84" s="100"/>
      <c r="CT84" s="100"/>
      <c r="CU84" s="100"/>
      <c r="CV84" s="100"/>
      <c r="CW84" s="100"/>
      <c r="CX84" s="100"/>
      <c r="CY84" s="100"/>
      <c r="CZ84" s="100"/>
      <c r="DA84" s="100"/>
      <c r="DB84" s="100"/>
      <c r="DC84" s="100"/>
      <c r="DD84" s="100"/>
      <c r="DE84" s="100"/>
      <c r="DF84" s="100"/>
      <c r="DG84" s="100"/>
      <c r="DH84" s="100"/>
      <c r="DI84" s="100"/>
      <c r="DJ84" s="100"/>
      <c r="DK84" s="100"/>
      <c r="DL84" s="100"/>
      <c r="DM84" s="100"/>
      <c r="DN84" s="100"/>
      <c r="DO84" s="100"/>
      <c r="DP84" s="100"/>
      <c r="DQ84" s="100"/>
      <c r="DR84" s="100"/>
      <c r="DS84" s="100"/>
      <c r="DT84" s="100"/>
      <c r="DU84" s="100"/>
      <c r="DV84" s="100"/>
      <c r="DW84" s="100"/>
      <c r="DX84" s="100"/>
      <c r="DY84" s="100"/>
      <c r="DZ84" s="100"/>
      <c r="EA84" s="100"/>
      <c r="EB84" s="100"/>
      <c r="EC84" s="100"/>
      <c r="ED84" s="100"/>
      <c r="EE84" s="100"/>
      <c r="EF84" s="100"/>
      <c r="EG84" s="100"/>
      <c r="EH84" s="100"/>
      <c r="EI84" s="100"/>
      <c r="EJ84" s="100"/>
      <c r="EK84" s="100"/>
      <c r="EL84" s="100"/>
      <c r="EM84" s="100"/>
      <c r="EN84" s="100"/>
      <c r="EO84" s="100"/>
      <c r="EP84" s="100"/>
      <c r="EQ84" s="100"/>
      <c r="ER84" s="100"/>
      <c r="ES84" s="100"/>
      <c r="ET84" s="100"/>
      <c r="EU84" s="100"/>
      <c r="EV84" s="100"/>
      <c r="EW84" s="100"/>
      <c r="EX84" s="100"/>
      <c r="EY84" s="100"/>
      <c r="EZ84" s="100"/>
      <c r="FA84" s="100"/>
      <c r="FB84" s="100"/>
      <c r="FC84" s="100"/>
      <c r="FD84" s="100"/>
      <c r="FE84" s="100"/>
      <c r="FF84" s="100"/>
      <c r="FG84" s="100"/>
      <c r="FH84" s="100"/>
      <c r="FI84" s="100"/>
      <c r="FJ84" s="100"/>
      <c r="FK84" s="100"/>
      <c r="FL84" s="100"/>
      <c r="FM84" s="100"/>
      <c r="FN84" s="100"/>
      <c r="FO84" s="100"/>
      <c r="FP84" s="100"/>
      <c r="FQ84" s="100"/>
      <c r="FR84" s="100"/>
      <c r="FS84" s="100"/>
      <c r="FT84" s="100"/>
      <c r="FU84" s="100"/>
      <c r="FV84" s="100"/>
      <c r="FW84" s="100"/>
      <c r="FX84" s="100"/>
      <c r="FY84" s="100"/>
      <c r="FZ84" s="100"/>
      <c r="GA84" s="100"/>
      <c r="GB84" s="100"/>
      <c r="GC84" s="100"/>
      <c r="GD84" s="100"/>
      <c r="GE84" s="100"/>
      <c r="GF84" s="100"/>
      <c r="GG84" s="100"/>
      <c r="GH84" s="100"/>
      <c r="GI84" s="100"/>
      <c r="GJ84" s="100"/>
      <c r="GK84" s="100"/>
      <c r="GL84" s="100"/>
      <c r="GM84" s="100"/>
      <c r="GN84" s="100"/>
      <c r="GO84" s="100"/>
      <c r="GP84" s="100"/>
      <c r="GQ84" s="100"/>
      <c r="GR84" s="100"/>
      <c r="GS84" s="100"/>
      <c r="GT84" s="100"/>
      <c r="GU84" s="100"/>
      <c r="GV84" s="100"/>
      <c r="GW84" s="100"/>
      <c r="GX84" s="100"/>
      <c r="GY84" s="100"/>
      <c r="GZ84" s="100"/>
      <c r="HA84" s="100"/>
      <c r="HB84" s="100"/>
      <c r="HC84" s="100"/>
      <c r="HD84" s="100"/>
      <c r="HE84" s="100"/>
      <c r="HF84" s="100"/>
      <c r="HG84" s="100"/>
      <c r="HH84" s="100"/>
      <c r="HI84" s="100"/>
      <c r="HJ84" s="100"/>
      <c r="HK84" s="100"/>
      <c r="HL84" s="100"/>
      <c r="HM84" s="100"/>
      <c r="HN84" s="100"/>
      <c r="HO84" s="100"/>
      <c r="HP84" s="100"/>
      <c r="HQ84" s="100"/>
      <c r="HR84" s="100"/>
      <c r="HS84" s="100"/>
      <c r="HT84" s="100"/>
      <c r="HU84" s="100"/>
      <c r="HV84" s="100"/>
      <c r="HW84" s="100"/>
      <c r="HX84" s="100"/>
      <c r="HY84" s="100"/>
      <c r="HZ84" s="100"/>
      <c r="IA84" s="100"/>
      <c r="IB84" s="100"/>
      <c r="IC84" s="100"/>
      <c r="ID84" s="100"/>
      <c r="IE84" s="100"/>
      <c r="IF84" s="100"/>
      <c r="IG84" s="100"/>
      <c r="IH84" s="100"/>
      <c r="II84" s="100"/>
      <c r="IJ84" s="100"/>
      <c r="IK84" s="100"/>
      <c r="IL84" s="100"/>
      <c r="IM84" s="100"/>
      <c r="IN84" s="100"/>
      <c r="IO84" s="100"/>
      <c r="IP84" s="100"/>
      <c r="IQ84" s="100"/>
      <c r="IR84" s="100"/>
      <c r="IS84" s="100"/>
      <c r="IT84" s="100"/>
      <c r="IU84" s="100"/>
      <c r="IV84" s="100"/>
      <c r="IW84" s="100"/>
    </row>
    <row r="85" customFormat="false" ht="12.75" hidden="false" customHeight="false" outlineLevel="0" collapsed="false">
      <c r="A85" s="100"/>
      <c r="B85" s="1135" t="s">
        <v>751</v>
      </c>
      <c r="C85" s="327" t="n">
        <f aca="false">SUM(D85:AL85)</f>
        <v>0</v>
      </c>
      <c r="D85" s="130" t="n">
        <f aca="false">D67+D71-D81</f>
        <v>0</v>
      </c>
      <c r="E85" s="130" t="n">
        <f aca="false">E67+E71-E81</f>
        <v>0</v>
      </c>
      <c r="F85" s="130" t="n">
        <f aca="false">F67+F71-F81</f>
        <v>0</v>
      </c>
      <c r="G85" s="130" t="n">
        <f aca="false">G67+G71-G81</f>
        <v>0</v>
      </c>
      <c r="H85" s="130" t="n">
        <f aca="false">H67+H71-H81</f>
        <v>0</v>
      </c>
      <c r="I85" s="130" t="n">
        <f aca="false">I67+I71-I81</f>
        <v>0</v>
      </c>
      <c r="J85" s="130" t="n">
        <f aca="false">J67+J71-J81</f>
        <v>0</v>
      </c>
      <c r="K85" s="130" t="n">
        <f aca="false">K67+K71-K81</f>
        <v>0</v>
      </c>
      <c r="L85" s="130" t="n">
        <f aca="false">L67+L71-L81</f>
        <v>0</v>
      </c>
      <c r="M85" s="130" t="n">
        <f aca="false">M67+M71-M81</f>
        <v>0</v>
      </c>
      <c r="N85" s="130" t="n">
        <f aca="false">N67+N71-N81</f>
        <v>0</v>
      </c>
      <c r="O85" s="130" t="n">
        <f aca="false">O67+O71-O81</f>
        <v>0</v>
      </c>
      <c r="P85" s="130" t="n">
        <f aca="false">P67+P71-P81</f>
        <v>0</v>
      </c>
      <c r="Q85" s="130" t="n">
        <f aca="false">Q67+Q71-Q81</f>
        <v>0</v>
      </c>
      <c r="R85" s="130" t="n">
        <f aca="false">R67+R71-R81</f>
        <v>0</v>
      </c>
      <c r="S85" s="130" t="n">
        <f aca="false">S67+S71-S81</f>
        <v>0</v>
      </c>
      <c r="T85" s="130" t="n">
        <f aca="false">T67+T71-T81</f>
        <v>0</v>
      </c>
      <c r="U85" s="130" t="n">
        <f aca="false">U67+U71-U81</f>
        <v>0</v>
      </c>
      <c r="V85" s="130" t="n">
        <f aca="false">V67+V71-V81</f>
        <v>0</v>
      </c>
      <c r="W85" s="130" t="n">
        <f aca="false">W67+W71-W81</f>
        <v>0</v>
      </c>
      <c r="X85" s="130" t="n">
        <f aca="false">X67+X71-X81</f>
        <v>0</v>
      </c>
      <c r="Y85" s="130" t="n">
        <f aca="false">Y67+Y71-Y81</f>
        <v>0</v>
      </c>
      <c r="Z85" s="130" t="n">
        <f aca="false">Z67+Z71-Z81</f>
        <v>0</v>
      </c>
      <c r="AA85" s="130" t="n">
        <f aca="false">AA67+AA71-AA81</f>
        <v>0</v>
      </c>
      <c r="AB85" s="130" t="n">
        <f aca="false">AB67+AB71-AB81</f>
        <v>0</v>
      </c>
      <c r="AC85" s="130" t="n">
        <f aca="false">AC67+AC71-AC81</f>
        <v>0</v>
      </c>
      <c r="AD85" s="130" t="n">
        <f aca="false">AD67+AD71-AD81</f>
        <v>0</v>
      </c>
      <c r="AE85" s="130" t="n">
        <f aca="false">AE67+AE71-AE81</f>
        <v>0</v>
      </c>
      <c r="AF85" s="130" t="n">
        <f aca="false">AF67+AF71-AF81</f>
        <v>0</v>
      </c>
      <c r="AG85" s="130" t="n">
        <f aca="false">AG67+AG71-AG81</f>
        <v>0</v>
      </c>
      <c r="AH85" s="130" t="n">
        <f aca="false">AH67+AH71-AH81</f>
        <v>0</v>
      </c>
      <c r="AI85" s="130" t="n">
        <f aca="false">AI67+AI71-AI81</f>
        <v>0</v>
      </c>
      <c r="AJ85" s="130" t="n">
        <f aca="false">AJ67+AJ71-AJ81</f>
        <v>0</v>
      </c>
      <c r="AK85" s="130" t="n">
        <f aca="false">AK67+AK71-AK81</f>
        <v>0</v>
      </c>
      <c r="AL85" s="130" t="n">
        <f aca="false">AL67+AL71-AL81</f>
        <v>0</v>
      </c>
      <c r="AM85" s="638"/>
      <c r="AN85" s="100"/>
      <c r="AO85" s="100"/>
      <c r="AP85" s="100"/>
      <c r="AQ85" s="100"/>
      <c r="AR85" s="100"/>
      <c r="AS85" s="100"/>
      <c r="AT85" s="100"/>
      <c r="AU85" s="100"/>
      <c r="AV85" s="100"/>
      <c r="AW85" s="100"/>
      <c r="AX85" s="100"/>
      <c r="AY85" s="100"/>
      <c r="AZ85" s="100"/>
      <c r="BA85" s="100"/>
      <c r="BB85" s="100"/>
      <c r="BC85" s="100"/>
      <c r="BD85" s="100"/>
      <c r="BE85" s="100"/>
      <c r="BF85" s="100"/>
      <c r="BG85" s="100"/>
      <c r="BH85" s="100"/>
      <c r="BI85" s="100"/>
      <c r="BJ85" s="100"/>
      <c r="BK85" s="100"/>
      <c r="BL85" s="100"/>
      <c r="BM85" s="100"/>
      <c r="BN85" s="100"/>
      <c r="BO85" s="100"/>
      <c r="BP85" s="100"/>
      <c r="BQ85" s="100"/>
      <c r="BR85" s="100"/>
      <c r="BS85" s="100"/>
      <c r="BT85" s="100"/>
      <c r="BU85" s="100"/>
      <c r="BV85" s="100"/>
      <c r="BW85" s="100"/>
      <c r="BX85" s="100"/>
      <c r="BY85" s="100"/>
      <c r="BZ85" s="100"/>
      <c r="CA85" s="100"/>
      <c r="CB85" s="100"/>
      <c r="CC85" s="100"/>
      <c r="CD85" s="100"/>
      <c r="CE85" s="100"/>
      <c r="CF85" s="100"/>
      <c r="CG85" s="100"/>
      <c r="CH85" s="100"/>
      <c r="CI85" s="100"/>
      <c r="CJ85" s="100"/>
      <c r="CK85" s="100"/>
      <c r="CL85" s="100"/>
      <c r="CM85" s="100"/>
      <c r="CN85" s="100"/>
      <c r="CO85" s="100"/>
      <c r="CP85" s="100"/>
      <c r="CQ85" s="100"/>
      <c r="CR85" s="100"/>
      <c r="CS85" s="100"/>
      <c r="CT85" s="100"/>
      <c r="CU85" s="100"/>
      <c r="CV85" s="100"/>
      <c r="CW85" s="100"/>
      <c r="CX85" s="100"/>
      <c r="CY85" s="100"/>
      <c r="CZ85" s="100"/>
      <c r="DA85" s="100"/>
      <c r="DB85" s="100"/>
      <c r="DC85" s="100"/>
      <c r="DD85" s="100"/>
      <c r="DE85" s="100"/>
      <c r="DF85" s="100"/>
      <c r="DG85" s="100"/>
      <c r="DH85" s="100"/>
      <c r="DI85" s="100"/>
      <c r="DJ85" s="100"/>
      <c r="DK85" s="100"/>
      <c r="DL85" s="100"/>
      <c r="DM85" s="100"/>
      <c r="DN85" s="100"/>
      <c r="DO85" s="100"/>
      <c r="DP85" s="100"/>
      <c r="DQ85" s="100"/>
      <c r="DR85" s="100"/>
      <c r="DS85" s="100"/>
      <c r="DT85" s="100"/>
      <c r="DU85" s="100"/>
      <c r="DV85" s="100"/>
      <c r="DW85" s="100"/>
      <c r="DX85" s="100"/>
      <c r="DY85" s="100"/>
      <c r="DZ85" s="100"/>
      <c r="EA85" s="100"/>
      <c r="EB85" s="100"/>
      <c r="EC85" s="100"/>
      <c r="ED85" s="100"/>
      <c r="EE85" s="100"/>
      <c r="EF85" s="100"/>
      <c r="EG85" s="100"/>
      <c r="EH85" s="100"/>
      <c r="EI85" s="100"/>
      <c r="EJ85" s="100"/>
      <c r="EK85" s="100"/>
      <c r="EL85" s="100"/>
      <c r="EM85" s="100"/>
      <c r="EN85" s="100"/>
      <c r="EO85" s="100"/>
      <c r="EP85" s="100"/>
      <c r="EQ85" s="100"/>
      <c r="ER85" s="100"/>
      <c r="ES85" s="100"/>
      <c r="ET85" s="100"/>
      <c r="EU85" s="100"/>
      <c r="EV85" s="100"/>
      <c r="EW85" s="100"/>
      <c r="EX85" s="100"/>
      <c r="EY85" s="100"/>
      <c r="EZ85" s="100"/>
      <c r="FA85" s="100"/>
      <c r="FB85" s="100"/>
      <c r="FC85" s="100"/>
      <c r="FD85" s="100"/>
      <c r="FE85" s="100"/>
      <c r="FF85" s="100"/>
      <c r="FG85" s="100"/>
      <c r="FH85" s="100"/>
      <c r="FI85" s="100"/>
      <c r="FJ85" s="100"/>
      <c r="FK85" s="100"/>
      <c r="FL85" s="100"/>
      <c r="FM85" s="100"/>
      <c r="FN85" s="100"/>
      <c r="FO85" s="100"/>
      <c r="FP85" s="100"/>
      <c r="FQ85" s="100"/>
      <c r="FR85" s="100"/>
      <c r="FS85" s="100"/>
      <c r="FT85" s="100"/>
      <c r="FU85" s="100"/>
      <c r="FV85" s="100"/>
      <c r="FW85" s="100"/>
      <c r="FX85" s="100"/>
      <c r="FY85" s="100"/>
      <c r="FZ85" s="100"/>
      <c r="GA85" s="100"/>
      <c r="GB85" s="100"/>
      <c r="GC85" s="100"/>
      <c r="GD85" s="100"/>
      <c r="GE85" s="100"/>
      <c r="GF85" s="100"/>
      <c r="GG85" s="100"/>
      <c r="GH85" s="100"/>
      <c r="GI85" s="100"/>
      <c r="GJ85" s="100"/>
      <c r="GK85" s="100"/>
      <c r="GL85" s="100"/>
      <c r="GM85" s="100"/>
      <c r="GN85" s="100"/>
      <c r="GO85" s="100"/>
      <c r="GP85" s="100"/>
      <c r="GQ85" s="100"/>
      <c r="GR85" s="100"/>
      <c r="GS85" s="100"/>
      <c r="GT85" s="100"/>
      <c r="GU85" s="100"/>
      <c r="GV85" s="100"/>
      <c r="GW85" s="100"/>
      <c r="GX85" s="100"/>
      <c r="GY85" s="100"/>
      <c r="GZ85" s="100"/>
      <c r="HA85" s="100"/>
      <c r="HB85" s="100"/>
      <c r="HC85" s="100"/>
      <c r="HD85" s="100"/>
      <c r="HE85" s="100"/>
      <c r="HF85" s="100"/>
      <c r="HG85" s="100"/>
      <c r="HH85" s="100"/>
      <c r="HI85" s="100"/>
      <c r="HJ85" s="100"/>
      <c r="HK85" s="100"/>
      <c r="HL85" s="100"/>
      <c r="HM85" s="100"/>
      <c r="HN85" s="100"/>
      <c r="HO85" s="100"/>
      <c r="HP85" s="100"/>
      <c r="HQ85" s="100"/>
      <c r="HR85" s="100"/>
      <c r="HS85" s="100"/>
      <c r="HT85" s="100"/>
      <c r="HU85" s="100"/>
      <c r="HV85" s="100"/>
      <c r="HW85" s="100"/>
      <c r="HX85" s="100"/>
      <c r="HY85" s="100"/>
      <c r="HZ85" s="100"/>
      <c r="IA85" s="100"/>
      <c r="IB85" s="100"/>
      <c r="IC85" s="100"/>
      <c r="ID85" s="100"/>
      <c r="IE85" s="100"/>
      <c r="IF85" s="100"/>
      <c r="IG85" s="100"/>
      <c r="IH85" s="100"/>
      <c r="II85" s="100"/>
      <c r="IJ85" s="100"/>
      <c r="IK85" s="100"/>
      <c r="IL85" s="100"/>
      <c r="IM85" s="100"/>
      <c r="IN85" s="100"/>
      <c r="IO85" s="100"/>
      <c r="IP85" s="100"/>
      <c r="IQ85" s="100"/>
      <c r="IR85" s="100"/>
      <c r="IS85" s="100"/>
      <c r="IT85" s="100"/>
      <c r="IU85" s="100"/>
      <c r="IV85" s="100"/>
      <c r="IW85" s="100"/>
    </row>
    <row r="86" customFormat="false" ht="13.5" hidden="false" customHeight="false" outlineLevel="0" collapsed="false">
      <c r="A86" s="100"/>
      <c r="B86" s="1142" t="s">
        <v>334</v>
      </c>
      <c r="C86" s="1143" t="n">
        <f aca="false">SUM(D86:AL86)</f>
        <v>0</v>
      </c>
      <c r="D86" s="1144" t="n">
        <f aca="false">D68+D72-D82</f>
        <v>0</v>
      </c>
      <c r="E86" s="1144" t="n">
        <f aca="false">E68+E72-E82</f>
        <v>0</v>
      </c>
      <c r="F86" s="1144" t="n">
        <f aca="false">F68+F72-F82</f>
        <v>0</v>
      </c>
      <c r="G86" s="1144" t="n">
        <f aca="false">G68+G72-G82</f>
        <v>0</v>
      </c>
      <c r="H86" s="1144" t="n">
        <f aca="false">H68+H72-H82</f>
        <v>0</v>
      </c>
      <c r="I86" s="1144" t="n">
        <f aca="false">I68+I72-I82</f>
        <v>0</v>
      </c>
      <c r="J86" s="1144" t="n">
        <f aca="false">J68+J72-J82</f>
        <v>0</v>
      </c>
      <c r="K86" s="1144" t="n">
        <f aca="false">K68+K72-K82</f>
        <v>0</v>
      </c>
      <c r="L86" s="1144" t="n">
        <f aca="false">L68+L72-L82</f>
        <v>0</v>
      </c>
      <c r="M86" s="1144" t="n">
        <f aca="false">M68+M72-M82</f>
        <v>0</v>
      </c>
      <c r="N86" s="1144" t="n">
        <f aca="false">N68+N72-N82</f>
        <v>0</v>
      </c>
      <c r="O86" s="1144" t="n">
        <f aca="false">O68+O72-O82</f>
        <v>0</v>
      </c>
      <c r="P86" s="1144" t="n">
        <f aca="false">P68+P72-P82</f>
        <v>0</v>
      </c>
      <c r="Q86" s="1144" t="n">
        <f aca="false">Q68+Q72-Q82</f>
        <v>0</v>
      </c>
      <c r="R86" s="1144" t="n">
        <f aca="false">R68+R72-R82</f>
        <v>0</v>
      </c>
      <c r="S86" s="1144" t="n">
        <f aca="false">S68+S72-S82</f>
        <v>0</v>
      </c>
      <c r="T86" s="1144" t="n">
        <f aca="false">T68+T72-T82</f>
        <v>0</v>
      </c>
      <c r="U86" s="1144" t="n">
        <f aca="false">U68+U72-U82</f>
        <v>0</v>
      </c>
      <c r="V86" s="1144" t="n">
        <f aca="false">V68+V72-V82</f>
        <v>0</v>
      </c>
      <c r="W86" s="1144" t="n">
        <f aca="false">W68+W72-W82</f>
        <v>0</v>
      </c>
      <c r="X86" s="1144" t="n">
        <f aca="false">X68+X72-X82</f>
        <v>0</v>
      </c>
      <c r="Y86" s="1144" t="n">
        <f aca="false">Y68+Y72-Y82</f>
        <v>0</v>
      </c>
      <c r="Z86" s="1144" t="n">
        <f aca="false">Z68+Z72-Z82</f>
        <v>0</v>
      </c>
      <c r="AA86" s="1144" t="n">
        <f aca="false">AA68+AA72-AA82</f>
        <v>0</v>
      </c>
      <c r="AB86" s="1144" t="n">
        <f aca="false">AB68+AB72-AB82</f>
        <v>0</v>
      </c>
      <c r="AC86" s="1144" t="n">
        <f aca="false">AC68+AC72-AC82</f>
        <v>0</v>
      </c>
      <c r="AD86" s="1144" t="n">
        <f aca="false">AD68+AD72-AD82</f>
        <v>0</v>
      </c>
      <c r="AE86" s="1144" t="n">
        <f aca="false">AE68+AE72-AE82</f>
        <v>0</v>
      </c>
      <c r="AF86" s="1144" t="n">
        <f aca="false">AF68+AF72-AF82</f>
        <v>0</v>
      </c>
      <c r="AG86" s="1144" t="n">
        <f aca="false">AG68+AG72-AG82</f>
        <v>0</v>
      </c>
      <c r="AH86" s="1144" t="n">
        <f aca="false">AH68+AH72-AH82</f>
        <v>0</v>
      </c>
      <c r="AI86" s="1144" t="n">
        <f aca="false">AI68+AI72-AI82</f>
        <v>0</v>
      </c>
      <c r="AJ86" s="1144" t="n">
        <f aca="false">AJ68+AJ72-AJ82</f>
        <v>0</v>
      </c>
      <c r="AK86" s="1144" t="n">
        <f aca="false">AK68+AK72-AK82</f>
        <v>0</v>
      </c>
      <c r="AL86" s="1144" t="n">
        <f aca="false">AL68+AL72-AL82</f>
        <v>0</v>
      </c>
      <c r="AM86" s="1145"/>
      <c r="AN86" s="100"/>
      <c r="AO86" s="100"/>
      <c r="AP86" s="100"/>
      <c r="AQ86" s="100"/>
      <c r="AR86" s="100"/>
      <c r="AS86" s="100"/>
      <c r="AT86" s="100"/>
      <c r="AU86" s="100"/>
      <c r="AV86" s="100"/>
      <c r="AW86" s="100"/>
      <c r="AX86" s="100"/>
      <c r="AY86" s="100"/>
      <c r="AZ86" s="100"/>
      <c r="BA86" s="100"/>
      <c r="BB86" s="100"/>
      <c r="BC86" s="100"/>
      <c r="BD86" s="100"/>
      <c r="BE86" s="100"/>
      <c r="BF86" s="100"/>
      <c r="BG86" s="100"/>
      <c r="BH86" s="100"/>
      <c r="BI86" s="100"/>
      <c r="BJ86" s="100"/>
      <c r="BK86" s="100"/>
      <c r="BL86" s="100"/>
      <c r="BM86" s="100"/>
      <c r="BN86" s="100"/>
      <c r="BO86" s="100"/>
      <c r="BP86" s="100"/>
      <c r="BQ86" s="100"/>
      <c r="BR86" s="100"/>
      <c r="BS86" s="100"/>
      <c r="BT86" s="100"/>
      <c r="BU86" s="100"/>
      <c r="BV86" s="100"/>
      <c r="BW86" s="100"/>
      <c r="BX86" s="100"/>
      <c r="BY86" s="100"/>
      <c r="BZ86" s="100"/>
      <c r="CA86" s="100"/>
      <c r="CB86" s="100"/>
      <c r="CC86" s="100"/>
      <c r="CD86" s="100"/>
      <c r="CE86" s="100"/>
      <c r="CF86" s="100"/>
      <c r="CG86" s="100"/>
      <c r="CH86" s="100"/>
      <c r="CI86" s="100"/>
      <c r="CJ86" s="100"/>
      <c r="CK86" s="100"/>
      <c r="CL86" s="100"/>
      <c r="CM86" s="100"/>
      <c r="CN86" s="100"/>
      <c r="CO86" s="100"/>
      <c r="CP86" s="100"/>
      <c r="CQ86" s="100"/>
      <c r="CR86" s="100"/>
      <c r="CS86" s="100"/>
      <c r="CT86" s="100"/>
      <c r="CU86" s="100"/>
      <c r="CV86" s="100"/>
      <c r="CW86" s="100"/>
      <c r="CX86" s="100"/>
      <c r="CY86" s="100"/>
      <c r="CZ86" s="100"/>
      <c r="DA86" s="100"/>
      <c r="DB86" s="100"/>
      <c r="DC86" s="100"/>
      <c r="DD86" s="100"/>
      <c r="DE86" s="100"/>
      <c r="DF86" s="100"/>
      <c r="DG86" s="100"/>
      <c r="DH86" s="100"/>
      <c r="DI86" s="100"/>
      <c r="DJ86" s="100"/>
      <c r="DK86" s="100"/>
      <c r="DL86" s="100"/>
      <c r="DM86" s="100"/>
      <c r="DN86" s="100"/>
      <c r="DO86" s="100"/>
      <c r="DP86" s="100"/>
      <c r="DQ86" s="100"/>
      <c r="DR86" s="100"/>
      <c r="DS86" s="100"/>
      <c r="DT86" s="100"/>
      <c r="DU86" s="100"/>
      <c r="DV86" s="100"/>
      <c r="DW86" s="100"/>
      <c r="DX86" s="100"/>
      <c r="DY86" s="100"/>
      <c r="DZ86" s="100"/>
      <c r="EA86" s="100"/>
      <c r="EB86" s="100"/>
      <c r="EC86" s="100"/>
      <c r="ED86" s="100"/>
      <c r="EE86" s="100"/>
      <c r="EF86" s="100"/>
      <c r="EG86" s="100"/>
      <c r="EH86" s="100"/>
      <c r="EI86" s="100"/>
      <c r="EJ86" s="100"/>
      <c r="EK86" s="100"/>
      <c r="EL86" s="100"/>
      <c r="EM86" s="100"/>
      <c r="EN86" s="100"/>
      <c r="EO86" s="100"/>
      <c r="EP86" s="100"/>
      <c r="EQ86" s="100"/>
      <c r="ER86" s="100"/>
      <c r="ES86" s="100"/>
      <c r="ET86" s="100"/>
      <c r="EU86" s="100"/>
      <c r="EV86" s="100"/>
      <c r="EW86" s="100"/>
      <c r="EX86" s="100"/>
      <c r="EY86" s="100"/>
      <c r="EZ86" s="100"/>
      <c r="FA86" s="100"/>
      <c r="FB86" s="100"/>
      <c r="FC86" s="100"/>
      <c r="FD86" s="100"/>
      <c r="FE86" s="100"/>
      <c r="FF86" s="100"/>
      <c r="FG86" s="100"/>
      <c r="FH86" s="100"/>
      <c r="FI86" s="100"/>
      <c r="FJ86" s="100"/>
      <c r="FK86" s="100"/>
      <c r="FL86" s="100"/>
      <c r="FM86" s="100"/>
      <c r="FN86" s="100"/>
      <c r="FO86" s="100"/>
      <c r="FP86" s="100"/>
      <c r="FQ86" s="100"/>
      <c r="FR86" s="100"/>
      <c r="FS86" s="100"/>
      <c r="FT86" s="100"/>
      <c r="FU86" s="100"/>
      <c r="FV86" s="100"/>
      <c r="FW86" s="100"/>
      <c r="FX86" s="100"/>
      <c r="FY86" s="100"/>
      <c r="FZ86" s="100"/>
      <c r="GA86" s="100"/>
      <c r="GB86" s="100"/>
      <c r="GC86" s="100"/>
      <c r="GD86" s="100"/>
      <c r="GE86" s="100"/>
      <c r="GF86" s="100"/>
      <c r="GG86" s="100"/>
      <c r="GH86" s="100"/>
      <c r="GI86" s="100"/>
      <c r="GJ86" s="100"/>
      <c r="GK86" s="100"/>
      <c r="GL86" s="100"/>
      <c r="GM86" s="100"/>
      <c r="GN86" s="100"/>
      <c r="GO86" s="100"/>
      <c r="GP86" s="100"/>
      <c r="GQ86" s="100"/>
      <c r="GR86" s="100"/>
      <c r="GS86" s="100"/>
      <c r="GT86" s="100"/>
      <c r="GU86" s="100"/>
      <c r="GV86" s="100"/>
      <c r="GW86" s="100"/>
      <c r="GX86" s="100"/>
      <c r="GY86" s="100"/>
      <c r="GZ86" s="100"/>
      <c r="HA86" s="100"/>
      <c r="HB86" s="100"/>
      <c r="HC86" s="100"/>
      <c r="HD86" s="100"/>
      <c r="HE86" s="100"/>
      <c r="HF86" s="100"/>
      <c r="HG86" s="100"/>
      <c r="HH86" s="100"/>
      <c r="HI86" s="100"/>
      <c r="HJ86" s="100"/>
      <c r="HK86" s="100"/>
      <c r="HL86" s="100"/>
      <c r="HM86" s="100"/>
      <c r="HN86" s="100"/>
      <c r="HO86" s="100"/>
      <c r="HP86" s="100"/>
      <c r="HQ86" s="100"/>
      <c r="HR86" s="100"/>
      <c r="HS86" s="100"/>
      <c r="HT86" s="100"/>
      <c r="HU86" s="100"/>
      <c r="HV86" s="100"/>
      <c r="HW86" s="100"/>
      <c r="HX86" s="100"/>
      <c r="HY86" s="100"/>
      <c r="HZ86" s="100"/>
      <c r="IA86" s="100"/>
      <c r="IB86" s="100"/>
      <c r="IC86" s="100"/>
      <c r="ID86" s="100"/>
      <c r="IE86" s="100"/>
      <c r="IF86" s="100"/>
      <c r="IG86" s="100"/>
      <c r="IH86" s="100"/>
      <c r="II86" s="100"/>
      <c r="IJ86" s="100"/>
      <c r="IK86" s="100"/>
      <c r="IL86" s="100"/>
      <c r="IM86" s="100"/>
      <c r="IN86" s="100"/>
      <c r="IO86" s="100"/>
      <c r="IP86" s="100"/>
      <c r="IQ86" s="100"/>
      <c r="IR86" s="100"/>
      <c r="IS86" s="100"/>
      <c r="IT86" s="100"/>
      <c r="IU86" s="100"/>
      <c r="IV86" s="100"/>
      <c r="IW86" s="100"/>
    </row>
    <row r="87" customFormat="false" ht="12.75" hidden="false" customHeight="false" outlineLevel="0" collapsed="false">
      <c r="B87" s="469"/>
      <c r="C87" s="1146"/>
      <c r="D87" s="130"/>
      <c r="E87" s="130"/>
      <c r="F87" s="130"/>
      <c r="G87" s="130"/>
      <c r="H87" s="130"/>
      <c r="I87" s="130"/>
      <c r="J87" s="130"/>
      <c r="K87" s="130"/>
      <c r="L87" s="130"/>
      <c r="M87" s="130"/>
      <c r="N87" s="130"/>
      <c r="O87" s="130"/>
      <c r="P87" s="130"/>
      <c r="Q87" s="130"/>
      <c r="R87" s="130"/>
      <c r="S87" s="130"/>
      <c r="T87" s="130"/>
      <c r="U87" s="130"/>
      <c r="V87" s="130"/>
      <c r="W87" s="130"/>
      <c r="X87" s="130"/>
      <c r="Y87" s="130"/>
      <c r="Z87" s="130"/>
      <c r="AA87" s="130"/>
      <c r="AB87" s="130"/>
      <c r="AC87" s="130"/>
      <c r="AD87" s="130"/>
      <c r="AE87" s="130"/>
      <c r="AF87" s="130"/>
      <c r="AG87" s="130"/>
      <c r="AH87" s="130"/>
      <c r="AI87" s="130"/>
      <c r="AJ87" s="130"/>
      <c r="AK87" s="130"/>
      <c r="AL87" s="130"/>
    </row>
    <row r="89" customFormat="false" ht="12.75" hidden="false" customHeight="false" outlineLevel="0" collapsed="false">
      <c r="C89" s="1147" t="n">
        <f aca="false">C81-C67-C71</f>
        <v>0</v>
      </c>
    </row>
  </sheetData>
  <printOptions headings="true" gridLines="false" gridLinesSet="true" horizontalCentered="false" verticalCentered="false"/>
  <pageMargins left="0.320138888888889" right="0.279861111111111" top="0.6" bottom="0.670138888888889"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1"/>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X75"/>
    </sheetView>
  </sheetViews>
  <sheetFormatPr defaultColWidth="8.70703125" defaultRowHeight="12.75" customHeight="true" zeroHeight="false" outlineLevelRow="0" outlineLevelCol="0"/>
  <cols>
    <col collapsed="false" customWidth="true" hidden="false" outlineLevel="0" max="1" min="1" style="176" width="4.7"/>
    <col collapsed="false" customWidth="true" hidden="false" outlineLevel="0" max="2" min="2" style="0" width="47.7"/>
    <col collapsed="false" customWidth="true" hidden="false" outlineLevel="0" max="3" min="3" style="0" width="11.28"/>
    <col collapsed="false" customWidth="true" hidden="false" outlineLevel="0" max="4" min="4" style="0" width="11.7"/>
    <col collapsed="false" customWidth="true" hidden="false" outlineLevel="0" max="5" min="5" style="0" width="10.99"/>
    <col collapsed="false" customWidth="true" hidden="false" outlineLevel="0" max="6" min="6" style="0" width="12.28"/>
    <col collapsed="false" customWidth="true" hidden="false" outlineLevel="0" max="37" min="7" style="0" width="10.99"/>
  </cols>
  <sheetData>
    <row r="1" customFormat="false" ht="15.75" hidden="false" customHeight="false" outlineLevel="0" collapsed="false">
      <c r="B1" s="2" t="str">
        <f aca="false">ExecSum!$E$4</f>
        <v>SMUD - Solano 34.50MW Project</v>
      </c>
      <c r="D1" s="275"/>
      <c r="E1" s="4" t="n">
        <v>1</v>
      </c>
      <c r="F1" s="5" t="n">
        <v>2</v>
      </c>
      <c r="G1" s="5" t="n">
        <v>3</v>
      </c>
      <c r="H1" s="5" t="n">
        <v>4</v>
      </c>
      <c r="I1" s="5" t="n">
        <v>5</v>
      </c>
      <c r="J1" s="5" t="n">
        <v>6</v>
      </c>
      <c r="K1" s="5" t="n">
        <v>7</v>
      </c>
      <c r="L1" s="5" t="n">
        <v>8</v>
      </c>
      <c r="M1" s="5" t="n">
        <v>9</v>
      </c>
      <c r="N1" s="5" t="n">
        <v>10</v>
      </c>
      <c r="O1" s="5" t="n">
        <v>11</v>
      </c>
      <c r="P1" s="5" t="n">
        <v>12</v>
      </c>
      <c r="Q1" s="5" t="n">
        <v>13</v>
      </c>
      <c r="R1" s="5" t="n">
        <v>14</v>
      </c>
      <c r="S1" s="5" t="n">
        <v>15</v>
      </c>
      <c r="T1" s="5" t="n">
        <v>16</v>
      </c>
      <c r="U1" s="5" t="n">
        <v>17</v>
      </c>
      <c r="V1" s="5" t="n">
        <v>18</v>
      </c>
      <c r="W1" s="5" t="n">
        <v>19</v>
      </c>
      <c r="X1" s="5" t="n">
        <v>20</v>
      </c>
      <c r="Y1" s="5" t="n">
        <v>21</v>
      </c>
      <c r="Z1" s="5" t="n">
        <v>22</v>
      </c>
      <c r="AA1" s="5" t="n">
        <v>23</v>
      </c>
      <c r="AB1" s="5" t="n">
        <v>24</v>
      </c>
      <c r="AC1" s="5" t="n">
        <v>25</v>
      </c>
      <c r="AD1" s="5" t="n">
        <v>26</v>
      </c>
      <c r="AE1" s="5" t="n">
        <v>27</v>
      </c>
      <c r="AF1" s="5" t="n">
        <v>28</v>
      </c>
      <c r="AG1" s="5" t="n">
        <v>29</v>
      </c>
      <c r="AH1" s="5" t="n">
        <v>30</v>
      </c>
      <c r="AI1" s="6" t="n">
        <v>31</v>
      </c>
      <c r="AJ1" s="124"/>
      <c r="AK1" s="124"/>
      <c r="AL1" s="124"/>
      <c r="AM1" s="124"/>
      <c r="AN1" s="124"/>
      <c r="AO1" s="124"/>
      <c r="AP1" s="124"/>
      <c r="AQ1" s="124"/>
      <c r="AR1" s="124"/>
      <c r="AS1" s="124"/>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c r="CX1" s="124"/>
      <c r="CY1" s="124"/>
      <c r="CZ1" s="124"/>
      <c r="DA1" s="124"/>
      <c r="DB1" s="124"/>
      <c r="DC1" s="124"/>
      <c r="DD1" s="124"/>
      <c r="DE1" s="124"/>
      <c r="DF1" s="124"/>
      <c r="DG1" s="124"/>
      <c r="DH1" s="124"/>
      <c r="DI1" s="124"/>
      <c r="DJ1" s="124"/>
      <c r="DK1" s="124"/>
      <c r="DL1" s="124"/>
      <c r="DM1" s="124"/>
      <c r="DN1" s="124"/>
      <c r="DO1" s="124"/>
      <c r="DP1" s="124"/>
      <c r="DQ1" s="124"/>
      <c r="DR1" s="124"/>
      <c r="DS1" s="124"/>
      <c r="DT1" s="124"/>
      <c r="DU1" s="124"/>
      <c r="DV1" s="124"/>
      <c r="DW1" s="124"/>
      <c r="DX1" s="124"/>
      <c r="DY1" s="124"/>
      <c r="DZ1" s="124"/>
      <c r="EA1" s="124"/>
      <c r="EB1" s="124"/>
      <c r="EC1" s="124"/>
      <c r="ED1" s="124"/>
      <c r="EE1" s="124"/>
      <c r="EF1" s="124"/>
      <c r="EG1" s="124"/>
      <c r="EH1" s="124"/>
      <c r="EI1" s="124"/>
      <c r="EJ1" s="124"/>
      <c r="EK1" s="124"/>
      <c r="EL1" s="124"/>
    </row>
    <row r="2" customFormat="false" ht="15.75" hidden="false" customHeight="false" outlineLevel="0" collapsed="false">
      <c r="B2" s="1148" t="s">
        <v>756</v>
      </c>
      <c r="D2" s="275"/>
      <c r="E2" s="7" t="n">
        <f aca="false">Assum!$H$25</f>
        <v>2002</v>
      </c>
      <c r="F2" s="8" t="n">
        <f aca="false">E2+1</f>
        <v>2003</v>
      </c>
      <c r="G2" s="8" t="n">
        <f aca="false">F2+1</f>
        <v>2004</v>
      </c>
      <c r="H2" s="8" t="n">
        <f aca="false">G2+1</f>
        <v>2005</v>
      </c>
      <c r="I2" s="8" t="n">
        <f aca="false">H2+1</f>
        <v>2006</v>
      </c>
      <c r="J2" s="8" t="n">
        <f aca="false">I2+1</f>
        <v>2007</v>
      </c>
      <c r="K2" s="8" t="n">
        <f aca="false">J2+1</f>
        <v>2008</v>
      </c>
      <c r="L2" s="8" t="n">
        <f aca="false">K2+1</f>
        <v>2009</v>
      </c>
      <c r="M2" s="8" t="n">
        <f aca="false">L2+1</f>
        <v>2010</v>
      </c>
      <c r="N2" s="8" t="n">
        <f aca="false">M2+1</f>
        <v>2011</v>
      </c>
      <c r="O2" s="8" t="n">
        <f aca="false">N2+1</f>
        <v>2012</v>
      </c>
      <c r="P2" s="8" t="n">
        <f aca="false">O2+1</f>
        <v>2013</v>
      </c>
      <c r="Q2" s="8" t="n">
        <f aca="false">P2+1</f>
        <v>2014</v>
      </c>
      <c r="R2" s="8" t="n">
        <f aca="false">Q2+1</f>
        <v>2015</v>
      </c>
      <c r="S2" s="8" t="n">
        <f aca="false">R2+1</f>
        <v>2016</v>
      </c>
      <c r="T2" s="8" t="n">
        <f aca="false">S2+1</f>
        <v>2017</v>
      </c>
      <c r="U2" s="8" t="n">
        <f aca="false">T2+1</f>
        <v>2018</v>
      </c>
      <c r="V2" s="8" t="n">
        <f aca="false">U2+1</f>
        <v>2019</v>
      </c>
      <c r="W2" s="8" t="n">
        <f aca="false">V2+1</f>
        <v>2020</v>
      </c>
      <c r="X2" s="8" t="n">
        <f aca="false">W2+1</f>
        <v>2021</v>
      </c>
      <c r="Y2" s="8" t="n">
        <f aca="false">X2+1</f>
        <v>2022</v>
      </c>
      <c r="Z2" s="8" t="n">
        <f aca="false">Y2+1</f>
        <v>2023</v>
      </c>
      <c r="AA2" s="8" t="n">
        <f aca="false">Z2+1</f>
        <v>2024</v>
      </c>
      <c r="AB2" s="8" t="n">
        <f aca="false">AA2+1</f>
        <v>2025</v>
      </c>
      <c r="AC2" s="8" t="n">
        <f aca="false">AB2+1</f>
        <v>2026</v>
      </c>
      <c r="AD2" s="8" t="n">
        <f aca="false">AC2+1</f>
        <v>2027</v>
      </c>
      <c r="AE2" s="8" t="n">
        <f aca="false">AD2+1</f>
        <v>2028</v>
      </c>
      <c r="AF2" s="8" t="n">
        <f aca="false">AE2+1</f>
        <v>2029</v>
      </c>
      <c r="AG2" s="8" t="n">
        <f aca="false">AF2+1</f>
        <v>2030</v>
      </c>
      <c r="AH2" s="8" t="n">
        <f aca="false">AG2+1</f>
        <v>2031</v>
      </c>
      <c r="AI2" s="9" t="n">
        <f aca="false">AH2+1</f>
        <v>2032</v>
      </c>
      <c r="AJ2" s="124"/>
      <c r="AK2" s="124"/>
      <c r="AL2" s="124"/>
      <c r="AM2" s="124"/>
      <c r="AN2" s="124"/>
      <c r="AO2" s="124"/>
      <c r="AP2" s="124"/>
      <c r="AQ2" s="124"/>
      <c r="AR2" s="124"/>
      <c r="AS2" s="124"/>
      <c r="AT2" s="124"/>
      <c r="AU2" s="124"/>
      <c r="AV2" s="124"/>
      <c r="AW2" s="124"/>
      <c r="AX2" s="124"/>
      <c r="AY2" s="124"/>
      <c r="AZ2" s="124"/>
      <c r="BA2" s="124"/>
      <c r="BB2" s="124"/>
      <c r="BC2" s="124"/>
      <c r="BD2" s="124"/>
      <c r="BE2" s="124"/>
      <c r="BF2" s="124"/>
      <c r="BG2" s="124"/>
      <c r="BH2" s="124"/>
      <c r="BI2" s="124"/>
      <c r="BJ2" s="124"/>
      <c r="BK2" s="124"/>
      <c r="BL2" s="124"/>
      <c r="BM2" s="124"/>
      <c r="BN2" s="124"/>
      <c r="BO2" s="124"/>
      <c r="BP2" s="124"/>
      <c r="BQ2" s="124"/>
      <c r="BR2" s="124"/>
      <c r="BS2" s="124"/>
      <c r="BT2" s="124"/>
      <c r="BU2" s="124"/>
      <c r="BV2" s="124"/>
      <c r="BW2" s="124"/>
      <c r="BX2" s="124"/>
      <c r="BY2" s="124"/>
      <c r="BZ2" s="124"/>
      <c r="CA2" s="124"/>
      <c r="CB2" s="124"/>
      <c r="CC2" s="124"/>
      <c r="CD2" s="124"/>
      <c r="CE2" s="124"/>
      <c r="CF2" s="124"/>
      <c r="CG2" s="124"/>
      <c r="CH2" s="124"/>
      <c r="CI2" s="124"/>
      <c r="CJ2" s="124"/>
      <c r="CK2" s="124"/>
      <c r="CL2" s="124"/>
      <c r="CM2" s="124"/>
      <c r="CN2" s="124"/>
      <c r="CO2" s="124"/>
      <c r="CP2" s="124"/>
      <c r="CQ2" s="124"/>
      <c r="CR2" s="124"/>
      <c r="CS2" s="124"/>
      <c r="CT2" s="124"/>
      <c r="CU2" s="124"/>
      <c r="CV2" s="124"/>
      <c r="CW2" s="124"/>
      <c r="CX2" s="124"/>
      <c r="CY2" s="124"/>
      <c r="CZ2" s="124"/>
      <c r="DA2" s="124"/>
      <c r="DB2" s="124"/>
      <c r="DC2" s="124"/>
      <c r="DD2" s="124"/>
      <c r="DE2" s="124"/>
      <c r="DF2" s="124"/>
      <c r="DG2" s="124"/>
      <c r="DH2" s="124"/>
      <c r="DI2" s="124"/>
      <c r="DJ2" s="124"/>
      <c r="DK2" s="124"/>
      <c r="DL2" s="124"/>
      <c r="DM2" s="124"/>
      <c r="DN2" s="124"/>
      <c r="DO2" s="124"/>
      <c r="DP2" s="124"/>
      <c r="DQ2" s="124"/>
      <c r="DR2" s="124"/>
      <c r="DS2" s="124"/>
      <c r="DT2" s="124"/>
      <c r="DU2" s="124"/>
      <c r="DV2" s="124"/>
      <c r="DW2" s="124"/>
      <c r="DX2" s="124"/>
      <c r="DY2" s="124"/>
      <c r="DZ2" s="124"/>
      <c r="EA2" s="124"/>
      <c r="EB2" s="124"/>
      <c r="EC2" s="124"/>
      <c r="ED2" s="124"/>
      <c r="EE2" s="124"/>
      <c r="EF2" s="124"/>
      <c r="EG2" s="124"/>
      <c r="EH2" s="124"/>
      <c r="EI2" s="124"/>
      <c r="EJ2" s="124"/>
      <c r="EK2" s="124"/>
      <c r="EL2" s="124"/>
    </row>
    <row r="3" customFormat="false" ht="12.75" hidden="false" customHeight="false" outlineLevel="0" collapsed="false">
      <c r="B3" s="703"/>
      <c r="C3" s="100"/>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0"/>
      <c r="EB3" s="100"/>
      <c r="EC3" s="100"/>
      <c r="ED3" s="100"/>
      <c r="EE3" s="100"/>
      <c r="EF3" s="100"/>
      <c r="EG3" s="100"/>
      <c r="EH3" s="100"/>
      <c r="EI3" s="100"/>
      <c r="EJ3" s="100"/>
      <c r="EK3" s="100"/>
      <c r="EL3" s="100"/>
      <c r="EM3" s="100"/>
      <c r="EN3" s="100"/>
      <c r="EO3" s="100"/>
      <c r="EP3" s="100"/>
      <c r="EQ3" s="100"/>
      <c r="ER3" s="100"/>
      <c r="ES3" s="100"/>
      <c r="ET3" s="100"/>
      <c r="EU3" s="100"/>
      <c r="EV3" s="100"/>
      <c r="EW3" s="100"/>
      <c r="EX3" s="100"/>
      <c r="EY3" s="100"/>
      <c r="EZ3" s="100"/>
      <c r="FA3" s="100"/>
      <c r="FB3" s="100"/>
      <c r="FC3" s="100"/>
      <c r="FD3" s="100"/>
      <c r="FE3" s="100"/>
      <c r="FF3" s="100"/>
      <c r="FG3" s="100"/>
      <c r="FH3" s="100"/>
      <c r="FI3" s="100"/>
      <c r="FJ3" s="100"/>
      <c r="FK3" s="100"/>
      <c r="FL3" s="100"/>
      <c r="FM3" s="100"/>
      <c r="FN3" s="100"/>
      <c r="FO3" s="100"/>
      <c r="FP3" s="100"/>
      <c r="FQ3" s="100"/>
      <c r="FR3" s="100"/>
      <c r="FS3" s="100"/>
      <c r="FT3" s="100"/>
      <c r="FU3" s="100"/>
      <c r="FV3" s="100"/>
      <c r="FW3" s="100"/>
      <c r="FX3" s="100"/>
      <c r="FY3" s="100"/>
      <c r="FZ3" s="100"/>
      <c r="GA3" s="100"/>
      <c r="GB3" s="100"/>
      <c r="GC3" s="100"/>
      <c r="GD3" s="100"/>
      <c r="GE3" s="100"/>
      <c r="GF3" s="100"/>
      <c r="GG3" s="100"/>
      <c r="GH3" s="100"/>
      <c r="GI3" s="100"/>
      <c r="GJ3" s="100"/>
      <c r="GK3" s="100"/>
      <c r="GL3" s="100"/>
      <c r="GM3" s="100"/>
      <c r="GN3" s="100"/>
      <c r="GO3" s="100"/>
      <c r="GP3" s="100"/>
      <c r="GQ3" s="100"/>
      <c r="GR3" s="100"/>
      <c r="GS3" s="100"/>
      <c r="GT3" s="100"/>
      <c r="GU3" s="100"/>
      <c r="GV3" s="100"/>
      <c r="GW3" s="100"/>
      <c r="GX3" s="100"/>
      <c r="GY3" s="100"/>
      <c r="GZ3" s="100"/>
      <c r="HA3" s="100"/>
      <c r="HB3" s="100"/>
      <c r="HC3" s="100"/>
      <c r="HD3" s="100"/>
      <c r="HE3" s="100"/>
      <c r="HF3" s="100"/>
      <c r="HG3" s="100"/>
      <c r="HH3" s="100"/>
      <c r="HI3" s="100"/>
      <c r="HJ3" s="100"/>
      <c r="HK3" s="100"/>
      <c r="HL3" s="100"/>
      <c r="HM3" s="100"/>
      <c r="HN3" s="100"/>
      <c r="HO3" s="100"/>
      <c r="HP3" s="100"/>
      <c r="HQ3" s="100"/>
      <c r="HR3" s="100"/>
      <c r="HS3" s="100"/>
      <c r="HT3" s="100"/>
      <c r="HU3" s="100"/>
      <c r="HV3" s="100"/>
      <c r="HW3" s="100"/>
      <c r="HX3" s="100"/>
      <c r="HY3" s="100"/>
      <c r="HZ3" s="100"/>
      <c r="IA3" s="100"/>
      <c r="IB3" s="100"/>
      <c r="IC3" s="100"/>
      <c r="ID3" s="100"/>
      <c r="IE3" s="100"/>
      <c r="IF3" s="100"/>
      <c r="IG3" s="100"/>
      <c r="IH3" s="100"/>
      <c r="II3" s="100"/>
      <c r="IJ3" s="100"/>
      <c r="IK3" s="100"/>
      <c r="IL3" s="100"/>
      <c r="IM3" s="100"/>
      <c r="IN3" s="100"/>
      <c r="IO3" s="100"/>
      <c r="IP3" s="100"/>
      <c r="IQ3" s="100"/>
      <c r="IR3" s="100"/>
      <c r="IS3" s="100"/>
      <c r="IT3" s="100"/>
      <c r="IU3" s="100"/>
      <c r="IV3" s="100"/>
      <c r="IW3" s="100"/>
    </row>
    <row r="4" customFormat="false" ht="12.75" hidden="false" customHeight="false" outlineLevel="0" collapsed="false">
      <c r="B4" s="437" t="s">
        <v>757</v>
      </c>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053"/>
      <c r="BA4" s="1053"/>
      <c r="BB4" s="1053"/>
      <c r="BC4" s="1053"/>
      <c r="BD4" s="1053"/>
      <c r="BE4" s="1053"/>
      <c r="BF4" s="1053"/>
      <c r="BG4" s="1053"/>
      <c r="BH4" s="1053"/>
      <c r="BI4" s="1053"/>
      <c r="BJ4" s="1053"/>
      <c r="BK4" s="1053"/>
      <c r="BL4" s="1053"/>
      <c r="BM4" s="1053"/>
      <c r="BN4" s="1053"/>
      <c r="BO4" s="1053"/>
      <c r="BP4" s="1053"/>
      <c r="BQ4" s="1053"/>
      <c r="BR4" s="1053"/>
      <c r="BS4" s="1053"/>
      <c r="BT4" s="1053"/>
      <c r="BU4" s="1053"/>
      <c r="BV4" s="1053"/>
      <c r="BW4" s="1053"/>
      <c r="BX4" s="1053"/>
      <c r="BY4" s="1053"/>
      <c r="BZ4" s="1053"/>
      <c r="CA4" s="1053"/>
      <c r="CB4" s="1053"/>
      <c r="CC4" s="1053"/>
      <c r="CD4" s="1053"/>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3"/>
      <c r="ED4" s="1053"/>
      <c r="EE4" s="1053"/>
      <c r="EF4" s="1053"/>
      <c r="EG4" s="1053"/>
      <c r="EH4" s="1053"/>
      <c r="EI4" s="1053"/>
      <c r="EJ4" s="1053"/>
      <c r="EK4" s="1053"/>
      <c r="EL4" s="1053"/>
      <c r="EM4" s="1053"/>
      <c r="EN4" s="1053"/>
      <c r="EO4" s="1053"/>
      <c r="EP4" s="1053"/>
      <c r="EQ4" s="1053"/>
      <c r="ER4" s="1053"/>
      <c r="ES4" s="1053"/>
      <c r="ET4" s="1053"/>
      <c r="EU4" s="1053"/>
      <c r="EV4" s="1053"/>
      <c r="EW4" s="1053"/>
      <c r="EX4" s="1053"/>
      <c r="EY4" s="1053"/>
      <c r="EZ4" s="1053"/>
      <c r="FA4" s="1053"/>
      <c r="FB4" s="1053"/>
      <c r="FC4" s="1053"/>
      <c r="FD4" s="1053"/>
      <c r="FE4" s="1053"/>
      <c r="FF4" s="1053"/>
      <c r="FG4" s="1053"/>
      <c r="FH4" s="1053"/>
      <c r="FI4" s="1053"/>
      <c r="FJ4" s="1053"/>
      <c r="FK4" s="1053"/>
      <c r="FL4" s="1053"/>
      <c r="FM4" s="1053"/>
      <c r="FN4" s="1053"/>
      <c r="FO4" s="1053"/>
      <c r="FP4" s="1053"/>
      <c r="FQ4" s="1053"/>
      <c r="FR4" s="1053"/>
      <c r="FS4" s="1053"/>
      <c r="FT4" s="1053"/>
      <c r="FU4" s="1053"/>
      <c r="FV4" s="1053"/>
      <c r="FW4" s="1053"/>
      <c r="FX4" s="1053"/>
      <c r="FY4" s="1053"/>
      <c r="FZ4" s="1053"/>
      <c r="GA4" s="1053"/>
      <c r="GB4" s="1053"/>
      <c r="GC4" s="1053"/>
      <c r="GD4" s="1053"/>
      <c r="GE4" s="1053"/>
      <c r="GF4" s="1053"/>
      <c r="GG4" s="1053"/>
      <c r="GH4" s="1053"/>
      <c r="GI4" s="1053"/>
      <c r="GJ4" s="1053"/>
      <c r="GK4" s="1053"/>
      <c r="GL4" s="1053"/>
      <c r="GM4" s="1053"/>
      <c r="GN4" s="1053"/>
      <c r="GO4" s="1053"/>
      <c r="GP4" s="1053"/>
      <c r="GQ4" s="1053"/>
      <c r="GR4" s="1053"/>
      <c r="GS4" s="1053"/>
      <c r="GT4" s="1053"/>
      <c r="GU4" s="1053"/>
      <c r="GV4" s="1053"/>
      <c r="GW4" s="1053"/>
      <c r="GX4" s="1053"/>
      <c r="GY4" s="1053"/>
      <c r="GZ4" s="1053"/>
      <c r="HA4" s="1053"/>
      <c r="HB4" s="1053"/>
      <c r="HC4" s="1053"/>
      <c r="HD4" s="1053"/>
      <c r="HE4" s="1053"/>
      <c r="HF4" s="1053"/>
      <c r="HG4" s="1053"/>
      <c r="HH4" s="1053"/>
      <c r="HI4" s="1053"/>
      <c r="HJ4" s="1053"/>
      <c r="HK4" s="1053"/>
      <c r="HL4" s="1053"/>
      <c r="HM4" s="1053"/>
      <c r="HN4" s="1053"/>
      <c r="HO4" s="1053"/>
      <c r="HP4" s="1053"/>
      <c r="HQ4" s="1053"/>
      <c r="HR4" s="1053"/>
      <c r="HS4" s="1053"/>
      <c r="HT4" s="1053"/>
      <c r="HU4" s="1053"/>
      <c r="HV4" s="1053"/>
      <c r="HW4" s="1053"/>
      <c r="HX4" s="1053"/>
      <c r="HY4" s="1053"/>
      <c r="HZ4" s="1053"/>
      <c r="IA4" s="1053"/>
      <c r="IB4" s="1053"/>
      <c r="IC4" s="1053"/>
      <c r="ID4" s="1053"/>
      <c r="IE4" s="1053"/>
      <c r="IF4" s="1053"/>
      <c r="IG4" s="1053"/>
      <c r="IH4" s="1053"/>
      <c r="II4" s="1053"/>
      <c r="IJ4" s="1053"/>
      <c r="IK4" s="1053"/>
      <c r="IL4" s="1053"/>
      <c r="IM4" s="1053"/>
      <c r="IN4" s="1053"/>
      <c r="IO4" s="1053"/>
      <c r="IP4" s="1053"/>
      <c r="IQ4" s="1053"/>
      <c r="IR4" s="1053"/>
      <c r="IS4" s="1053"/>
      <c r="IT4" s="1053"/>
      <c r="IU4" s="1053"/>
      <c r="IV4" s="1053"/>
      <c r="IW4" s="1053"/>
    </row>
    <row r="5" customFormat="false" ht="12.75" hidden="false" customHeight="false" outlineLevel="0" collapsed="false">
      <c r="B5" s="0" t="s">
        <v>703</v>
      </c>
      <c r="D5" s="1053"/>
      <c r="E5" s="130" t="n">
        <f aca="false">Basis!D18</f>
        <v>-6524.78681631269</v>
      </c>
      <c r="F5" s="130" t="n">
        <f aca="false">Basis!E18</f>
        <v>-10887.9328631865</v>
      </c>
      <c r="G5" s="130" t="n">
        <f aca="false">Basis!F18</f>
        <v>-6176.78014736453</v>
      </c>
      <c r="H5" s="130" t="n">
        <f aca="false">Basis!G18</f>
        <v>-3328.34151014132</v>
      </c>
      <c r="I5" s="130" t="n">
        <f aca="false">Basis!H18</f>
        <v>-3287.89948569912</v>
      </c>
      <c r="J5" s="130" t="n">
        <f aca="false">Basis!I18</f>
        <v>-1137.34666793222</v>
      </c>
      <c r="K5" s="130" t="n">
        <f aca="false">Basis!J18</f>
        <v>1005.36594362656</v>
      </c>
      <c r="L5" s="130" t="n">
        <f aca="false">Basis!K18</f>
        <v>1051.28516062916</v>
      </c>
      <c r="M5" s="130" t="n">
        <f aca="false">Basis!L18</f>
        <v>1098.85275786567</v>
      </c>
      <c r="N5" s="130" t="n">
        <f aca="false">Basis!M18</f>
        <v>1150.84079512203</v>
      </c>
      <c r="O5" s="130" t="n">
        <f aca="false">Basis!N18</f>
        <v>1251.35046510752</v>
      </c>
      <c r="P5" s="130" t="n">
        <f aca="false">Basis!O18</f>
        <v>1319.31432422641</v>
      </c>
      <c r="Q5" s="130" t="n">
        <f aca="false">Basis!P18</f>
        <v>1391.19621587427</v>
      </c>
      <c r="R5" s="130" t="n">
        <f aca="false">Basis!Q18</f>
        <v>1469.53362668157</v>
      </c>
      <c r="S5" s="130" t="n">
        <f aca="false">Basis!R18</f>
        <v>1553.77850360631</v>
      </c>
      <c r="T5" s="130" t="n">
        <f aca="false">Basis!S18</f>
        <v>1648.42038739533</v>
      </c>
      <c r="U5" s="130" t="n">
        <f aca="false">Basis!T18</f>
        <v>1760.45527152144</v>
      </c>
      <c r="V5" s="130" t="n">
        <f aca="false">Basis!U18</f>
        <v>1972.03100572112</v>
      </c>
      <c r="W5" s="130" t="n">
        <f aca="false">Basis!V18</f>
        <v>1941.24725793723</v>
      </c>
      <c r="X5" s="130" t="n">
        <f aca="false">Basis!W18</f>
        <v>1910.53952515877</v>
      </c>
      <c r="Y5" s="130" t="n">
        <f aca="false">Basis!X18</f>
        <v>0</v>
      </c>
      <c r="Z5" s="130" t="n">
        <f aca="false">Basis!Y18</f>
        <v>0</v>
      </c>
      <c r="AA5" s="130" t="n">
        <f aca="false">Basis!Z18</f>
        <v>0</v>
      </c>
      <c r="AB5" s="130" t="n">
        <f aca="false">Basis!AA18</f>
        <v>0</v>
      </c>
      <c r="AC5" s="130" t="n">
        <f aca="false">Basis!AB18</f>
        <v>0</v>
      </c>
      <c r="AD5" s="130" t="n">
        <f aca="false">Basis!AC18</f>
        <v>0</v>
      </c>
      <c r="AE5" s="130" t="n">
        <f aca="false">Basis!AD18</f>
        <v>0</v>
      </c>
      <c r="AF5" s="130" t="n">
        <f aca="false">Basis!AE18</f>
        <v>0</v>
      </c>
      <c r="AG5" s="130" t="n">
        <f aca="false">Basis!AF18</f>
        <v>0</v>
      </c>
      <c r="AH5" s="130" t="n">
        <f aca="false">Basis!AG18</f>
        <v>0</v>
      </c>
      <c r="AI5" s="130" t="n">
        <f aca="false">Basis!AH18</f>
        <v>0</v>
      </c>
      <c r="AJ5" s="1053"/>
      <c r="AK5" s="1053"/>
      <c r="AL5" s="1053"/>
      <c r="AM5" s="1053"/>
      <c r="AN5" s="1053"/>
      <c r="AO5" s="1053"/>
      <c r="AP5" s="1053"/>
      <c r="AQ5" s="1053"/>
      <c r="AR5" s="1053"/>
      <c r="AS5" s="1053"/>
      <c r="AT5" s="1053"/>
      <c r="AU5" s="1053"/>
      <c r="AV5" s="1053"/>
      <c r="AW5" s="1053"/>
      <c r="AX5" s="1053"/>
      <c r="AY5" s="1053"/>
      <c r="AZ5" s="1053"/>
      <c r="BA5" s="1053"/>
      <c r="BB5" s="1053"/>
      <c r="BC5" s="1053"/>
      <c r="BD5" s="1053"/>
      <c r="BE5" s="1053"/>
      <c r="BF5" s="1053"/>
      <c r="BG5" s="1053"/>
      <c r="BH5" s="1053"/>
      <c r="BI5" s="1053"/>
      <c r="BJ5" s="1053"/>
      <c r="BK5" s="1053"/>
      <c r="BL5" s="1053"/>
      <c r="BM5" s="1053"/>
      <c r="BN5" s="1053"/>
      <c r="BO5" s="1053"/>
      <c r="BP5" s="1053"/>
      <c r="BQ5" s="1053"/>
      <c r="BR5" s="1053"/>
      <c r="BS5" s="1053"/>
      <c r="BT5" s="1053"/>
      <c r="BU5" s="1053"/>
      <c r="BV5" s="1053"/>
      <c r="BW5" s="1053"/>
      <c r="BX5" s="1053"/>
      <c r="BY5" s="1053"/>
      <c r="BZ5" s="1053"/>
      <c r="CA5" s="1053"/>
      <c r="CB5" s="1053"/>
      <c r="CC5" s="1053"/>
      <c r="CD5" s="1053"/>
      <c r="CE5" s="1053"/>
      <c r="CF5" s="1053"/>
      <c r="CG5" s="1053"/>
      <c r="CH5" s="1053"/>
      <c r="CI5" s="1053"/>
      <c r="CJ5" s="1053"/>
      <c r="CK5" s="1053"/>
      <c r="CL5" s="1053"/>
      <c r="CM5" s="1053"/>
      <c r="CN5" s="1053"/>
      <c r="CO5" s="1053"/>
      <c r="CP5" s="1053"/>
      <c r="CQ5" s="1053"/>
      <c r="CR5" s="1053"/>
      <c r="CS5" s="1053"/>
      <c r="CT5" s="1053"/>
      <c r="CU5" s="1053"/>
      <c r="CV5" s="1053"/>
      <c r="CW5" s="1053"/>
      <c r="CX5" s="1053"/>
      <c r="CY5" s="1053"/>
      <c r="CZ5" s="1053"/>
      <c r="DA5" s="1053"/>
      <c r="DB5" s="1053"/>
      <c r="DC5" s="1053"/>
      <c r="DD5" s="1053"/>
      <c r="DE5" s="1053"/>
      <c r="DF5" s="1053"/>
      <c r="DG5" s="1053"/>
      <c r="DH5" s="1053"/>
      <c r="DI5" s="1053"/>
      <c r="DJ5" s="1053"/>
      <c r="DK5" s="1053"/>
      <c r="DL5" s="1053"/>
      <c r="DM5" s="1053"/>
      <c r="DN5" s="1053"/>
      <c r="DO5" s="1053"/>
      <c r="DP5" s="1053"/>
      <c r="DQ5" s="1053"/>
      <c r="DR5" s="1053"/>
      <c r="DS5" s="1053"/>
      <c r="DT5" s="1053"/>
      <c r="DU5" s="1053"/>
      <c r="DV5" s="1053"/>
      <c r="DW5" s="1053"/>
      <c r="DX5" s="1053"/>
      <c r="DY5" s="1053"/>
      <c r="DZ5" s="1053"/>
      <c r="EA5" s="1053"/>
      <c r="EB5" s="1053"/>
      <c r="EC5" s="1053"/>
      <c r="ED5" s="1053"/>
      <c r="EE5" s="1053"/>
      <c r="EF5" s="1053"/>
      <c r="EG5" s="1053"/>
      <c r="EH5" s="1053"/>
      <c r="EI5" s="1053"/>
      <c r="EJ5" s="1053"/>
      <c r="EK5" s="1053"/>
      <c r="EL5" s="1053"/>
      <c r="EM5" s="1053"/>
      <c r="EN5" s="1053"/>
      <c r="EO5" s="1053"/>
      <c r="EP5" s="1053"/>
      <c r="EQ5" s="1053"/>
      <c r="ER5" s="1053"/>
      <c r="ES5" s="1053"/>
      <c r="ET5" s="1053"/>
      <c r="EU5" s="1053"/>
      <c r="EV5" s="1053"/>
      <c r="EW5" s="1053"/>
      <c r="EX5" s="1053"/>
      <c r="EY5" s="1053"/>
      <c r="EZ5" s="1053"/>
      <c r="FA5" s="1053"/>
      <c r="FB5" s="1053"/>
      <c r="FC5" s="1053"/>
      <c r="FD5" s="1053"/>
      <c r="FE5" s="1053"/>
      <c r="FF5" s="1053"/>
      <c r="FG5" s="1053"/>
      <c r="FH5" s="1053"/>
      <c r="FI5" s="1053"/>
      <c r="FJ5" s="1053"/>
      <c r="FK5" s="1053"/>
      <c r="FL5" s="1053"/>
      <c r="FM5" s="1053"/>
      <c r="FN5" s="1053"/>
      <c r="FO5" s="1053"/>
      <c r="FP5" s="1053"/>
      <c r="FQ5" s="1053"/>
      <c r="FR5" s="1053"/>
      <c r="FS5" s="1053"/>
      <c r="FT5" s="1053"/>
      <c r="FU5" s="1053"/>
      <c r="FV5" s="1053"/>
      <c r="FW5" s="1053"/>
      <c r="FX5" s="1053"/>
      <c r="FY5" s="1053"/>
      <c r="FZ5" s="1053"/>
      <c r="GA5" s="1053"/>
      <c r="GB5" s="1053"/>
      <c r="GC5" s="1053"/>
      <c r="GD5" s="1053"/>
      <c r="GE5" s="1053"/>
      <c r="GF5" s="1053"/>
      <c r="GG5" s="1053"/>
      <c r="GH5" s="1053"/>
      <c r="GI5" s="1053"/>
      <c r="GJ5" s="1053"/>
      <c r="GK5" s="1053"/>
      <c r="GL5" s="1053"/>
      <c r="GM5" s="1053"/>
      <c r="GN5" s="1053"/>
      <c r="GO5" s="1053"/>
      <c r="GP5" s="1053"/>
      <c r="GQ5" s="1053"/>
      <c r="GR5" s="1053"/>
      <c r="GS5" s="1053"/>
      <c r="GT5" s="1053"/>
      <c r="GU5" s="1053"/>
      <c r="GV5" s="1053"/>
      <c r="GW5" s="1053"/>
      <c r="GX5" s="1053"/>
      <c r="GY5" s="1053"/>
      <c r="GZ5" s="1053"/>
      <c r="HA5" s="1053"/>
      <c r="HB5" s="1053"/>
      <c r="HC5" s="1053"/>
      <c r="HD5" s="1053"/>
      <c r="HE5" s="1053"/>
      <c r="HF5" s="1053"/>
      <c r="HG5" s="1053"/>
      <c r="HH5" s="1053"/>
      <c r="HI5" s="1053"/>
      <c r="HJ5" s="1053"/>
      <c r="HK5" s="1053"/>
      <c r="HL5" s="1053"/>
      <c r="HM5" s="1053"/>
      <c r="HN5" s="1053"/>
      <c r="HO5" s="1053"/>
      <c r="HP5" s="1053"/>
      <c r="HQ5" s="1053"/>
      <c r="HR5" s="1053"/>
      <c r="HS5" s="1053"/>
      <c r="HT5" s="1053"/>
      <c r="HU5" s="1053"/>
      <c r="HV5" s="1053"/>
      <c r="HW5" s="1053"/>
      <c r="HX5" s="1053"/>
      <c r="HY5" s="1053"/>
      <c r="HZ5" s="1053"/>
      <c r="IA5" s="1053"/>
      <c r="IB5" s="1053"/>
      <c r="IC5" s="1053"/>
      <c r="ID5" s="1053"/>
      <c r="IE5" s="1053"/>
      <c r="IF5" s="1053"/>
      <c r="IG5" s="1053"/>
      <c r="IH5" s="1053"/>
      <c r="II5" s="1053"/>
      <c r="IJ5" s="1053"/>
      <c r="IK5" s="1053"/>
      <c r="IL5" s="1053"/>
      <c r="IM5" s="1053"/>
      <c r="IN5" s="1053"/>
      <c r="IO5" s="1053"/>
      <c r="IP5" s="1053"/>
      <c r="IQ5" s="1053"/>
      <c r="IR5" s="1053"/>
      <c r="IS5" s="1053"/>
      <c r="IT5" s="1053"/>
      <c r="IU5" s="1053"/>
      <c r="IV5" s="1053"/>
      <c r="IW5" s="1053"/>
    </row>
    <row r="6" customFormat="false" ht="12.75" hidden="false" customHeight="false" outlineLevel="0" collapsed="false">
      <c r="B6" s="0" t="s">
        <v>736</v>
      </c>
      <c r="D6" s="1053"/>
      <c r="E6" s="130" t="n">
        <f aca="false">Basis!D19</f>
        <v>0</v>
      </c>
      <c r="F6" s="130" t="n">
        <f aca="false">Basis!E19</f>
        <v>-0</v>
      </c>
      <c r="G6" s="130" t="n">
        <f aca="false">Basis!F19</f>
        <v>-0</v>
      </c>
      <c r="H6" s="130" t="n">
        <f aca="false">Basis!G19</f>
        <v>-0</v>
      </c>
      <c r="I6" s="130" t="n">
        <f aca="false">Basis!H19</f>
        <v>-0</v>
      </c>
      <c r="J6" s="130" t="n">
        <f aca="false">Basis!I19</f>
        <v>-0</v>
      </c>
      <c r="K6" s="130" t="n">
        <f aca="false">Basis!J19</f>
        <v>-0</v>
      </c>
      <c r="L6" s="130" t="n">
        <f aca="false">Basis!K19</f>
        <v>-0</v>
      </c>
      <c r="M6" s="130" t="n">
        <f aca="false">Basis!L19</f>
        <v>-0</v>
      </c>
      <c r="N6" s="130" t="n">
        <f aca="false">Basis!M19</f>
        <v>-0</v>
      </c>
      <c r="O6" s="130" t="n">
        <f aca="false">Basis!N19</f>
        <v>-0</v>
      </c>
      <c r="P6" s="130" t="n">
        <f aca="false">Basis!O19</f>
        <v>-0</v>
      </c>
      <c r="Q6" s="130" t="n">
        <f aca="false">Basis!P19</f>
        <v>-0</v>
      </c>
      <c r="R6" s="130" t="n">
        <f aca="false">Basis!Q19</f>
        <v>-0</v>
      </c>
      <c r="S6" s="130" t="n">
        <f aca="false">Basis!R19</f>
        <v>-0</v>
      </c>
      <c r="T6" s="130" t="n">
        <f aca="false">Basis!S19</f>
        <v>-0</v>
      </c>
      <c r="U6" s="130" t="n">
        <f aca="false">Basis!T19</f>
        <v>-0</v>
      </c>
      <c r="V6" s="130" t="n">
        <f aca="false">Basis!U19</f>
        <v>-0</v>
      </c>
      <c r="W6" s="130" t="n">
        <f aca="false">Basis!V19</f>
        <v>-0</v>
      </c>
      <c r="X6" s="130" t="n">
        <f aca="false">Basis!W19</f>
        <v>-0</v>
      </c>
      <c r="Y6" s="130" t="n">
        <f aca="false">Basis!X19</f>
        <v>-0</v>
      </c>
      <c r="Z6" s="130" t="n">
        <f aca="false">Basis!Y19</f>
        <v>-0</v>
      </c>
      <c r="AA6" s="130" t="n">
        <f aca="false">Basis!Z19</f>
        <v>-0</v>
      </c>
      <c r="AB6" s="130" t="n">
        <f aca="false">Basis!AA19</f>
        <v>-0</v>
      </c>
      <c r="AC6" s="130" t="n">
        <f aca="false">Basis!AB19</f>
        <v>-0</v>
      </c>
      <c r="AD6" s="130" t="n">
        <f aca="false">Basis!AC19</f>
        <v>-0</v>
      </c>
      <c r="AE6" s="130" t="n">
        <f aca="false">Basis!AD19</f>
        <v>-0</v>
      </c>
      <c r="AF6" s="130" t="n">
        <f aca="false">Basis!AE19</f>
        <v>-0</v>
      </c>
      <c r="AG6" s="130" t="n">
        <f aca="false">Basis!AF19</f>
        <v>-0</v>
      </c>
      <c r="AH6" s="130" t="n">
        <f aca="false">Basis!AG19</f>
        <v>-0</v>
      </c>
      <c r="AI6" s="130" t="n">
        <f aca="false">Basis!AH19</f>
        <v>-0</v>
      </c>
      <c r="AJ6" s="1053"/>
      <c r="AK6" s="1053"/>
      <c r="AL6" s="1053"/>
      <c r="AM6" s="1053"/>
      <c r="AN6" s="1053"/>
      <c r="AO6" s="1053"/>
      <c r="AP6" s="1053"/>
      <c r="AQ6" s="1053"/>
      <c r="AR6" s="1053"/>
      <c r="AS6" s="1053"/>
      <c r="AT6" s="1053"/>
      <c r="AU6" s="1053"/>
      <c r="AV6" s="1053"/>
      <c r="AW6" s="1053"/>
      <c r="AX6" s="1053"/>
      <c r="AY6" s="1053"/>
      <c r="AZ6" s="1053"/>
      <c r="BA6" s="1053"/>
      <c r="BB6" s="1053"/>
      <c r="BC6" s="1053"/>
      <c r="BD6" s="1053"/>
      <c r="BE6" s="1053"/>
      <c r="BF6" s="1053"/>
      <c r="BG6" s="1053"/>
      <c r="BH6" s="1053"/>
      <c r="BI6" s="1053"/>
      <c r="BJ6" s="1053"/>
      <c r="BK6" s="1053"/>
      <c r="BL6" s="1053"/>
      <c r="BM6" s="1053"/>
      <c r="BN6" s="1053"/>
      <c r="BO6" s="1053"/>
      <c r="BP6" s="1053"/>
      <c r="BQ6" s="1053"/>
      <c r="BR6" s="1053"/>
      <c r="BS6" s="1053"/>
      <c r="BT6" s="1053"/>
      <c r="BU6" s="1053"/>
      <c r="BV6" s="1053"/>
      <c r="BW6" s="1053"/>
      <c r="BX6" s="1053"/>
      <c r="BY6" s="1053"/>
      <c r="BZ6" s="1053"/>
      <c r="CA6" s="1053"/>
      <c r="CB6" s="1053"/>
      <c r="CC6" s="1053"/>
      <c r="CD6" s="1053"/>
      <c r="CE6" s="1053"/>
      <c r="CF6" s="1053"/>
      <c r="CG6" s="1053"/>
      <c r="CH6" s="1053"/>
      <c r="CI6" s="1053"/>
      <c r="CJ6" s="1053"/>
      <c r="CK6" s="1053"/>
      <c r="CL6" s="1053"/>
      <c r="CM6" s="1053"/>
      <c r="CN6" s="1053"/>
      <c r="CO6" s="1053"/>
      <c r="CP6" s="1053"/>
      <c r="CQ6" s="1053"/>
      <c r="CR6" s="1053"/>
      <c r="CS6" s="1053"/>
      <c r="CT6" s="1053"/>
      <c r="CU6" s="1053"/>
      <c r="CV6" s="1053"/>
      <c r="CW6" s="1053"/>
      <c r="CX6" s="1053"/>
      <c r="CY6" s="1053"/>
      <c r="CZ6" s="1053"/>
      <c r="DA6" s="1053"/>
      <c r="DB6" s="1053"/>
      <c r="DC6" s="1053"/>
      <c r="DD6" s="1053"/>
      <c r="DE6" s="1053"/>
      <c r="DF6" s="1053"/>
      <c r="DG6" s="1053"/>
      <c r="DH6" s="1053"/>
      <c r="DI6" s="1053"/>
      <c r="DJ6" s="1053"/>
      <c r="DK6" s="1053"/>
      <c r="DL6" s="1053"/>
      <c r="DM6" s="1053"/>
      <c r="DN6" s="1053"/>
      <c r="DO6" s="1053"/>
      <c r="DP6" s="1053"/>
      <c r="DQ6" s="1053"/>
      <c r="DR6" s="1053"/>
      <c r="DS6" s="1053"/>
      <c r="DT6" s="1053"/>
      <c r="DU6" s="1053"/>
      <c r="DV6" s="1053"/>
      <c r="DW6" s="1053"/>
      <c r="DX6" s="1053"/>
      <c r="DY6" s="1053"/>
      <c r="DZ6" s="1053"/>
      <c r="EA6" s="1053"/>
      <c r="EB6" s="1053"/>
      <c r="EC6" s="1053"/>
      <c r="ED6" s="1053"/>
      <c r="EE6" s="1053"/>
      <c r="EF6" s="1053"/>
      <c r="EG6" s="1053"/>
      <c r="EH6" s="1053"/>
      <c r="EI6" s="1053"/>
      <c r="EJ6" s="1053"/>
      <c r="EK6" s="1053"/>
      <c r="EL6" s="1053"/>
      <c r="EM6" s="1053"/>
      <c r="EN6" s="1053"/>
      <c r="EO6" s="1053"/>
      <c r="EP6" s="1053"/>
      <c r="EQ6" s="1053"/>
      <c r="ER6" s="1053"/>
      <c r="ES6" s="1053"/>
      <c r="ET6" s="1053"/>
      <c r="EU6" s="1053"/>
      <c r="EV6" s="1053"/>
      <c r="EW6" s="1053"/>
      <c r="EX6" s="1053"/>
      <c r="EY6" s="1053"/>
      <c r="EZ6" s="1053"/>
      <c r="FA6" s="1053"/>
      <c r="FB6" s="1053"/>
      <c r="FC6" s="1053"/>
      <c r="FD6" s="1053"/>
      <c r="FE6" s="1053"/>
      <c r="FF6" s="1053"/>
      <c r="FG6" s="1053"/>
      <c r="FH6" s="1053"/>
      <c r="FI6" s="1053"/>
      <c r="FJ6" s="1053"/>
      <c r="FK6" s="1053"/>
      <c r="FL6" s="1053"/>
      <c r="FM6" s="1053"/>
      <c r="FN6" s="1053"/>
      <c r="FO6" s="1053"/>
      <c r="FP6" s="1053"/>
      <c r="FQ6" s="1053"/>
      <c r="FR6" s="1053"/>
      <c r="FS6" s="1053"/>
      <c r="FT6" s="1053"/>
      <c r="FU6" s="1053"/>
      <c r="FV6" s="1053"/>
      <c r="FW6" s="1053"/>
      <c r="FX6" s="1053"/>
      <c r="FY6" s="1053"/>
      <c r="FZ6" s="1053"/>
      <c r="GA6" s="1053"/>
      <c r="GB6" s="1053"/>
      <c r="GC6" s="1053"/>
      <c r="GD6" s="1053"/>
      <c r="GE6" s="1053"/>
      <c r="GF6" s="1053"/>
      <c r="GG6" s="1053"/>
      <c r="GH6" s="1053"/>
      <c r="GI6" s="1053"/>
      <c r="GJ6" s="1053"/>
      <c r="GK6" s="1053"/>
      <c r="GL6" s="1053"/>
      <c r="GM6" s="1053"/>
      <c r="GN6" s="1053"/>
      <c r="GO6" s="1053"/>
      <c r="GP6" s="1053"/>
      <c r="GQ6" s="1053"/>
      <c r="GR6" s="1053"/>
      <c r="GS6" s="1053"/>
      <c r="GT6" s="1053"/>
      <c r="GU6" s="1053"/>
      <c r="GV6" s="1053"/>
      <c r="GW6" s="1053"/>
      <c r="GX6" s="1053"/>
      <c r="GY6" s="1053"/>
      <c r="GZ6" s="1053"/>
      <c r="HA6" s="1053"/>
      <c r="HB6" s="1053"/>
      <c r="HC6" s="1053"/>
      <c r="HD6" s="1053"/>
      <c r="HE6" s="1053"/>
      <c r="HF6" s="1053"/>
      <c r="HG6" s="1053"/>
      <c r="HH6" s="1053"/>
      <c r="HI6" s="1053"/>
      <c r="HJ6" s="1053"/>
      <c r="HK6" s="1053"/>
      <c r="HL6" s="1053"/>
      <c r="HM6" s="1053"/>
      <c r="HN6" s="1053"/>
      <c r="HO6" s="1053"/>
      <c r="HP6" s="1053"/>
      <c r="HQ6" s="1053"/>
      <c r="HR6" s="1053"/>
      <c r="HS6" s="1053"/>
      <c r="HT6" s="1053"/>
      <c r="HU6" s="1053"/>
      <c r="HV6" s="1053"/>
      <c r="HW6" s="1053"/>
      <c r="HX6" s="1053"/>
      <c r="HY6" s="1053"/>
      <c r="HZ6" s="1053"/>
      <c r="IA6" s="1053"/>
      <c r="IB6" s="1053"/>
      <c r="IC6" s="1053"/>
      <c r="ID6" s="1053"/>
      <c r="IE6" s="1053"/>
      <c r="IF6" s="1053"/>
      <c r="IG6" s="1053"/>
      <c r="IH6" s="1053"/>
      <c r="II6" s="1053"/>
      <c r="IJ6" s="1053"/>
      <c r="IK6" s="1053"/>
      <c r="IL6" s="1053"/>
      <c r="IM6" s="1053"/>
      <c r="IN6" s="1053"/>
      <c r="IO6" s="1053"/>
      <c r="IP6" s="1053"/>
      <c r="IQ6" s="1053"/>
      <c r="IR6" s="1053"/>
      <c r="IS6" s="1053"/>
      <c r="IT6" s="1053"/>
      <c r="IU6" s="1053"/>
      <c r="IV6" s="1053"/>
      <c r="IW6" s="1053"/>
    </row>
    <row r="7" customFormat="false" ht="12.75" hidden="false" customHeight="false" outlineLevel="0" collapsed="false">
      <c r="B7" s="0" t="s">
        <v>758</v>
      </c>
      <c r="D7" s="1053"/>
      <c r="E7" s="130" t="n">
        <f aca="false">SUM(E5:E6)</f>
        <v>-6524.78681631269</v>
      </c>
      <c r="F7" s="130" t="n">
        <f aca="false">SUM(F5:F6)</f>
        <v>-10887.9328631865</v>
      </c>
      <c r="G7" s="130" t="n">
        <f aca="false">SUM(G5:G6)</f>
        <v>-6176.78014736453</v>
      </c>
      <c r="H7" s="130" t="n">
        <f aca="false">SUM(H5:H6)</f>
        <v>-3328.34151014132</v>
      </c>
      <c r="I7" s="130" t="n">
        <f aca="false">SUM(I5:I6)</f>
        <v>-3287.89948569912</v>
      </c>
      <c r="J7" s="130" t="n">
        <f aca="false">SUM(J5:J6)</f>
        <v>-1137.34666793222</v>
      </c>
      <c r="K7" s="130" t="n">
        <f aca="false">SUM(K5:K6)</f>
        <v>1005.36594362656</v>
      </c>
      <c r="L7" s="130" t="n">
        <f aca="false">SUM(L5:L6)</f>
        <v>1051.28516062916</v>
      </c>
      <c r="M7" s="130" t="n">
        <f aca="false">SUM(M5:M6)</f>
        <v>1098.85275786567</v>
      </c>
      <c r="N7" s="130" t="n">
        <f aca="false">SUM(N5:N6)</f>
        <v>1150.84079512203</v>
      </c>
      <c r="O7" s="130" t="n">
        <f aca="false">SUM(O5:O6)</f>
        <v>1251.35046510752</v>
      </c>
      <c r="P7" s="130" t="n">
        <f aca="false">SUM(P5:P6)</f>
        <v>1319.31432422641</v>
      </c>
      <c r="Q7" s="130" t="n">
        <f aca="false">SUM(Q5:Q6)</f>
        <v>1391.19621587427</v>
      </c>
      <c r="R7" s="130" t="n">
        <f aca="false">SUM(R5:R6)</f>
        <v>1469.53362668157</v>
      </c>
      <c r="S7" s="130" t="n">
        <f aca="false">SUM(S5:S6)</f>
        <v>1553.77850360631</v>
      </c>
      <c r="T7" s="130" t="n">
        <f aca="false">SUM(T5:T6)</f>
        <v>1648.42038739533</v>
      </c>
      <c r="U7" s="130" t="n">
        <f aca="false">SUM(U5:U6)</f>
        <v>1760.45527152144</v>
      </c>
      <c r="V7" s="130" t="n">
        <f aca="false">SUM(V5:V6)</f>
        <v>1972.03100572112</v>
      </c>
      <c r="W7" s="130" t="n">
        <f aca="false">SUM(W5:W6)</f>
        <v>1941.24725793723</v>
      </c>
      <c r="X7" s="130" t="n">
        <f aca="false">SUM(X5:X6)</f>
        <v>1910.53952515877</v>
      </c>
      <c r="Y7" s="130" t="n">
        <f aca="false">SUM(Y5:Y6)</f>
        <v>0</v>
      </c>
      <c r="Z7" s="130" t="n">
        <f aca="false">SUM(Z5:Z6)</f>
        <v>0</v>
      </c>
      <c r="AA7" s="130" t="n">
        <f aca="false">SUM(AA5:AA6)</f>
        <v>0</v>
      </c>
      <c r="AB7" s="130" t="n">
        <f aca="false">SUM(AB5:AB6)</f>
        <v>0</v>
      </c>
      <c r="AC7" s="130" t="n">
        <f aca="false">SUM(AC5:AC6)</f>
        <v>0</v>
      </c>
      <c r="AD7" s="130" t="n">
        <f aca="false">SUM(AD5:AD6)</f>
        <v>0</v>
      </c>
      <c r="AE7" s="130" t="n">
        <f aca="false">SUM(AE5:AE6)</f>
        <v>0</v>
      </c>
      <c r="AF7" s="130" t="n">
        <f aca="false">SUM(AF5:AF6)</f>
        <v>0</v>
      </c>
      <c r="AG7" s="130" t="n">
        <f aca="false">SUM(AG5:AG6)</f>
        <v>0</v>
      </c>
      <c r="AH7" s="130" t="n">
        <f aca="false">SUM(AH5:AH6)</f>
        <v>0</v>
      </c>
      <c r="AI7" s="130" t="n">
        <f aca="false">SUM(AI5:AI6)</f>
        <v>0</v>
      </c>
      <c r="AJ7" s="1053"/>
      <c r="AK7" s="1053"/>
      <c r="AL7" s="1053"/>
      <c r="AM7" s="1053"/>
      <c r="AN7" s="1053"/>
      <c r="AO7" s="1053"/>
      <c r="AP7" s="1053"/>
      <c r="AQ7" s="1053"/>
      <c r="AR7" s="1053"/>
      <c r="AS7" s="1053"/>
      <c r="AT7" s="1053"/>
      <c r="AU7" s="1053"/>
      <c r="AV7" s="1053"/>
      <c r="AW7" s="1053"/>
      <c r="AX7" s="1053"/>
      <c r="AY7" s="1053"/>
      <c r="AZ7" s="1053"/>
      <c r="BA7" s="1053"/>
      <c r="BB7" s="1053"/>
      <c r="BC7" s="1053"/>
      <c r="BD7" s="1053"/>
      <c r="BE7" s="1053"/>
      <c r="BF7" s="1053"/>
      <c r="BG7" s="1053"/>
      <c r="BH7" s="1053"/>
      <c r="BI7" s="1053"/>
      <c r="BJ7" s="1053"/>
      <c r="BK7" s="1053"/>
      <c r="BL7" s="1053"/>
      <c r="BM7" s="1053"/>
      <c r="BN7" s="1053"/>
      <c r="BO7" s="1053"/>
      <c r="BP7" s="1053"/>
      <c r="BQ7" s="1053"/>
      <c r="BR7" s="1053"/>
      <c r="BS7" s="1053"/>
      <c r="BT7" s="1053"/>
      <c r="BU7" s="1053"/>
      <c r="BV7" s="1053"/>
      <c r="BW7" s="1053"/>
      <c r="BX7" s="1053"/>
      <c r="BY7" s="1053"/>
      <c r="BZ7" s="1053"/>
      <c r="CA7" s="1053"/>
      <c r="CB7" s="1053"/>
      <c r="CC7" s="1053"/>
      <c r="CD7" s="1053"/>
      <c r="CE7" s="1053"/>
      <c r="CF7" s="1053"/>
      <c r="CG7" s="1053"/>
      <c r="CH7" s="1053"/>
      <c r="CI7" s="1053"/>
      <c r="CJ7" s="1053"/>
      <c r="CK7" s="1053"/>
      <c r="CL7" s="1053"/>
      <c r="CM7" s="1053"/>
      <c r="CN7" s="1053"/>
      <c r="CO7" s="1053"/>
      <c r="CP7" s="1053"/>
      <c r="CQ7" s="1053"/>
      <c r="CR7" s="1053"/>
      <c r="CS7" s="1053"/>
      <c r="CT7" s="1053"/>
      <c r="CU7" s="1053"/>
      <c r="CV7" s="1053"/>
      <c r="CW7" s="1053"/>
      <c r="CX7" s="1053"/>
      <c r="CY7" s="1053"/>
      <c r="CZ7" s="1053"/>
      <c r="DA7" s="1053"/>
      <c r="DB7" s="1053"/>
      <c r="DC7" s="1053"/>
      <c r="DD7" s="1053"/>
      <c r="DE7" s="1053"/>
      <c r="DF7" s="1053"/>
      <c r="DG7" s="1053"/>
      <c r="DH7" s="1053"/>
      <c r="DI7" s="1053"/>
      <c r="DJ7" s="1053"/>
      <c r="DK7" s="1053"/>
      <c r="DL7" s="1053"/>
      <c r="DM7" s="1053"/>
      <c r="DN7" s="1053"/>
      <c r="DO7" s="1053"/>
      <c r="DP7" s="1053"/>
      <c r="DQ7" s="1053"/>
      <c r="DR7" s="1053"/>
      <c r="DS7" s="1053"/>
      <c r="DT7" s="1053"/>
      <c r="DU7" s="1053"/>
      <c r="DV7" s="1053"/>
      <c r="DW7" s="1053"/>
      <c r="DX7" s="1053"/>
      <c r="DY7" s="1053"/>
      <c r="DZ7" s="1053"/>
      <c r="EA7" s="1053"/>
      <c r="EB7" s="1053"/>
      <c r="EC7" s="1053"/>
      <c r="ED7" s="1053"/>
      <c r="EE7" s="1053"/>
      <c r="EF7" s="1053"/>
      <c r="EG7" s="1053"/>
      <c r="EH7" s="1053"/>
      <c r="EI7" s="1053"/>
      <c r="EJ7" s="1053"/>
      <c r="EK7" s="1053"/>
      <c r="EL7" s="1053"/>
      <c r="EM7" s="1053"/>
      <c r="EN7" s="1053"/>
      <c r="EO7" s="1053"/>
      <c r="EP7" s="1053"/>
      <c r="EQ7" s="1053"/>
      <c r="ER7" s="1053"/>
      <c r="ES7" s="1053"/>
      <c r="ET7" s="1053"/>
      <c r="EU7" s="1053"/>
      <c r="EV7" s="1053"/>
      <c r="EW7" s="1053"/>
      <c r="EX7" s="1053"/>
      <c r="EY7" s="1053"/>
      <c r="EZ7" s="1053"/>
      <c r="FA7" s="1053"/>
      <c r="FB7" s="1053"/>
      <c r="FC7" s="1053"/>
      <c r="FD7" s="1053"/>
      <c r="FE7" s="1053"/>
      <c r="FF7" s="1053"/>
      <c r="FG7" s="1053"/>
      <c r="FH7" s="1053"/>
      <c r="FI7" s="1053"/>
      <c r="FJ7" s="1053"/>
      <c r="FK7" s="1053"/>
      <c r="FL7" s="1053"/>
      <c r="FM7" s="1053"/>
      <c r="FN7" s="1053"/>
      <c r="FO7" s="1053"/>
      <c r="FP7" s="1053"/>
      <c r="FQ7" s="1053"/>
      <c r="FR7" s="1053"/>
      <c r="FS7" s="1053"/>
      <c r="FT7" s="1053"/>
      <c r="FU7" s="1053"/>
      <c r="FV7" s="1053"/>
      <c r="FW7" s="1053"/>
      <c r="FX7" s="1053"/>
      <c r="FY7" s="1053"/>
      <c r="FZ7" s="1053"/>
      <c r="GA7" s="1053"/>
      <c r="GB7" s="1053"/>
      <c r="GC7" s="1053"/>
      <c r="GD7" s="1053"/>
      <c r="GE7" s="1053"/>
      <c r="GF7" s="1053"/>
      <c r="GG7" s="1053"/>
      <c r="GH7" s="1053"/>
      <c r="GI7" s="1053"/>
      <c r="GJ7" s="1053"/>
      <c r="GK7" s="1053"/>
      <c r="GL7" s="1053"/>
      <c r="GM7" s="1053"/>
      <c r="GN7" s="1053"/>
      <c r="GO7" s="1053"/>
      <c r="GP7" s="1053"/>
      <c r="GQ7" s="1053"/>
      <c r="GR7" s="1053"/>
      <c r="GS7" s="1053"/>
      <c r="GT7" s="1053"/>
      <c r="GU7" s="1053"/>
      <c r="GV7" s="1053"/>
      <c r="GW7" s="1053"/>
      <c r="GX7" s="1053"/>
      <c r="GY7" s="1053"/>
      <c r="GZ7" s="1053"/>
      <c r="HA7" s="1053"/>
      <c r="HB7" s="1053"/>
      <c r="HC7" s="1053"/>
      <c r="HD7" s="1053"/>
      <c r="HE7" s="1053"/>
      <c r="HF7" s="1053"/>
      <c r="HG7" s="1053"/>
      <c r="HH7" s="1053"/>
      <c r="HI7" s="1053"/>
      <c r="HJ7" s="1053"/>
      <c r="HK7" s="1053"/>
      <c r="HL7" s="1053"/>
      <c r="HM7" s="1053"/>
      <c r="HN7" s="1053"/>
      <c r="HO7" s="1053"/>
      <c r="HP7" s="1053"/>
      <c r="HQ7" s="1053"/>
      <c r="HR7" s="1053"/>
      <c r="HS7" s="1053"/>
      <c r="HT7" s="1053"/>
      <c r="HU7" s="1053"/>
      <c r="HV7" s="1053"/>
      <c r="HW7" s="1053"/>
      <c r="HX7" s="1053"/>
      <c r="HY7" s="1053"/>
      <c r="HZ7" s="1053"/>
      <c r="IA7" s="1053"/>
      <c r="IB7" s="1053"/>
      <c r="IC7" s="1053"/>
      <c r="ID7" s="1053"/>
      <c r="IE7" s="1053"/>
      <c r="IF7" s="1053"/>
      <c r="IG7" s="1053"/>
      <c r="IH7" s="1053"/>
      <c r="II7" s="1053"/>
      <c r="IJ7" s="1053"/>
      <c r="IK7" s="1053"/>
      <c r="IL7" s="1053"/>
      <c r="IM7" s="1053"/>
      <c r="IN7" s="1053"/>
      <c r="IO7" s="1053"/>
      <c r="IP7" s="1053"/>
      <c r="IQ7" s="1053"/>
      <c r="IR7" s="1053"/>
      <c r="IS7" s="1053"/>
      <c r="IT7" s="1053"/>
      <c r="IU7" s="1053"/>
      <c r="IV7" s="1053"/>
      <c r="IW7" s="1053"/>
    </row>
    <row r="8" customFormat="false" ht="12.75" hidden="false" customHeight="false" outlineLevel="0" collapsed="false">
      <c r="B8" s="0" t="s">
        <v>759</v>
      </c>
      <c r="D8" s="1149"/>
      <c r="E8" s="598" t="n">
        <f aca="false">Assum!E198</f>
        <v>0.3955</v>
      </c>
      <c r="F8" s="598" t="n">
        <f aca="false">Assum!E198</f>
        <v>0.3955</v>
      </c>
      <c r="G8" s="598" t="n">
        <f aca="false">Assum!E198</f>
        <v>0.3955</v>
      </c>
      <c r="H8" s="598" t="n">
        <f aca="false">Assum!E198</f>
        <v>0.3955</v>
      </c>
      <c r="I8" s="598" t="n">
        <f aca="false">Assum!E198</f>
        <v>0.3955</v>
      </c>
      <c r="J8" s="598" t="n">
        <f aca="false">Assum!E198</f>
        <v>0.3955</v>
      </c>
      <c r="K8" s="598" t="n">
        <f aca="false">Assum!E198</f>
        <v>0.3955</v>
      </c>
      <c r="L8" s="598" t="n">
        <f aca="false">Assum!E198</f>
        <v>0.3955</v>
      </c>
      <c r="M8" s="598" t="n">
        <f aca="false">Assum!E198</f>
        <v>0.3955</v>
      </c>
      <c r="N8" s="598" t="n">
        <f aca="false">Assum!E198</f>
        <v>0.3955</v>
      </c>
      <c r="O8" s="598" t="n">
        <f aca="false">Assum!E198</f>
        <v>0.3955</v>
      </c>
      <c r="P8" s="598" t="n">
        <f aca="false">Assum!E198</f>
        <v>0.3955</v>
      </c>
      <c r="Q8" s="598" t="n">
        <f aca="false">Assum!E198</f>
        <v>0.3955</v>
      </c>
      <c r="R8" s="598" t="n">
        <f aca="false">Assum!E198</f>
        <v>0.3955</v>
      </c>
      <c r="S8" s="598" t="n">
        <f aca="false">Assum!E198</f>
        <v>0.3955</v>
      </c>
      <c r="T8" s="598" t="n">
        <f aca="false">Assum!E198</f>
        <v>0.3955</v>
      </c>
      <c r="U8" s="598" t="n">
        <f aca="false">Assum!E198</f>
        <v>0.3955</v>
      </c>
      <c r="V8" s="598" t="n">
        <f aca="false">Assum!E198</f>
        <v>0.3955</v>
      </c>
      <c r="W8" s="598" t="n">
        <f aca="false">Assum!E198</f>
        <v>0.3955</v>
      </c>
      <c r="X8" s="598" t="n">
        <f aca="false">Assum!E198</f>
        <v>0.3955</v>
      </c>
      <c r="Y8" s="598" t="n">
        <f aca="false">Assum!E198</f>
        <v>0.3955</v>
      </c>
      <c r="Z8" s="598" t="n">
        <f aca="false">Assum!E198</f>
        <v>0.3955</v>
      </c>
      <c r="AA8" s="598" t="n">
        <f aca="false">Assum!E198</f>
        <v>0.3955</v>
      </c>
      <c r="AB8" s="598" t="n">
        <f aca="false">Assum!E198</f>
        <v>0.3955</v>
      </c>
      <c r="AC8" s="598" t="n">
        <f aca="false">Assum!E198</f>
        <v>0.3955</v>
      </c>
      <c r="AD8" s="598" t="n">
        <f aca="false">Assum!E198</f>
        <v>0.3955</v>
      </c>
      <c r="AE8" s="598" t="n">
        <f aca="false">Assum!E198</f>
        <v>0.3955</v>
      </c>
      <c r="AF8" s="598" t="n">
        <f aca="false">Assum!E198</f>
        <v>0.3955</v>
      </c>
      <c r="AG8" s="598" t="n">
        <f aca="false">Assum!E198</f>
        <v>0.3955</v>
      </c>
      <c r="AH8" s="598" t="n">
        <f aca="false">Assum!E198</f>
        <v>0.3955</v>
      </c>
      <c r="AI8" s="598" t="n">
        <f aca="false">Assum!F198</f>
        <v>0.35</v>
      </c>
      <c r="AJ8" s="1150"/>
      <c r="AK8" s="1150"/>
      <c r="AL8" s="1150"/>
      <c r="AM8" s="1150"/>
      <c r="AN8" s="1150"/>
      <c r="AO8" s="1150"/>
      <c r="AP8" s="1150"/>
      <c r="AQ8" s="1150"/>
      <c r="AR8" s="1150"/>
      <c r="AS8" s="1150"/>
      <c r="AT8" s="1150"/>
      <c r="AU8" s="1150"/>
      <c r="AV8" s="1150"/>
      <c r="AW8" s="1150"/>
      <c r="AX8" s="1150"/>
      <c r="AY8" s="1150"/>
      <c r="AZ8" s="1150"/>
      <c r="BA8" s="1150"/>
      <c r="BB8" s="1150"/>
      <c r="BC8" s="1150"/>
      <c r="BD8" s="1150"/>
      <c r="BE8" s="1150"/>
      <c r="BF8" s="1150"/>
      <c r="BG8" s="1150"/>
      <c r="BH8" s="1150"/>
      <c r="BI8" s="1150"/>
      <c r="BJ8" s="1150"/>
      <c r="BK8" s="1150"/>
      <c r="BL8" s="1150"/>
      <c r="BM8" s="1150"/>
      <c r="BN8" s="1150"/>
      <c r="BO8" s="1150"/>
      <c r="BP8" s="1150"/>
      <c r="BQ8" s="1150"/>
      <c r="BR8" s="1150"/>
      <c r="BS8" s="1150"/>
      <c r="BT8" s="1150"/>
      <c r="BU8" s="1150"/>
      <c r="BV8" s="1150"/>
      <c r="BW8" s="1150"/>
      <c r="BX8" s="1150"/>
      <c r="BY8" s="1150"/>
      <c r="BZ8" s="1150"/>
      <c r="CA8" s="1150"/>
      <c r="CB8" s="1150"/>
      <c r="CC8" s="1150"/>
      <c r="CD8" s="1150"/>
      <c r="CE8" s="1150"/>
      <c r="CF8" s="1150"/>
      <c r="CG8" s="1150"/>
      <c r="CH8" s="1150"/>
      <c r="CI8" s="1150"/>
      <c r="CJ8" s="1150"/>
      <c r="CK8" s="1150"/>
      <c r="CL8" s="1150"/>
      <c r="CM8" s="1150"/>
      <c r="CN8" s="1150"/>
      <c r="CO8" s="1150"/>
      <c r="CP8" s="1150"/>
      <c r="CQ8" s="1150"/>
      <c r="CR8" s="1150"/>
      <c r="CS8" s="1150"/>
      <c r="CT8" s="1150"/>
      <c r="CU8" s="1150"/>
      <c r="CV8" s="1150"/>
      <c r="CW8" s="1150"/>
      <c r="CX8" s="1150"/>
      <c r="CY8" s="1150"/>
      <c r="CZ8" s="1150"/>
      <c r="DA8" s="1150"/>
      <c r="DB8" s="1150"/>
      <c r="DC8" s="1150"/>
      <c r="DD8" s="1150"/>
      <c r="DE8" s="1150"/>
      <c r="DF8" s="1150"/>
      <c r="DG8" s="1150"/>
      <c r="DH8" s="1150"/>
      <c r="DI8" s="1150"/>
      <c r="DJ8" s="1150"/>
      <c r="DK8" s="1150"/>
      <c r="DL8" s="1150"/>
      <c r="DM8" s="1150"/>
      <c r="DN8" s="1150"/>
      <c r="DO8" s="1150"/>
      <c r="DP8" s="1150"/>
      <c r="DQ8" s="1150"/>
      <c r="DR8" s="1150"/>
      <c r="DS8" s="1150"/>
      <c r="DT8" s="1150"/>
      <c r="DU8" s="1150"/>
      <c r="DV8" s="1150"/>
      <c r="DW8" s="1150"/>
      <c r="DX8" s="1150"/>
      <c r="DY8" s="1150"/>
      <c r="DZ8" s="1150"/>
      <c r="EA8" s="1150"/>
      <c r="EB8" s="1150"/>
      <c r="EC8" s="1150"/>
      <c r="ED8" s="1150"/>
      <c r="EE8" s="1150"/>
      <c r="EF8" s="1150"/>
      <c r="EG8" s="1150"/>
      <c r="EH8" s="1150"/>
      <c r="EI8" s="1150"/>
      <c r="EJ8" s="1150"/>
      <c r="EK8" s="1150"/>
      <c r="EL8" s="1150"/>
      <c r="EM8" s="1093"/>
      <c r="EN8" s="1093"/>
      <c r="EO8" s="1093"/>
      <c r="EP8" s="1093"/>
      <c r="EQ8" s="1093"/>
      <c r="ER8" s="1093"/>
      <c r="ES8" s="1093"/>
      <c r="ET8" s="1093"/>
      <c r="EU8" s="1093"/>
      <c r="EV8" s="1093"/>
      <c r="EW8" s="1093"/>
      <c r="EX8" s="1093"/>
      <c r="EY8" s="1093"/>
      <c r="EZ8" s="1093"/>
      <c r="FA8" s="1093"/>
      <c r="FB8" s="1093"/>
      <c r="FC8" s="1093"/>
      <c r="FD8" s="1093"/>
      <c r="FE8" s="1093"/>
      <c r="FF8" s="1093"/>
      <c r="FG8" s="1093"/>
      <c r="FH8" s="1093"/>
      <c r="FI8" s="1093"/>
      <c r="FJ8" s="1093"/>
      <c r="FK8" s="1093"/>
      <c r="FL8" s="1093"/>
      <c r="FM8" s="1093"/>
      <c r="FN8" s="1093"/>
      <c r="FO8" s="1093"/>
      <c r="FP8" s="1093"/>
      <c r="FQ8" s="1093"/>
      <c r="FR8" s="1093"/>
      <c r="FS8" s="1093"/>
      <c r="FT8" s="1093"/>
      <c r="FU8" s="1093"/>
      <c r="FV8" s="1093"/>
      <c r="FW8" s="1093"/>
      <c r="FX8" s="1093"/>
      <c r="FY8" s="1093"/>
      <c r="FZ8" s="1093"/>
      <c r="GA8" s="1093"/>
      <c r="GB8" s="1093"/>
      <c r="GC8" s="1093"/>
      <c r="GD8" s="1093"/>
      <c r="GE8" s="1093"/>
      <c r="GF8" s="1093"/>
      <c r="GG8" s="1093"/>
      <c r="GH8" s="1093"/>
      <c r="GI8" s="1093"/>
      <c r="GJ8" s="1093"/>
      <c r="GK8" s="1093"/>
      <c r="GL8" s="1093"/>
      <c r="GM8" s="1093"/>
      <c r="GN8" s="1093"/>
      <c r="GO8" s="1093"/>
      <c r="GP8" s="1093"/>
      <c r="GQ8" s="1093"/>
      <c r="GR8" s="1093"/>
      <c r="GS8" s="1093"/>
      <c r="GT8" s="1093"/>
      <c r="GU8" s="1093"/>
      <c r="GV8" s="1093"/>
      <c r="GW8" s="1093"/>
      <c r="GX8" s="1093"/>
      <c r="GY8" s="1093"/>
      <c r="GZ8" s="1093"/>
      <c r="HA8" s="1093"/>
      <c r="HB8" s="1093"/>
      <c r="HC8" s="1093"/>
      <c r="HD8" s="1093"/>
      <c r="HE8" s="1093"/>
      <c r="HF8" s="1093"/>
      <c r="HG8" s="1093"/>
      <c r="HH8" s="1093"/>
      <c r="HI8" s="1093"/>
      <c r="HJ8" s="1093"/>
      <c r="HK8" s="1093"/>
      <c r="HL8" s="1093"/>
      <c r="HM8" s="1093"/>
      <c r="HN8" s="1093"/>
      <c r="HO8" s="1093"/>
      <c r="HP8" s="1093"/>
      <c r="HQ8" s="1093"/>
      <c r="HR8" s="1093"/>
      <c r="HS8" s="1093"/>
      <c r="HT8" s="1093"/>
      <c r="HU8" s="1093"/>
      <c r="HV8" s="1093"/>
      <c r="HW8" s="1093"/>
      <c r="HX8" s="1093"/>
      <c r="HY8" s="1093"/>
      <c r="HZ8" s="1093"/>
      <c r="IA8" s="1093"/>
      <c r="IB8" s="1093"/>
      <c r="IC8" s="1093"/>
      <c r="ID8" s="1093"/>
      <c r="IE8" s="1093"/>
      <c r="IF8" s="1093"/>
      <c r="IG8" s="1093"/>
      <c r="IH8" s="1093"/>
      <c r="II8" s="1093"/>
      <c r="IJ8" s="1093"/>
      <c r="IK8" s="1093"/>
      <c r="IL8" s="1093"/>
      <c r="IM8" s="1093"/>
      <c r="IN8" s="1093"/>
      <c r="IO8" s="1093"/>
      <c r="IP8" s="1093"/>
      <c r="IQ8" s="1093"/>
      <c r="IR8" s="1093"/>
      <c r="IS8" s="1093"/>
      <c r="IT8" s="1093"/>
      <c r="IU8" s="1093"/>
      <c r="IV8" s="1093"/>
      <c r="IW8" s="1093"/>
    </row>
    <row r="9" customFormat="false" ht="12.75" hidden="false" customHeight="false" outlineLevel="0" collapsed="false">
      <c r="B9" s="1151" t="s">
        <v>760</v>
      </c>
      <c r="D9" s="1055"/>
      <c r="E9" s="1055" t="n">
        <f aca="false">-E7*E8</f>
        <v>2580.55318585167</v>
      </c>
      <c r="F9" s="1055" t="n">
        <f aca="false">-F7*F8</f>
        <v>4306.17744739025</v>
      </c>
      <c r="G9" s="1055" t="n">
        <f aca="false">-G7*G8</f>
        <v>2442.91654828267</v>
      </c>
      <c r="H9" s="1055" t="n">
        <f aca="false">-H7*H8</f>
        <v>1316.35906726089</v>
      </c>
      <c r="I9" s="1055" t="n">
        <f aca="false">-I7*I8</f>
        <v>1300.364246594</v>
      </c>
      <c r="J9" s="1055" t="n">
        <f aca="false">-J7*J8</f>
        <v>449.820607167193</v>
      </c>
      <c r="K9" s="1055" t="n">
        <f aca="false">-K7*K8</f>
        <v>-397.622230704304</v>
      </c>
      <c r="L9" s="1055" t="n">
        <f aca="false">-L7*L8</f>
        <v>-415.783281028831</v>
      </c>
      <c r="M9" s="1055" t="n">
        <f aca="false">-M7*M8</f>
        <v>-434.596265735872</v>
      </c>
      <c r="N9" s="1055" t="n">
        <f aca="false">-N7*N8</f>
        <v>-455.157534470762</v>
      </c>
      <c r="O9" s="1055" t="n">
        <f aca="false">-O7*O8</f>
        <v>-494.909108950024</v>
      </c>
      <c r="P9" s="1055" t="n">
        <f aca="false">-P7*P8</f>
        <v>-521.788815231545</v>
      </c>
      <c r="Q9" s="1055" t="n">
        <f aca="false">-Q7*Q8</f>
        <v>-550.218103378273</v>
      </c>
      <c r="R9" s="1055" t="n">
        <f aca="false">-R7*R8</f>
        <v>-581.200549352562</v>
      </c>
      <c r="S9" s="1055" t="n">
        <f aca="false">-S7*S8</f>
        <v>-614.519398176296</v>
      </c>
      <c r="T9" s="1055" t="n">
        <f aca="false">-T7*T8</f>
        <v>-651.950263214853</v>
      </c>
      <c r="U9" s="1055" t="n">
        <f aca="false">-U7*U8</f>
        <v>-696.260059886729</v>
      </c>
      <c r="V9" s="1055" t="n">
        <f aca="false">-V7*V8</f>
        <v>-779.938262762703</v>
      </c>
      <c r="W9" s="1055" t="n">
        <f aca="false">-W7*W8</f>
        <v>-767.763290514174</v>
      </c>
      <c r="X9" s="1055" t="n">
        <f aca="false">-X7*X8</f>
        <v>-755.618382200295</v>
      </c>
      <c r="Y9" s="1055" t="n">
        <f aca="false">-Y7*Y8</f>
        <v>-0</v>
      </c>
      <c r="Z9" s="1055" t="n">
        <f aca="false">-Z7*Z8</f>
        <v>-0</v>
      </c>
      <c r="AA9" s="1055" t="n">
        <f aca="false">-AA7*AA8</f>
        <v>-0</v>
      </c>
      <c r="AB9" s="1055" t="n">
        <f aca="false">-AB7*AB8</f>
        <v>-0</v>
      </c>
      <c r="AC9" s="1055" t="n">
        <f aca="false">-AC7*AC8</f>
        <v>-0</v>
      </c>
      <c r="AD9" s="1055" t="n">
        <f aca="false">-AD7*AD8</f>
        <v>-0</v>
      </c>
      <c r="AE9" s="1055" t="n">
        <f aca="false">-AE7*AE8</f>
        <v>-0</v>
      </c>
      <c r="AF9" s="1055" t="n">
        <f aca="false">-AF7*AF8</f>
        <v>-0</v>
      </c>
      <c r="AG9" s="1055" t="n">
        <f aca="false">-AG7*AG8</f>
        <v>-0</v>
      </c>
      <c r="AH9" s="1055" t="n">
        <f aca="false">-AH7*AH8</f>
        <v>-0</v>
      </c>
      <c r="AI9" s="1055" t="n">
        <f aca="false">-AI7*AI8</f>
        <v>-0</v>
      </c>
      <c r="AJ9" s="1053"/>
      <c r="AK9" s="1053"/>
      <c r="AL9" s="1053"/>
      <c r="AM9" s="1053"/>
      <c r="AN9" s="1053"/>
      <c r="AO9" s="1053"/>
      <c r="AP9" s="1053"/>
      <c r="AQ9" s="1053"/>
      <c r="AR9" s="1053"/>
      <c r="AS9" s="1053"/>
      <c r="AT9" s="1053"/>
      <c r="AU9" s="1053"/>
      <c r="AV9" s="1053"/>
      <c r="AW9" s="1053"/>
      <c r="AX9" s="1053"/>
      <c r="AY9" s="1053"/>
      <c r="AZ9" s="1053"/>
      <c r="BA9" s="1053"/>
      <c r="BB9" s="1053"/>
      <c r="BC9" s="1053"/>
      <c r="BD9" s="1053"/>
      <c r="BE9" s="1053"/>
      <c r="BF9" s="1053"/>
      <c r="BG9" s="1053"/>
      <c r="BH9" s="1053"/>
      <c r="BI9" s="1053"/>
      <c r="BJ9" s="1053"/>
      <c r="BK9" s="1053"/>
      <c r="BL9" s="1053"/>
      <c r="BM9" s="1053"/>
      <c r="BN9" s="1053"/>
      <c r="BO9" s="1053"/>
      <c r="BP9" s="1053"/>
      <c r="BQ9" s="1053"/>
      <c r="BR9" s="1053"/>
      <c r="BS9" s="1053"/>
      <c r="BT9" s="1053"/>
      <c r="BU9" s="1053"/>
      <c r="BV9" s="1053"/>
      <c r="BW9" s="1053"/>
      <c r="BX9" s="1053"/>
      <c r="BY9" s="1053"/>
      <c r="BZ9" s="1053"/>
      <c r="CA9" s="1053"/>
      <c r="CB9" s="1053"/>
      <c r="CC9" s="1053"/>
      <c r="CD9" s="1053"/>
      <c r="CE9" s="1053"/>
      <c r="CF9" s="1053"/>
      <c r="CG9" s="1053"/>
      <c r="CH9" s="1053"/>
      <c r="CI9" s="1053"/>
      <c r="CJ9" s="1053"/>
      <c r="CK9" s="1053"/>
      <c r="CL9" s="1053"/>
      <c r="CM9" s="1053"/>
      <c r="CN9" s="1053"/>
      <c r="CO9" s="1053"/>
      <c r="CP9" s="1053"/>
      <c r="CQ9" s="1053"/>
      <c r="CR9" s="1053"/>
      <c r="CS9" s="1053"/>
      <c r="CT9" s="1053"/>
      <c r="CU9" s="1053"/>
      <c r="CV9" s="1053"/>
      <c r="CW9" s="1053"/>
      <c r="CX9" s="1053"/>
      <c r="CY9" s="1053"/>
      <c r="CZ9" s="1053"/>
      <c r="DA9" s="1053"/>
      <c r="DB9" s="1053"/>
      <c r="DC9" s="1053"/>
      <c r="DD9" s="1053"/>
      <c r="DE9" s="1053"/>
      <c r="DF9" s="1053"/>
      <c r="DG9" s="1053"/>
      <c r="DH9" s="1053"/>
      <c r="DI9" s="1053"/>
      <c r="DJ9" s="1053"/>
      <c r="DK9" s="1053"/>
      <c r="DL9" s="1053"/>
      <c r="DM9" s="1053"/>
      <c r="DN9" s="1053"/>
      <c r="DO9" s="1053"/>
      <c r="DP9" s="1053"/>
      <c r="DQ9" s="1053"/>
      <c r="DR9" s="1053"/>
      <c r="DS9" s="1053"/>
      <c r="DT9" s="1053"/>
      <c r="DU9" s="1053"/>
      <c r="DV9" s="1053"/>
      <c r="DW9" s="1053"/>
      <c r="DX9" s="1053"/>
      <c r="DY9" s="1053"/>
      <c r="DZ9" s="1053"/>
      <c r="EA9" s="1053"/>
      <c r="EB9" s="1053"/>
      <c r="EC9" s="1053"/>
      <c r="ED9" s="1053"/>
      <c r="EE9" s="1053"/>
      <c r="EF9" s="1053"/>
      <c r="EG9" s="1053"/>
      <c r="EH9" s="1053"/>
      <c r="EI9" s="1053"/>
      <c r="EJ9" s="1053"/>
      <c r="EK9" s="1053"/>
      <c r="EL9" s="1053"/>
      <c r="EM9" s="1053"/>
      <c r="EN9" s="1053"/>
      <c r="EO9" s="1053"/>
      <c r="EP9" s="1053"/>
      <c r="EQ9" s="1053"/>
      <c r="ER9" s="1053"/>
      <c r="ES9" s="1053"/>
      <c r="ET9" s="1053"/>
      <c r="EU9" s="1053"/>
      <c r="EV9" s="1053"/>
      <c r="EW9" s="1053"/>
      <c r="EX9" s="1053"/>
      <c r="EY9" s="1053"/>
      <c r="EZ9" s="1053"/>
      <c r="FA9" s="1053"/>
      <c r="FB9" s="1053"/>
      <c r="FC9" s="1053"/>
      <c r="FD9" s="1053"/>
      <c r="FE9" s="1053"/>
      <c r="FF9" s="1053"/>
      <c r="FG9" s="1053"/>
      <c r="FH9" s="1053"/>
      <c r="FI9" s="1053"/>
      <c r="FJ9" s="1053"/>
      <c r="FK9" s="1053"/>
      <c r="FL9" s="1053"/>
      <c r="FM9" s="1053"/>
      <c r="FN9" s="1053"/>
      <c r="FO9" s="1053"/>
      <c r="FP9" s="1053"/>
      <c r="FQ9" s="1053"/>
      <c r="FR9" s="1053"/>
      <c r="FS9" s="1053"/>
      <c r="FT9" s="1053"/>
      <c r="FU9" s="1053"/>
      <c r="FV9" s="1053"/>
      <c r="FW9" s="1053"/>
      <c r="FX9" s="1053"/>
      <c r="FY9" s="1053"/>
      <c r="FZ9" s="1053"/>
      <c r="GA9" s="1053"/>
      <c r="GB9" s="1053"/>
      <c r="GC9" s="1053"/>
      <c r="GD9" s="1053"/>
      <c r="GE9" s="1053"/>
      <c r="GF9" s="1053"/>
      <c r="GG9" s="1053"/>
      <c r="GH9" s="1053"/>
      <c r="GI9" s="1053"/>
      <c r="GJ9" s="1053"/>
      <c r="GK9" s="1053"/>
      <c r="GL9" s="1053"/>
      <c r="GM9" s="1053"/>
      <c r="GN9" s="1053"/>
      <c r="GO9" s="1053"/>
      <c r="GP9" s="1053"/>
      <c r="GQ9" s="1053"/>
      <c r="GR9" s="1053"/>
      <c r="GS9" s="1053"/>
      <c r="GT9" s="1053"/>
      <c r="GU9" s="1053"/>
      <c r="GV9" s="1053"/>
      <c r="GW9" s="1053"/>
      <c r="GX9" s="1053"/>
      <c r="GY9" s="1053"/>
      <c r="GZ9" s="1053"/>
      <c r="HA9" s="1053"/>
      <c r="HB9" s="1053"/>
      <c r="HC9" s="1053"/>
      <c r="HD9" s="1053"/>
      <c r="HE9" s="1053"/>
      <c r="HF9" s="1053"/>
      <c r="HG9" s="1053"/>
      <c r="HH9" s="1053"/>
      <c r="HI9" s="1053"/>
      <c r="HJ9" s="1053"/>
      <c r="HK9" s="1053"/>
      <c r="HL9" s="1053"/>
      <c r="HM9" s="1053"/>
      <c r="HN9" s="1053"/>
      <c r="HO9" s="1053"/>
      <c r="HP9" s="1053"/>
      <c r="HQ9" s="1053"/>
      <c r="HR9" s="1053"/>
      <c r="HS9" s="1053"/>
      <c r="HT9" s="1053"/>
      <c r="HU9" s="1053"/>
      <c r="HV9" s="1053"/>
      <c r="HW9" s="1053"/>
      <c r="HX9" s="1053"/>
      <c r="HY9" s="1053"/>
      <c r="HZ9" s="1053"/>
      <c r="IA9" s="1053"/>
      <c r="IB9" s="1053"/>
      <c r="IC9" s="1053"/>
      <c r="ID9" s="1053"/>
      <c r="IE9" s="1053"/>
      <c r="IF9" s="1053"/>
      <c r="IG9" s="1053"/>
      <c r="IH9" s="1053"/>
      <c r="II9" s="1053"/>
      <c r="IJ9" s="1053"/>
      <c r="IK9" s="1053"/>
      <c r="IL9" s="1053"/>
      <c r="IM9" s="1053"/>
      <c r="IN9" s="1053"/>
      <c r="IO9" s="1053"/>
      <c r="IP9" s="1053"/>
      <c r="IQ9" s="1053"/>
      <c r="IR9" s="1053"/>
      <c r="IS9" s="1053"/>
      <c r="IT9" s="1053"/>
      <c r="IU9" s="1053"/>
      <c r="IV9" s="1053"/>
      <c r="IW9" s="1053"/>
    </row>
    <row r="10" customFormat="false" ht="12.75" hidden="false" customHeight="false" outlineLevel="0" collapsed="false">
      <c r="B10" s="15"/>
      <c r="D10" s="1055"/>
      <c r="E10" s="313"/>
      <c r="F10" s="313"/>
      <c r="G10" s="313"/>
      <c r="H10" s="313"/>
      <c r="I10" s="313"/>
      <c r="J10" s="313"/>
      <c r="K10" s="313"/>
      <c r="L10" s="313"/>
      <c r="M10" s="313"/>
      <c r="N10" s="313"/>
      <c r="O10" s="313"/>
      <c r="P10" s="313"/>
      <c r="Q10" s="313"/>
      <c r="R10" s="313"/>
      <c r="S10" s="313"/>
      <c r="T10" s="313"/>
      <c r="U10" s="313"/>
      <c r="V10" s="313"/>
      <c r="W10" s="313"/>
      <c r="X10" s="313"/>
      <c r="Y10" s="313"/>
      <c r="Z10" s="313"/>
      <c r="AA10" s="313"/>
      <c r="AB10" s="313"/>
      <c r="AC10" s="313"/>
      <c r="AD10" s="313"/>
      <c r="AE10" s="313"/>
      <c r="AF10" s="313"/>
      <c r="AG10" s="313"/>
      <c r="AH10" s="313"/>
      <c r="AI10" s="313"/>
      <c r="AJ10" s="1053"/>
      <c r="AK10" s="1053"/>
      <c r="AL10" s="1053"/>
      <c r="AM10" s="1053"/>
      <c r="AN10" s="1053"/>
      <c r="AO10" s="1053"/>
      <c r="AP10" s="1053"/>
      <c r="AQ10" s="1053"/>
      <c r="AR10" s="1053"/>
      <c r="AS10" s="1053"/>
      <c r="AT10" s="1053"/>
      <c r="AU10" s="1053"/>
      <c r="AV10" s="1053"/>
      <c r="AW10" s="1053"/>
      <c r="AX10" s="1053"/>
      <c r="AY10" s="1053"/>
      <c r="AZ10" s="1053"/>
      <c r="BA10" s="1053"/>
      <c r="BB10" s="1053"/>
      <c r="BC10" s="1053"/>
      <c r="BD10" s="1053"/>
      <c r="BE10" s="1053"/>
      <c r="BF10" s="1053"/>
      <c r="BG10" s="1053"/>
      <c r="BH10" s="1053"/>
      <c r="BI10" s="1053"/>
      <c r="BJ10" s="1053"/>
      <c r="BK10" s="1053"/>
      <c r="BL10" s="1053"/>
      <c r="BM10" s="1053"/>
      <c r="BN10" s="1053"/>
      <c r="BO10" s="1053"/>
      <c r="BP10" s="1053"/>
      <c r="BQ10" s="1053"/>
      <c r="BR10" s="1053"/>
      <c r="BS10" s="1053"/>
      <c r="BT10" s="1053"/>
      <c r="BU10" s="1053"/>
      <c r="BV10" s="1053"/>
      <c r="BW10" s="1053"/>
      <c r="BX10" s="1053"/>
      <c r="BY10" s="1053"/>
      <c r="BZ10" s="1053"/>
      <c r="CA10" s="1053"/>
      <c r="CB10" s="1053"/>
      <c r="CC10" s="1053"/>
      <c r="CD10" s="1053"/>
      <c r="CE10" s="1053"/>
      <c r="CF10" s="1053"/>
      <c r="CG10" s="1053"/>
      <c r="CH10" s="1053"/>
      <c r="CI10" s="1053"/>
      <c r="CJ10" s="1053"/>
      <c r="CK10" s="1053"/>
      <c r="CL10" s="1053"/>
      <c r="CM10" s="1053"/>
      <c r="CN10" s="1053"/>
      <c r="CO10" s="1053"/>
      <c r="CP10" s="1053"/>
      <c r="CQ10" s="1053"/>
      <c r="CR10" s="1053"/>
      <c r="CS10" s="1053"/>
      <c r="CT10" s="1053"/>
      <c r="CU10" s="1053"/>
      <c r="CV10" s="1053"/>
      <c r="CW10" s="1053"/>
      <c r="CX10" s="1053"/>
      <c r="CY10" s="1053"/>
      <c r="CZ10" s="1053"/>
      <c r="DA10" s="1053"/>
      <c r="DB10" s="1053"/>
      <c r="DC10" s="1053"/>
      <c r="DD10" s="1053"/>
      <c r="DE10" s="1053"/>
      <c r="DF10" s="1053"/>
      <c r="DG10" s="1053"/>
      <c r="DH10" s="1053"/>
      <c r="DI10" s="1053"/>
      <c r="DJ10" s="1053"/>
      <c r="DK10" s="1053"/>
      <c r="DL10" s="1053"/>
      <c r="DM10" s="1053"/>
      <c r="DN10" s="1053"/>
      <c r="DO10" s="1053"/>
      <c r="DP10" s="1053"/>
      <c r="DQ10" s="1053"/>
      <c r="DR10" s="1053"/>
      <c r="DS10" s="1053"/>
      <c r="DT10" s="1053"/>
      <c r="DU10" s="1053"/>
      <c r="DV10" s="1053"/>
      <c r="DW10" s="1053"/>
      <c r="DX10" s="1053"/>
      <c r="DY10" s="1053"/>
      <c r="DZ10" s="1053"/>
      <c r="EA10" s="1053"/>
      <c r="EB10" s="1053"/>
      <c r="EC10" s="1053"/>
      <c r="ED10" s="1053"/>
      <c r="EE10" s="1053"/>
      <c r="EF10" s="1053"/>
      <c r="EG10" s="1053"/>
      <c r="EH10" s="1053"/>
      <c r="EI10" s="1053"/>
      <c r="EJ10" s="1053"/>
      <c r="EK10" s="1053"/>
      <c r="EL10" s="1053"/>
      <c r="EM10" s="1053"/>
      <c r="EN10" s="1053"/>
      <c r="EO10" s="1053"/>
      <c r="EP10" s="1053"/>
      <c r="EQ10" s="1053"/>
      <c r="ER10" s="1053"/>
      <c r="ES10" s="1053"/>
      <c r="ET10" s="1053"/>
      <c r="EU10" s="1053"/>
      <c r="EV10" s="1053"/>
      <c r="EW10" s="1053"/>
      <c r="EX10" s="1053"/>
      <c r="EY10" s="1053"/>
      <c r="EZ10" s="1053"/>
      <c r="FA10" s="1053"/>
      <c r="FB10" s="1053"/>
      <c r="FC10" s="1053"/>
      <c r="FD10" s="1053"/>
      <c r="FE10" s="1053"/>
      <c r="FF10" s="1053"/>
      <c r="FG10" s="1053"/>
      <c r="FH10" s="1053"/>
      <c r="FI10" s="1053"/>
      <c r="FJ10" s="1053"/>
      <c r="FK10" s="1053"/>
      <c r="FL10" s="1053"/>
      <c r="FM10" s="1053"/>
      <c r="FN10" s="1053"/>
      <c r="FO10" s="1053"/>
      <c r="FP10" s="1053"/>
      <c r="FQ10" s="1053"/>
      <c r="FR10" s="1053"/>
      <c r="FS10" s="1053"/>
      <c r="FT10" s="1053"/>
      <c r="FU10" s="1053"/>
      <c r="FV10" s="1053"/>
      <c r="FW10" s="1053"/>
      <c r="FX10" s="1053"/>
      <c r="FY10" s="1053"/>
      <c r="FZ10" s="1053"/>
      <c r="GA10" s="1053"/>
      <c r="GB10" s="1053"/>
      <c r="GC10" s="1053"/>
      <c r="GD10" s="1053"/>
      <c r="GE10" s="1053"/>
      <c r="GF10" s="1053"/>
      <c r="GG10" s="1053"/>
      <c r="GH10" s="1053"/>
      <c r="GI10" s="1053"/>
      <c r="GJ10" s="1053"/>
      <c r="GK10" s="1053"/>
      <c r="GL10" s="1053"/>
      <c r="GM10" s="1053"/>
      <c r="GN10" s="1053"/>
      <c r="GO10" s="1053"/>
      <c r="GP10" s="1053"/>
      <c r="GQ10" s="1053"/>
      <c r="GR10" s="1053"/>
      <c r="GS10" s="1053"/>
      <c r="GT10" s="1053"/>
      <c r="GU10" s="1053"/>
      <c r="GV10" s="1053"/>
      <c r="GW10" s="1053"/>
      <c r="GX10" s="1053"/>
      <c r="GY10" s="1053"/>
      <c r="GZ10" s="1053"/>
      <c r="HA10" s="1053"/>
      <c r="HB10" s="1053"/>
      <c r="HC10" s="1053"/>
      <c r="HD10" s="1053"/>
      <c r="HE10" s="1053"/>
      <c r="HF10" s="1053"/>
      <c r="HG10" s="1053"/>
      <c r="HH10" s="1053"/>
      <c r="HI10" s="1053"/>
      <c r="HJ10" s="1053"/>
      <c r="HK10" s="1053"/>
      <c r="HL10" s="1053"/>
      <c r="HM10" s="1053"/>
      <c r="HN10" s="1053"/>
      <c r="HO10" s="1053"/>
      <c r="HP10" s="1053"/>
      <c r="HQ10" s="1053"/>
      <c r="HR10" s="1053"/>
      <c r="HS10" s="1053"/>
      <c r="HT10" s="1053"/>
      <c r="HU10" s="1053"/>
      <c r="HV10" s="1053"/>
      <c r="HW10" s="1053"/>
      <c r="HX10" s="1053"/>
      <c r="HY10" s="1053"/>
      <c r="HZ10" s="1053"/>
      <c r="IA10" s="1053"/>
      <c r="IB10" s="1053"/>
      <c r="IC10" s="1053"/>
      <c r="ID10" s="1053"/>
      <c r="IE10" s="1053"/>
      <c r="IF10" s="1053"/>
      <c r="IG10" s="1053"/>
      <c r="IH10" s="1053"/>
      <c r="II10" s="1053"/>
      <c r="IJ10" s="1053"/>
      <c r="IK10" s="1053"/>
      <c r="IL10" s="1053"/>
      <c r="IM10" s="1053"/>
      <c r="IN10" s="1053"/>
      <c r="IO10" s="1053"/>
      <c r="IP10" s="1053"/>
      <c r="IQ10" s="1053"/>
      <c r="IR10" s="1053"/>
      <c r="IS10" s="1053"/>
      <c r="IT10" s="1053"/>
      <c r="IU10" s="1053"/>
      <c r="IV10" s="1053"/>
      <c r="IW10" s="1053"/>
    </row>
    <row r="11" customFormat="false" ht="12.75" hidden="false" customHeight="false" outlineLevel="0" collapsed="false">
      <c r="B11" s="1152" t="s">
        <v>761</v>
      </c>
      <c r="D11" s="114"/>
      <c r="E11" s="124"/>
      <c r="F11" s="124"/>
      <c r="G11" s="124"/>
      <c r="H11" s="124"/>
      <c r="I11" s="124"/>
      <c r="J11" s="124"/>
      <c r="K11" s="124"/>
      <c r="L11" s="124"/>
      <c r="M11" s="124"/>
      <c r="N11" s="124"/>
      <c r="O11" s="124"/>
      <c r="P11" s="124"/>
      <c r="Q11" s="124"/>
      <c r="R11" s="124"/>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4"/>
      <c r="AR11" s="124"/>
      <c r="AS11" s="124"/>
      <c r="AT11" s="124"/>
      <c r="AU11" s="124"/>
      <c r="AV11" s="124"/>
      <c r="AW11" s="124"/>
      <c r="AX11" s="124"/>
      <c r="AY11" s="124"/>
      <c r="AZ11" s="124"/>
      <c r="BA11" s="124"/>
      <c r="BB11" s="124"/>
      <c r="BC11" s="124"/>
      <c r="BD11" s="124"/>
      <c r="BE11" s="124"/>
      <c r="BF11" s="124"/>
      <c r="BG11" s="124"/>
      <c r="BH11" s="124"/>
      <c r="BI11" s="124"/>
      <c r="BJ11" s="124"/>
      <c r="BK11" s="124"/>
      <c r="BL11" s="124"/>
      <c r="BM11" s="124"/>
      <c r="BN11" s="124"/>
      <c r="BO11" s="124"/>
      <c r="BP11" s="124"/>
      <c r="BQ11" s="124"/>
      <c r="BR11" s="124"/>
      <c r="BS11" s="124"/>
      <c r="BT11" s="124"/>
      <c r="BU11" s="124"/>
      <c r="BV11" s="124"/>
      <c r="BW11" s="124"/>
      <c r="BX11" s="124"/>
      <c r="BY11" s="124"/>
      <c r="BZ11" s="124"/>
      <c r="CA11" s="124"/>
      <c r="CB11" s="124"/>
      <c r="CC11" s="124"/>
      <c r="CD11" s="124"/>
      <c r="CE11" s="124"/>
      <c r="CF11" s="124"/>
      <c r="CG11" s="124"/>
      <c r="CH11" s="124"/>
      <c r="CI11" s="124"/>
      <c r="CJ11" s="124"/>
      <c r="CK11" s="124"/>
      <c r="CL11" s="124"/>
      <c r="CM11" s="124"/>
      <c r="CN11" s="124"/>
      <c r="CO11" s="124"/>
      <c r="CP11" s="124"/>
      <c r="CQ11" s="124"/>
      <c r="CR11" s="124"/>
      <c r="CS11" s="124"/>
      <c r="CT11" s="124"/>
      <c r="CU11" s="124"/>
      <c r="CV11" s="124"/>
      <c r="CW11" s="124"/>
      <c r="CX11" s="124"/>
      <c r="CY11" s="124"/>
      <c r="CZ11" s="124"/>
      <c r="DA11" s="124"/>
      <c r="DB11" s="124"/>
      <c r="DC11" s="124"/>
      <c r="DD11" s="124"/>
      <c r="DE11" s="124"/>
      <c r="DF11" s="124"/>
      <c r="DG11" s="124"/>
      <c r="DH11" s="124"/>
      <c r="DI11" s="124"/>
      <c r="DJ11" s="124"/>
      <c r="DK11" s="124"/>
      <c r="DL11" s="124"/>
      <c r="DM11" s="124"/>
      <c r="DN11" s="124"/>
      <c r="DO11" s="124"/>
      <c r="DP11" s="124"/>
      <c r="DQ11" s="124"/>
      <c r="DR11" s="124"/>
      <c r="DS11" s="124"/>
      <c r="DT11" s="124"/>
      <c r="DU11" s="124"/>
      <c r="DV11" s="124"/>
      <c r="DW11" s="124"/>
      <c r="DX11" s="124"/>
      <c r="DY11" s="124"/>
      <c r="DZ11" s="124"/>
      <c r="EA11" s="124"/>
      <c r="EB11" s="124"/>
      <c r="EC11" s="124"/>
      <c r="ED11" s="124"/>
      <c r="EE11" s="124"/>
      <c r="EF11" s="124"/>
      <c r="EG11" s="124"/>
      <c r="EH11" s="124"/>
      <c r="EI11" s="124"/>
      <c r="EJ11" s="124"/>
      <c r="EK11" s="124"/>
      <c r="EL11" s="124"/>
    </row>
    <row r="12" customFormat="false" ht="12.75" hidden="false" customHeight="false" outlineLevel="0" collapsed="false">
      <c r="B12" s="1153" t="s">
        <v>762</v>
      </c>
      <c r="D12" s="114"/>
      <c r="E12" s="124" t="n">
        <f aca="false">CashFlow!E66</f>
        <v>2291.11065638161</v>
      </c>
      <c r="F12" s="124" t="n">
        <f aca="false">CashFlow!F66</f>
        <v>2418.39458173614</v>
      </c>
      <c r="G12" s="124" t="n">
        <f aca="false">CashFlow!G66</f>
        <v>2418.39458173614</v>
      </c>
      <c r="H12" s="124" t="n">
        <f aca="false">CashFlow!H66</f>
        <v>2418.39458173614</v>
      </c>
      <c r="I12" s="124" t="n">
        <f aca="false">CashFlow!I66</f>
        <v>2545.67850709067</v>
      </c>
      <c r="J12" s="124" t="n">
        <f aca="false">CashFlow!J66</f>
        <v>2545.67850709067</v>
      </c>
      <c r="K12" s="124" t="n">
        <f aca="false">CashFlow!K66</f>
        <v>2672.96243244521</v>
      </c>
      <c r="L12" s="124" t="n">
        <f aca="false">CashFlow!L66</f>
        <v>2672.96243244521</v>
      </c>
      <c r="M12" s="124" t="n">
        <f aca="false">CashFlow!M66</f>
        <v>2672.96243244521</v>
      </c>
      <c r="N12" s="124" t="n">
        <f aca="false">CashFlow!N66</f>
        <v>2800.24635779974</v>
      </c>
      <c r="O12" s="124" t="n">
        <f aca="false">CashFlow!O66</f>
        <v>0</v>
      </c>
      <c r="P12" s="124" t="n">
        <f aca="false">CashFlow!P66</f>
        <v>0</v>
      </c>
      <c r="Q12" s="124" t="n">
        <f aca="false">CashFlow!Q66</f>
        <v>0</v>
      </c>
      <c r="R12" s="124" t="n">
        <f aca="false">CashFlow!R66</f>
        <v>0</v>
      </c>
      <c r="S12" s="124" t="n">
        <f aca="false">CashFlow!S66</f>
        <v>0</v>
      </c>
      <c r="T12" s="124" t="n">
        <f aca="false">CashFlow!T66</f>
        <v>0</v>
      </c>
      <c r="U12" s="124" t="n">
        <f aca="false">CashFlow!U66</f>
        <v>0</v>
      </c>
      <c r="V12" s="124" t="n">
        <f aca="false">CashFlow!V66</f>
        <v>0</v>
      </c>
      <c r="W12" s="124" t="n">
        <f aca="false">CashFlow!W66</f>
        <v>0</v>
      </c>
      <c r="X12" s="124" t="n">
        <f aca="false">CashFlow!X66</f>
        <v>0</v>
      </c>
      <c r="Y12" s="124" t="n">
        <f aca="false">CashFlow!Y66</f>
        <v>0</v>
      </c>
      <c r="Z12" s="124" t="n">
        <f aca="false">CashFlow!Z66</f>
        <v>0</v>
      </c>
      <c r="AA12" s="124" t="n">
        <f aca="false">CashFlow!AA66</f>
        <v>0</v>
      </c>
      <c r="AB12" s="124" t="n">
        <f aca="false">CashFlow!AB66</f>
        <v>0</v>
      </c>
      <c r="AC12" s="124" t="n">
        <f aca="false">CashFlow!AC66</f>
        <v>0</v>
      </c>
      <c r="AD12" s="124" t="n">
        <f aca="false">CashFlow!AD66</f>
        <v>0</v>
      </c>
      <c r="AE12" s="124" t="n">
        <f aca="false">CashFlow!AE66</f>
        <v>0</v>
      </c>
      <c r="AF12" s="124" t="n">
        <f aca="false">CashFlow!AF66</f>
        <v>0</v>
      </c>
      <c r="AG12" s="124" t="n">
        <f aca="false">CashFlow!AG66</f>
        <v>0</v>
      </c>
      <c r="AH12" s="124" t="n">
        <f aca="false">CashFlow!AH66</f>
        <v>0</v>
      </c>
      <c r="AI12" s="124" t="n">
        <f aca="false">CashFlow!AI66</f>
        <v>0</v>
      </c>
      <c r="AJ12" s="124"/>
      <c r="AK12" s="124"/>
      <c r="AL12" s="124"/>
      <c r="AM12" s="124"/>
      <c r="AN12" s="124"/>
      <c r="AO12" s="124"/>
      <c r="AP12" s="124"/>
      <c r="AQ12" s="124"/>
      <c r="AR12" s="124"/>
      <c r="AS12" s="124"/>
      <c r="AT12" s="124"/>
      <c r="AU12" s="124"/>
      <c r="AV12" s="124"/>
      <c r="AW12" s="124"/>
      <c r="AX12" s="124"/>
      <c r="AY12" s="124"/>
      <c r="AZ12" s="124"/>
      <c r="BA12" s="124"/>
      <c r="BB12" s="124"/>
      <c r="BC12" s="124"/>
      <c r="BD12" s="124"/>
      <c r="BE12" s="124"/>
      <c r="BF12" s="124"/>
      <c r="BG12" s="124"/>
      <c r="BH12" s="124"/>
      <c r="BI12" s="124"/>
      <c r="BJ12" s="124"/>
      <c r="BK12" s="124"/>
      <c r="BL12" s="124"/>
      <c r="BM12" s="124"/>
      <c r="BN12" s="124"/>
      <c r="BO12" s="124"/>
      <c r="BP12" s="124"/>
      <c r="BQ12" s="124"/>
      <c r="BR12" s="124"/>
      <c r="BS12" s="124"/>
      <c r="BT12" s="124"/>
      <c r="BU12" s="124"/>
      <c r="BV12" s="124"/>
      <c r="BW12" s="124"/>
      <c r="BX12" s="124"/>
      <c r="BY12" s="124"/>
      <c r="BZ12" s="124"/>
      <c r="CA12" s="124"/>
      <c r="CB12" s="124"/>
      <c r="CC12" s="124"/>
      <c r="CD12" s="124"/>
      <c r="CE12" s="124"/>
      <c r="CF12" s="124"/>
      <c r="CG12" s="124"/>
      <c r="CH12" s="124"/>
      <c r="CI12" s="124"/>
      <c r="CJ12" s="124"/>
      <c r="CK12" s="124"/>
      <c r="CL12" s="124"/>
      <c r="CM12" s="124"/>
      <c r="CN12" s="124"/>
      <c r="CO12" s="124"/>
      <c r="CP12" s="124"/>
      <c r="CQ12" s="124"/>
      <c r="CR12" s="124"/>
      <c r="CS12" s="124"/>
      <c r="CT12" s="124"/>
      <c r="CU12" s="124"/>
      <c r="CV12" s="124"/>
      <c r="CW12" s="124"/>
      <c r="CX12" s="124"/>
      <c r="CY12" s="124"/>
      <c r="CZ12" s="124"/>
      <c r="DA12" s="124"/>
      <c r="DB12" s="124"/>
      <c r="DC12" s="124"/>
      <c r="DD12" s="124"/>
      <c r="DE12" s="124"/>
      <c r="DF12" s="124"/>
      <c r="DG12" s="124"/>
      <c r="DH12" s="124"/>
      <c r="DI12" s="124"/>
      <c r="DJ12" s="124"/>
      <c r="DK12" s="124"/>
      <c r="DL12" s="124"/>
      <c r="DM12" s="124"/>
      <c r="DN12" s="124"/>
      <c r="DO12" s="124"/>
      <c r="DP12" s="124"/>
      <c r="DQ12" s="124"/>
      <c r="DR12" s="124"/>
      <c r="DS12" s="124"/>
      <c r="DT12" s="124"/>
      <c r="DU12" s="124"/>
      <c r="DV12" s="124"/>
      <c r="DW12" s="124"/>
      <c r="DX12" s="124"/>
      <c r="DY12" s="124"/>
      <c r="DZ12" s="124"/>
      <c r="EA12" s="124"/>
      <c r="EB12" s="124"/>
      <c r="EC12" s="124"/>
      <c r="ED12" s="124"/>
      <c r="EE12" s="124"/>
      <c r="EF12" s="124"/>
      <c r="EG12" s="124"/>
      <c r="EH12" s="124"/>
      <c r="EI12" s="124"/>
      <c r="EJ12" s="124"/>
      <c r="EK12" s="124"/>
      <c r="EL12" s="124"/>
    </row>
    <row r="13" customFormat="false" ht="12.75" hidden="false" customHeight="false" outlineLevel="0" collapsed="false">
      <c r="B13" s="0" t="s">
        <v>687</v>
      </c>
      <c r="D13" s="124"/>
      <c r="E13" s="1154" t="n">
        <f aca="false">Assum!E341</f>
        <v>0.99</v>
      </c>
      <c r="F13" s="1154" t="n">
        <f aca="false">Assum!F341</f>
        <v>0.99</v>
      </c>
      <c r="G13" s="1154" t="n">
        <f aca="false">Assum!G341</f>
        <v>0.99</v>
      </c>
      <c r="H13" s="1154" t="n">
        <f aca="false">Assum!H341</f>
        <v>0.99</v>
      </c>
      <c r="I13" s="1154" t="n">
        <f aca="false">Assum!I341</f>
        <v>0.99</v>
      </c>
      <c r="J13" s="1154" t="n">
        <f aca="false">Assum!J341</f>
        <v>0.99</v>
      </c>
      <c r="K13" s="1154" t="n">
        <f aca="false">Assum!K341</f>
        <v>0.99</v>
      </c>
      <c r="L13" s="1154" t="n">
        <f aca="false">Assum!L341</f>
        <v>0.99</v>
      </c>
      <c r="M13" s="1154" t="n">
        <f aca="false">Assum!M341</f>
        <v>0.99</v>
      </c>
      <c r="N13" s="1154" t="n">
        <f aca="false">Assum!N341</f>
        <v>0.99</v>
      </c>
      <c r="O13" s="1154" t="n">
        <f aca="false">Assum!O341</f>
        <v>0.99</v>
      </c>
      <c r="P13" s="1154" t="n">
        <f aca="false">Assum!P341</f>
        <v>0.99</v>
      </c>
      <c r="Q13" s="1154" t="n">
        <f aca="false">Assum!Q341</f>
        <v>0.99</v>
      </c>
      <c r="R13" s="1154" t="n">
        <f aca="false">Assum!R341</f>
        <v>0.99</v>
      </c>
      <c r="S13" s="1154" t="n">
        <f aca="false">Assum!S341</f>
        <v>0.99</v>
      </c>
      <c r="T13" s="1154" t="n">
        <f aca="false">Assum!T341</f>
        <v>0.99</v>
      </c>
      <c r="U13" s="1154" t="n">
        <f aca="false">Assum!U341</f>
        <v>0.99</v>
      </c>
      <c r="V13" s="1154" t="n">
        <f aca="false">Assum!V341</f>
        <v>0.99</v>
      </c>
      <c r="W13" s="1154" t="n">
        <f aca="false">Assum!W341</f>
        <v>0.99</v>
      </c>
      <c r="X13" s="1154" t="n">
        <f aca="false">Assum!X341</f>
        <v>0.99</v>
      </c>
      <c r="Y13" s="1154" t="n">
        <f aca="false">Assum!Y341</f>
        <v>0.99</v>
      </c>
      <c r="Z13" s="1154" t="n">
        <f aca="false">Assum!Z341</f>
        <v>0.99</v>
      </c>
      <c r="AA13" s="1154" t="n">
        <f aca="false">Assum!AA341</f>
        <v>0.99</v>
      </c>
      <c r="AB13" s="1154" t="n">
        <f aca="false">Assum!AB341</f>
        <v>0.99</v>
      </c>
      <c r="AC13" s="1154" t="n">
        <f aca="false">Assum!AC341</f>
        <v>0.99</v>
      </c>
      <c r="AD13" s="1154" t="n">
        <f aca="false">Assum!AD341</f>
        <v>0.99</v>
      </c>
      <c r="AE13" s="1154" t="n">
        <f aca="false">Assum!AE341</f>
        <v>0.99</v>
      </c>
      <c r="AF13" s="1154" t="n">
        <f aca="false">Assum!AF341</f>
        <v>0.99</v>
      </c>
      <c r="AG13" s="1154" t="n">
        <f aca="false">Assum!AG341</f>
        <v>0.99</v>
      </c>
      <c r="AH13" s="1154" t="n">
        <f aca="false">Assum!AH341</f>
        <v>0.99</v>
      </c>
      <c r="AI13" s="1154" t="n">
        <f aca="false">Assum!AI341</f>
        <v>0</v>
      </c>
      <c r="AJ13" s="124"/>
      <c r="AK13" s="124"/>
      <c r="AL13" s="124"/>
      <c r="AM13" s="124"/>
      <c r="AN13" s="124"/>
      <c r="AO13" s="124"/>
      <c r="AP13" s="124"/>
      <c r="AQ13" s="124"/>
      <c r="AR13" s="124"/>
      <c r="AS13" s="124"/>
      <c r="AT13" s="124"/>
      <c r="AU13" s="124"/>
      <c r="AV13" s="124"/>
      <c r="AW13" s="124"/>
      <c r="AX13" s="124"/>
      <c r="AY13" s="124"/>
      <c r="AZ13" s="124"/>
      <c r="BA13" s="124"/>
      <c r="BB13" s="124"/>
      <c r="BC13" s="124"/>
      <c r="BD13" s="124"/>
      <c r="BE13" s="124"/>
      <c r="BF13" s="124"/>
      <c r="BG13" s="124"/>
      <c r="BH13" s="124"/>
      <c r="BI13" s="124"/>
      <c r="BJ13" s="124"/>
      <c r="BK13" s="124"/>
      <c r="BL13" s="124"/>
      <c r="BM13" s="124"/>
      <c r="BN13" s="124"/>
      <c r="BO13" s="124"/>
      <c r="BP13" s="124"/>
      <c r="BQ13" s="124"/>
      <c r="BR13" s="124"/>
      <c r="BS13" s="124"/>
      <c r="BT13" s="124"/>
      <c r="BU13" s="124"/>
      <c r="BV13" s="124"/>
      <c r="BW13" s="124"/>
      <c r="BX13" s="124"/>
      <c r="BY13" s="124"/>
      <c r="BZ13" s="124"/>
      <c r="CA13" s="124"/>
      <c r="CB13" s="124"/>
      <c r="CC13" s="124"/>
      <c r="CD13" s="124"/>
      <c r="CE13" s="124"/>
      <c r="CF13" s="124"/>
      <c r="CG13" s="124"/>
      <c r="CH13" s="124"/>
      <c r="CI13" s="124"/>
      <c r="CJ13" s="124"/>
      <c r="CK13" s="124"/>
      <c r="CL13" s="124"/>
      <c r="CM13" s="124"/>
      <c r="CN13" s="124"/>
      <c r="CO13" s="124"/>
      <c r="CP13" s="124"/>
      <c r="CQ13" s="124"/>
      <c r="CR13" s="124"/>
      <c r="CS13" s="124"/>
      <c r="CT13" s="124"/>
      <c r="CU13" s="124"/>
      <c r="CV13" s="124"/>
      <c r="CW13" s="124"/>
      <c r="CX13" s="124"/>
      <c r="CY13" s="124"/>
      <c r="CZ13" s="124"/>
      <c r="DA13" s="124"/>
      <c r="DB13" s="124"/>
      <c r="DC13" s="124"/>
      <c r="DD13" s="124"/>
      <c r="DE13" s="124"/>
      <c r="DF13" s="124"/>
      <c r="DG13" s="124"/>
      <c r="DH13" s="124"/>
      <c r="DI13" s="124"/>
      <c r="DJ13" s="124"/>
      <c r="DK13" s="124"/>
      <c r="DL13" s="124"/>
      <c r="DM13" s="124"/>
      <c r="DN13" s="124"/>
      <c r="DO13" s="124"/>
      <c r="DP13" s="124"/>
      <c r="DQ13" s="124"/>
      <c r="DR13" s="124"/>
      <c r="DS13" s="124"/>
      <c r="DT13" s="124"/>
      <c r="DU13" s="124"/>
      <c r="DV13" s="124"/>
      <c r="DW13" s="124"/>
      <c r="DX13" s="124"/>
      <c r="DY13" s="124"/>
      <c r="DZ13" s="124"/>
      <c r="EA13" s="124"/>
      <c r="EB13" s="124"/>
      <c r="EC13" s="124"/>
      <c r="ED13" s="124"/>
      <c r="EE13" s="124"/>
      <c r="EF13" s="124"/>
      <c r="EG13" s="124"/>
      <c r="EH13" s="124"/>
      <c r="EI13" s="124"/>
      <c r="EJ13" s="124"/>
      <c r="EK13" s="124"/>
      <c r="EL13" s="124"/>
    </row>
    <row r="14" customFormat="false" ht="12.75" hidden="false" customHeight="false" outlineLevel="0" collapsed="false">
      <c r="B14" s="1155" t="s">
        <v>763</v>
      </c>
      <c r="D14" s="1156"/>
      <c r="E14" s="1157" t="n">
        <f aca="false">E12*Assum!E341</f>
        <v>2268.19954981779</v>
      </c>
      <c r="F14" s="1157" t="n">
        <f aca="false">F12*Assum!F341</f>
        <v>2394.21063591878</v>
      </c>
      <c r="G14" s="1157" t="n">
        <f aca="false">G12*Assum!G341</f>
        <v>2394.21063591878</v>
      </c>
      <c r="H14" s="1157" t="n">
        <f aca="false">H12*Assum!H341</f>
        <v>2394.21063591878</v>
      </c>
      <c r="I14" s="1157" t="n">
        <f aca="false">I12*Assum!I341</f>
        <v>2520.22172201977</v>
      </c>
      <c r="J14" s="1157" t="n">
        <f aca="false">J12*Assum!J341</f>
        <v>2520.22172201977</v>
      </c>
      <c r="K14" s="1157" t="n">
        <f aca="false">K12*Assum!K341</f>
        <v>2646.23280812075</v>
      </c>
      <c r="L14" s="1157" t="n">
        <f aca="false">L12*Assum!L341</f>
        <v>2646.23280812075</v>
      </c>
      <c r="M14" s="1157" t="n">
        <f aca="false">M12*Assum!M341</f>
        <v>2646.23280812075</v>
      </c>
      <c r="N14" s="1157" t="n">
        <f aca="false">N12*Assum!N341</f>
        <v>2772.24389422174</v>
      </c>
      <c r="O14" s="1157" t="n">
        <f aca="false">O12*Assum!O341</f>
        <v>0</v>
      </c>
      <c r="P14" s="1157" t="n">
        <f aca="false">P12*Assum!P341</f>
        <v>0</v>
      </c>
      <c r="Q14" s="1157" t="n">
        <f aca="false">Q12*Assum!Q341</f>
        <v>0</v>
      </c>
      <c r="R14" s="1157" t="n">
        <f aca="false">R12*Assum!R341</f>
        <v>0</v>
      </c>
      <c r="S14" s="1157" t="n">
        <f aca="false">S12*Assum!S341</f>
        <v>0</v>
      </c>
      <c r="T14" s="1157" t="n">
        <f aca="false">T12*Assum!T341</f>
        <v>0</v>
      </c>
      <c r="U14" s="1157" t="n">
        <f aca="false">U12*Assum!U341</f>
        <v>0</v>
      </c>
      <c r="V14" s="1157" t="n">
        <f aca="false">V12*Assum!V341</f>
        <v>0</v>
      </c>
      <c r="W14" s="1157" t="n">
        <f aca="false">W12*Assum!W341</f>
        <v>0</v>
      </c>
      <c r="X14" s="1157" t="n">
        <f aca="false">X12*Assum!X341</f>
        <v>0</v>
      </c>
      <c r="Y14" s="1157" t="n">
        <f aca="false">Y12*Assum!Y341</f>
        <v>0</v>
      </c>
      <c r="Z14" s="1157" t="n">
        <f aca="false">Z12*Assum!Z341</f>
        <v>0</v>
      </c>
      <c r="AA14" s="1157" t="n">
        <f aca="false">AA12*Assum!AA341</f>
        <v>0</v>
      </c>
      <c r="AB14" s="1157" t="n">
        <f aca="false">AB12*Assum!AB341</f>
        <v>0</v>
      </c>
      <c r="AC14" s="1157" t="n">
        <f aca="false">AC12*Assum!AC341</f>
        <v>0</v>
      </c>
      <c r="AD14" s="1157" t="n">
        <f aca="false">AD12*Assum!AD341</f>
        <v>0</v>
      </c>
      <c r="AE14" s="1157" t="n">
        <f aca="false">AE12*Assum!AE341</f>
        <v>0</v>
      </c>
      <c r="AF14" s="1157" t="n">
        <f aca="false">AF12*Assum!AF341</f>
        <v>0</v>
      </c>
      <c r="AG14" s="1157" t="n">
        <f aca="false">AG12*Assum!AG341</f>
        <v>0</v>
      </c>
      <c r="AH14" s="1157" t="n">
        <f aca="false">AH12*Assum!AH341</f>
        <v>0</v>
      </c>
      <c r="AI14" s="1157" t="n">
        <f aca="false">AI12*Assum!AI341</f>
        <v>0</v>
      </c>
      <c r="AJ14" s="124"/>
      <c r="AK14" s="124"/>
      <c r="AL14" s="124"/>
      <c r="AM14" s="124"/>
      <c r="AN14" s="124"/>
      <c r="AO14" s="124"/>
      <c r="AP14" s="124"/>
      <c r="AQ14" s="124"/>
      <c r="AR14" s="124"/>
      <c r="AS14" s="124"/>
      <c r="AT14" s="124"/>
      <c r="AU14" s="124"/>
      <c r="AV14" s="124"/>
      <c r="AW14" s="124"/>
      <c r="AX14" s="124"/>
      <c r="AY14" s="124"/>
      <c r="AZ14" s="124"/>
      <c r="BA14" s="124"/>
      <c r="BB14" s="124"/>
      <c r="BC14" s="124"/>
      <c r="BD14" s="124"/>
      <c r="BE14" s="124"/>
      <c r="BF14" s="124"/>
      <c r="BG14" s="124"/>
      <c r="BH14" s="124"/>
      <c r="BI14" s="124"/>
      <c r="BJ14" s="124"/>
      <c r="BK14" s="124"/>
      <c r="BL14" s="124"/>
      <c r="BM14" s="124"/>
      <c r="BN14" s="124"/>
      <c r="BO14" s="124"/>
      <c r="BP14" s="124"/>
      <c r="BQ14" s="124"/>
      <c r="BR14" s="124"/>
      <c r="BS14" s="124"/>
      <c r="BT14" s="124"/>
      <c r="BU14" s="124"/>
      <c r="BV14" s="124"/>
      <c r="BW14" s="124"/>
      <c r="BX14" s="124"/>
      <c r="BY14" s="124"/>
      <c r="BZ14" s="124"/>
      <c r="CA14" s="124"/>
      <c r="CB14" s="124"/>
      <c r="CC14" s="124"/>
      <c r="CD14" s="124"/>
      <c r="CE14" s="124"/>
      <c r="CF14" s="124"/>
      <c r="CG14" s="124"/>
      <c r="CH14" s="124"/>
      <c r="CI14" s="124"/>
      <c r="CJ14" s="124"/>
      <c r="CK14" s="124"/>
      <c r="CL14" s="124"/>
      <c r="CM14" s="124"/>
      <c r="CN14" s="124"/>
      <c r="CO14" s="124"/>
      <c r="CP14" s="124"/>
      <c r="CQ14" s="124"/>
      <c r="CR14" s="124"/>
      <c r="CS14" s="124"/>
      <c r="CT14" s="124"/>
      <c r="CU14" s="124"/>
      <c r="CV14" s="124"/>
      <c r="CW14" s="124"/>
      <c r="CX14" s="124"/>
      <c r="CY14" s="124"/>
      <c r="CZ14" s="124"/>
      <c r="DA14" s="124"/>
      <c r="DB14" s="124"/>
      <c r="DC14" s="124"/>
      <c r="DD14" s="124"/>
      <c r="DE14" s="124"/>
      <c r="DF14" s="124"/>
      <c r="DG14" s="124"/>
      <c r="DH14" s="124"/>
      <c r="DI14" s="124"/>
      <c r="DJ14" s="124"/>
      <c r="DK14" s="124"/>
      <c r="DL14" s="124"/>
      <c r="DM14" s="124"/>
      <c r="DN14" s="124"/>
      <c r="DO14" s="124"/>
      <c r="DP14" s="124"/>
      <c r="DQ14" s="124"/>
      <c r="DR14" s="124"/>
      <c r="DS14" s="124"/>
      <c r="DT14" s="124"/>
      <c r="DU14" s="124"/>
      <c r="DV14" s="124"/>
      <c r="DW14" s="124"/>
      <c r="DX14" s="124"/>
      <c r="DY14" s="124"/>
      <c r="DZ14" s="124"/>
      <c r="EA14" s="124"/>
      <c r="EB14" s="124"/>
      <c r="EC14" s="124"/>
      <c r="ED14" s="124"/>
      <c r="EE14" s="124"/>
      <c r="EF14" s="124"/>
      <c r="EG14" s="124"/>
      <c r="EH14" s="124"/>
      <c r="EI14" s="124"/>
      <c r="EJ14" s="124"/>
      <c r="EK14" s="124"/>
      <c r="EL14" s="124"/>
    </row>
    <row r="15" customFormat="false" ht="12.75" hidden="false" customHeight="false" outlineLevel="0" collapsed="false">
      <c r="B15" s="15"/>
      <c r="C15" s="1055"/>
      <c r="D15" s="1055"/>
      <c r="E15" s="313"/>
      <c r="F15" s="313"/>
      <c r="G15" s="313"/>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1053"/>
      <c r="AK15" s="1053"/>
      <c r="AL15" s="1053"/>
      <c r="AM15" s="1053"/>
      <c r="AN15" s="1053"/>
      <c r="AO15" s="1053"/>
      <c r="AP15" s="1053"/>
      <c r="AQ15" s="1053"/>
      <c r="AR15" s="1053"/>
      <c r="AS15" s="1053"/>
      <c r="AT15" s="1053"/>
      <c r="AU15" s="1053"/>
      <c r="AV15" s="1053"/>
      <c r="AW15" s="1053"/>
      <c r="AX15" s="1053"/>
      <c r="AY15" s="1053"/>
      <c r="AZ15" s="1053"/>
      <c r="BA15" s="1053"/>
      <c r="BB15" s="1053"/>
      <c r="BC15" s="1053"/>
      <c r="BD15" s="1053"/>
      <c r="BE15" s="1053"/>
      <c r="BF15" s="1053"/>
      <c r="BG15" s="1053"/>
      <c r="BH15" s="1053"/>
      <c r="BI15" s="1053"/>
      <c r="BJ15" s="1053"/>
      <c r="BK15" s="1053"/>
      <c r="BL15" s="1053"/>
      <c r="BM15" s="1053"/>
      <c r="BN15" s="1053"/>
      <c r="BO15" s="1053"/>
      <c r="BP15" s="1053"/>
      <c r="BQ15" s="1053"/>
      <c r="BR15" s="1053"/>
      <c r="BS15" s="1053"/>
      <c r="BT15" s="1053"/>
      <c r="BU15" s="1053"/>
      <c r="BV15" s="1053"/>
      <c r="BW15" s="1053"/>
      <c r="BX15" s="1053"/>
      <c r="BY15" s="1053"/>
      <c r="BZ15" s="1053"/>
      <c r="CA15" s="1053"/>
      <c r="CB15" s="1053"/>
      <c r="CC15" s="1053"/>
      <c r="CD15" s="1053"/>
      <c r="CE15" s="1053"/>
      <c r="CF15" s="1053"/>
      <c r="CG15" s="1053"/>
      <c r="CH15" s="1053"/>
      <c r="CI15" s="1053"/>
      <c r="CJ15" s="1053"/>
      <c r="CK15" s="1053"/>
      <c r="CL15" s="1053"/>
      <c r="CM15" s="1053"/>
      <c r="CN15" s="1053"/>
      <c r="CO15" s="1053"/>
      <c r="CP15" s="1053"/>
      <c r="CQ15" s="1053"/>
      <c r="CR15" s="1053"/>
      <c r="CS15" s="1053"/>
      <c r="CT15" s="1053"/>
      <c r="CU15" s="1053"/>
      <c r="CV15" s="1053"/>
      <c r="CW15" s="1053"/>
      <c r="CX15" s="1053"/>
      <c r="CY15" s="1053"/>
      <c r="CZ15" s="1053"/>
      <c r="DA15" s="1053"/>
      <c r="DB15" s="1053"/>
      <c r="DC15" s="1053"/>
      <c r="DD15" s="1053"/>
      <c r="DE15" s="1053"/>
      <c r="DF15" s="1053"/>
      <c r="DG15" s="1053"/>
      <c r="DH15" s="1053"/>
      <c r="DI15" s="1053"/>
      <c r="DJ15" s="1053"/>
      <c r="DK15" s="1053"/>
      <c r="DL15" s="1053"/>
      <c r="DM15" s="1053"/>
      <c r="DN15" s="1053"/>
      <c r="DO15" s="1053"/>
      <c r="DP15" s="1053"/>
      <c r="DQ15" s="1053"/>
      <c r="DR15" s="1053"/>
      <c r="DS15" s="1053"/>
      <c r="DT15" s="1053"/>
      <c r="DU15" s="1053"/>
      <c r="DV15" s="1053"/>
      <c r="DW15" s="1053"/>
      <c r="DX15" s="1053"/>
      <c r="DY15" s="1053"/>
      <c r="DZ15" s="1053"/>
      <c r="EA15" s="1053"/>
      <c r="EB15" s="1053"/>
      <c r="EC15" s="1053"/>
      <c r="ED15" s="1053"/>
      <c r="EE15" s="1053"/>
      <c r="EF15" s="1053"/>
      <c r="EG15" s="1053"/>
      <c r="EH15" s="1053"/>
      <c r="EI15" s="1053"/>
      <c r="EJ15" s="1053"/>
      <c r="EK15" s="1053"/>
      <c r="EL15" s="1053"/>
      <c r="EM15" s="1053"/>
      <c r="EN15" s="1053"/>
      <c r="EO15" s="1053"/>
      <c r="EP15" s="1053"/>
      <c r="EQ15" s="1053"/>
      <c r="ER15" s="1053"/>
      <c r="ES15" s="1053"/>
      <c r="ET15" s="1053"/>
      <c r="EU15" s="1053"/>
      <c r="EV15" s="1053"/>
      <c r="EW15" s="1053"/>
      <c r="EX15" s="1053"/>
      <c r="EY15" s="1053"/>
      <c r="EZ15" s="1053"/>
      <c r="FA15" s="1053"/>
      <c r="FB15" s="1053"/>
      <c r="FC15" s="1053"/>
      <c r="FD15" s="1053"/>
      <c r="FE15" s="1053"/>
      <c r="FF15" s="1053"/>
      <c r="FG15" s="1053"/>
      <c r="FH15" s="1053"/>
      <c r="FI15" s="1053"/>
      <c r="FJ15" s="1053"/>
      <c r="FK15" s="1053"/>
      <c r="FL15" s="1053"/>
      <c r="FM15" s="1053"/>
      <c r="FN15" s="1053"/>
      <c r="FO15" s="1053"/>
      <c r="FP15" s="1053"/>
      <c r="FQ15" s="1053"/>
      <c r="FR15" s="1053"/>
      <c r="FS15" s="1053"/>
      <c r="FT15" s="1053"/>
      <c r="FU15" s="1053"/>
      <c r="FV15" s="1053"/>
      <c r="FW15" s="1053"/>
      <c r="FX15" s="1053"/>
      <c r="FY15" s="1053"/>
      <c r="FZ15" s="1053"/>
      <c r="GA15" s="1053"/>
      <c r="GB15" s="1053"/>
      <c r="GC15" s="1053"/>
      <c r="GD15" s="1053"/>
      <c r="GE15" s="1053"/>
      <c r="GF15" s="1053"/>
      <c r="GG15" s="1053"/>
      <c r="GH15" s="1053"/>
      <c r="GI15" s="1053"/>
      <c r="GJ15" s="1053"/>
      <c r="GK15" s="1053"/>
      <c r="GL15" s="1053"/>
      <c r="GM15" s="1053"/>
      <c r="GN15" s="1053"/>
      <c r="GO15" s="1053"/>
      <c r="GP15" s="1053"/>
      <c r="GQ15" s="1053"/>
      <c r="GR15" s="1053"/>
      <c r="GS15" s="1053"/>
      <c r="GT15" s="1053"/>
      <c r="GU15" s="1053"/>
      <c r="GV15" s="1053"/>
      <c r="GW15" s="1053"/>
      <c r="GX15" s="1053"/>
      <c r="GY15" s="1053"/>
      <c r="GZ15" s="1053"/>
      <c r="HA15" s="1053"/>
      <c r="HB15" s="1053"/>
      <c r="HC15" s="1053"/>
      <c r="HD15" s="1053"/>
      <c r="HE15" s="1053"/>
      <c r="HF15" s="1053"/>
      <c r="HG15" s="1053"/>
      <c r="HH15" s="1053"/>
      <c r="HI15" s="1053"/>
      <c r="HJ15" s="1053"/>
      <c r="HK15" s="1053"/>
      <c r="HL15" s="1053"/>
      <c r="HM15" s="1053"/>
      <c r="HN15" s="1053"/>
      <c r="HO15" s="1053"/>
      <c r="HP15" s="1053"/>
      <c r="HQ15" s="1053"/>
      <c r="HR15" s="1053"/>
      <c r="HS15" s="1053"/>
      <c r="HT15" s="1053"/>
      <c r="HU15" s="1053"/>
      <c r="HV15" s="1053"/>
      <c r="HW15" s="1053"/>
      <c r="HX15" s="1053"/>
      <c r="HY15" s="1053"/>
      <c r="HZ15" s="1053"/>
      <c r="IA15" s="1053"/>
      <c r="IB15" s="1053"/>
      <c r="IC15" s="1053"/>
      <c r="ID15" s="1053"/>
      <c r="IE15" s="1053"/>
      <c r="IF15" s="1053"/>
      <c r="IG15" s="1053"/>
      <c r="IH15" s="1053"/>
      <c r="II15" s="1053"/>
      <c r="IJ15" s="1053"/>
      <c r="IK15" s="1053"/>
      <c r="IL15" s="1053"/>
      <c r="IM15" s="1053"/>
      <c r="IN15" s="1053"/>
      <c r="IO15" s="1053"/>
      <c r="IP15" s="1053"/>
      <c r="IQ15" s="1053"/>
      <c r="IR15" s="1053"/>
      <c r="IS15" s="1053"/>
      <c r="IT15" s="1053"/>
      <c r="IU15" s="1053"/>
      <c r="IV15" s="1053"/>
      <c r="IW15" s="1053"/>
    </row>
    <row r="17" customFormat="false" ht="13.5" hidden="false" customHeight="false" outlineLevel="0" collapsed="false">
      <c r="B17" s="1158" t="s">
        <v>764</v>
      </c>
      <c r="D17" s="124"/>
      <c r="E17" s="1159"/>
      <c r="F17" s="124"/>
      <c r="G17" s="124"/>
      <c r="H17" s="124"/>
      <c r="I17" s="124"/>
      <c r="J17" s="124"/>
      <c r="K17" s="124"/>
      <c r="L17" s="124"/>
      <c r="M17" s="124"/>
      <c r="N17" s="124"/>
      <c r="O17" s="124"/>
      <c r="P17" s="124"/>
      <c r="Q17" s="124"/>
      <c r="R17" s="124"/>
      <c r="S17" s="124"/>
      <c r="T17" s="124"/>
      <c r="U17" s="124"/>
      <c r="V17" s="124"/>
      <c r="W17" s="124"/>
      <c r="X17" s="124"/>
      <c r="Y17" s="124"/>
      <c r="Z17" s="124"/>
      <c r="AA17" s="124"/>
      <c r="AB17" s="124"/>
      <c r="AC17" s="124"/>
      <c r="AD17" s="124"/>
      <c r="AE17" s="124"/>
      <c r="AF17" s="124"/>
      <c r="AG17" s="124"/>
      <c r="AH17" s="124"/>
      <c r="AI17" s="124"/>
      <c r="AJ17" s="124"/>
      <c r="AK17" s="124"/>
      <c r="AL17" s="124"/>
      <c r="AM17" s="124"/>
      <c r="AN17" s="124"/>
      <c r="AO17" s="124"/>
      <c r="AP17" s="124"/>
      <c r="AQ17" s="124"/>
      <c r="AR17" s="124"/>
      <c r="AS17" s="124"/>
      <c r="AT17" s="124"/>
      <c r="AU17" s="124"/>
      <c r="AV17" s="124"/>
      <c r="AW17" s="124"/>
      <c r="AX17" s="124"/>
      <c r="AY17" s="124"/>
      <c r="AZ17" s="124"/>
      <c r="BA17" s="124"/>
      <c r="BB17" s="124"/>
      <c r="BC17" s="124"/>
      <c r="BD17" s="124"/>
      <c r="BE17" s="124"/>
      <c r="BF17" s="124"/>
      <c r="BG17" s="124"/>
      <c r="BH17" s="124"/>
      <c r="BI17" s="124"/>
      <c r="BJ17" s="124"/>
      <c r="BK17" s="124"/>
      <c r="BL17" s="124"/>
      <c r="BM17" s="124"/>
      <c r="BN17" s="124"/>
      <c r="BO17" s="124"/>
      <c r="BP17" s="124"/>
      <c r="BQ17" s="124"/>
      <c r="BR17" s="124"/>
      <c r="BS17" s="124"/>
      <c r="BT17" s="124"/>
      <c r="BU17" s="124"/>
      <c r="BV17" s="124"/>
      <c r="BW17" s="124"/>
      <c r="BX17" s="124"/>
      <c r="BY17" s="124"/>
      <c r="BZ17" s="124"/>
      <c r="CA17" s="124"/>
      <c r="CB17" s="124"/>
      <c r="CC17" s="124"/>
      <c r="CD17" s="124"/>
      <c r="CE17" s="124"/>
      <c r="CF17" s="124"/>
      <c r="CG17" s="124"/>
      <c r="CH17" s="124"/>
      <c r="CI17" s="124"/>
      <c r="CJ17" s="124"/>
      <c r="CK17" s="124"/>
      <c r="CL17" s="124"/>
      <c r="CM17" s="124"/>
      <c r="CN17" s="124"/>
      <c r="CO17" s="124"/>
      <c r="CP17" s="124"/>
      <c r="CQ17" s="124"/>
      <c r="CR17" s="124"/>
      <c r="CS17" s="124"/>
      <c r="CT17" s="124"/>
      <c r="CU17" s="124"/>
      <c r="CV17" s="124"/>
      <c r="CW17" s="124"/>
      <c r="CX17" s="124"/>
      <c r="CY17" s="124"/>
      <c r="CZ17" s="124"/>
      <c r="DA17" s="124"/>
      <c r="DB17" s="124"/>
      <c r="DC17" s="124"/>
      <c r="DD17" s="124"/>
      <c r="DE17" s="124"/>
      <c r="DF17" s="124"/>
      <c r="DG17" s="124"/>
      <c r="DH17" s="124"/>
      <c r="DI17" s="124"/>
      <c r="DJ17" s="124"/>
      <c r="DK17" s="124"/>
      <c r="DL17" s="124"/>
      <c r="DM17" s="124"/>
      <c r="DN17" s="124"/>
      <c r="DO17" s="124"/>
      <c r="DP17" s="124"/>
      <c r="DQ17" s="124"/>
      <c r="DR17" s="124"/>
      <c r="DS17" s="124"/>
      <c r="DT17" s="124"/>
      <c r="DU17" s="124"/>
      <c r="DV17" s="124"/>
      <c r="DW17" s="124"/>
      <c r="DX17" s="124"/>
      <c r="DY17" s="124"/>
      <c r="DZ17" s="124"/>
      <c r="EA17" s="124"/>
      <c r="EB17" s="124"/>
      <c r="EC17" s="124"/>
      <c r="ED17" s="124"/>
      <c r="EE17" s="124"/>
      <c r="EF17" s="124"/>
      <c r="EG17" s="124"/>
      <c r="EH17" s="124"/>
      <c r="EI17" s="124"/>
      <c r="EJ17" s="124"/>
      <c r="EK17" s="124"/>
      <c r="EL17" s="124"/>
    </row>
    <row r="18" customFormat="false" ht="12.75" hidden="false" customHeight="false" outlineLevel="0" collapsed="false">
      <c r="B18" s="1160"/>
      <c r="C18" s="1161"/>
      <c r="D18" s="1161"/>
      <c r="E18" s="1161"/>
      <c r="F18" s="1161"/>
      <c r="G18" s="1161"/>
      <c r="H18" s="1161"/>
      <c r="I18" s="1161"/>
      <c r="J18" s="1161"/>
      <c r="K18" s="1161"/>
      <c r="L18" s="1161"/>
      <c r="M18" s="1161"/>
      <c r="N18" s="1161"/>
      <c r="O18" s="1161"/>
      <c r="P18" s="1161"/>
      <c r="Q18" s="1161"/>
      <c r="R18" s="1161"/>
      <c r="S18" s="1161"/>
      <c r="T18" s="1161"/>
      <c r="U18" s="1161"/>
      <c r="V18" s="1161"/>
      <c r="W18" s="1161"/>
      <c r="X18" s="1161"/>
      <c r="Y18" s="1161"/>
      <c r="Z18" s="1161"/>
      <c r="AA18" s="1161"/>
      <c r="AB18" s="1161"/>
      <c r="AC18" s="1161"/>
      <c r="AD18" s="1161"/>
      <c r="AE18" s="1161"/>
      <c r="AF18" s="1161"/>
      <c r="AG18" s="1161"/>
      <c r="AH18" s="1161"/>
      <c r="AI18" s="1162"/>
      <c r="AJ18" s="124"/>
      <c r="AK18" s="124"/>
      <c r="AL18" s="124"/>
      <c r="AM18" s="124"/>
      <c r="AN18" s="124"/>
      <c r="AO18" s="124"/>
      <c r="AP18" s="124"/>
      <c r="AQ18" s="124"/>
      <c r="AR18" s="124"/>
      <c r="AS18" s="124"/>
      <c r="AT18" s="124"/>
      <c r="AU18" s="124"/>
      <c r="AV18" s="124"/>
      <c r="AW18" s="124"/>
      <c r="AX18" s="124"/>
      <c r="AY18" s="124"/>
      <c r="AZ18" s="124"/>
      <c r="BA18" s="124"/>
      <c r="BB18" s="124"/>
      <c r="BC18" s="124"/>
      <c r="BD18" s="124"/>
      <c r="BE18" s="124"/>
      <c r="BF18" s="124"/>
      <c r="BG18" s="124"/>
      <c r="BH18" s="124"/>
      <c r="BI18" s="124"/>
      <c r="BJ18" s="124"/>
      <c r="BK18" s="124"/>
      <c r="BL18" s="124"/>
      <c r="BM18" s="124"/>
      <c r="BN18" s="124"/>
      <c r="BO18" s="124"/>
      <c r="BP18" s="124"/>
      <c r="BQ18" s="124"/>
      <c r="BR18" s="124"/>
      <c r="BS18" s="124"/>
      <c r="BT18" s="124"/>
      <c r="BU18" s="124"/>
      <c r="BV18" s="124"/>
      <c r="BW18" s="124"/>
      <c r="BX18" s="124"/>
      <c r="BY18" s="124"/>
      <c r="BZ18" s="124"/>
      <c r="CA18" s="124"/>
      <c r="CB18" s="124"/>
      <c r="CC18" s="124"/>
      <c r="CD18" s="124"/>
      <c r="CE18" s="124"/>
      <c r="CF18" s="124"/>
      <c r="CG18" s="124"/>
      <c r="CH18" s="124"/>
      <c r="CI18" s="124"/>
      <c r="CJ18" s="124"/>
      <c r="CK18" s="124"/>
      <c r="CL18" s="124"/>
      <c r="CM18" s="124"/>
      <c r="CN18" s="124"/>
      <c r="CO18" s="124"/>
      <c r="CP18" s="124"/>
      <c r="CQ18" s="124"/>
      <c r="CR18" s="124"/>
      <c r="CS18" s="124"/>
      <c r="CT18" s="124"/>
      <c r="CU18" s="124"/>
      <c r="CV18" s="124"/>
      <c r="CW18" s="124"/>
      <c r="CX18" s="124"/>
      <c r="CY18" s="124"/>
      <c r="CZ18" s="124"/>
      <c r="DA18" s="124"/>
      <c r="DB18" s="124"/>
      <c r="DC18" s="124"/>
      <c r="DD18" s="124"/>
      <c r="DE18" s="124"/>
      <c r="DF18" s="124"/>
      <c r="DG18" s="124"/>
      <c r="DH18" s="124"/>
      <c r="DI18" s="124"/>
      <c r="DJ18" s="124"/>
      <c r="DK18" s="124"/>
      <c r="DL18" s="124"/>
      <c r="DM18" s="124"/>
      <c r="DN18" s="124"/>
      <c r="DO18" s="124"/>
      <c r="DP18" s="124"/>
      <c r="DQ18" s="124"/>
      <c r="DR18" s="124"/>
      <c r="DS18" s="124"/>
      <c r="DT18" s="124"/>
      <c r="DU18" s="124"/>
      <c r="DV18" s="124"/>
      <c r="DW18" s="124"/>
      <c r="DX18" s="124"/>
      <c r="DY18" s="124"/>
      <c r="DZ18" s="124"/>
      <c r="EA18" s="124"/>
      <c r="EB18" s="124"/>
      <c r="EC18" s="124"/>
      <c r="ED18" s="124"/>
      <c r="EE18" s="124"/>
      <c r="EF18" s="124"/>
      <c r="EG18" s="124"/>
      <c r="EH18" s="124"/>
      <c r="EI18" s="124"/>
      <c r="EJ18" s="124"/>
      <c r="EK18" s="124"/>
      <c r="EL18" s="124"/>
    </row>
    <row r="19" customFormat="false" ht="12.75" hidden="false" customHeight="false" outlineLevel="0" collapsed="false">
      <c r="B19" s="1135" t="s">
        <v>673</v>
      </c>
      <c r="C19" s="100"/>
      <c r="D19" s="59" t="n">
        <f aca="false">-Srcs_Uses!E6</f>
        <v>-26230.8505492135</v>
      </c>
      <c r="E19" s="1163"/>
      <c r="F19" s="705"/>
      <c r="G19" s="705"/>
      <c r="H19" s="705"/>
      <c r="I19" s="705"/>
      <c r="J19" s="705"/>
      <c r="K19" s="705"/>
      <c r="L19" s="705"/>
      <c r="M19" s="705"/>
      <c r="N19" s="705"/>
      <c r="O19" s="705"/>
      <c r="P19" s="705"/>
      <c r="Q19" s="705"/>
      <c r="R19" s="705"/>
      <c r="S19" s="705"/>
      <c r="T19" s="705"/>
      <c r="U19" s="705"/>
      <c r="V19" s="705"/>
      <c r="W19" s="705"/>
      <c r="X19" s="705"/>
      <c r="Y19" s="705"/>
      <c r="Z19" s="705"/>
      <c r="AA19" s="705"/>
      <c r="AB19" s="705"/>
      <c r="AC19" s="705"/>
      <c r="AD19" s="705"/>
      <c r="AE19" s="705"/>
      <c r="AF19" s="705"/>
      <c r="AG19" s="705"/>
      <c r="AH19" s="705"/>
      <c r="AI19" s="1164"/>
      <c r="AJ19" s="100"/>
      <c r="AK19" s="100"/>
      <c r="AL19" s="100"/>
      <c r="AM19" s="100"/>
      <c r="AN19" s="100"/>
      <c r="AO19" s="100"/>
      <c r="AP19" s="100"/>
      <c r="AQ19" s="100"/>
      <c r="AR19" s="100"/>
      <c r="AS19" s="100"/>
      <c r="AT19" s="100"/>
      <c r="AU19" s="100"/>
      <c r="AV19" s="100"/>
      <c r="AW19" s="100"/>
      <c r="AX19" s="100"/>
      <c r="AY19" s="100"/>
      <c r="AZ19" s="100"/>
      <c r="BA19" s="100"/>
      <c r="BB19" s="100"/>
      <c r="BC19" s="100"/>
      <c r="BD19" s="100"/>
      <c r="BE19" s="100"/>
      <c r="BF19" s="100"/>
      <c r="BG19" s="100"/>
      <c r="BH19" s="100"/>
      <c r="BI19" s="100"/>
      <c r="BJ19" s="100"/>
      <c r="BK19" s="100"/>
      <c r="BL19" s="100"/>
      <c r="BM19" s="100"/>
      <c r="BN19" s="100"/>
      <c r="BO19" s="100"/>
      <c r="BP19" s="100"/>
      <c r="BQ19" s="100"/>
      <c r="BR19" s="100"/>
      <c r="BS19" s="100"/>
      <c r="BT19" s="100"/>
      <c r="BU19" s="100"/>
      <c r="BV19" s="100"/>
      <c r="BW19" s="100"/>
      <c r="BX19" s="100"/>
      <c r="BY19" s="100"/>
      <c r="BZ19" s="100"/>
      <c r="CA19" s="100"/>
      <c r="CB19" s="100"/>
      <c r="CC19" s="100"/>
      <c r="CD19" s="100"/>
      <c r="CE19" s="100"/>
      <c r="CF19" s="100"/>
      <c r="CG19" s="100"/>
      <c r="CH19" s="100"/>
      <c r="CI19" s="100"/>
      <c r="CJ19" s="100"/>
      <c r="CK19" s="100"/>
      <c r="CL19" s="100"/>
      <c r="CM19" s="100"/>
      <c r="CN19" s="100"/>
      <c r="CO19" s="100"/>
      <c r="CP19" s="100"/>
      <c r="CQ19" s="100"/>
      <c r="CR19" s="100"/>
      <c r="CS19" s="100"/>
      <c r="CT19" s="100"/>
      <c r="CU19" s="100"/>
      <c r="CV19" s="100"/>
      <c r="CW19" s="100"/>
      <c r="CX19" s="100"/>
      <c r="CY19" s="100"/>
      <c r="CZ19" s="100"/>
      <c r="DA19" s="100"/>
      <c r="DB19" s="100"/>
      <c r="DC19" s="100"/>
      <c r="DD19" s="100"/>
      <c r="DE19" s="100"/>
      <c r="DF19" s="100"/>
      <c r="DG19" s="100"/>
      <c r="DH19" s="100"/>
      <c r="DI19" s="100"/>
      <c r="DJ19" s="100"/>
      <c r="DK19" s="100"/>
      <c r="DL19" s="100"/>
      <c r="DM19" s="100"/>
      <c r="DN19" s="100"/>
      <c r="DO19" s="100"/>
      <c r="DP19" s="100"/>
      <c r="DQ19" s="100"/>
      <c r="DR19" s="100"/>
      <c r="DS19" s="100"/>
      <c r="DT19" s="100"/>
      <c r="DU19" s="100"/>
      <c r="DV19" s="100"/>
      <c r="DW19" s="100"/>
      <c r="DX19" s="100"/>
      <c r="DY19" s="100"/>
      <c r="DZ19" s="100"/>
      <c r="EA19" s="100"/>
      <c r="EB19" s="100"/>
      <c r="EC19" s="100"/>
      <c r="ED19" s="100"/>
      <c r="EE19" s="100"/>
      <c r="EF19" s="100"/>
      <c r="EG19" s="100"/>
      <c r="EH19" s="100"/>
      <c r="EI19" s="100"/>
      <c r="EJ19" s="100"/>
      <c r="EK19" s="100"/>
      <c r="EL19" s="100"/>
      <c r="EM19" s="100"/>
      <c r="EN19" s="100"/>
      <c r="EO19" s="100"/>
      <c r="EP19" s="100"/>
      <c r="EQ19" s="100"/>
      <c r="ER19" s="100"/>
      <c r="ES19" s="100"/>
      <c r="ET19" s="100"/>
      <c r="EU19" s="100"/>
      <c r="EV19" s="100"/>
      <c r="EW19" s="100"/>
      <c r="EX19" s="100"/>
      <c r="EY19" s="100"/>
      <c r="EZ19" s="100"/>
      <c r="FA19" s="100"/>
      <c r="FB19" s="100"/>
      <c r="FC19" s="100"/>
      <c r="FD19" s="100"/>
      <c r="FE19" s="100"/>
      <c r="FF19" s="100"/>
      <c r="FG19" s="100"/>
      <c r="FH19" s="100"/>
      <c r="FI19" s="100"/>
      <c r="FJ19" s="100"/>
      <c r="FK19" s="100"/>
      <c r="FL19" s="100"/>
      <c r="FM19" s="100"/>
      <c r="FN19" s="100"/>
      <c r="FO19" s="100"/>
      <c r="FP19" s="100"/>
      <c r="FQ19" s="100"/>
      <c r="FR19" s="100"/>
      <c r="FS19" s="100"/>
      <c r="FT19" s="100"/>
      <c r="FU19" s="100"/>
      <c r="FV19" s="100"/>
      <c r="FW19" s="100"/>
      <c r="FX19" s="100"/>
      <c r="FY19" s="100"/>
      <c r="FZ19" s="100"/>
      <c r="GA19" s="100"/>
      <c r="GB19" s="100"/>
      <c r="GC19" s="100"/>
      <c r="GD19" s="100"/>
      <c r="GE19" s="100"/>
      <c r="GF19" s="100"/>
      <c r="GG19" s="100"/>
      <c r="GH19" s="100"/>
      <c r="GI19" s="100"/>
      <c r="GJ19" s="100"/>
      <c r="GK19" s="100"/>
      <c r="GL19" s="100"/>
      <c r="GM19" s="100"/>
      <c r="GN19" s="100"/>
      <c r="GO19" s="100"/>
      <c r="GP19" s="100"/>
      <c r="GQ19" s="100"/>
      <c r="GR19" s="100"/>
      <c r="GS19" s="100"/>
      <c r="GT19" s="100"/>
      <c r="GU19" s="100"/>
      <c r="GV19" s="100"/>
      <c r="GW19" s="100"/>
      <c r="GX19" s="100"/>
      <c r="GY19" s="100"/>
      <c r="GZ19" s="100"/>
      <c r="HA19" s="100"/>
      <c r="HB19" s="100"/>
      <c r="HC19" s="100"/>
      <c r="HD19" s="100"/>
      <c r="HE19" s="100"/>
      <c r="HF19" s="100"/>
      <c r="HG19" s="100"/>
      <c r="HH19" s="100"/>
      <c r="HI19" s="100"/>
      <c r="HJ19" s="100"/>
      <c r="HK19" s="100"/>
      <c r="HL19" s="100"/>
      <c r="HM19" s="100"/>
      <c r="HN19" s="100"/>
      <c r="HO19" s="100"/>
      <c r="HP19" s="100"/>
      <c r="HQ19" s="100"/>
      <c r="HR19" s="100"/>
      <c r="HS19" s="100"/>
      <c r="HT19" s="100"/>
      <c r="HU19" s="100"/>
      <c r="HV19" s="100"/>
      <c r="HW19" s="100"/>
      <c r="HX19" s="100"/>
      <c r="HY19" s="100"/>
      <c r="HZ19" s="100"/>
      <c r="IA19" s="100"/>
      <c r="IB19" s="100"/>
      <c r="IC19" s="100"/>
      <c r="ID19" s="100"/>
      <c r="IE19" s="100"/>
      <c r="IF19" s="100"/>
      <c r="IG19" s="100"/>
      <c r="IH19" s="100"/>
      <c r="II19" s="100"/>
      <c r="IJ19" s="100"/>
      <c r="IK19" s="100"/>
      <c r="IL19" s="100"/>
      <c r="IM19" s="100"/>
      <c r="IN19" s="100"/>
      <c r="IO19" s="100"/>
      <c r="IP19" s="100"/>
      <c r="IQ19" s="100"/>
      <c r="IR19" s="100"/>
      <c r="IS19" s="100"/>
      <c r="IT19" s="100"/>
      <c r="IU19" s="100"/>
      <c r="IV19" s="100"/>
      <c r="IW19" s="100"/>
    </row>
    <row r="20" customFormat="false" ht="12.75" hidden="false" customHeight="false" outlineLevel="0" collapsed="false">
      <c r="B20" s="1165" t="s">
        <v>674</v>
      </c>
      <c r="C20" s="100"/>
      <c r="D20" s="100"/>
      <c r="E20" s="59" t="n">
        <f aca="false">-CashFlow!E42</f>
        <v>-0</v>
      </c>
      <c r="F20" s="59" t="n">
        <f aca="false">-CashFlow!F42</f>
        <v>-0</v>
      </c>
      <c r="G20" s="59" t="n">
        <f aca="false">-CashFlow!G42</f>
        <v>-0</v>
      </c>
      <c r="H20" s="59" t="n">
        <f aca="false">-CashFlow!H42</f>
        <v>-0</v>
      </c>
      <c r="I20" s="59" t="n">
        <f aca="false">-CashFlow!I42</f>
        <v>-0</v>
      </c>
      <c r="J20" s="59" t="n">
        <f aca="false">-CashFlow!J42</f>
        <v>-0</v>
      </c>
      <c r="K20" s="59" t="n">
        <f aca="false">-CashFlow!K42</f>
        <v>-0</v>
      </c>
      <c r="L20" s="59" t="n">
        <f aca="false">-CashFlow!L42</f>
        <v>-0</v>
      </c>
      <c r="M20" s="59" t="n">
        <f aca="false">-CashFlow!M42</f>
        <v>-0</v>
      </c>
      <c r="N20" s="59" t="n">
        <f aca="false">-CashFlow!N42</f>
        <v>-0</v>
      </c>
      <c r="O20" s="59" t="n">
        <f aca="false">-CashFlow!O42</f>
        <v>-0</v>
      </c>
      <c r="P20" s="59" t="n">
        <f aca="false">-CashFlow!P42</f>
        <v>-0</v>
      </c>
      <c r="Q20" s="59" t="n">
        <f aca="false">-CashFlow!Q42</f>
        <v>-0</v>
      </c>
      <c r="R20" s="59" t="n">
        <f aca="false">-CashFlow!R42</f>
        <v>-0</v>
      </c>
      <c r="S20" s="59" t="n">
        <f aca="false">-CashFlow!S42</f>
        <v>-0</v>
      </c>
      <c r="T20" s="59" t="n">
        <f aca="false">-CashFlow!T42</f>
        <v>-0</v>
      </c>
      <c r="U20" s="59" t="n">
        <f aca="false">-CashFlow!U42</f>
        <v>-0</v>
      </c>
      <c r="V20" s="59" t="n">
        <f aca="false">-CashFlow!V42</f>
        <v>-0</v>
      </c>
      <c r="W20" s="59" t="n">
        <f aca="false">-CashFlow!W42</f>
        <v>-0</v>
      </c>
      <c r="X20" s="59" t="n">
        <f aca="false">-CashFlow!X42</f>
        <v>-0</v>
      </c>
      <c r="Y20" s="59" t="n">
        <f aca="false">-CashFlow!Y42</f>
        <v>-0</v>
      </c>
      <c r="Z20" s="59" t="n">
        <f aca="false">-CashFlow!Z42</f>
        <v>-0</v>
      </c>
      <c r="AA20" s="59" t="n">
        <f aca="false">-CashFlow!AA42</f>
        <v>-0</v>
      </c>
      <c r="AB20" s="59" t="n">
        <f aca="false">-CashFlow!AB42</f>
        <v>-0</v>
      </c>
      <c r="AC20" s="59" t="n">
        <f aca="false">-CashFlow!AC42</f>
        <v>-0</v>
      </c>
      <c r="AD20" s="59" t="n">
        <f aca="false">-CashFlow!AD42</f>
        <v>-0</v>
      </c>
      <c r="AE20" s="59" t="n">
        <f aca="false">-CashFlow!AE42</f>
        <v>-0</v>
      </c>
      <c r="AF20" s="59" t="n">
        <f aca="false">-CashFlow!AF42</f>
        <v>-0</v>
      </c>
      <c r="AG20" s="59" t="n">
        <f aca="false">-CashFlow!AG42</f>
        <v>-0</v>
      </c>
      <c r="AH20" s="59" t="n">
        <f aca="false">-CashFlow!AH42</f>
        <v>-0</v>
      </c>
      <c r="AI20" s="1166" t="n">
        <f aca="false">-CashFlow!AI42</f>
        <v>-0</v>
      </c>
      <c r="AJ20" s="100"/>
      <c r="AK20" s="100"/>
      <c r="AL20" s="100"/>
      <c r="AM20" s="100"/>
      <c r="AN20" s="100"/>
      <c r="AO20" s="100"/>
      <c r="AP20" s="100"/>
      <c r="AQ20" s="100"/>
      <c r="AR20" s="100"/>
      <c r="AS20" s="100"/>
      <c r="AT20" s="100"/>
      <c r="AU20" s="100"/>
      <c r="AV20" s="100"/>
      <c r="AW20" s="100"/>
      <c r="AX20" s="100"/>
      <c r="AY20" s="100"/>
      <c r="AZ20" s="100"/>
      <c r="BA20" s="100"/>
      <c r="BB20" s="100"/>
      <c r="BC20" s="100"/>
      <c r="BD20" s="100"/>
      <c r="BE20" s="100"/>
      <c r="BF20" s="100"/>
      <c r="BG20" s="100"/>
      <c r="BH20" s="100"/>
      <c r="BI20" s="100"/>
      <c r="BJ20" s="100"/>
      <c r="BK20" s="100"/>
      <c r="BL20" s="100"/>
      <c r="BM20" s="100"/>
      <c r="BN20" s="100"/>
      <c r="BO20" s="100"/>
      <c r="BP20" s="100"/>
      <c r="BQ20" s="100"/>
      <c r="BR20" s="100"/>
      <c r="BS20" s="100"/>
      <c r="BT20" s="100"/>
      <c r="BU20" s="100"/>
      <c r="BV20" s="100"/>
      <c r="BW20" s="100"/>
      <c r="BX20" s="100"/>
      <c r="BY20" s="100"/>
      <c r="BZ20" s="100"/>
      <c r="CA20" s="100"/>
      <c r="CB20" s="100"/>
      <c r="CC20" s="100"/>
      <c r="CD20" s="100"/>
      <c r="CE20" s="100"/>
      <c r="CF20" s="100"/>
      <c r="CG20" s="100"/>
      <c r="CH20" s="100"/>
      <c r="CI20" s="100"/>
      <c r="CJ20" s="100"/>
      <c r="CK20" s="100"/>
      <c r="CL20" s="100"/>
      <c r="CM20" s="100"/>
      <c r="CN20" s="100"/>
      <c r="CO20" s="100"/>
      <c r="CP20" s="100"/>
      <c r="CQ20" s="100"/>
      <c r="CR20" s="100"/>
      <c r="CS20" s="100"/>
      <c r="CT20" s="100"/>
      <c r="CU20" s="100"/>
      <c r="CV20" s="100"/>
      <c r="CW20" s="100"/>
      <c r="CX20" s="100"/>
      <c r="CY20" s="100"/>
      <c r="CZ20" s="100"/>
      <c r="DA20" s="100"/>
      <c r="DB20" s="100"/>
      <c r="DC20" s="100"/>
      <c r="DD20" s="100"/>
      <c r="DE20" s="100"/>
      <c r="DF20" s="100"/>
      <c r="DG20" s="100"/>
      <c r="DH20" s="100"/>
      <c r="DI20" s="100"/>
      <c r="DJ20" s="100"/>
      <c r="DK20" s="100"/>
      <c r="DL20" s="100"/>
      <c r="DM20" s="100"/>
      <c r="DN20" s="100"/>
      <c r="DO20" s="100"/>
      <c r="DP20" s="100"/>
      <c r="DQ20" s="100"/>
      <c r="DR20" s="100"/>
      <c r="DS20" s="100"/>
      <c r="DT20" s="100"/>
      <c r="DU20" s="100"/>
      <c r="DV20" s="100"/>
      <c r="DW20" s="100"/>
      <c r="DX20" s="100"/>
      <c r="DY20" s="100"/>
      <c r="DZ20" s="100"/>
      <c r="EA20" s="100"/>
      <c r="EB20" s="100"/>
      <c r="EC20" s="100"/>
      <c r="ED20" s="100"/>
      <c r="EE20" s="100"/>
      <c r="EF20" s="100"/>
      <c r="EG20" s="100"/>
      <c r="EH20" s="100"/>
      <c r="EI20" s="100"/>
      <c r="EJ20" s="100"/>
      <c r="EK20" s="100"/>
      <c r="EL20" s="100"/>
      <c r="EM20" s="100"/>
      <c r="EN20" s="100"/>
      <c r="EO20" s="100"/>
      <c r="EP20" s="100"/>
      <c r="EQ20" s="100"/>
      <c r="ER20" s="100"/>
      <c r="ES20" s="100"/>
      <c r="ET20" s="100"/>
      <c r="EU20" s="100"/>
      <c r="EV20" s="100"/>
      <c r="EW20" s="100"/>
      <c r="EX20" s="100"/>
      <c r="EY20" s="100"/>
      <c r="EZ20" s="100"/>
      <c r="FA20" s="100"/>
      <c r="FB20" s="100"/>
      <c r="FC20" s="100"/>
      <c r="FD20" s="100"/>
      <c r="FE20" s="100"/>
      <c r="FF20" s="100"/>
      <c r="FG20" s="100"/>
      <c r="FH20" s="100"/>
      <c r="FI20" s="100"/>
      <c r="FJ20" s="100"/>
      <c r="FK20" s="100"/>
      <c r="FL20" s="100"/>
      <c r="FM20" s="100"/>
      <c r="FN20" s="100"/>
      <c r="FO20" s="100"/>
      <c r="FP20" s="100"/>
      <c r="FQ20" s="100"/>
      <c r="FR20" s="100"/>
      <c r="FS20" s="100"/>
      <c r="FT20" s="100"/>
      <c r="FU20" s="100"/>
      <c r="FV20" s="100"/>
      <c r="FW20" s="100"/>
      <c r="FX20" s="100"/>
      <c r="FY20" s="100"/>
      <c r="FZ20" s="100"/>
      <c r="GA20" s="100"/>
      <c r="GB20" s="100"/>
      <c r="GC20" s="100"/>
      <c r="GD20" s="100"/>
      <c r="GE20" s="100"/>
      <c r="GF20" s="100"/>
      <c r="GG20" s="100"/>
      <c r="GH20" s="100"/>
      <c r="GI20" s="100"/>
      <c r="GJ20" s="100"/>
      <c r="GK20" s="100"/>
      <c r="GL20" s="100"/>
      <c r="GM20" s="100"/>
      <c r="GN20" s="100"/>
      <c r="GO20" s="100"/>
      <c r="GP20" s="100"/>
      <c r="GQ20" s="100"/>
      <c r="GR20" s="100"/>
      <c r="GS20" s="100"/>
      <c r="GT20" s="100"/>
      <c r="GU20" s="100"/>
      <c r="GV20" s="100"/>
      <c r="GW20" s="100"/>
      <c r="GX20" s="100"/>
      <c r="GY20" s="100"/>
      <c r="GZ20" s="100"/>
      <c r="HA20" s="100"/>
      <c r="HB20" s="100"/>
      <c r="HC20" s="100"/>
      <c r="HD20" s="100"/>
      <c r="HE20" s="100"/>
      <c r="HF20" s="100"/>
      <c r="HG20" s="100"/>
      <c r="HH20" s="100"/>
      <c r="HI20" s="100"/>
      <c r="HJ20" s="100"/>
      <c r="HK20" s="100"/>
      <c r="HL20" s="100"/>
      <c r="HM20" s="100"/>
      <c r="HN20" s="100"/>
      <c r="HO20" s="100"/>
      <c r="HP20" s="100"/>
      <c r="HQ20" s="100"/>
      <c r="HR20" s="100"/>
      <c r="HS20" s="100"/>
      <c r="HT20" s="100"/>
      <c r="HU20" s="100"/>
      <c r="HV20" s="100"/>
      <c r="HW20" s="100"/>
      <c r="HX20" s="100"/>
      <c r="HY20" s="100"/>
      <c r="HZ20" s="100"/>
      <c r="IA20" s="100"/>
      <c r="IB20" s="100"/>
      <c r="IC20" s="100"/>
      <c r="ID20" s="100"/>
      <c r="IE20" s="100"/>
      <c r="IF20" s="100"/>
      <c r="IG20" s="100"/>
      <c r="IH20" s="100"/>
      <c r="II20" s="100"/>
      <c r="IJ20" s="100"/>
      <c r="IK20" s="100"/>
      <c r="IL20" s="100"/>
      <c r="IM20" s="100"/>
      <c r="IN20" s="100"/>
      <c r="IO20" s="100"/>
      <c r="IP20" s="100"/>
      <c r="IQ20" s="100"/>
      <c r="IR20" s="100"/>
      <c r="IS20" s="100"/>
      <c r="IT20" s="100"/>
      <c r="IU20" s="100"/>
      <c r="IV20" s="100"/>
      <c r="IW20" s="100"/>
    </row>
    <row r="21" customFormat="false" ht="12.75" hidden="false" customHeight="false" outlineLevel="0" collapsed="false">
      <c r="B21" s="1165" t="s">
        <v>765</v>
      </c>
      <c r="C21" s="100"/>
      <c r="D21" s="100"/>
      <c r="E21" s="59" t="n">
        <f aca="false">CashFlow!E61</f>
        <v>567.567927207231</v>
      </c>
      <c r="F21" s="59" t="n">
        <f aca="false">CashFlow!F61</f>
        <v>565.891477850479</v>
      </c>
      <c r="G21" s="59" t="n">
        <f aca="false">CashFlow!G61</f>
        <v>564.040638135921</v>
      </c>
      <c r="H21" s="59" t="n">
        <f aca="false">CashFlow!H61</f>
        <v>561.950675418391</v>
      </c>
      <c r="I21" s="59" t="n">
        <f aca="false">CashFlow!I61</f>
        <v>559.657083776247</v>
      </c>
      <c r="J21" s="59" t="n">
        <f aca="false">CashFlow!J61</f>
        <v>557.250692721143</v>
      </c>
      <c r="K21" s="59" t="n">
        <f aca="false">CashFlow!K61</f>
        <v>552.089131830064</v>
      </c>
      <c r="L21" s="59" t="n">
        <f aca="false">CashFlow!L61</f>
        <v>546.705796732148</v>
      </c>
      <c r="M21" s="59" t="n">
        <f aca="false">CashFlow!M61</f>
        <v>541.094677038582</v>
      </c>
      <c r="N21" s="59" t="n">
        <f aca="false">CashFlow!N61</f>
        <v>534.989622795779</v>
      </c>
      <c r="O21" s="59" t="n">
        <f aca="false">CashFlow!O61</f>
        <v>541.56598132851</v>
      </c>
      <c r="P21" s="59" t="n">
        <f aca="false">CashFlow!P61</f>
        <v>535.031735333494</v>
      </c>
      <c r="Q21" s="59" t="n">
        <f aca="false">CashFlow!Q61</f>
        <v>527.988779726472</v>
      </c>
      <c r="R21" s="59" t="n">
        <f aca="false">CashFlow!R61</f>
        <v>520.40487414159</v>
      </c>
      <c r="S21" s="59" t="n">
        <f aca="false">CashFlow!S61</f>
        <v>512.221841506162</v>
      </c>
      <c r="T21" s="59" t="n">
        <f aca="false">CashFlow!T61</f>
        <v>504.020604147278</v>
      </c>
      <c r="U21" s="59" t="n">
        <f aca="false">CashFlow!U61</f>
        <v>584.688627956806</v>
      </c>
      <c r="V21" s="59" t="n">
        <f aca="false">CashFlow!V61</f>
        <v>2010.52145325015</v>
      </c>
      <c r="W21" s="59" t="n">
        <f aca="false">CashFlow!W61</f>
        <v>1979.73770546626</v>
      </c>
      <c r="X21" s="59" t="n">
        <f aca="false">CashFlow!X61</f>
        <v>2144.55497268781</v>
      </c>
      <c r="Y21" s="59" t="n">
        <f aca="false">CashFlow!Y61</f>
        <v>0</v>
      </c>
      <c r="Z21" s="59" t="n">
        <f aca="false">CashFlow!Z61</f>
        <v>0</v>
      </c>
      <c r="AA21" s="59" t="n">
        <f aca="false">CashFlow!AA61</f>
        <v>0</v>
      </c>
      <c r="AB21" s="59" t="n">
        <f aca="false">CashFlow!AB61</f>
        <v>0</v>
      </c>
      <c r="AC21" s="59" t="n">
        <f aca="false">CashFlow!AC61</f>
        <v>0</v>
      </c>
      <c r="AD21" s="59" t="n">
        <f aca="false">CashFlow!AD61</f>
        <v>0</v>
      </c>
      <c r="AE21" s="59" t="n">
        <f aca="false">CashFlow!AE61</f>
        <v>0</v>
      </c>
      <c r="AF21" s="59" t="n">
        <f aca="false">CashFlow!AF61</f>
        <v>0</v>
      </c>
      <c r="AG21" s="59" t="n">
        <f aca="false">CashFlow!AG61</f>
        <v>0</v>
      </c>
      <c r="AH21" s="59" t="n">
        <f aca="false">CashFlow!AH61</f>
        <v>0</v>
      </c>
      <c r="AI21" s="1166" t="n">
        <f aca="false">CashFlow!AI61</f>
        <v>0</v>
      </c>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c r="BM21" s="100"/>
      <c r="BN21" s="100"/>
      <c r="BO21" s="100"/>
      <c r="BP21" s="100"/>
      <c r="BQ21" s="100"/>
      <c r="BR21" s="100"/>
      <c r="BS21" s="100"/>
      <c r="BT21" s="100"/>
      <c r="BU21" s="100"/>
      <c r="BV21" s="100"/>
      <c r="BW21" s="100"/>
      <c r="BX21" s="100"/>
      <c r="BY21" s="100"/>
      <c r="BZ21" s="100"/>
      <c r="CA21" s="100"/>
      <c r="CB21" s="100"/>
      <c r="CC21" s="100"/>
      <c r="CD21" s="100"/>
      <c r="CE21" s="100"/>
      <c r="CF21" s="100"/>
      <c r="CG21" s="100"/>
      <c r="CH21" s="100"/>
      <c r="CI21" s="100"/>
      <c r="CJ21" s="100"/>
      <c r="CK21" s="100"/>
      <c r="CL21" s="100"/>
      <c r="CM21" s="100"/>
      <c r="CN21" s="100"/>
      <c r="CO21" s="100"/>
      <c r="CP21" s="100"/>
      <c r="CQ21" s="100"/>
      <c r="CR21" s="100"/>
      <c r="CS21" s="100"/>
      <c r="CT21" s="100"/>
      <c r="CU21" s="100"/>
      <c r="CV21" s="100"/>
      <c r="CW21" s="100"/>
      <c r="CX21" s="100"/>
      <c r="CY21" s="100"/>
      <c r="CZ21" s="100"/>
      <c r="DA21" s="100"/>
      <c r="DB21" s="100"/>
      <c r="DC21" s="100"/>
      <c r="DD21" s="100"/>
      <c r="DE21" s="100"/>
      <c r="DF21" s="100"/>
      <c r="DG21" s="100"/>
      <c r="DH21" s="100"/>
      <c r="DI21" s="100"/>
      <c r="DJ21" s="100"/>
      <c r="DK21" s="100"/>
      <c r="DL21" s="100"/>
      <c r="DM21" s="100"/>
      <c r="DN21" s="100"/>
      <c r="DO21" s="100"/>
      <c r="DP21" s="100"/>
      <c r="DQ21" s="100"/>
      <c r="DR21" s="100"/>
      <c r="DS21" s="100"/>
      <c r="DT21" s="100"/>
      <c r="DU21" s="100"/>
      <c r="DV21" s="100"/>
      <c r="DW21" s="100"/>
      <c r="DX21" s="100"/>
      <c r="DY21" s="100"/>
      <c r="DZ21" s="100"/>
      <c r="EA21" s="100"/>
      <c r="EB21" s="100"/>
      <c r="EC21" s="100"/>
      <c r="ED21" s="100"/>
      <c r="EE21" s="100"/>
      <c r="EF21" s="100"/>
      <c r="EG21" s="100"/>
      <c r="EH21" s="100"/>
      <c r="EI21" s="100"/>
      <c r="EJ21" s="100"/>
      <c r="EK21" s="100"/>
      <c r="EL21" s="100"/>
      <c r="EM21" s="100"/>
      <c r="EN21" s="100"/>
      <c r="EO21" s="100"/>
      <c r="EP21" s="100"/>
      <c r="EQ21" s="100"/>
      <c r="ER21" s="100"/>
      <c r="ES21" s="100"/>
      <c r="ET21" s="100"/>
      <c r="EU21" s="100"/>
      <c r="EV21" s="100"/>
      <c r="EW21" s="100"/>
      <c r="EX21" s="100"/>
      <c r="EY21" s="100"/>
      <c r="EZ21" s="100"/>
      <c r="FA21" s="100"/>
      <c r="FB21" s="100"/>
      <c r="FC21" s="100"/>
      <c r="FD21" s="100"/>
      <c r="FE21" s="100"/>
      <c r="FF21" s="100"/>
      <c r="FG21" s="100"/>
      <c r="FH21" s="100"/>
      <c r="FI21" s="100"/>
      <c r="FJ21" s="100"/>
      <c r="FK21" s="100"/>
      <c r="FL21" s="100"/>
      <c r="FM21" s="100"/>
      <c r="FN21" s="100"/>
      <c r="FO21" s="100"/>
      <c r="FP21" s="100"/>
      <c r="FQ21" s="100"/>
      <c r="FR21" s="100"/>
      <c r="FS21" s="100"/>
      <c r="FT21" s="100"/>
      <c r="FU21" s="100"/>
      <c r="FV21" s="100"/>
      <c r="FW21" s="100"/>
      <c r="FX21" s="100"/>
      <c r="FY21" s="100"/>
      <c r="FZ21" s="100"/>
      <c r="GA21" s="100"/>
      <c r="GB21" s="100"/>
      <c r="GC21" s="100"/>
      <c r="GD21" s="100"/>
      <c r="GE21" s="100"/>
      <c r="GF21" s="100"/>
      <c r="GG21" s="100"/>
      <c r="GH21" s="100"/>
      <c r="GI21" s="100"/>
      <c r="GJ21" s="100"/>
      <c r="GK21" s="100"/>
      <c r="GL21" s="100"/>
      <c r="GM21" s="100"/>
      <c r="GN21" s="100"/>
      <c r="GO21" s="100"/>
      <c r="GP21" s="100"/>
      <c r="GQ21" s="100"/>
      <c r="GR21" s="100"/>
      <c r="GS21" s="100"/>
      <c r="GT21" s="100"/>
      <c r="GU21" s="100"/>
      <c r="GV21" s="100"/>
      <c r="GW21" s="100"/>
      <c r="GX21" s="100"/>
      <c r="GY21" s="100"/>
      <c r="GZ21" s="100"/>
      <c r="HA21" s="100"/>
      <c r="HB21" s="100"/>
      <c r="HC21" s="100"/>
      <c r="HD21" s="100"/>
      <c r="HE21" s="100"/>
      <c r="HF21" s="100"/>
      <c r="HG21" s="100"/>
      <c r="HH21" s="100"/>
      <c r="HI21" s="100"/>
      <c r="HJ21" s="100"/>
      <c r="HK21" s="100"/>
      <c r="HL21" s="100"/>
      <c r="HM21" s="100"/>
      <c r="HN21" s="100"/>
      <c r="HO21" s="100"/>
      <c r="HP21" s="100"/>
      <c r="HQ21" s="100"/>
      <c r="HR21" s="100"/>
      <c r="HS21" s="100"/>
      <c r="HT21" s="100"/>
      <c r="HU21" s="100"/>
      <c r="HV21" s="100"/>
      <c r="HW21" s="100"/>
      <c r="HX21" s="100"/>
      <c r="HY21" s="100"/>
      <c r="HZ21" s="100"/>
      <c r="IA21" s="100"/>
      <c r="IB21" s="100"/>
      <c r="IC21" s="100"/>
      <c r="ID21" s="100"/>
      <c r="IE21" s="100"/>
      <c r="IF21" s="100"/>
      <c r="IG21" s="100"/>
      <c r="IH21" s="100"/>
      <c r="II21" s="100"/>
      <c r="IJ21" s="100"/>
      <c r="IK21" s="100"/>
      <c r="IL21" s="100"/>
      <c r="IM21" s="100"/>
      <c r="IN21" s="100"/>
      <c r="IO21" s="100"/>
      <c r="IP21" s="100"/>
      <c r="IQ21" s="100"/>
      <c r="IR21" s="100"/>
      <c r="IS21" s="100"/>
      <c r="IT21" s="100"/>
      <c r="IU21" s="100"/>
      <c r="IV21" s="100"/>
      <c r="IW21" s="100"/>
    </row>
    <row r="22" customFormat="false" ht="12.75" hidden="false" customHeight="false" outlineLevel="0" collapsed="false">
      <c r="B22" s="1167" t="s">
        <v>766</v>
      </c>
      <c r="C22" s="100"/>
      <c r="D22" s="1053"/>
      <c r="E22" s="1053" t="n">
        <f aca="false">E9</f>
        <v>2580.55318585167</v>
      </c>
      <c r="F22" s="1053" t="n">
        <f aca="false">F9</f>
        <v>4306.17744739025</v>
      </c>
      <c r="G22" s="1053" t="n">
        <f aca="false">G9</f>
        <v>2442.91654828267</v>
      </c>
      <c r="H22" s="1053" t="n">
        <f aca="false">H9</f>
        <v>1316.35906726089</v>
      </c>
      <c r="I22" s="1053" t="n">
        <f aca="false">I9</f>
        <v>1300.364246594</v>
      </c>
      <c r="J22" s="1053" t="n">
        <f aca="false">J9</f>
        <v>449.820607167193</v>
      </c>
      <c r="K22" s="1053" t="n">
        <f aca="false">K9</f>
        <v>-397.622230704304</v>
      </c>
      <c r="L22" s="1053" t="n">
        <f aca="false">L9</f>
        <v>-415.783281028831</v>
      </c>
      <c r="M22" s="1053" t="n">
        <f aca="false">M9</f>
        <v>-434.596265735872</v>
      </c>
      <c r="N22" s="1053" t="n">
        <f aca="false">N9</f>
        <v>-455.157534470762</v>
      </c>
      <c r="O22" s="1053" t="n">
        <f aca="false">O9</f>
        <v>-494.909108950024</v>
      </c>
      <c r="P22" s="1053" t="n">
        <f aca="false">P9</f>
        <v>-521.788815231545</v>
      </c>
      <c r="Q22" s="1053" t="n">
        <f aca="false">Q9</f>
        <v>-550.218103378273</v>
      </c>
      <c r="R22" s="1053" t="n">
        <f aca="false">R9</f>
        <v>-581.200549352562</v>
      </c>
      <c r="S22" s="1053" t="n">
        <f aca="false">S9</f>
        <v>-614.519398176296</v>
      </c>
      <c r="T22" s="1053" t="n">
        <f aca="false">T9</f>
        <v>-651.950263214853</v>
      </c>
      <c r="U22" s="1053" t="n">
        <f aca="false">U9</f>
        <v>-696.260059886729</v>
      </c>
      <c r="V22" s="1053" t="n">
        <f aca="false">V9</f>
        <v>-779.938262762703</v>
      </c>
      <c r="W22" s="1053" t="n">
        <f aca="false">W9</f>
        <v>-767.763290514174</v>
      </c>
      <c r="X22" s="1053" t="n">
        <f aca="false">X9</f>
        <v>-755.618382200295</v>
      </c>
      <c r="Y22" s="1053" t="n">
        <f aca="false">Y9</f>
        <v>-0</v>
      </c>
      <c r="Z22" s="1053" t="n">
        <f aca="false">Z9</f>
        <v>-0</v>
      </c>
      <c r="AA22" s="1053" t="n">
        <f aca="false">AA9</f>
        <v>-0</v>
      </c>
      <c r="AB22" s="1053" t="n">
        <f aca="false">AB9</f>
        <v>-0</v>
      </c>
      <c r="AC22" s="1053" t="n">
        <f aca="false">AC9</f>
        <v>-0</v>
      </c>
      <c r="AD22" s="1053" t="n">
        <f aca="false">AD9</f>
        <v>-0</v>
      </c>
      <c r="AE22" s="1053" t="n">
        <f aca="false">AE9</f>
        <v>-0</v>
      </c>
      <c r="AF22" s="1053" t="n">
        <f aca="false">AF9</f>
        <v>-0</v>
      </c>
      <c r="AG22" s="1053" t="n">
        <f aca="false">AG9</f>
        <v>-0</v>
      </c>
      <c r="AH22" s="1053" t="n">
        <f aca="false">AH9</f>
        <v>-0</v>
      </c>
      <c r="AI22" s="1168" t="n">
        <f aca="false">AI9</f>
        <v>-0</v>
      </c>
      <c r="AJ22" s="59"/>
      <c r="AK22" s="59"/>
      <c r="AL22" s="59"/>
      <c r="AM22" s="59"/>
      <c r="AN22" s="59"/>
      <c r="AO22" s="59"/>
      <c r="AP22" s="59"/>
      <c r="AQ22" s="59"/>
      <c r="AR22" s="59"/>
      <c r="AS22" s="59"/>
      <c r="AT22" s="59"/>
      <c r="AU22" s="59"/>
      <c r="AV22" s="59"/>
      <c r="AW22" s="59"/>
      <c r="AX22" s="59"/>
      <c r="AY22" s="59"/>
      <c r="AZ22" s="59"/>
      <c r="BA22" s="59"/>
      <c r="BB22" s="59"/>
      <c r="BC22" s="59"/>
      <c r="BD22" s="59"/>
      <c r="BE22" s="59"/>
      <c r="BF22" s="59"/>
      <c r="BG22" s="59"/>
      <c r="BH22" s="59"/>
      <c r="BI22" s="59"/>
      <c r="BJ22" s="59"/>
      <c r="BK22" s="59"/>
      <c r="BL22" s="59"/>
      <c r="BM22" s="100"/>
      <c r="BN22" s="100"/>
      <c r="BO22" s="100"/>
      <c r="BP22" s="100"/>
      <c r="BQ22" s="100"/>
      <c r="BR22" s="100"/>
      <c r="BS22" s="100"/>
      <c r="BT22" s="100"/>
      <c r="BU22" s="100"/>
      <c r="BV22" s="100"/>
      <c r="BW22" s="100"/>
      <c r="BX22" s="100"/>
      <c r="BY22" s="100"/>
      <c r="BZ22" s="100"/>
      <c r="CA22" s="100"/>
      <c r="CB22" s="100"/>
      <c r="CC22" s="100"/>
      <c r="CD22" s="100"/>
      <c r="CE22" s="100"/>
      <c r="CF22" s="100"/>
      <c r="CG22" s="100"/>
      <c r="CH22" s="100"/>
      <c r="CI22" s="100"/>
      <c r="CJ22" s="100"/>
      <c r="CK22" s="100"/>
      <c r="CL22" s="100"/>
      <c r="CM22" s="100"/>
      <c r="CN22" s="100"/>
      <c r="CO22" s="100"/>
      <c r="CP22" s="100"/>
      <c r="CQ22" s="100"/>
      <c r="CR22" s="100"/>
      <c r="CS22" s="100"/>
      <c r="CT22" s="100"/>
      <c r="CU22" s="100"/>
      <c r="CV22" s="100"/>
      <c r="CW22" s="100"/>
      <c r="CX22" s="100"/>
      <c r="CY22" s="100"/>
      <c r="CZ22" s="100"/>
      <c r="DA22" s="100"/>
      <c r="DB22" s="100"/>
      <c r="DC22" s="100"/>
      <c r="DD22" s="100"/>
      <c r="DE22" s="100"/>
      <c r="DF22" s="100"/>
      <c r="DG22" s="100"/>
      <c r="DH22" s="100"/>
      <c r="DI22" s="100"/>
      <c r="DJ22" s="100"/>
      <c r="DK22" s="100"/>
      <c r="DL22" s="100"/>
      <c r="DM22" s="100"/>
      <c r="DN22" s="100"/>
      <c r="DO22" s="100"/>
      <c r="DP22" s="100"/>
      <c r="DQ22" s="100"/>
      <c r="DR22" s="100"/>
      <c r="DS22" s="100"/>
      <c r="DT22" s="100"/>
      <c r="DU22" s="100"/>
      <c r="DV22" s="100"/>
      <c r="DW22" s="100"/>
      <c r="DX22" s="100"/>
      <c r="DY22" s="100"/>
      <c r="DZ22" s="100"/>
      <c r="EA22" s="100"/>
      <c r="EB22" s="100"/>
      <c r="EC22" s="100"/>
      <c r="ED22" s="100"/>
      <c r="EE22" s="100"/>
      <c r="EF22" s="100"/>
      <c r="EG22" s="100"/>
      <c r="EH22" s="100"/>
      <c r="EI22" s="100"/>
      <c r="EJ22" s="100"/>
      <c r="EK22" s="100"/>
      <c r="EL22" s="100"/>
      <c r="EM22" s="100"/>
      <c r="EN22" s="100"/>
      <c r="EO22" s="100"/>
      <c r="EP22" s="100"/>
      <c r="EQ22" s="100"/>
      <c r="ER22" s="100"/>
      <c r="ES22" s="100"/>
      <c r="ET22" s="100"/>
      <c r="EU22" s="100"/>
      <c r="EV22" s="100"/>
      <c r="EW22" s="100"/>
      <c r="EX22" s="100"/>
      <c r="EY22" s="100"/>
      <c r="EZ22" s="100"/>
      <c r="FA22" s="100"/>
      <c r="FB22" s="100"/>
      <c r="FC22" s="100"/>
      <c r="FD22" s="100"/>
      <c r="FE22" s="100"/>
      <c r="FF22" s="100"/>
      <c r="FG22" s="100"/>
      <c r="FH22" s="100"/>
      <c r="FI22" s="100"/>
      <c r="FJ22" s="100"/>
      <c r="FK22" s="100"/>
      <c r="FL22" s="100"/>
      <c r="FM22" s="100"/>
      <c r="FN22" s="100"/>
      <c r="FO22" s="100"/>
      <c r="FP22" s="100"/>
      <c r="FQ22" s="100"/>
      <c r="FR22" s="100"/>
      <c r="FS22" s="100"/>
      <c r="FT22" s="100"/>
      <c r="FU22" s="100"/>
      <c r="FV22" s="100"/>
      <c r="FW22" s="100"/>
      <c r="FX22" s="100"/>
      <c r="FY22" s="100"/>
      <c r="FZ22" s="100"/>
      <c r="GA22" s="100"/>
      <c r="GB22" s="100"/>
      <c r="GC22" s="100"/>
      <c r="GD22" s="100"/>
      <c r="GE22" s="100"/>
      <c r="GF22" s="100"/>
      <c r="GG22" s="100"/>
      <c r="GH22" s="100"/>
      <c r="GI22" s="100"/>
      <c r="GJ22" s="100"/>
      <c r="GK22" s="100"/>
      <c r="GL22" s="100"/>
      <c r="GM22" s="100"/>
      <c r="GN22" s="100"/>
      <c r="GO22" s="100"/>
      <c r="GP22" s="100"/>
      <c r="GQ22" s="100"/>
      <c r="GR22" s="100"/>
      <c r="GS22" s="100"/>
      <c r="GT22" s="100"/>
      <c r="GU22" s="100"/>
      <c r="GV22" s="100"/>
      <c r="GW22" s="100"/>
      <c r="GX22" s="100"/>
      <c r="GY22" s="100"/>
      <c r="GZ22" s="100"/>
      <c r="HA22" s="100"/>
      <c r="HB22" s="100"/>
      <c r="HC22" s="100"/>
      <c r="HD22" s="100"/>
      <c r="HE22" s="100"/>
      <c r="HF22" s="100"/>
      <c r="HG22" s="100"/>
      <c r="HH22" s="100"/>
      <c r="HI22" s="100"/>
      <c r="HJ22" s="100"/>
      <c r="HK22" s="100"/>
      <c r="HL22" s="100"/>
      <c r="HM22" s="100"/>
      <c r="HN22" s="100"/>
      <c r="HO22" s="100"/>
      <c r="HP22" s="100"/>
      <c r="HQ22" s="100"/>
      <c r="HR22" s="100"/>
      <c r="HS22" s="100"/>
      <c r="HT22" s="100"/>
      <c r="HU22" s="100"/>
      <c r="HV22" s="100"/>
      <c r="HW22" s="100"/>
      <c r="HX22" s="100"/>
      <c r="HY22" s="100"/>
      <c r="HZ22" s="100"/>
      <c r="IA22" s="100"/>
      <c r="IB22" s="100"/>
      <c r="IC22" s="100"/>
      <c r="ID22" s="100"/>
      <c r="IE22" s="100"/>
      <c r="IF22" s="100"/>
      <c r="IG22" s="100"/>
      <c r="IH22" s="100"/>
      <c r="II22" s="100"/>
      <c r="IJ22" s="100"/>
      <c r="IK22" s="100"/>
      <c r="IL22" s="100"/>
      <c r="IM22" s="100"/>
      <c r="IN22" s="100"/>
      <c r="IO22" s="100"/>
      <c r="IP22" s="100"/>
      <c r="IQ22" s="100"/>
      <c r="IR22" s="100"/>
      <c r="IS22" s="100"/>
      <c r="IT22" s="100"/>
      <c r="IU22" s="100"/>
      <c r="IV22" s="100"/>
      <c r="IW22" s="100"/>
    </row>
    <row r="23" customFormat="false" ht="13.5" hidden="false" customHeight="false" outlineLevel="0" collapsed="false">
      <c r="B23" s="1169" t="s">
        <v>767</v>
      </c>
      <c r="C23" s="713"/>
      <c r="D23" s="1170"/>
      <c r="E23" s="1170" t="n">
        <f aca="false">E14</f>
        <v>2268.19954981779</v>
      </c>
      <c r="F23" s="1170" t="n">
        <f aca="false">F14</f>
        <v>2394.21063591878</v>
      </c>
      <c r="G23" s="1170" t="n">
        <f aca="false">G14</f>
        <v>2394.21063591878</v>
      </c>
      <c r="H23" s="1170" t="n">
        <f aca="false">H14</f>
        <v>2394.21063591878</v>
      </c>
      <c r="I23" s="1170" t="n">
        <f aca="false">I14</f>
        <v>2520.22172201977</v>
      </c>
      <c r="J23" s="1170" t="n">
        <f aca="false">J14</f>
        <v>2520.22172201977</v>
      </c>
      <c r="K23" s="1170" t="n">
        <f aca="false">K14</f>
        <v>2646.23280812075</v>
      </c>
      <c r="L23" s="1170" t="n">
        <f aca="false">L14</f>
        <v>2646.23280812075</v>
      </c>
      <c r="M23" s="1170" t="n">
        <f aca="false">M14</f>
        <v>2646.23280812075</v>
      </c>
      <c r="N23" s="1170" t="n">
        <f aca="false">N14</f>
        <v>2772.24389422174</v>
      </c>
      <c r="O23" s="1170" t="n">
        <f aca="false">O14</f>
        <v>0</v>
      </c>
      <c r="P23" s="1170" t="n">
        <f aca="false">P14</f>
        <v>0</v>
      </c>
      <c r="Q23" s="1170" t="n">
        <f aca="false">Q14</f>
        <v>0</v>
      </c>
      <c r="R23" s="1170" t="n">
        <f aca="false">R14</f>
        <v>0</v>
      </c>
      <c r="S23" s="1170" t="n">
        <f aca="false">S14</f>
        <v>0</v>
      </c>
      <c r="T23" s="1170" t="n">
        <f aca="false">T14</f>
        <v>0</v>
      </c>
      <c r="U23" s="1170" t="n">
        <f aca="false">U14</f>
        <v>0</v>
      </c>
      <c r="V23" s="1170" t="n">
        <f aca="false">V14</f>
        <v>0</v>
      </c>
      <c r="W23" s="1170" t="n">
        <f aca="false">W14</f>
        <v>0</v>
      </c>
      <c r="X23" s="1170" t="n">
        <f aca="false">X14</f>
        <v>0</v>
      </c>
      <c r="Y23" s="1170" t="n">
        <f aca="false">Y14</f>
        <v>0</v>
      </c>
      <c r="Z23" s="1170" t="n">
        <f aca="false">Z14</f>
        <v>0</v>
      </c>
      <c r="AA23" s="1170" t="n">
        <f aca="false">AA14</f>
        <v>0</v>
      </c>
      <c r="AB23" s="1170" t="n">
        <f aca="false">AB14</f>
        <v>0</v>
      </c>
      <c r="AC23" s="1170" t="n">
        <f aca="false">AC14</f>
        <v>0</v>
      </c>
      <c r="AD23" s="1170" t="n">
        <f aca="false">AD14</f>
        <v>0</v>
      </c>
      <c r="AE23" s="1170" t="n">
        <f aca="false">AE14</f>
        <v>0</v>
      </c>
      <c r="AF23" s="1170" t="n">
        <f aca="false">AF14</f>
        <v>0</v>
      </c>
      <c r="AG23" s="1170" t="n">
        <f aca="false">AG14</f>
        <v>0</v>
      </c>
      <c r="AH23" s="1170" t="n">
        <f aca="false">AH14</f>
        <v>0</v>
      </c>
      <c r="AI23" s="1171" t="n">
        <f aca="false">AI14</f>
        <v>0</v>
      </c>
      <c r="AJ23" s="1172"/>
      <c r="AK23" s="1172"/>
      <c r="AL23" s="1172"/>
      <c r="AM23" s="1172"/>
      <c r="AN23" s="1172"/>
      <c r="AO23" s="1172"/>
      <c r="AP23" s="1172"/>
      <c r="AQ23" s="1172"/>
      <c r="AR23" s="1172"/>
      <c r="AS23" s="1172"/>
      <c r="AT23" s="1172"/>
      <c r="AU23" s="1172"/>
      <c r="AV23" s="1172"/>
      <c r="AW23" s="1172"/>
      <c r="AX23" s="1172"/>
      <c r="AY23" s="1172"/>
      <c r="AZ23" s="1172"/>
      <c r="BA23" s="1172"/>
      <c r="BB23" s="1172"/>
      <c r="BC23" s="1172"/>
      <c r="BD23" s="1172"/>
      <c r="BE23" s="1172"/>
      <c r="BF23" s="1172"/>
      <c r="BG23" s="1172"/>
      <c r="BH23" s="1172"/>
      <c r="BI23" s="1172"/>
      <c r="BJ23" s="1172"/>
      <c r="BK23" s="1172"/>
      <c r="BL23" s="1172"/>
      <c r="BM23" s="1172"/>
      <c r="BN23" s="1172"/>
      <c r="BO23" s="1172"/>
      <c r="BP23" s="1172"/>
      <c r="BQ23" s="1172"/>
      <c r="BR23" s="1172"/>
      <c r="BS23" s="1172"/>
      <c r="BT23" s="1172"/>
      <c r="BU23" s="1172"/>
      <c r="BV23" s="1172"/>
      <c r="BW23" s="1172"/>
      <c r="BX23" s="1172"/>
      <c r="BY23" s="1172"/>
      <c r="BZ23" s="1172"/>
      <c r="CA23" s="1172"/>
      <c r="CB23" s="1172"/>
      <c r="CC23" s="1172"/>
      <c r="CD23" s="1172"/>
      <c r="CE23" s="1172"/>
      <c r="CF23" s="1172"/>
      <c r="CG23" s="1172"/>
      <c r="CH23" s="1172"/>
      <c r="CI23" s="1172"/>
      <c r="CJ23" s="1172"/>
      <c r="CK23" s="1172"/>
      <c r="CL23" s="1172"/>
      <c r="CM23" s="1172"/>
      <c r="CN23" s="1172"/>
      <c r="CO23" s="1172"/>
      <c r="CP23" s="1172"/>
      <c r="CQ23" s="1172"/>
      <c r="CR23" s="1172"/>
      <c r="CS23" s="1172"/>
      <c r="CT23" s="1172"/>
      <c r="CU23" s="1172"/>
      <c r="CV23" s="1172"/>
      <c r="CW23" s="1172"/>
      <c r="CX23" s="1172"/>
      <c r="CY23" s="1172"/>
      <c r="CZ23" s="1172"/>
      <c r="DA23" s="1172"/>
      <c r="DB23" s="1172"/>
      <c r="DC23" s="1172"/>
      <c r="DD23" s="1172"/>
      <c r="DE23" s="1172"/>
      <c r="DF23" s="1172"/>
      <c r="DG23" s="1172"/>
      <c r="DH23" s="1172"/>
      <c r="DI23" s="1172"/>
      <c r="DJ23" s="1172"/>
      <c r="DK23" s="1172"/>
      <c r="DL23" s="1172"/>
      <c r="DM23" s="1172"/>
      <c r="DN23" s="1172"/>
      <c r="DO23" s="1172"/>
      <c r="DP23" s="1172"/>
      <c r="DQ23" s="1172"/>
      <c r="DR23" s="1172"/>
      <c r="DS23" s="1172"/>
      <c r="DT23" s="1172"/>
      <c r="DU23" s="1172"/>
      <c r="DV23" s="1172"/>
      <c r="DW23" s="1172"/>
      <c r="DX23" s="1172"/>
      <c r="DY23" s="1172"/>
      <c r="DZ23" s="1172"/>
      <c r="EA23" s="1172"/>
      <c r="EB23" s="1172"/>
      <c r="EC23" s="1172"/>
      <c r="ED23" s="1172"/>
      <c r="EE23" s="1172"/>
      <c r="EF23" s="1172"/>
      <c r="EG23" s="1172"/>
      <c r="EH23" s="1172"/>
      <c r="EI23" s="1172"/>
      <c r="EJ23" s="1172"/>
      <c r="EK23" s="1172"/>
      <c r="EL23" s="1172"/>
      <c r="EM23" s="100"/>
      <c r="EN23" s="100"/>
      <c r="EO23" s="100"/>
      <c r="EP23" s="100"/>
      <c r="EQ23" s="100"/>
      <c r="ER23" s="100"/>
      <c r="ES23" s="100"/>
      <c r="ET23" s="100"/>
      <c r="EU23" s="100"/>
      <c r="EV23" s="100"/>
      <c r="EW23" s="100"/>
      <c r="EX23" s="100"/>
      <c r="EY23" s="100"/>
      <c r="EZ23" s="100"/>
      <c r="FA23" s="100"/>
      <c r="FB23" s="100"/>
      <c r="FC23" s="100"/>
      <c r="FD23" s="100"/>
      <c r="FE23" s="100"/>
      <c r="FF23" s="100"/>
      <c r="FG23" s="100"/>
      <c r="FH23" s="100"/>
      <c r="FI23" s="100"/>
      <c r="FJ23" s="100"/>
      <c r="FK23" s="100"/>
      <c r="FL23" s="100"/>
      <c r="FM23" s="100"/>
      <c r="FN23" s="100"/>
      <c r="FO23" s="100"/>
      <c r="FP23" s="100"/>
      <c r="FQ23" s="100"/>
      <c r="FR23" s="100"/>
      <c r="FS23" s="100"/>
      <c r="FT23" s="100"/>
      <c r="FU23" s="100"/>
      <c r="FV23" s="100"/>
      <c r="FW23" s="100"/>
      <c r="FX23" s="100"/>
      <c r="FY23" s="100"/>
      <c r="FZ23" s="100"/>
      <c r="GA23" s="100"/>
      <c r="GB23" s="100"/>
      <c r="GC23" s="100"/>
      <c r="GD23" s="100"/>
      <c r="GE23" s="100"/>
      <c r="GF23" s="100"/>
      <c r="GG23" s="100"/>
      <c r="GH23" s="100"/>
      <c r="GI23" s="100"/>
      <c r="GJ23" s="100"/>
      <c r="GK23" s="100"/>
      <c r="GL23" s="100"/>
      <c r="GM23" s="100"/>
      <c r="GN23" s="100"/>
      <c r="GO23" s="100"/>
      <c r="GP23" s="100"/>
      <c r="GQ23" s="100"/>
      <c r="GR23" s="100"/>
      <c r="GS23" s="100"/>
      <c r="GT23" s="100"/>
      <c r="GU23" s="100"/>
      <c r="GV23" s="100"/>
      <c r="GW23" s="100"/>
      <c r="GX23" s="100"/>
      <c r="GY23" s="100"/>
      <c r="GZ23" s="100"/>
      <c r="HA23" s="100"/>
      <c r="HB23" s="100"/>
      <c r="HC23" s="100"/>
      <c r="HD23" s="100"/>
      <c r="HE23" s="100"/>
      <c r="HF23" s="100"/>
      <c r="HG23" s="100"/>
      <c r="HH23" s="100"/>
      <c r="HI23" s="100"/>
      <c r="HJ23" s="100"/>
      <c r="HK23" s="100"/>
      <c r="HL23" s="100"/>
      <c r="HM23" s="100"/>
      <c r="HN23" s="100"/>
      <c r="HO23" s="100"/>
      <c r="HP23" s="100"/>
      <c r="HQ23" s="100"/>
      <c r="HR23" s="100"/>
      <c r="HS23" s="100"/>
      <c r="HT23" s="100"/>
      <c r="HU23" s="100"/>
      <c r="HV23" s="100"/>
      <c r="HW23" s="100"/>
      <c r="HX23" s="100"/>
      <c r="HY23" s="100"/>
      <c r="HZ23" s="100"/>
      <c r="IA23" s="100"/>
      <c r="IB23" s="100"/>
      <c r="IC23" s="100"/>
      <c r="ID23" s="100"/>
      <c r="IE23" s="100"/>
      <c r="IF23" s="100"/>
      <c r="IG23" s="100"/>
      <c r="IH23" s="100"/>
      <c r="II23" s="100"/>
      <c r="IJ23" s="100"/>
      <c r="IK23" s="100"/>
      <c r="IL23" s="100"/>
      <c r="IM23" s="100"/>
      <c r="IN23" s="100"/>
      <c r="IO23" s="100"/>
      <c r="IP23" s="100"/>
      <c r="IQ23" s="100"/>
      <c r="IR23" s="100"/>
      <c r="IS23" s="100"/>
      <c r="IT23" s="100"/>
      <c r="IU23" s="100"/>
      <c r="IV23" s="100"/>
      <c r="IW23" s="100"/>
    </row>
    <row r="24" customFormat="false" ht="13.5" hidden="false" customHeight="false" outlineLevel="0" collapsed="false">
      <c r="B24" s="1165"/>
      <c r="C24" s="100"/>
      <c r="D24" s="100"/>
      <c r="E24" s="100"/>
      <c r="F24" s="100"/>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638"/>
      <c r="AJ24" s="100"/>
      <c r="AK24" s="100"/>
      <c r="AL24" s="100"/>
      <c r="AM24" s="100"/>
      <c r="AN24" s="100"/>
      <c r="AO24" s="100"/>
      <c r="AP24" s="100"/>
      <c r="AQ24" s="100"/>
      <c r="AR24" s="100"/>
      <c r="AS24" s="100"/>
      <c r="AT24" s="100"/>
      <c r="AU24" s="100"/>
      <c r="AV24" s="100"/>
      <c r="AW24" s="100"/>
      <c r="AX24" s="100"/>
      <c r="AY24" s="100"/>
      <c r="AZ24" s="100"/>
      <c r="BA24" s="100"/>
      <c r="BB24" s="100"/>
      <c r="BC24" s="100"/>
      <c r="BD24" s="100"/>
      <c r="BE24" s="100"/>
      <c r="BF24" s="100"/>
      <c r="BG24" s="100"/>
      <c r="BH24" s="100"/>
      <c r="BI24" s="100"/>
      <c r="BJ24" s="100"/>
      <c r="BK24" s="100"/>
      <c r="BL24" s="100"/>
      <c r="BM24" s="100"/>
      <c r="BN24" s="100"/>
      <c r="BO24" s="100"/>
      <c r="BP24" s="100"/>
      <c r="BQ24" s="100"/>
      <c r="BR24" s="100"/>
      <c r="BS24" s="100"/>
      <c r="BT24" s="100"/>
      <c r="BU24" s="100"/>
      <c r="BV24" s="100"/>
      <c r="BW24" s="100"/>
      <c r="BX24" s="100"/>
      <c r="BY24" s="100"/>
      <c r="BZ24" s="100"/>
      <c r="CA24" s="100"/>
      <c r="CB24" s="100"/>
      <c r="CC24" s="100"/>
      <c r="CD24" s="100"/>
      <c r="CE24" s="100"/>
      <c r="CF24" s="100"/>
      <c r="CG24" s="100"/>
      <c r="CH24" s="100"/>
      <c r="CI24" s="100"/>
      <c r="CJ24" s="100"/>
      <c r="CK24" s="100"/>
      <c r="CL24" s="100"/>
      <c r="CM24" s="100"/>
      <c r="CN24" s="100"/>
      <c r="CO24" s="100"/>
      <c r="CP24" s="100"/>
      <c r="CQ24" s="100"/>
      <c r="CR24" s="100"/>
      <c r="CS24" s="100"/>
      <c r="CT24" s="100"/>
      <c r="CU24" s="100"/>
      <c r="CV24" s="100"/>
      <c r="CW24" s="100"/>
      <c r="CX24" s="100"/>
      <c r="CY24" s="100"/>
      <c r="CZ24" s="100"/>
      <c r="DA24" s="100"/>
      <c r="DB24" s="100"/>
      <c r="DC24" s="100"/>
      <c r="DD24" s="100"/>
      <c r="DE24" s="100"/>
      <c r="DF24" s="100"/>
      <c r="DG24" s="100"/>
      <c r="DH24" s="100"/>
      <c r="DI24" s="100"/>
      <c r="DJ24" s="100"/>
      <c r="DK24" s="100"/>
      <c r="DL24" s="100"/>
      <c r="DM24" s="100"/>
      <c r="DN24" s="100"/>
      <c r="DO24" s="100"/>
      <c r="DP24" s="100"/>
      <c r="DQ24" s="100"/>
      <c r="DR24" s="100"/>
      <c r="DS24" s="100"/>
      <c r="DT24" s="100"/>
      <c r="DU24" s="100"/>
      <c r="DV24" s="100"/>
      <c r="DW24" s="100"/>
      <c r="DX24" s="100"/>
      <c r="DY24" s="100"/>
      <c r="DZ24" s="100"/>
      <c r="EA24" s="100"/>
      <c r="EB24" s="100"/>
      <c r="EC24" s="100"/>
      <c r="ED24" s="100"/>
      <c r="EE24" s="100"/>
      <c r="EF24" s="100"/>
      <c r="EG24" s="100"/>
      <c r="EH24" s="100"/>
      <c r="EI24" s="100"/>
      <c r="EJ24" s="100"/>
      <c r="EK24" s="100"/>
      <c r="EL24" s="100"/>
      <c r="EM24" s="100"/>
      <c r="EN24" s="100"/>
      <c r="EO24" s="100"/>
      <c r="EP24" s="100"/>
      <c r="EQ24" s="100"/>
      <c r="ER24" s="100"/>
      <c r="ES24" s="100"/>
      <c r="ET24" s="100"/>
      <c r="EU24" s="100"/>
      <c r="EV24" s="100"/>
      <c r="EW24" s="100"/>
      <c r="EX24" s="100"/>
      <c r="EY24" s="100"/>
      <c r="EZ24" s="100"/>
      <c r="FA24" s="100"/>
      <c r="FB24" s="100"/>
      <c r="FC24" s="100"/>
      <c r="FD24" s="100"/>
      <c r="FE24" s="100"/>
      <c r="FF24" s="100"/>
      <c r="FG24" s="100"/>
      <c r="FH24" s="100"/>
      <c r="FI24" s="100"/>
      <c r="FJ24" s="100"/>
      <c r="FK24" s="100"/>
      <c r="FL24" s="100"/>
      <c r="FM24" s="100"/>
      <c r="FN24" s="100"/>
      <c r="FO24" s="100"/>
      <c r="FP24" s="100"/>
      <c r="FQ24" s="100"/>
      <c r="FR24" s="100"/>
      <c r="FS24" s="100"/>
      <c r="FT24" s="100"/>
      <c r="FU24" s="100"/>
      <c r="FV24" s="100"/>
      <c r="FW24" s="100"/>
      <c r="FX24" s="100"/>
      <c r="FY24" s="100"/>
      <c r="FZ24" s="100"/>
      <c r="GA24" s="100"/>
      <c r="GB24" s="100"/>
      <c r="GC24" s="100"/>
      <c r="GD24" s="100"/>
      <c r="GE24" s="100"/>
      <c r="GF24" s="100"/>
      <c r="GG24" s="100"/>
      <c r="GH24" s="100"/>
      <c r="GI24" s="100"/>
      <c r="GJ24" s="100"/>
      <c r="GK24" s="100"/>
      <c r="GL24" s="100"/>
      <c r="GM24" s="100"/>
      <c r="GN24" s="100"/>
      <c r="GO24" s="100"/>
      <c r="GP24" s="100"/>
      <c r="GQ24" s="100"/>
      <c r="GR24" s="100"/>
      <c r="GS24" s="100"/>
      <c r="GT24" s="100"/>
      <c r="GU24" s="100"/>
      <c r="GV24" s="100"/>
      <c r="GW24" s="100"/>
      <c r="GX24" s="100"/>
      <c r="GY24" s="100"/>
      <c r="GZ24" s="100"/>
      <c r="HA24" s="100"/>
      <c r="HB24" s="100"/>
      <c r="HC24" s="100"/>
      <c r="HD24" s="100"/>
      <c r="HE24" s="100"/>
      <c r="HF24" s="100"/>
      <c r="HG24" s="100"/>
      <c r="HH24" s="100"/>
      <c r="HI24" s="100"/>
      <c r="HJ24" s="100"/>
      <c r="HK24" s="100"/>
      <c r="HL24" s="100"/>
      <c r="HM24" s="100"/>
      <c r="HN24" s="100"/>
      <c r="HO24" s="100"/>
      <c r="HP24" s="100"/>
      <c r="HQ24" s="100"/>
      <c r="HR24" s="100"/>
      <c r="HS24" s="100"/>
      <c r="HT24" s="100"/>
      <c r="HU24" s="100"/>
      <c r="HV24" s="100"/>
      <c r="HW24" s="100"/>
      <c r="HX24" s="100"/>
      <c r="HY24" s="100"/>
      <c r="HZ24" s="100"/>
      <c r="IA24" s="100"/>
      <c r="IB24" s="100"/>
      <c r="IC24" s="100"/>
      <c r="ID24" s="100"/>
      <c r="IE24" s="100"/>
      <c r="IF24" s="100"/>
      <c r="IG24" s="100"/>
      <c r="IH24" s="100"/>
      <c r="II24" s="100"/>
      <c r="IJ24" s="100"/>
      <c r="IK24" s="100"/>
      <c r="IL24" s="100"/>
      <c r="IM24" s="100"/>
      <c r="IN24" s="100"/>
      <c r="IO24" s="100"/>
      <c r="IP24" s="100"/>
      <c r="IQ24" s="100"/>
      <c r="IR24" s="100"/>
      <c r="IS24" s="100"/>
      <c r="IT24" s="100"/>
      <c r="IU24" s="100"/>
      <c r="IV24" s="100"/>
      <c r="IW24" s="100"/>
    </row>
    <row r="25" customFormat="false" ht="12.75" hidden="false" customHeight="false" outlineLevel="0" collapsed="false">
      <c r="B25" s="1173" t="s">
        <v>768</v>
      </c>
      <c r="C25" s="100"/>
      <c r="D25" s="366" t="n">
        <f aca="false">SUM(D19:D20)</f>
        <v>-26230.8505492135</v>
      </c>
      <c r="E25" s="313" t="n">
        <f aca="false">E21</f>
        <v>567.567927207231</v>
      </c>
      <c r="F25" s="313" t="n">
        <f aca="false">F21</f>
        <v>565.891477850479</v>
      </c>
      <c r="G25" s="313" t="n">
        <f aca="false">G21</f>
        <v>564.040638135921</v>
      </c>
      <c r="H25" s="313" t="n">
        <f aca="false">H21</f>
        <v>561.950675418391</v>
      </c>
      <c r="I25" s="313" t="n">
        <f aca="false">I21</f>
        <v>559.657083776247</v>
      </c>
      <c r="J25" s="313" t="n">
        <f aca="false">J21</f>
        <v>557.250692721143</v>
      </c>
      <c r="K25" s="313" t="n">
        <f aca="false">K21</f>
        <v>552.089131830064</v>
      </c>
      <c r="L25" s="313" t="n">
        <f aca="false">L21</f>
        <v>546.705796732148</v>
      </c>
      <c r="M25" s="313" t="n">
        <f aca="false">M21</f>
        <v>541.094677038582</v>
      </c>
      <c r="N25" s="313" t="n">
        <f aca="false">N21</f>
        <v>534.989622795779</v>
      </c>
      <c r="O25" s="313" t="n">
        <f aca="false">O21</f>
        <v>541.56598132851</v>
      </c>
      <c r="P25" s="313" t="n">
        <f aca="false">P21</f>
        <v>535.031735333494</v>
      </c>
      <c r="Q25" s="313" t="n">
        <f aca="false">Q21</f>
        <v>527.988779726472</v>
      </c>
      <c r="R25" s="313" t="n">
        <f aca="false">R21</f>
        <v>520.40487414159</v>
      </c>
      <c r="S25" s="313" t="n">
        <f aca="false">S21</f>
        <v>512.221841506162</v>
      </c>
      <c r="T25" s="313" t="n">
        <f aca="false">T21</f>
        <v>504.020604147278</v>
      </c>
      <c r="U25" s="313" t="n">
        <f aca="false">U21</f>
        <v>584.688627956806</v>
      </c>
      <c r="V25" s="313" t="n">
        <f aca="false">V21</f>
        <v>2010.52145325015</v>
      </c>
      <c r="W25" s="313" t="n">
        <f aca="false">W21</f>
        <v>1979.73770546626</v>
      </c>
      <c r="X25" s="313" t="n">
        <f aca="false">X21</f>
        <v>2144.55497268781</v>
      </c>
      <c r="Y25" s="313" t="n">
        <f aca="false">Y21</f>
        <v>0</v>
      </c>
      <c r="Z25" s="313" t="n">
        <f aca="false">Z21</f>
        <v>0</v>
      </c>
      <c r="AA25" s="313" t="n">
        <f aca="false">AA21</f>
        <v>0</v>
      </c>
      <c r="AB25" s="313" t="n">
        <f aca="false">AB21</f>
        <v>0</v>
      </c>
      <c r="AC25" s="313" t="n">
        <f aca="false">AC21</f>
        <v>0</v>
      </c>
      <c r="AD25" s="313" t="n">
        <f aca="false">AD21</f>
        <v>0</v>
      </c>
      <c r="AE25" s="313" t="n">
        <f aca="false">AE21</f>
        <v>0</v>
      </c>
      <c r="AF25" s="313" t="n">
        <f aca="false">AF21</f>
        <v>0</v>
      </c>
      <c r="AG25" s="313" t="n">
        <f aca="false">AG21</f>
        <v>0</v>
      </c>
      <c r="AH25" s="313" t="n">
        <f aca="false">AH21</f>
        <v>0</v>
      </c>
      <c r="AI25" s="889" t="n">
        <f aca="false">AI21</f>
        <v>0</v>
      </c>
      <c r="AJ25" s="100"/>
      <c r="AK25" s="100"/>
      <c r="AL25" s="100"/>
      <c r="AM25" s="100"/>
      <c r="AN25" s="100"/>
      <c r="AO25" s="100"/>
      <c r="AP25" s="100"/>
      <c r="AQ25" s="100"/>
      <c r="AR25" s="100"/>
      <c r="AS25" s="100"/>
      <c r="AT25" s="100"/>
      <c r="AU25" s="100"/>
      <c r="AV25" s="100"/>
      <c r="AW25" s="100"/>
      <c r="AX25" s="100"/>
      <c r="AY25" s="100"/>
      <c r="AZ25" s="100"/>
      <c r="BA25" s="100"/>
      <c r="BB25" s="100"/>
      <c r="BC25" s="100"/>
      <c r="BD25" s="100"/>
      <c r="BE25" s="100"/>
      <c r="BF25" s="100"/>
      <c r="BG25" s="100"/>
      <c r="BH25" s="100"/>
      <c r="BI25" s="100"/>
      <c r="BJ25" s="100"/>
      <c r="BK25" s="100"/>
      <c r="BL25" s="100"/>
      <c r="BM25" s="100"/>
      <c r="BN25" s="100"/>
      <c r="BO25" s="100"/>
      <c r="BP25" s="100"/>
      <c r="BQ25" s="100"/>
      <c r="BR25" s="100"/>
      <c r="BS25" s="100"/>
      <c r="BT25" s="100"/>
      <c r="BU25" s="100"/>
      <c r="BV25" s="100"/>
      <c r="BW25" s="100"/>
      <c r="BX25" s="100"/>
      <c r="BY25" s="100"/>
      <c r="BZ25" s="100"/>
      <c r="CA25" s="100"/>
      <c r="CB25" s="100"/>
      <c r="CC25" s="100"/>
      <c r="CD25" s="100"/>
      <c r="CE25" s="100"/>
      <c r="CF25" s="100"/>
      <c r="CG25" s="100"/>
      <c r="CH25" s="100"/>
      <c r="CI25" s="100"/>
      <c r="CJ25" s="100"/>
      <c r="CK25" s="100"/>
      <c r="CL25" s="100"/>
      <c r="CM25" s="100"/>
      <c r="CN25" s="100"/>
      <c r="CO25" s="100"/>
      <c r="CP25" s="100"/>
      <c r="CQ25" s="100"/>
      <c r="CR25" s="100"/>
      <c r="CS25" s="100"/>
      <c r="CT25" s="100"/>
      <c r="CU25" s="100"/>
      <c r="CV25" s="100"/>
      <c r="CW25" s="100"/>
      <c r="CX25" s="100"/>
      <c r="CY25" s="100"/>
      <c r="CZ25" s="100"/>
      <c r="DA25" s="100"/>
      <c r="DB25" s="100"/>
      <c r="DC25" s="100"/>
      <c r="DD25" s="100"/>
      <c r="DE25" s="100"/>
      <c r="DF25" s="100"/>
      <c r="DG25" s="100"/>
      <c r="DH25" s="100"/>
      <c r="DI25" s="100"/>
      <c r="DJ25" s="100"/>
      <c r="DK25" s="100"/>
      <c r="DL25" s="100"/>
      <c r="DM25" s="100"/>
      <c r="DN25" s="100"/>
      <c r="DO25" s="100"/>
      <c r="DP25" s="100"/>
      <c r="DQ25" s="100"/>
      <c r="DR25" s="100"/>
      <c r="DS25" s="100"/>
      <c r="DT25" s="100"/>
      <c r="DU25" s="100"/>
      <c r="DV25" s="100"/>
      <c r="DW25" s="100"/>
      <c r="DX25" s="100"/>
      <c r="DY25" s="100"/>
      <c r="DZ25" s="100"/>
      <c r="EA25" s="100"/>
      <c r="EB25" s="100"/>
      <c r="EC25" s="100"/>
      <c r="ED25" s="100"/>
      <c r="EE25" s="100"/>
      <c r="EF25" s="100"/>
      <c r="EG25" s="100"/>
      <c r="EH25" s="100"/>
      <c r="EI25" s="100"/>
      <c r="EJ25" s="100"/>
      <c r="EK25" s="100"/>
      <c r="EL25" s="100"/>
      <c r="EM25" s="100"/>
      <c r="EN25" s="100"/>
      <c r="EO25" s="100"/>
      <c r="EP25" s="100"/>
      <c r="EQ25" s="100"/>
      <c r="ER25" s="100"/>
      <c r="ES25" s="100"/>
      <c r="ET25" s="100"/>
      <c r="EU25" s="100"/>
      <c r="EV25" s="100"/>
      <c r="EW25" s="100"/>
      <c r="EX25" s="100"/>
      <c r="EY25" s="100"/>
      <c r="EZ25" s="100"/>
      <c r="FA25" s="100"/>
      <c r="FB25" s="100"/>
      <c r="FC25" s="100"/>
      <c r="FD25" s="100"/>
      <c r="FE25" s="100"/>
      <c r="FF25" s="100"/>
      <c r="FG25" s="100"/>
      <c r="FH25" s="100"/>
      <c r="FI25" s="100"/>
      <c r="FJ25" s="100"/>
      <c r="FK25" s="100"/>
      <c r="FL25" s="100"/>
      <c r="FM25" s="100"/>
      <c r="FN25" s="100"/>
      <c r="FO25" s="100"/>
      <c r="FP25" s="100"/>
      <c r="FQ25" s="100"/>
      <c r="FR25" s="100"/>
      <c r="FS25" s="100"/>
      <c r="FT25" s="100"/>
      <c r="FU25" s="100"/>
      <c r="FV25" s="100"/>
      <c r="FW25" s="100"/>
      <c r="FX25" s="100"/>
      <c r="FY25" s="100"/>
      <c r="FZ25" s="100"/>
      <c r="GA25" s="100"/>
      <c r="GB25" s="100"/>
      <c r="GC25" s="100"/>
      <c r="GD25" s="100"/>
      <c r="GE25" s="100"/>
      <c r="GF25" s="100"/>
      <c r="GG25" s="100"/>
      <c r="GH25" s="100"/>
      <c r="GI25" s="100"/>
      <c r="GJ25" s="100"/>
      <c r="GK25" s="100"/>
      <c r="GL25" s="100"/>
      <c r="GM25" s="100"/>
      <c r="GN25" s="100"/>
      <c r="GO25" s="100"/>
      <c r="GP25" s="100"/>
      <c r="GQ25" s="100"/>
      <c r="GR25" s="100"/>
      <c r="GS25" s="100"/>
      <c r="GT25" s="100"/>
      <c r="GU25" s="100"/>
      <c r="GV25" s="100"/>
      <c r="GW25" s="100"/>
      <c r="GX25" s="100"/>
      <c r="GY25" s="100"/>
      <c r="GZ25" s="100"/>
      <c r="HA25" s="100"/>
      <c r="HB25" s="100"/>
      <c r="HC25" s="100"/>
      <c r="HD25" s="100"/>
      <c r="HE25" s="100"/>
      <c r="HF25" s="100"/>
      <c r="HG25" s="100"/>
      <c r="HH25" s="100"/>
      <c r="HI25" s="100"/>
      <c r="HJ25" s="100"/>
      <c r="HK25" s="100"/>
      <c r="HL25" s="100"/>
      <c r="HM25" s="100"/>
      <c r="HN25" s="100"/>
      <c r="HO25" s="100"/>
      <c r="HP25" s="100"/>
      <c r="HQ25" s="100"/>
      <c r="HR25" s="100"/>
      <c r="HS25" s="100"/>
      <c r="HT25" s="100"/>
      <c r="HU25" s="100"/>
      <c r="HV25" s="100"/>
      <c r="HW25" s="100"/>
      <c r="HX25" s="100"/>
      <c r="HY25" s="100"/>
      <c r="HZ25" s="100"/>
      <c r="IA25" s="100"/>
      <c r="IB25" s="100"/>
      <c r="IC25" s="100"/>
      <c r="ID25" s="100"/>
      <c r="IE25" s="100"/>
      <c r="IF25" s="100"/>
      <c r="IG25" s="100"/>
      <c r="IH25" s="100"/>
      <c r="II25" s="100"/>
      <c r="IJ25" s="100"/>
      <c r="IK25" s="100"/>
      <c r="IL25" s="100"/>
      <c r="IM25" s="100"/>
      <c r="IN25" s="100"/>
      <c r="IO25" s="100"/>
      <c r="IP25" s="100"/>
      <c r="IQ25" s="100"/>
      <c r="IR25" s="100"/>
      <c r="IS25" s="100"/>
      <c r="IT25" s="100"/>
      <c r="IU25" s="100"/>
      <c r="IV25" s="100"/>
      <c r="IW25" s="100"/>
    </row>
    <row r="26" customFormat="false" ht="12.75" hidden="false" customHeight="false" outlineLevel="0" collapsed="false">
      <c r="B26" s="1174" t="s">
        <v>769</v>
      </c>
      <c r="C26" s="100"/>
      <c r="D26" s="100" t="n">
        <f aca="false">D25</f>
        <v>-26230.8505492135</v>
      </c>
      <c r="E26" s="100" t="n">
        <f aca="false">D26+E25</f>
        <v>-25663.2826220063</v>
      </c>
      <c r="F26" s="100" t="n">
        <f aca="false">E26+F25</f>
        <v>-25097.3911441558</v>
      </c>
      <c r="G26" s="100" t="n">
        <f aca="false">F26+G25</f>
        <v>-24533.3505060199</v>
      </c>
      <c r="H26" s="100" t="n">
        <f aca="false">G26+H25</f>
        <v>-23971.3998306015</v>
      </c>
      <c r="I26" s="100" t="n">
        <f aca="false">H26+I25</f>
        <v>-23411.7427468252</v>
      </c>
      <c r="J26" s="100" t="n">
        <f aca="false">I26+J25</f>
        <v>-22854.4920541041</v>
      </c>
      <c r="K26" s="100" t="n">
        <f aca="false">J26+K25</f>
        <v>-22302.402922274</v>
      </c>
      <c r="L26" s="100" t="n">
        <f aca="false">K26+L25</f>
        <v>-21755.6971255419</v>
      </c>
      <c r="M26" s="100" t="n">
        <f aca="false">L26+M25</f>
        <v>-21214.6024485033</v>
      </c>
      <c r="N26" s="100" t="n">
        <f aca="false">M26+N25</f>
        <v>-20679.6128257075</v>
      </c>
      <c r="O26" s="100" t="n">
        <f aca="false">N26+O25</f>
        <v>-20138.046844379</v>
      </c>
      <c r="P26" s="100" t="n">
        <f aca="false">O26+P25</f>
        <v>-19603.0151090455</v>
      </c>
      <c r="Q26" s="100" t="n">
        <f aca="false">P26+Q25</f>
        <v>-19075.0263293191</v>
      </c>
      <c r="R26" s="100" t="n">
        <f aca="false">Q26+R25</f>
        <v>-18554.6214551775</v>
      </c>
      <c r="S26" s="100" t="n">
        <f aca="false">R26+S25</f>
        <v>-18042.3996136713</v>
      </c>
      <c r="T26" s="100" t="n">
        <f aca="false">S26+T25</f>
        <v>-17538.379009524</v>
      </c>
      <c r="U26" s="100" t="n">
        <f aca="false">T26+U25</f>
        <v>-16953.6903815672</v>
      </c>
      <c r="V26" s="100" t="n">
        <f aca="false">U26+V25</f>
        <v>-14943.1689283171</v>
      </c>
      <c r="W26" s="100" t="n">
        <f aca="false">V26+W25</f>
        <v>-12963.4312228508</v>
      </c>
      <c r="X26" s="100" t="n">
        <f aca="false">W26+X25</f>
        <v>-10818.876250163</v>
      </c>
      <c r="Y26" s="100" t="n">
        <f aca="false">X26+Y25</f>
        <v>-10818.876250163</v>
      </c>
      <c r="Z26" s="100" t="n">
        <f aca="false">Y26+Z25</f>
        <v>-10818.876250163</v>
      </c>
      <c r="AA26" s="100" t="n">
        <f aca="false">Z26+AA25</f>
        <v>-10818.876250163</v>
      </c>
      <c r="AB26" s="100" t="n">
        <f aca="false">AA26+AB25</f>
        <v>-10818.876250163</v>
      </c>
      <c r="AC26" s="100" t="n">
        <f aca="false">AB26+AC25</f>
        <v>-10818.876250163</v>
      </c>
      <c r="AD26" s="100" t="n">
        <f aca="false">AC26+AD25</f>
        <v>-10818.876250163</v>
      </c>
      <c r="AE26" s="100" t="n">
        <f aca="false">AD26+AE25</f>
        <v>-10818.876250163</v>
      </c>
      <c r="AF26" s="100" t="n">
        <f aca="false">AE26+AF25</f>
        <v>-10818.876250163</v>
      </c>
      <c r="AG26" s="100" t="n">
        <f aca="false">AF26+AG25</f>
        <v>-10818.876250163</v>
      </c>
      <c r="AH26" s="100" t="n">
        <f aca="false">AG26+AH25</f>
        <v>-10818.876250163</v>
      </c>
      <c r="AI26" s="638" t="n">
        <f aca="false">AH26+AI25</f>
        <v>-10818.876250163</v>
      </c>
      <c r="AJ26" s="100"/>
      <c r="AK26" s="100"/>
      <c r="AL26" s="100"/>
      <c r="AM26" s="100"/>
      <c r="AN26" s="100"/>
      <c r="AO26" s="100"/>
      <c r="AP26" s="100"/>
      <c r="AQ26" s="100"/>
      <c r="AR26" s="100"/>
      <c r="AS26" s="100"/>
      <c r="AT26" s="100"/>
      <c r="AU26" s="100"/>
      <c r="AV26" s="100"/>
      <c r="AW26" s="100"/>
      <c r="AX26" s="100"/>
      <c r="AY26" s="100"/>
      <c r="AZ26" s="100"/>
      <c r="BA26" s="100"/>
      <c r="BB26" s="100"/>
      <c r="BC26" s="100"/>
      <c r="BD26" s="100"/>
      <c r="BE26" s="100"/>
      <c r="BF26" s="100"/>
      <c r="BG26" s="100"/>
      <c r="BH26" s="100"/>
      <c r="BI26" s="100"/>
      <c r="BJ26" s="100"/>
      <c r="BK26" s="100"/>
      <c r="BL26" s="100"/>
      <c r="BM26" s="100"/>
      <c r="BN26" s="100"/>
      <c r="BO26" s="100"/>
      <c r="BP26" s="100"/>
      <c r="BQ26" s="100"/>
      <c r="BR26" s="100"/>
      <c r="BS26" s="100"/>
      <c r="BT26" s="100"/>
      <c r="BU26" s="100"/>
      <c r="BV26" s="100"/>
      <c r="BW26" s="100"/>
      <c r="BX26" s="100"/>
      <c r="BY26" s="100"/>
      <c r="BZ26" s="100"/>
      <c r="CA26" s="100"/>
      <c r="CB26" s="100"/>
      <c r="CC26" s="100"/>
      <c r="CD26" s="100"/>
      <c r="CE26" s="100"/>
      <c r="CF26" s="100"/>
      <c r="CG26" s="100"/>
      <c r="CH26" s="100"/>
      <c r="CI26" s="100"/>
      <c r="CJ26" s="100"/>
      <c r="CK26" s="100"/>
      <c r="CL26" s="100"/>
      <c r="CM26" s="100"/>
      <c r="CN26" s="100"/>
      <c r="CO26" s="100"/>
      <c r="CP26" s="100"/>
      <c r="CQ26" s="100"/>
      <c r="CR26" s="100"/>
      <c r="CS26" s="100"/>
      <c r="CT26" s="100"/>
      <c r="CU26" s="100"/>
      <c r="CV26" s="100"/>
      <c r="CW26" s="100"/>
      <c r="CX26" s="100"/>
      <c r="CY26" s="100"/>
      <c r="CZ26" s="100"/>
      <c r="DA26" s="100"/>
      <c r="DB26" s="100"/>
      <c r="DC26" s="100"/>
      <c r="DD26" s="100"/>
      <c r="DE26" s="100"/>
      <c r="DF26" s="100"/>
      <c r="DG26" s="100"/>
      <c r="DH26" s="100"/>
      <c r="DI26" s="100"/>
      <c r="DJ26" s="100"/>
      <c r="DK26" s="100"/>
      <c r="DL26" s="100"/>
      <c r="DM26" s="100"/>
      <c r="DN26" s="100"/>
      <c r="DO26" s="100"/>
      <c r="DP26" s="100"/>
      <c r="DQ26" s="100"/>
      <c r="DR26" s="100"/>
      <c r="DS26" s="100"/>
      <c r="DT26" s="100"/>
      <c r="DU26" s="100"/>
      <c r="DV26" s="100"/>
      <c r="DW26" s="100"/>
      <c r="DX26" s="100"/>
      <c r="DY26" s="100"/>
      <c r="DZ26" s="100"/>
      <c r="EA26" s="100"/>
      <c r="EB26" s="100"/>
      <c r="EC26" s="100"/>
      <c r="ED26" s="100"/>
      <c r="EE26" s="100"/>
      <c r="EF26" s="100"/>
      <c r="EG26" s="100"/>
      <c r="EH26" s="100"/>
      <c r="EI26" s="100"/>
      <c r="EJ26" s="100"/>
      <c r="EK26" s="100"/>
      <c r="EL26" s="100"/>
      <c r="EM26" s="100"/>
      <c r="EN26" s="100"/>
      <c r="EO26" s="100"/>
      <c r="EP26" s="100"/>
      <c r="EQ26" s="100"/>
      <c r="ER26" s="100"/>
      <c r="ES26" s="100"/>
      <c r="ET26" s="100"/>
      <c r="EU26" s="100"/>
      <c r="EV26" s="100"/>
      <c r="EW26" s="100"/>
      <c r="EX26" s="100"/>
      <c r="EY26" s="100"/>
      <c r="EZ26" s="100"/>
      <c r="FA26" s="100"/>
      <c r="FB26" s="100"/>
      <c r="FC26" s="100"/>
      <c r="FD26" s="100"/>
      <c r="FE26" s="100"/>
      <c r="FF26" s="100"/>
      <c r="FG26" s="100"/>
      <c r="FH26" s="100"/>
      <c r="FI26" s="100"/>
      <c r="FJ26" s="100"/>
      <c r="FK26" s="100"/>
      <c r="FL26" s="100"/>
      <c r="FM26" s="100"/>
      <c r="FN26" s="100"/>
      <c r="FO26" s="100"/>
      <c r="FP26" s="100"/>
      <c r="FQ26" s="100"/>
      <c r="FR26" s="100"/>
      <c r="FS26" s="100"/>
      <c r="FT26" s="100"/>
      <c r="FU26" s="100"/>
      <c r="FV26" s="100"/>
      <c r="FW26" s="100"/>
      <c r="FX26" s="100"/>
      <c r="FY26" s="100"/>
      <c r="FZ26" s="100"/>
      <c r="GA26" s="100"/>
      <c r="GB26" s="100"/>
      <c r="GC26" s="100"/>
      <c r="GD26" s="100"/>
      <c r="GE26" s="100"/>
      <c r="GF26" s="100"/>
      <c r="GG26" s="100"/>
      <c r="GH26" s="100"/>
      <c r="GI26" s="100"/>
      <c r="GJ26" s="100"/>
      <c r="GK26" s="100"/>
      <c r="GL26" s="100"/>
      <c r="GM26" s="100"/>
      <c r="GN26" s="100"/>
      <c r="GO26" s="100"/>
      <c r="GP26" s="100"/>
      <c r="GQ26" s="100"/>
      <c r="GR26" s="100"/>
      <c r="GS26" s="100"/>
      <c r="GT26" s="100"/>
      <c r="GU26" s="100"/>
      <c r="GV26" s="100"/>
      <c r="GW26" s="100"/>
      <c r="GX26" s="100"/>
      <c r="GY26" s="100"/>
      <c r="GZ26" s="100"/>
      <c r="HA26" s="100"/>
      <c r="HB26" s="100"/>
      <c r="HC26" s="100"/>
      <c r="HD26" s="100"/>
      <c r="HE26" s="100"/>
      <c r="HF26" s="100"/>
      <c r="HG26" s="100"/>
      <c r="HH26" s="100"/>
      <c r="HI26" s="100"/>
      <c r="HJ26" s="100"/>
      <c r="HK26" s="100"/>
      <c r="HL26" s="100"/>
      <c r="HM26" s="100"/>
      <c r="HN26" s="100"/>
      <c r="HO26" s="100"/>
      <c r="HP26" s="100"/>
      <c r="HQ26" s="100"/>
      <c r="HR26" s="100"/>
      <c r="HS26" s="100"/>
      <c r="HT26" s="100"/>
      <c r="HU26" s="100"/>
      <c r="HV26" s="100"/>
      <c r="HW26" s="100"/>
      <c r="HX26" s="100"/>
      <c r="HY26" s="100"/>
      <c r="HZ26" s="100"/>
      <c r="IA26" s="100"/>
      <c r="IB26" s="100"/>
      <c r="IC26" s="100"/>
      <c r="ID26" s="100"/>
      <c r="IE26" s="100"/>
      <c r="IF26" s="100"/>
      <c r="IG26" s="100"/>
      <c r="IH26" s="100"/>
      <c r="II26" s="100"/>
      <c r="IJ26" s="100"/>
      <c r="IK26" s="100"/>
      <c r="IL26" s="100"/>
      <c r="IM26" s="100"/>
      <c r="IN26" s="100"/>
      <c r="IO26" s="100"/>
      <c r="IP26" s="100"/>
      <c r="IQ26" s="100"/>
      <c r="IR26" s="100"/>
      <c r="IS26" s="100"/>
      <c r="IT26" s="100"/>
      <c r="IU26" s="100"/>
      <c r="IV26" s="100"/>
      <c r="IW26" s="100"/>
    </row>
    <row r="27" customFormat="false" ht="12.75" hidden="false" customHeight="false" outlineLevel="0" collapsed="false">
      <c r="B27" s="1165"/>
      <c r="C27" s="100"/>
      <c r="D27" s="100"/>
      <c r="E27" s="100"/>
      <c r="F27" s="100"/>
      <c r="G27" s="100"/>
      <c r="H27" s="100"/>
      <c r="I27" s="100"/>
      <c r="J27" s="100"/>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638"/>
      <c r="AJ27" s="100"/>
      <c r="AK27" s="100"/>
      <c r="AL27" s="100"/>
      <c r="AM27" s="100"/>
      <c r="AN27" s="100"/>
      <c r="AO27" s="100"/>
      <c r="AP27" s="100"/>
      <c r="AQ27" s="100"/>
      <c r="AR27" s="100"/>
      <c r="AS27" s="100"/>
      <c r="AT27" s="100"/>
      <c r="AU27" s="100"/>
      <c r="AV27" s="100"/>
      <c r="AW27" s="100"/>
      <c r="AX27" s="100"/>
      <c r="AY27" s="100"/>
      <c r="AZ27" s="100"/>
      <c r="BA27" s="100"/>
      <c r="BB27" s="100"/>
      <c r="BC27" s="100"/>
      <c r="BD27" s="100"/>
      <c r="BE27" s="100"/>
      <c r="BF27" s="100"/>
      <c r="BG27" s="100"/>
      <c r="BH27" s="100"/>
      <c r="BI27" s="100"/>
      <c r="BJ27" s="100"/>
      <c r="BK27" s="100"/>
      <c r="BL27" s="100"/>
      <c r="BM27" s="100"/>
      <c r="BN27" s="100"/>
      <c r="BO27" s="100"/>
      <c r="BP27" s="100"/>
      <c r="BQ27" s="100"/>
      <c r="BR27" s="100"/>
      <c r="BS27" s="100"/>
      <c r="BT27" s="100"/>
      <c r="BU27" s="100"/>
      <c r="BV27" s="100"/>
      <c r="BW27" s="100"/>
      <c r="BX27" s="100"/>
      <c r="BY27" s="100"/>
      <c r="BZ27" s="100"/>
      <c r="CA27" s="100"/>
      <c r="CB27" s="100"/>
      <c r="CC27" s="100"/>
      <c r="CD27" s="100"/>
      <c r="CE27" s="100"/>
      <c r="CF27" s="100"/>
      <c r="CG27" s="100"/>
      <c r="CH27" s="100"/>
      <c r="CI27" s="100"/>
      <c r="CJ27" s="100"/>
      <c r="CK27" s="100"/>
      <c r="CL27" s="100"/>
      <c r="CM27" s="100"/>
      <c r="CN27" s="100"/>
      <c r="CO27" s="100"/>
      <c r="CP27" s="100"/>
      <c r="CQ27" s="100"/>
      <c r="CR27" s="100"/>
      <c r="CS27" s="100"/>
      <c r="CT27" s="100"/>
      <c r="CU27" s="100"/>
      <c r="CV27" s="100"/>
      <c r="CW27" s="100"/>
      <c r="CX27" s="100"/>
      <c r="CY27" s="100"/>
      <c r="CZ27" s="100"/>
      <c r="DA27" s="100"/>
      <c r="DB27" s="100"/>
      <c r="DC27" s="100"/>
      <c r="DD27" s="100"/>
      <c r="DE27" s="100"/>
      <c r="DF27" s="100"/>
      <c r="DG27" s="100"/>
      <c r="DH27" s="100"/>
      <c r="DI27" s="100"/>
      <c r="DJ27" s="100"/>
      <c r="DK27" s="100"/>
      <c r="DL27" s="100"/>
      <c r="DM27" s="100"/>
      <c r="DN27" s="100"/>
      <c r="DO27" s="100"/>
      <c r="DP27" s="100"/>
      <c r="DQ27" s="100"/>
      <c r="DR27" s="100"/>
      <c r="DS27" s="100"/>
      <c r="DT27" s="100"/>
      <c r="DU27" s="100"/>
      <c r="DV27" s="100"/>
      <c r="DW27" s="100"/>
      <c r="DX27" s="100"/>
      <c r="DY27" s="100"/>
      <c r="DZ27" s="100"/>
      <c r="EA27" s="100"/>
      <c r="EB27" s="100"/>
      <c r="EC27" s="100"/>
      <c r="ED27" s="100"/>
      <c r="EE27" s="100"/>
      <c r="EF27" s="100"/>
      <c r="EG27" s="100"/>
      <c r="EH27" s="100"/>
      <c r="EI27" s="100"/>
      <c r="EJ27" s="100"/>
      <c r="EK27" s="100"/>
      <c r="EL27" s="100"/>
      <c r="EM27" s="100"/>
      <c r="EN27" s="100"/>
      <c r="EO27" s="100"/>
      <c r="EP27" s="100"/>
      <c r="EQ27" s="100"/>
      <c r="ER27" s="100"/>
      <c r="ES27" s="100"/>
      <c r="ET27" s="100"/>
      <c r="EU27" s="100"/>
      <c r="EV27" s="100"/>
      <c r="EW27" s="100"/>
      <c r="EX27" s="100"/>
      <c r="EY27" s="100"/>
      <c r="EZ27" s="100"/>
      <c r="FA27" s="100"/>
      <c r="FB27" s="100"/>
      <c r="FC27" s="100"/>
      <c r="FD27" s="100"/>
      <c r="FE27" s="100"/>
      <c r="FF27" s="100"/>
      <c r="FG27" s="100"/>
      <c r="FH27" s="100"/>
      <c r="FI27" s="100"/>
      <c r="FJ27" s="100"/>
      <c r="FK27" s="100"/>
      <c r="FL27" s="100"/>
      <c r="FM27" s="100"/>
      <c r="FN27" s="100"/>
      <c r="FO27" s="100"/>
      <c r="FP27" s="100"/>
      <c r="FQ27" s="100"/>
      <c r="FR27" s="100"/>
      <c r="FS27" s="100"/>
      <c r="FT27" s="100"/>
      <c r="FU27" s="100"/>
      <c r="FV27" s="100"/>
      <c r="FW27" s="100"/>
      <c r="FX27" s="100"/>
      <c r="FY27" s="100"/>
      <c r="FZ27" s="100"/>
      <c r="GA27" s="100"/>
      <c r="GB27" s="100"/>
      <c r="GC27" s="100"/>
      <c r="GD27" s="100"/>
      <c r="GE27" s="100"/>
      <c r="GF27" s="100"/>
      <c r="GG27" s="100"/>
      <c r="GH27" s="100"/>
      <c r="GI27" s="100"/>
      <c r="GJ27" s="100"/>
      <c r="GK27" s="100"/>
      <c r="GL27" s="100"/>
      <c r="GM27" s="100"/>
      <c r="GN27" s="100"/>
      <c r="GO27" s="100"/>
      <c r="GP27" s="100"/>
      <c r="GQ27" s="100"/>
      <c r="GR27" s="100"/>
      <c r="GS27" s="100"/>
      <c r="GT27" s="100"/>
      <c r="GU27" s="100"/>
      <c r="GV27" s="100"/>
      <c r="GW27" s="100"/>
      <c r="GX27" s="100"/>
      <c r="GY27" s="100"/>
      <c r="GZ27" s="100"/>
      <c r="HA27" s="100"/>
      <c r="HB27" s="100"/>
      <c r="HC27" s="100"/>
      <c r="HD27" s="100"/>
      <c r="HE27" s="100"/>
      <c r="HF27" s="100"/>
      <c r="HG27" s="100"/>
      <c r="HH27" s="100"/>
      <c r="HI27" s="100"/>
      <c r="HJ27" s="100"/>
      <c r="HK27" s="100"/>
      <c r="HL27" s="100"/>
      <c r="HM27" s="100"/>
      <c r="HN27" s="100"/>
      <c r="HO27" s="100"/>
      <c r="HP27" s="100"/>
      <c r="HQ27" s="100"/>
      <c r="HR27" s="100"/>
      <c r="HS27" s="100"/>
      <c r="HT27" s="100"/>
      <c r="HU27" s="100"/>
      <c r="HV27" s="100"/>
      <c r="HW27" s="100"/>
      <c r="HX27" s="100"/>
      <c r="HY27" s="100"/>
      <c r="HZ27" s="100"/>
      <c r="IA27" s="100"/>
      <c r="IB27" s="100"/>
      <c r="IC27" s="100"/>
      <c r="ID27" s="100"/>
      <c r="IE27" s="100"/>
      <c r="IF27" s="100"/>
      <c r="IG27" s="100"/>
      <c r="IH27" s="100"/>
      <c r="II27" s="100"/>
      <c r="IJ27" s="100"/>
      <c r="IK27" s="100"/>
      <c r="IL27" s="100"/>
      <c r="IM27" s="100"/>
      <c r="IN27" s="100"/>
      <c r="IO27" s="100"/>
      <c r="IP27" s="100"/>
      <c r="IQ27" s="100"/>
      <c r="IR27" s="100"/>
      <c r="IS27" s="100"/>
      <c r="IT27" s="100"/>
      <c r="IU27" s="100"/>
      <c r="IV27" s="100"/>
      <c r="IW27" s="100"/>
    </row>
    <row r="28" customFormat="false" ht="12.75" hidden="false" customHeight="false" outlineLevel="0" collapsed="false">
      <c r="B28" s="1173" t="s">
        <v>770</v>
      </c>
      <c r="C28" s="100"/>
      <c r="D28" s="366" t="n">
        <f aca="false">SUM(D19:D23)</f>
        <v>-26230.8505492135</v>
      </c>
      <c r="E28" s="313" t="n">
        <f aca="false">SUM(E20:E23)</f>
        <v>5416.32066287669</v>
      </c>
      <c r="F28" s="313" t="n">
        <f aca="false">SUM(F20:F23)</f>
        <v>7266.27956115951</v>
      </c>
      <c r="G28" s="313" t="n">
        <f aca="false">SUM(G20:G23)</f>
        <v>5401.16782233737</v>
      </c>
      <c r="H28" s="313" t="n">
        <f aca="false">SUM(H20:H23)</f>
        <v>4272.52037859806</v>
      </c>
      <c r="I28" s="313" t="n">
        <f aca="false">SUM(I20:I23)</f>
        <v>4380.24305239002</v>
      </c>
      <c r="J28" s="313" t="n">
        <f aca="false">SUM(J20:J23)</f>
        <v>3527.2930219081</v>
      </c>
      <c r="K28" s="313" t="n">
        <f aca="false">SUM(K20:K23)</f>
        <v>2800.69970924651</v>
      </c>
      <c r="L28" s="313" t="n">
        <f aca="false">SUM(L20:L23)</f>
        <v>2777.15532382407</v>
      </c>
      <c r="M28" s="313" t="n">
        <f aca="false">SUM(M20:M23)</f>
        <v>2752.73121942347</v>
      </c>
      <c r="N28" s="313" t="n">
        <f aca="false">SUM(N20:N23)</f>
        <v>2852.07598254676</v>
      </c>
      <c r="O28" s="313" t="n">
        <f aca="false">SUM(O20:O23)</f>
        <v>46.6568723784853</v>
      </c>
      <c r="P28" s="313" t="n">
        <f aca="false">SUM(P20:P23)</f>
        <v>13.2429201019493</v>
      </c>
      <c r="Q28" s="313" t="n">
        <f aca="false">SUM(Q20:Q23)</f>
        <v>-22.2293236518009</v>
      </c>
      <c r="R28" s="313" t="n">
        <f aca="false">SUM(R20:R23)</f>
        <v>-60.7956752109725</v>
      </c>
      <c r="S28" s="313" t="n">
        <f aca="false">SUM(S20:S23)</f>
        <v>-102.297556670134</v>
      </c>
      <c r="T28" s="313" t="n">
        <f aca="false">SUM(T20:T23)</f>
        <v>-147.929659067575</v>
      </c>
      <c r="U28" s="313" t="n">
        <f aca="false">SUM(U20:U23)</f>
        <v>-111.571431929922</v>
      </c>
      <c r="V28" s="313" t="n">
        <f aca="false">SUM(V20:V23)</f>
        <v>1230.58319048745</v>
      </c>
      <c r="W28" s="313" t="n">
        <f aca="false">SUM(W20:W23)</f>
        <v>1211.97441495209</v>
      </c>
      <c r="X28" s="313" t="n">
        <f aca="false">SUM(X20:X23)</f>
        <v>1388.93659048751</v>
      </c>
      <c r="Y28" s="313" t="n">
        <f aca="false">SUM(Y20:Y23)</f>
        <v>0</v>
      </c>
      <c r="Z28" s="313" t="n">
        <f aca="false">SUM(Z20:Z23)</f>
        <v>0</v>
      </c>
      <c r="AA28" s="313" t="n">
        <f aca="false">SUM(AA20:AA23)</f>
        <v>0</v>
      </c>
      <c r="AB28" s="313" t="n">
        <f aca="false">SUM(AB20:AB23)</f>
        <v>0</v>
      </c>
      <c r="AC28" s="313" t="n">
        <f aca="false">SUM(AC20:AC23)</f>
        <v>0</v>
      </c>
      <c r="AD28" s="313" t="n">
        <f aca="false">SUM(AD20:AD23)</f>
        <v>0</v>
      </c>
      <c r="AE28" s="313" t="n">
        <f aca="false">SUM(AE20:AE23)</f>
        <v>0</v>
      </c>
      <c r="AF28" s="313" t="n">
        <f aca="false">SUM(AF20:AF23)</f>
        <v>0</v>
      </c>
      <c r="AG28" s="313" t="n">
        <f aca="false">SUM(AG20:AG23)</f>
        <v>0</v>
      </c>
      <c r="AH28" s="313" t="n">
        <f aca="false">SUM(AH20:AH23)</f>
        <v>0</v>
      </c>
      <c r="AI28" s="889" t="n">
        <f aca="false">SUM(AI20:AI23)</f>
        <v>0</v>
      </c>
      <c r="AJ28" s="100"/>
      <c r="AK28" s="100"/>
      <c r="AL28" s="100"/>
      <c r="AM28" s="100"/>
      <c r="AN28" s="100"/>
      <c r="AO28" s="100"/>
      <c r="AP28" s="100"/>
      <c r="AQ28" s="100"/>
      <c r="AR28" s="100"/>
      <c r="AS28" s="100"/>
      <c r="AT28" s="100"/>
      <c r="AU28" s="100"/>
      <c r="AV28" s="100"/>
      <c r="AW28" s="100"/>
      <c r="AX28" s="100"/>
      <c r="AY28" s="100"/>
      <c r="AZ28" s="100"/>
      <c r="BA28" s="100"/>
      <c r="BB28" s="100"/>
      <c r="BC28" s="100"/>
      <c r="BD28" s="100"/>
      <c r="BE28" s="100"/>
      <c r="BF28" s="100"/>
      <c r="BG28" s="100"/>
      <c r="BH28" s="100"/>
      <c r="BI28" s="100"/>
      <c r="BJ28" s="100"/>
      <c r="BK28" s="100"/>
      <c r="BL28" s="100"/>
      <c r="BM28" s="100"/>
      <c r="BN28" s="100"/>
      <c r="BO28" s="100"/>
      <c r="BP28" s="100"/>
      <c r="BQ28" s="100"/>
      <c r="BR28" s="100"/>
      <c r="BS28" s="100"/>
      <c r="BT28" s="100"/>
      <c r="BU28" s="100"/>
      <c r="BV28" s="100"/>
      <c r="BW28" s="100"/>
      <c r="BX28" s="100"/>
      <c r="BY28" s="100"/>
      <c r="BZ28" s="100"/>
      <c r="CA28" s="100"/>
      <c r="CB28" s="100"/>
      <c r="CC28" s="100"/>
      <c r="CD28" s="100"/>
      <c r="CE28" s="100"/>
      <c r="CF28" s="100"/>
      <c r="CG28" s="100"/>
      <c r="CH28" s="100"/>
      <c r="CI28" s="100"/>
      <c r="CJ28" s="100"/>
      <c r="CK28" s="100"/>
      <c r="CL28" s="100"/>
      <c r="CM28" s="100"/>
      <c r="CN28" s="100"/>
      <c r="CO28" s="100"/>
      <c r="CP28" s="100"/>
      <c r="CQ28" s="100"/>
      <c r="CR28" s="100"/>
      <c r="CS28" s="100"/>
      <c r="CT28" s="100"/>
      <c r="CU28" s="100"/>
      <c r="CV28" s="100"/>
      <c r="CW28" s="100"/>
      <c r="CX28" s="100"/>
      <c r="CY28" s="100"/>
      <c r="CZ28" s="100"/>
      <c r="DA28" s="100"/>
      <c r="DB28" s="100"/>
      <c r="DC28" s="100"/>
      <c r="DD28" s="100"/>
      <c r="DE28" s="100"/>
      <c r="DF28" s="100"/>
      <c r="DG28" s="100"/>
      <c r="DH28" s="100"/>
      <c r="DI28" s="100"/>
      <c r="DJ28" s="100"/>
      <c r="DK28" s="100"/>
      <c r="DL28" s="100"/>
      <c r="DM28" s="100"/>
      <c r="DN28" s="100"/>
      <c r="DO28" s="100"/>
      <c r="DP28" s="100"/>
      <c r="DQ28" s="100"/>
      <c r="DR28" s="100"/>
      <c r="DS28" s="100"/>
      <c r="DT28" s="100"/>
      <c r="DU28" s="100"/>
      <c r="DV28" s="100"/>
      <c r="DW28" s="100"/>
      <c r="DX28" s="100"/>
      <c r="DY28" s="100"/>
      <c r="DZ28" s="100"/>
      <c r="EA28" s="100"/>
      <c r="EB28" s="100"/>
      <c r="EC28" s="100"/>
      <c r="ED28" s="100"/>
      <c r="EE28" s="100"/>
      <c r="EF28" s="100"/>
      <c r="EG28" s="100"/>
      <c r="EH28" s="100"/>
      <c r="EI28" s="100"/>
      <c r="EJ28" s="100"/>
      <c r="EK28" s="100"/>
      <c r="EL28" s="100"/>
      <c r="EM28" s="100"/>
      <c r="EN28" s="100"/>
      <c r="EO28" s="100"/>
      <c r="EP28" s="100"/>
      <c r="EQ28" s="100"/>
      <c r="ER28" s="100"/>
      <c r="ES28" s="100"/>
      <c r="ET28" s="100"/>
      <c r="EU28" s="100"/>
      <c r="EV28" s="100"/>
      <c r="EW28" s="100"/>
      <c r="EX28" s="100"/>
      <c r="EY28" s="100"/>
      <c r="EZ28" s="100"/>
      <c r="FA28" s="100"/>
      <c r="FB28" s="100"/>
      <c r="FC28" s="100"/>
      <c r="FD28" s="100"/>
      <c r="FE28" s="100"/>
      <c r="FF28" s="100"/>
      <c r="FG28" s="100"/>
      <c r="FH28" s="100"/>
      <c r="FI28" s="100"/>
      <c r="FJ28" s="100"/>
      <c r="FK28" s="100"/>
      <c r="FL28" s="100"/>
      <c r="FM28" s="100"/>
      <c r="FN28" s="100"/>
      <c r="FO28" s="100"/>
      <c r="FP28" s="100"/>
      <c r="FQ28" s="100"/>
      <c r="FR28" s="100"/>
      <c r="FS28" s="100"/>
      <c r="FT28" s="100"/>
      <c r="FU28" s="100"/>
      <c r="FV28" s="100"/>
      <c r="FW28" s="100"/>
      <c r="FX28" s="100"/>
      <c r="FY28" s="100"/>
      <c r="FZ28" s="100"/>
      <c r="GA28" s="100"/>
      <c r="GB28" s="100"/>
      <c r="GC28" s="100"/>
      <c r="GD28" s="100"/>
      <c r="GE28" s="100"/>
      <c r="GF28" s="100"/>
      <c r="GG28" s="100"/>
      <c r="GH28" s="100"/>
      <c r="GI28" s="100"/>
      <c r="GJ28" s="100"/>
      <c r="GK28" s="100"/>
      <c r="GL28" s="100"/>
      <c r="GM28" s="100"/>
      <c r="GN28" s="100"/>
      <c r="GO28" s="100"/>
      <c r="GP28" s="100"/>
      <c r="GQ28" s="100"/>
      <c r="GR28" s="100"/>
      <c r="GS28" s="100"/>
      <c r="GT28" s="100"/>
      <c r="GU28" s="100"/>
      <c r="GV28" s="100"/>
      <c r="GW28" s="100"/>
      <c r="GX28" s="100"/>
      <c r="GY28" s="100"/>
      <c r="GZ28" s="100"/>
      <c r="HA28" s="100"/>
      <c r="HB28" s="100"/>
      <c r="HC28" s="100"/>
      <c r="HD28" s="100"/>
      <c r="HE28" s="100"/>
      <c r="HF28" s="100"/>
      <c r="HG28" s="100"/>
      <c r="HH28" s="100"/>
      <c r="HI28" s="100"/>
      <c r="HJ28" s="100"/>
      <c r="HK28" s="100"/>
      <c r="HL28" s="100"/>
      <c r="HM28" s="100"/>
      <c r="HN28" s="100"/>
      <c r="HO28" s="100"/>
      <c r="HP28" s="100"/>
      <c r="HQ28" s="100"/>
      <c r="HR28" s="100"/>
      <c r="HS28" s="100"/>
      <c r="HT28" s="100"/>
      <c r="HU28" s="100"/>
      <c r="HV28" s="100"/>
      <c r="HW28" s="100"/>
      <c r="HX28" s="100"/>
      <c r="HY28" s="100"/>
      <c r="HZ28" s="100"/>
      <c r="IA28" s="100"/>
      <c r="IB28" s="100"/>
      <c r="IC28" s="100"/>
      <c r="ID28" s="100"/>
      <c r="IE28" s="100"/>
      <c r="IF28" s="100"/>
      <c r="IG28" s="100"/>
      <c r="IH28" s="100"/>
      <c r="II28" s="100"/>
      <c r="IJ28" s="100"/>
      <c r="IK28" s="100"/>
      <c r="IL28" s="100"/>
      <c r="IM28" s="100"/>
      <c r="IN28" s="100"/>
      <c r="IO28" s="100"/>
      <c r="IP28" s="100"/>
      <c r="IQ28" s="100"/>
      <c r="IR28" s="100"/>
      <c r="IS28" s="100"/>
      <c r="IT28" s="100"/>
      <c r="IU28" s="100"/>
      <c r="IV28" s="100"/>
      <c r="IW28" s="100"/>
    </row>
    <row r="29" customFormat="false" ht="12.75" hidden="false" customHeight="false" outlineLevel="0" collapsed="false">
      <c r="B29" s="1174" t="s">
        <v>771</v>
      </c>
      <c r="C29" s="100"/>
      <c r="D29" s="100" t="n">
        <f aca="false">D28</f>
        <v>-26230.8505492135</v>
      </c>
      <c r="E29" s="100" t="n">
        <f aca="false">D29+E28</f>
        <v>-20814.5298863368</v>
      </c>
      <c r="F29" s="100" t="n">
        <f aca="false">E29+F28</f>
        <v>-13548.2503251773</v>
      </c>
      <c r="G29" s="100" t="n">
        <f aca="false">F29+G28</f>
        <v>-8147.08250283994</v>
      </c>
      <c r="H29" s="100" t="n">
        <f aca="false">G29+H28</f>
        <v>-3874.56212424188</v>
      </c>
      <c r="I29" s="100" t="n">
        <f aca="false">H29+I28</f>
        <v>505.680928148137</v>
      </c>
      <c r="J29" s="100" t="n">
        <f aca="false">I29+J28</f>
        <v>4032.97395005624</v>
      </c>
      <c r="K29" s="100" t="n">
        <f aca="false">J29+K28</f>
        <v>6833.67365930275</v>
      </c>
      <c r="L29" s="100" t="n">
        <f aca="false">K29+L28</f>
        <v>9610.82898312683</v>
      </c>
      <c r="M29" s="100" t="n">
        <f aca="false">L29+M28</f>
        <v>12363.5602025503</v>
      </c>
      <c r="N29" s="100" t="n">
        <f aca="false">M29+N28</f>
        <v>15215.6361850971</v>
      </c>
      <c r="O29" s="100" t="n">
        <f aca="false">N29+O28</f>
        <v>15262.2930574755</v>
      </c>
      <c r="P29" s="100" t="n">
        <f aca="false">O29+P28</f>
        <v>15275.5359775775</v>
      </c>
      <c r="Q29" s="100" t="n">
        <f aca="false">P29+Q28</f>
        <v>15253.3066539257</v>
      </c>
      <c r="R29" s="100" t="n">
        <f aca="false">Q29+R28</f>
        <v>15192.5109787147</v>
      </c>
      <c r="S29" s="100" t="n">
        <f aca="false">R29+S28</f>
        <v>15090.2134220446</v>
      </c>
      <c r="T29" s="100" t="n">
        <f aca="false">S29+T28</f>
        <v>14942.283762977</v>
      </c>
      <c r="U29" s="100" t="n">
        <f aca="false">T29+U28</f>
        <v>14830.7123310471</v>
      </c>
      <c r="V29" s="100" t="n">
        <f aca="false">U29+V28</f>
        <v>16061.2955215345</v>
      </c>
      <c r="W29" s="100" t="n">
        <f aca="false">V29+W28</f>
        <v>17273.2699364866</v>
      </c>
      <c r="X29" s="100" t="n">
        <f aca="false">W29+X28</f>
        <v>18662.2065269741</v>
      </c>
      <c r="Y29" s="100" t="n">
        <f aca="false">X29+Y28</f>
        <v>18662.2065269741</v>
      </c>
      <c r="Z29" s="100" t="n">
        <f aca="false">Y29+Z28</f>
        <v>18662.2065269741</v>
      </c>
      <c r="AA29" s="100" t="n">
        <f aca="false">Z29+AA28</f>
        <v>18662.2065269741</v>
      </c>
      <c r="AB29" s="100" t="n">
        <f aca="false">AA29+AB28</f>
        <v>18662.2065269741</v>
      </c>
      <c r="AC29" s="100" t="n">
        <f aca="false">AB29+AC28</f>
        <v>18662.2065269741</v>
      </c>
      <c r="AD29" s="100" t="n">
        <f aca="false">AC29+AD28</f>
        <v>18662.2065269741</v>
      </c>
      <c r="AE29" s="100" t="n">
        <f aca="false">AD29+AE28</f>
        <v>18662.2065269741</v>
      </c>
      <c r="AF29" s="100" t="n">
        <f aca="false">AE29+AF28</f>
        <v>18662.2065269741</v>
      </c>
      <c r="AG29" s="100" t="n">
        <f aca="false">AF29+AG28</f>
        <v>18662.2065269741</v>
      </c>
      <c r="AH29" s="100" t="n">
        <f aca="false">AG29+AH28</f>
        <v>18662.2065269741</v>
      </c>
      <c r="AI29" s="638" t="n">
        <f aca="false">AH29+AI28</f>
        <v>18662.2065269741</v>
      </c>
      <c r="AJ29" s="100"/>
      <c r="AK29" s="100"/>
      <c r="AL29" s="100"/>
      <c r="AM29" s="100"/>
      <c r="AN29" s="100"/>
      <c r="AO29" s="100"/>
      <c r="AP29" s="100"/>
      <c r="AQ29" s="100"/>
      <c r="AR29" s="100"/>
      <c r="AS29" s="100"/>
      <c r="AT29" s="100"/>
      <c r="AU29" s="100"/>
      <c r="AV29" s="100"/>
      <c r="AW29" s="100"/>
      <c r="AX29" s="100"/>
      <c r="AY29" s="100"/>
      <c r="AZ29" s="100"/>
      <c r="BA29" s="100"/>
      <c r="BB29" s="100"/>
      <c r="BC29" s="100"/>
      <c r="BD29" s="100"/>
      <c r="BE29" s="100"/>
      <c r="BF29" s="100"/>
      <c r="BG29" s="100"/>
      <c r="BH29" s="100"/>
      <c r="BI29" s="100"/>
      <c r="BJ29" s="100"/>
      <c r="BK29" s="100"/>
      <c r="BL29" s="100"/>
      <c r="BM29" s="100"/>
      <c r="BN29" s="100"/>
      <c r="BO29" s="100"/>
      <c r="BP29" s="100"/>
      <c r="BQ29" s="100"/>
      <c r="BR29" s="100"/>
      <c r="BS29" s="100"/>
      <c r="BT29" s="100"/>
      <c r="BU29" s="100"/>
      <c r="BV29" s="100"/>
      <c r="BW29" s="100"/>
      <c r="BX29" s="100"/>
      <c r="BY29" s="100"/>
      <c r="BZ29" s="100"/>
      <c r="CA29" s="100"/>
      <c r="CB29" s="100"/>
      <c r="CC29" s="100"/>
      <c r="CD29" s="100"/>
      <c r="CE29" s="100"/>
      <c r="CF29" s="100"/>
      <c r="CG29" s="100"/>
      <c r="CH29" s="100"/>
      <c r="CI29" s="100"/>
      <c r="CJ29" s="100"/>
      <c r="CK29" s="100"/>
      <c r="CL29" s="100"/>
      <c r="CM29" s="100"/>
      <c r="CN29" s="100"/>
      <c r="CO29" s="100"/>
      <c r="CP29" s="100"/>
      <c r="CQ29" s="100"/>
      <c r="CR29" s="100"/>
      <c r="CS29" s="100"/>
      <c r="CT29" s="100"/>
      <c r="CU29" s="100"/>
      <c r="CV29" s="100"/>
      <c r="CW29" s="100"/>
      <c r="CX29" s="100"/>
      <c r="CY29" s="100"/>
      <c r="CZ29" s="100"/>
      <c r="DA29" s="100"/>
      <c r="DB29" s="100"/>
      <c r="DC29" s="100"/>
      <c r="DD29" s="100"/>
      <c r="DE29" s="100"/>
      <c r="DF29" s="100"/>
      <c r="DG29" s="100"/>
      <c r="DH29" s="100"/>
      <c r="DI29" s="100"/>
      <c r="DJ29" s="100"/>
      <c r="DK29" s="100"/>
      <c r="DL29" s="100"/>
      <c r="DM29" s="100"/>
      <c r="DN29" s="100"/>
      <c r="DO29" s="100"/>
      <c r="DP29" s="100"/>
      <c r="DQ29" s="100"/>
      <c r="DR29" s="100"/>
      <c r="DS29" s="100"/>
      <c r="DT29" s="100"/>
      <c r="DU29" s="100"/>
      <c r="DV29" s="100"/>
      <c r="DW29" s="100"/>
      <c r="DX29" s="100"/>
      <c r="DY29" s="100"/>
      <c r="DZ29" s="100"/>
      <c r="EA29" s="100"/>
      <c r="EB29" s="100"/>
      <c r="EC29" s="100"/>
      <c r="ED29" s="100"/>
      <c r="EE29" s="100"/>
      <c r="EF29" s="100"/>
      <c r="EG29" s="100"/>
      <c r="EH29" s="100"/>
      <c r="EI29" s="100"/>
      <c r="EJ29" s="100"/>
      <c r="EK29" s="100"/>
      <c r="EL29" s="100"/>
      <c r="EM29" s="100"/>
      <c r="EN29" s="100"/>
      <c r="EO29" s="100"/>
      <c r="EP29" s="100"/>
      <c r="EQ29" s="100"/>
      <c r="ER29" s="100"/>
      <c r="ES29" s="100"/>
      <c r="ET29" s="100"/>
      <c r="EU29" s="100"/>
      <c r="EV29" s="100"/>
      <c r="EW29" s="100"/>
      <c r="EX29" s="100"/>
      <c r="EY29" s="100"/>
      <c r="EZ29" s="100"/>
      <c r="FA29" s="100"/>
      <c r="FB29" s="100"/>
      <c r="FC29" s="100"/>
      <c r="FD29" s="100"/>
      <c r="FE29" s="100"/>
      <c r="FF29" s="100"/>
      <c r="FG29" s="100"/>
      <c r="FH29" s="100"/>
      <c r="FI29" s="100"/>
      <c r="FJ29" s="100"/>
      <c r="FK29" s="100"/>
      <c r="FL29" s="100"/>
      <c r="FM29" s="100"/>
      <c r="FN29" s="100"/>
      <c r="FO29" s="100"/>
      <c r="FP29" s="100"/>
      <c r="FQ29" s="100"/>
      <c r="FR29" s="100"/>
      <c r="FS29" s="100"/>
      <c r="FT29" s="100"/>
      <c r="FU29" s="100"/>
      <c r="FV29" s="100"/>
      <c r="FW29" s="100"/>
      <c r="FX29" s="100"/>
      <c r="FY29" s="100"/>
      <c r="FZ29" s="100"/>
      <c r="GA29" s="100"/>
      <c r="GB29" s="100"/>
      <c r="GC29" s="100"/>
      <c r="GD29" s="100"/>
      <c r="GE29" s="100"/>
      <c r="GF29" s="100"/>
      <c r="GG29" s="100"/>
      <c r="GH29" s="100"/>
      <c r="GI29" s="100"/>
      <c r="GJ29" s="100"/>
      <c r="GK29" s="100"/>
      <c r="GL29" s="100"/>
      <c r="GM29" s="100"/>
      <c r="GN29" s="100"/>
      <c r="GO29" s="100"/>
      <c r="GP29" s="100"/>
      <c r="GQ29" s="100"/>
      <c r="GR29" s="100"/>
      <c r="GS29" s="100"/>
      <c r="GT29" s="100"/>
      <c r="GU29" s="100"/>
      <c r="GV29" s="100"/>
      <c r="GW29" s="100"/>
      <c r="GX29" s="100"/>
      <c r="GY29" s="100"/>
      <c r="GZ29" s="100"/>
      <c r="HA29" s="100"/>
      <c r="HB29" s="100"/>
      <c r="HC29" s="100"/>
      <c r="HD29" s="100"/>
      <c r="HE29" s="100"/>
      <c r="HF29" s="100"/>
      <c r="HG29" s="100"/>
      <c r="HH29" s="100"/>
      <c r="HI29" s="100"/>
      <c r="HJ29" s="100"/>
      <c r="HK29" s="100"/>
      <c r="HL29" s="100"/>
      <c r="HM29" s="100"/>
      <c r="HN29" s="100"/>
      <c r="HO29" s="100"/>
      <c r="HP29" s="100"/>
      <c r="HQ29" s="100"/>
      <c r="HR29" s="100"/>
      <c r="HS29" s="100"/>
      <c r="HT29" s="100"/>
      <c r="HU29" s="100"/>
      <c r="HV29" s="100"/>
      <c r="HW29" s="100"/>
      <c r="HX29" s="100"/>
      <c r="HY29" s="100"/>
      <c r="HZ29" s="100"/>
      <c r="IA29" s="100"/>
      <c r="IB29" s="100"/>
      <c r="IC29" s="100"/>
      <c r="ID29" s="100"/>
      <c r="IE29" s="100"/>
      <c r="IF29" s="100"/>
      <c r="IG29" s="100"/>
      <c r="IH29" s="100"/>
      <c r="II29" s="100"/>
      <c r="IJ29" s="100"/>
      <c r="IK29" s="100"/>
      <c r="IL29" s="100"/>
      <c r="IM29" s="100"/>
      <c r="IN29" s="100"/>
      <c r="IO29" s="100"/>
      <c r="IP29" s="100"/>
      <c r="IQ29" s="100"/>
      <c r="IR29" s="100"/>
      <c r="IS29" s="100"/>
      <c r="IT29" s="100"/>
      <c r="IU29" s="100"/>
      <c r="IV29" s="100"/>
      <c r="IW29" s="100"/>
    </row>
    <row r="30" customFormat="false" ht="13.5" hidden="false" customHeight="false" outlineLevel="0" collapsed="false">
      <c r="B30" s="1175"/>
      <c r="C30" s="1144"/>
      <c r="D30" s="1144"/>
      <c r="E30" s="1144"/>
      <c r="F30" s="1144"/>
      <c r="G30" s="1144"/>
      <c r="H30" s="1144"/>
      <c r="I30" s="1144"/>
      <c r="J30" s="1144"/>
      <c r="K30" s="1144"/>
      <c r="L30" s="1144"/>
      <c r="M30" s="1144"/>
      <c r="N30" s="1144"/>
      <c r="O30" s="1144"/>
      <c r="P30" s="1144"/>
      <c r="Q30" s="1144"/>
      <c r="R30" s="1144"/>
      <c r="S30" s="1144"/>
      <c r="T30" s="1144"/>
      <c r="U30" s="1144"/>
      <c r="V30" s="1144"/>
      <c r="W30" s="1144"/>
      <c r="X30" s="1144"/>
      <c r="Y30" s="1144"/>
      <c r="Z30" s="1144"/>
      <c r="AA30" s="1144"/>
      <c r="AB30" s="1144"/>
      <c r="AC30" s="1144"/>
      <c r="AD30" s="1144"/>
      <c r="AE30" s="1144"/>
      <c r="AF30" s="1144"/>
      <c r="AG30" s="1144"/>
      <c r="AH30" s="1144"/>
      <c r="AI30" s="1176"/>
      <c r="AJ30" s="130"/>
      <c r="AK30" s="130"/>
      <c r="AL30" s="130"/>
      <c r="AM30" s="130"/>
      <c r="AN30" s="130"/>
      <c r="AO30" s="130"/>
      <c r="AP30" s="130"/>
      <c r="AQ30" s="130"/>
      <c r="AR30" s="130"/>
      <c r="AS30" s="130"/>
      <c r="AT30" s="130"/>
      <c r="AU30" s="130"/>
      <c r="AV30" s="130"/>
      <c r="AW30" s="130"/>
      <c r="AX30" s="130"/>
      <c r="AY30" s="130"/>
      <c r="AZ30" s="130"/>
      <c r="BA30" s="130"/>
      <c r="BB30" s="130"/>
      <c r="BC30" s="130"/>
      <c r="BD30" s="130"/>
      <c r="BE30" s="130"/>
      <c r="BF30" s="130"/>
      <c r="BG30" s="130"/>
      <c r="BH30" s="130"/>
      <c r="BI30" s="130"/>
      <c r="BJ30" s="130"/>
      <c r="BK30" s="130"/>
      <c r="BL30" s="130"/>
      <c r="BM30" s="130"/>
      <c r="BN30" s="130"/>
      <c r="BO30" s="130"/>
      <c r="BP30" s="130"/>
      <c r="BQ30" s="130"/>
      <c r="BR30" s="130"/>
      <c r="BS30" s="130"/>
      <c r="BT30" s="130"/>
      <c r="BU30" s="130"/>
      <c r="BV30" s="130"/>
      <c r="BW30" s="130"/>
      <c r="BX30" s="130"/>
      <c r="BY30" s="130"/>
      <c r="BZ30" s="130"/>
      <c r="CA30" s="130"/>
      <c r="CB30" s="130"/>
      <c r="CC30" s="130"/>
      <c r="CD30" s="130"/>
      <c r="CE30" s="130"/>
      <c r="CF30" s="130"/>
      <c r="CG30" s="130"/>
      <c r="CH30" s="130"/>
      <c r="CI30" s="130"/>
      <c r="CJ30" s="130"/>
      <c r="CK30" s="130"/>
      <c r="CL30" s="130"/>
      <c r="CM30" s="130"/>
      <c r="CN30" s="130"/>
      <c r="CO30" s="130"/>
      <c r="CP30" s="130"/>
      <c r="CQ30" s="130"/>
      <c r="CR30" s="130"/>
      <c r="CS30" s="130"/>
      <c r="CT30" s="130"/>
      <c r="CU30" s="130"/>
      <c r="CV30" s="130"/>
      <c r="CW30" s="130"/>
      <c r="CX30" s="130"/>
      <c r="CY30" s="130"/>
      <c r="CZ30" s="130"/>
      <c r="DA30" s="130"/>
      <c r="DB30" s="130"/>
      <c r="DC30" s="130"/>
      <c r="DD30" s="130"/>
      <c r="DE30" s="130"/>
      <c r="DF30" s="130"/>
      <c r="DG30" s="130"/>
      <c r="DH30" s="130"/>
      <c r="DI30" s="130"/>
      <c r="DJ30" s="130"/>
      <c r="DK30" s="130"/>
      <c r="DL30" s="130"/>
      <c r="DM30" s="130"/>
      <c r="DN30" s="130"/>
      <c r="DO30" s="130"/>
      <c r="DP30" s="130"/>
      <c r="DQ30" s="130"/>
      <c r="DR30" s="130"/>
      <c r="DS30" s="130"/>
      <c r="DT30" s="130"/>
      <c r="DU30" s="130"/>
      <c r="DV30" s="130"/>
      <c r="DW30" s="130"/>
      <c r="DX30" s="130"/>
      <c r="DY30" s="130"/>
      <c r="DZ30" s="130"/>
      <c r="EA30" s="130"/>
      <c r="EB30" s="130"/>
      <c r="EC30" s="130"/>
      <c r="ED30" s="130"/>
      <c r="EE30" s="130"/>
      <c r="EF30" s="130"/>
      <c r="EG30" s="130"/>
      <c r="EH30" s="130"/>
      <c r="EI30" s="130"/>
      <c r="EJ30" s="130"/>
      <c r="EK30" s="130"/>
      <c r="EL30" s="130"/>
      <c r="EM30" s="130"/>
      <c r="EN30" s="130"/>
      <c r="EO30" s="130"/>
      <c r="EP30" s="130"/>
      <c r="EQ30" s="130"/>
      <c r="ER30" s="130"/>
      <c r="ES30" s="130"/>
      <c r="ET30" s="130"/>
      <c r="EU30" s="130"/>
      <c r="EV30" s="130"/>
      <c r="EW30" s="130"/>
      <c r="EX30" s="130"/>
      <c r="EY30" s="130"/>
      <c r="EZ30" s="130"/>
      <c r="FA30" s="130"/>
      <c r="FB30" s="130"/>
      <c r="FC30" s="130"/>
      <c r="FD30" s="130"/>
      <c r="FE30" s="130"/>
      <c r="FF30" s="130"/>
      <c r="FG30" s="130"/>
      <c r="FH30" s="130"/>
      <c r="FI30" s="130"/>
      <c r="FJ30" s="130"/>
      <c r="FK30" s="130"/>
      <c r="FL30" s="130"/>
      <c r="FM30" s="130"/>
      <c r="FN30" s="130"/>
      <c r="FO30" s="130"/>
      <c r="FP30" s="130"/>
      <c r="FQ30" s="130"/>
      <c r="FR30" s="130"/>
      <c r="FS30" s="130"/>
      <c r="FT30" s="130"/>
      <c r="FU30" s="130"/>
      <c r="FV30" s="130"/>
      <c r="FW30" s="130"/>
      <c r="FX30" s="130"/>
      <c r="FY30" s="130"/>
      <c r="FZ30" s="130"/>
      <c r="GA30" s="130"/>
      <c r="GB30" s="130"/>
      <c r="GC30" s="130"/>
      <c r="GD30" s="130"/>
      <c r="GE30" s="130"/>
      <c r="GF30" s="130"/>
      <c r="GG30" s="130"/>
      <c r="GH30" s="130"/>
      <c r="GI30" s="130"/>
      <c r="GJ30" s="130"/>
      <c r="GK30" s="130"/>
      <c r="GL30" s="130"/>
      <c r="GM30" s="130"/>
      <c r="GN30" s="130"/>
      <c r="GO30" s="130"/>
      <c r="GP30" s="130"/>
      <c r="GQ30" s="130"/>
      <c r="GR30" s="130"/>
      <c r="GS30" s="130"/>
      <c r="GT30" s="130"/>
      <c r="GU30" s="130"/>
      <c r="GV30" s="130"/>
      <c r="GW30" s="130"/>
      <c r="GX30" s="130"/>
      <c r="GY30" s="130"/>
      <c r="GZ30" s="130"/>
      <c r="HA30" s="130"/>
      <c r="HB30" s="130"/>
      <c r="HC30" s="130"/>
      <c r="HD30" s="130"/>
      <c r="HE30" s="130"/>
      <c r="HF30" s="130"/>
      <c r="HG30" s="130"/>
      <c r="HH30" s="130"/>
      <c r="HI30" s="130"/>
      <c r="HJ30" s="130"/>
      <c r="HK30" s="130"/>
      <c r="HL30" s="130"/>
      <c r="HM30" s="130"/>
      <c r="HN30" s="130"/>
      <c r="HO30" s="130"/>
      <c r="HP30" s="130"/>
      <c r="HQ30" s="130"/>
      <c r="HR30" s="130"/>
      <c r="HS30" s="130"/>
      <c r="HT30" s="130"/>
      <c r="HU30" s="130"/>
      <c r="HV30" s="130"/>
      <c r="HW30" s="130"/>
      <c r="HX30" s="130"/>
      <c r="HY30" s="130"/>
      <c r="HZ30" s="130"/>
      <c r="IA30" s="130"/>
      <c r="IB30" s="130"/>
      <c r="IC30" s="130"/>
      <c r="ID30" s="130"/>
      <c r="IE30" s="130"/>
      <c r="IF30" s="130"/>
      <c r="IG30" s="130"/>
      <c r="IH30" s="130"/>
      <c r="II30" s="130"/>
      <c r="IJ30" s="130"/>
      <c r="IK30" s="130"/>
      <c r="IL30" s="130"/>
      <c r="IM30" s="130"/>
      <c r="IN30" s="130"/>
      <c r="IO30" s="130"/>
      <c r="IP30" s="130"/>
      <c r="IQ30" s="130"/>
      <c r="IR30" s="130"/>
      <c r="IS30" s="130"/>
      <c r="IT30" s="130"/>
      <c r="IU30" s="130"/>
      <c r="IV30" s="130"/>
      <c r="IW30" s="130"/>
    </row>
    <row r="31" customFormat="false" ht="13.5" hidden="false" customHeight="false" outlineLevel="0" collapsed="false">
      <c r="B31" s="1153"/>
      <c r="C31" s="1177"/>
      <c r="D31" s="240"/>
      <c r="E31" s="240"/>
      <c r="F31" s="240"/>
      <c r="G31" s="240"/>
      <c r="H31" s="240"/>
      <c r="I31" s="240"/>
      <c r="J31" s="240"/>
      <c r="K31" s="240"/>
      <c r="L31" s="240"/>
      <c r="M31" s="240"/>
      <c r="N31" s="240"/>
      <c r="O31" s="240"/>
      <c r="P31" s="240"/>
      <c r="Q31" s="240"/>
      <c r="R31" s="240"/>
      <c r="S31" s="240"/>
      <c r="T31" s="240"/>
      <c r="U31" s="240"/>
      <c r="V31" s="240"/>
      <c r="W31" s="240"/>
      <c r="X31" s="240"/>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0"/>
      <c r="AY31" s="240"/>
      <c r="AZ31" s="240"/>
      <c r="BA31" s="240"/>
      <c r="BB31" s="240"/>
      <c r="BC31" s="240"/>
      <c r="BD31" s="240"/>
      <c r="BE31" s="240"/>
      <c r="BF31" s="240"/>
      <c r="BG31" s="240"/>
      <c r="BH31" s="240"/>
      <c r="BI31" s="240"/>
      <c r="BJ31" s="240"/>
      <c r="BK31" s="240"/>
      <c r="BL31" s="240"/>
      <c r="BM31" s="240"/>
      <c r="BN31" s="240"/>
      <c r="BO31" s="240"/>
      <c r="BP31" s="240"/>
      <c r="BQ31" s="240"/>
      <c r="BR31" s="240"/>
      <c r="BS31" s="240"/>
      <c r="BT31" s="240"/>
      <c r="BU31" s="240"/>
      <c r="BV31" s="240"/>
      <c r="BW31" s="240"/>
      <c r="BX31" s="240"/>
      <c r="BY31" s="240"/>
      <c r="BZ31" s="240"/>
      <c r="CA31" s="240"/>
      <c r="CB31" s="240"/>
      <c r="CC31" s="240"/>
      <c r="CD31" s="240"/>
      <c r="CE31" s="240"/>
      <c r="CF31" s="240"/>
      <c r="CG31" s="240"/>
      <c r="CH31" s="240"/>
      <c r="CI31" s="240"/>
      <c r="CJ31" s="240"/>
      <c r="CK31" s="240"/>
      <c r="CL31" s="240"/>
      <c r="CM31" s="240"/>
      <c r="CN31" s="240"/>
      <c r="CO31" s="240"/>
      <c r="CP31" s="240"/>
      <c r="CQ31" s="240"/>
      <c r="CR31" s="240"/>
      <c r="CS31" s="240"/>
      <c r="CT31" s="240"/>
      <c r="CU31" s="240"/>
      <c r="CV31" s="240"/>
      <c r="CW31" s="240"/>
      <c r="CX31" s="240"/>
      <c r="CY31" s="240"/>
      <c r="CZ31" s="240"/>
      <c r="DA31" s="240"/>
      <c r="DB31" s="240"/>
      <c r="DC31" s="240"/>
      <c r="DD31" s="240"/>
      <c r="DE31" s="240"/>
      <c r="DF31" s="240"/>
      <c r="DG31" s="240"/>
      <c r="DH31" s="240"/>
      <c r="DI31" s="240"/>
      <c r="DJ31" s="240"/>
      <c r="DK31" s="240"/>
      <c r="DL31" s="240"/>
      <c r="DM31" s="240"/>
      <c r="DN31" s="240"/>
      <c r="DO31" s="240"/>
      <c r="DP31" s="240"/>
      <c r="DQ31" s="240"/>
      <c r="DR31" s="240"/>
      <c r="DS31" s="240"/>
      <c r="DT31" s="240"/>
      <c r="DU31" s="240"/>
      <c r="DV31" s="240"/>
      <c r="DW31" s="240"/>
      <c r="DX31" s="240"/>
      <c r="DY31" s="240"/>
      <c r="DZ31" s="240"/>
      <c r="EA31" s="240"/>
      <c r="EB31" s="240"/>
      <c r="EC31" s="240"/>
      <c r="ED31" s="240"/>
      <c r="EE31" s="240"/>
      <c r="EF31" s="240"/>
      <c r="EG31" s="240"/>
      <c r="EH31" s="240"/>
      <c r="EI31" s="240"/>
      <c r="EJ31" s="240"/>
      <c r="EK31" s="240"/>
      <c r="EL31" s="240"/>
      <c r="EM31" s="317"/>
      <c r="EN31" s="317"/>
      <c r="EO31" s="317"/>
      <c r="EP31" s="317"/>
      <c r="EQ31" s="317"/>
      <c r="ER31" s="317"/>
      <c r="ES31" s="317"/>
      <c r="ET31" s="317"/>
      <c r="EU31" s="317"/>
      <c r="EV31" s="317"/>
      <c r="EW31" s="317"/>
      <c r="EX31" s="317"/>
      <c r="EY31" s="317"/>
      <c r="EZ31" s="317"/>
      <c r="FA31" s="317"/>
      <c r="FB31" s="317"/>
      <c r="FC31" s="317"/>
      <c r="FD31" s="317"/>
      <c r="FE31" s="317"/>
      <c r="FF31" s="317"/>
      <c r="FG31" s="317"/>
      <c r="FH31" s="317"/>
      <c r="FI31" s="317"/>
      <c r="FJ31" s="317"/>
      <c r="FK31" s="317"/>
      <c r="FL31" s="317"/>
      <c r="FM31" s="317"/>
      <c r="FN31" s="317"/>
      <c r="FO31" s="317"/>
      <c r="FP31" s="317"/>
      <c r="FQ31" s="317"/>
      <c r="FR31" s="317"/>
      <c r="FS31" s="317"/>
      <c r="FT31" s="317"/>
      <c r="FU31" s="317"/>
      <c r="FV31" s="317"/>
      <c r="FW31" s="317"/>
      <c r="FX31" s="317"/>
      <c r="FY31" s="317"/>
      <c r="FZ31" s="317"/>
      <c r="GA31" s="317"/>
      <c r="GB31" s="317"/>
      <c r="GC31" s="317"/>
      <c r="GD31" s="317"/>
      <c r="GE31" s="317"/>
      <c r="GF31" s="317"/>
      <c r="GG31" s="317"/>
      <c r="GH31" s="317"/>
      <c r="GI31" s="317"/>
      <c r="GJ31" s="317"/>
      <c r="GK31" s="317"/>
      <c r="GL31" s="317"/>
      <c r="GM31" s="317"/>
      <c r="GN31" s="317"/>
      <c r="GO31" s="317"/>
      <c r="GP31" s="317"/>
      <c r="GQ31" s="317"/>
      <c r="GR31" s="317"/>
      <c r="GS31" s="317"/>
      <c r="GT31" s="317"/>
      <c r="GU31" s="317"/>
      <c r="GV31" s="317"/>
      <c r="GW31" s="317"/>
      <c r="GX31" s="317"/>
      <c r="GY31" s="317"/>
      <c r="GZ31" s="317"/>
      <c r="HA31" s="317"/>
      <c r="HB31" s="317"/>
      <c r="HC31" s="317"/>
      <c r="HD31" s="317"/>
      <c r="HE31" s="317"/>
      <c r="HF31" s="317"/>
      <c r="HG31" s="317"/>
      <c r="HH31" s="317"/>
      <c r="HI31" s="317"/>
      <c r="HJ31" s="317"/>
      <c r="HK31" s="317"/>
      <c r="HL31" s="317"/>
      <c r="HM31" s="317"/>
      <c r="HN31" s="317"/>
      <c r="HO31" s="317"/>
      <c r="HP31" s="317"/>
      <c r="HQ31" s="317"/>
      <c r="HR31" s="317"/>
      <c r="HS31" s="317"/>
      <c r="HT31" s="317"/>
      <c r="HU31" s="317"/>
      <c r="HV31" s="317"/>
      <c r="HW31" s="317"/>
      <c r="HX31" s="317"/>
      <c r="HY31" s="317"/>
      <c r="HZ31" s="317"/>
      <c r="IA31" s="317"/>
      <c r="IB31" s="317"/>
      <c r="IC31" s="317"/>
      <c r="ID31" s="317"/>
      <c r="IE31" s="317"/>
      <c r="IF31" s="317"/>
      <c r="IG31" s="317"/>
      <c r="IH31" s="317"/>
      <c r="II31" s="317"/>
      <c r="IJ31" s="317"/>
      <c r="IK31" s="317"/>
      <c r="IL31" s="317"/>
      <c r="IM31" s="317"/>
      <c r="IN31" s="317"/>
      <c r="IO31" s="317"/>
      <c r="IP31" s="317"/>
      <c r="IQ31" s="317"/>
      <c r="IR31" s="317"/>
      <c r="IS31" s="317"/>
      <c r="IT31" s="317"/>
      <c r="IU31" s="317"/>
      <c r="IV31" s="317"/>
      <c r="IW31" s="317"/>
    </row>
    <row r="32" customFormat="false" ht="12.75" hidden="false" customHeight="false" outlineLevel="0" collapsed="false">
      <c r="B32" s="1178" t="s">
        <v>772</v>
      </c>
      <c r="C32" s="1161"/>
      <c r="D32" s="1179" t="s">
        <v>426</v>
      </c>
      <c r="E32" s="1179"/>
      <c r="F32" s="1162"/>
      <c r="G32" s="240"/>
      <c r="H32" s="240"/>
      <c r="I32" s="240"/>
      <c r="J32" s="240"/>
      <c r="K32" s="240"/>
      <c r="L32" s="240"/>
      <c r="M32" s="240"/>
      <c r="N32" s="240"/>
      <c r="O32" s="240"/>
      <c r="P32" s="240"/>
      <c r="Q32" s="240"/>
      <c r="R32" s="240"/>
      <c r="S32" s="240"/>
      <c r="T32" s="240"/>
      <c r="U32" s="240"/>
      <c r="V32" s="240"/>
      <c r="W32" s="240"/>
      <c r="X32" s="240"/>
      <c r="Y32" s="240"/>
      <c r="Z32" s="240"/>
      <c r="AA32" s="240"/>
      <c r="AB32" s="240"/>
      <c r="AC32" s="240"/>
      <c r="AD32" s="240"/>
      <c r="AE32" s="240"/>
      <c r="AF32" s="240"/>
      <c r="AG32" s="240"/>
      <c r="AH32" s="240"/>
      <c r="AI32" s="240"/>
      <c r="AJ32" s="240"/>
      <c r="AK32" s="240"/>
      <c r="AL32" s="240"/>
      <c r="AM32" s="240"/>
      <c r="AN32" s="240"/>
      <c r="AO32" s="240"/>
      <c r="AP32" s="240"/>
      <c r="AQ32" s="240"/>
      <c r="AR32" s="240"/>
      <c r="AS32" s="240"/>
      <c r="AT32" s="240"/>
      <c r="AU32" s="240"/>
      <c r="AV32" s="240"/>
      <c r="AW32" s="240"/>
      <c r="AX32" s="240"/>
      <c r="AY32" s="240"/>
      <c r="AZ32" s="240"/>
      <c r="BA32" s="240"/>
      <c r="BB32" s="240"/>
      <c r="BC32" s="240"/>
      <c r="BD32" s="240"/>
      <c r="BE32" s="240"/>
      <c r="BF32" s="240"/>
      <c r="BG32" s="240"/>
      <c r="BH32" s="240"/>
      <c r="BI32" s="240"/>
      <c r="BJ32" s="240"/>
      <c r="BK32" s="240"/>
      <c r="BL32" s="240"/>
      <c r="BM32" s="240"/>
      <c r="BN32" s="240"/>
      <c r="BO32" s="240"/>
      <c r="BP32" s="240"/>
      <c r="BQ32" s="240"/>
      <c r="BR32" s="240"/>
      <c r="BS32" s="240"/>
      <c r="BT32" s="240"/>
      <c r="BU32" s="240"/>
      <c r="BV32" s="240"/>
      <c r="BW32" s="240"/>
      <c r="BX32" s="240"/>
      <c r="BY32" s="240"/>
      <c r="BZ32" s="240"/>
      <c r="CA32" s="240"/>
      <c r="CB32" s="240"/>
      <c r="CC32" s="240"/>
      <c r="CD32" s="240"/>
      <c r="CE32" s="240"/>
      <c r="CF32" s="240"/>
      <c r="CG32" s="240"/>
      <c r="CH32" s="240"/>
      <c r="CI32" s="240"/>
      <c r="CJ32" s="240"/>
      <c r="CK32" s="240"/>
      <c r="CL32" s="240"/>
      <c r="CM32" s="240"/>
      <c r="CN32" s="240"/>
      <c r="CO32" s="240"/>
      <c r="CP32" s="240"/>
      <c r="CQ32" s="240"/>
      <c r="CR32" s="240"/>
      <c r="CS32" s="240"/>
      <c r="CT32" s="240"/>
      <c r="CU32" s="240"/>
      <c r="CV32" s="240"/>
      <c r="CW32" s="240"/>
      <c r="CX32" s="240"/>
      <c r="CY32" s="240"/>
      <c r="CZ32" s="240"/>
      <c r="DA32" s="240"/>
      <c r="DB32" s="240"/>
      <c r="DC32" s="240"/>
      <c r="DD32" s="240"/>
      <c r="DE32" s="240"/>
      <c r="DF32" s="240"/>
      <c r="DG32" s="240"/>
      <c r="DH32" s="240"/>
      <c r="DI32" s="240"/>
      <c r="DJ32" s="240"/>
      <c r="DK32" s="240"/>
      <c r="DL32" s="240"/>
      <c r="DM32" s="240"/>
      <c r="DN32" s="240"/>
      <c r="DO32" s="240"/>
      <c r="DP32" s="240"/>
      <c r="DQ32" s="240"/>
      <c r="DR32" s="240"/>
      <c r="DS32" s="240"/>
      <c r="DT32" s="240"/>
      <c r="DU32" s="240"/>
      <c r="DV32" s="240"/>
      <c r="DW32" s="240"/>
      <c r="DX32" s="240"/>
      <c r="DY32" s="240"/>
      <c r="DZ32" s="240"/>
      <c r="EA32" s="240"/>
      <c r="EB32" s="240"/>
      <c r="EC32" s="240"/>
      <c r="ED32" s="240"/>
      <c r="EE32" s="240"/>
      <c r="EF32" s="240"/>
      <c r="EG32" s="240"/>
      <c r="EH32" s="240"/>
      <c r="EI32" s="240"/>
      <c r="EJ32" s="240"/>
      <c r="EK32" s="240"/>
      <c r="EL32" s="240"/>
      <c r="EM32" s="317"/>
      <c r="EN32" s="317"/>
      <c r="EO32" s="317"/>
      <c r="EP32" s="317"/>
      <c r="EQ32" s="317"/>
      <c r="ER32" s="317"/>
      <c r="ES32" s="317"/>
      <c r="ET32" s="317"/>
      <c r="EU32" s="317"/>
      <c r="EV32" s="317"/>
      <c r="EW32" s="317"/>
      <c r="EX32" s="317"/>
      <c r="EY32" s="317"/>
      <c r="EZ32" s="317"/>
      <c r="FA32" s="317"/>
      <c r="FB32" s="317"/>
      <c r="FC32" s="317"/>
      <c r="FD32" s="317"/>
      <c r="FE32" s="317"/>
      <c r="FF32" s="317"/>
      <c r="FG32" s="317"/>
      <c r="FH32" s="317"/>
      <c r="FI32" s="317"/>
      <c r="FJ32" s="317"/>
      <c r="FK32" s="317"/>
      <c r="FL32" s="317"/>
      <c r="FM32" s="317"/>
      <c r="FN32" s="317"/>
      <c r="FO32" s="317"/>
      <c r="FP32" s="317"/>
      <c r="FQ32" s="317"/>
      <c r="FR32" s="317"/>
      <c r="FS32" s="317"/>
      <c r="FT32" s="317"/>
      <c r="FU32" s="317"/>
      <c r="FV32" s="317"/>
      <c r="FW32" s="317"/>
      <c r="FX32" s="317"/>
      <c r="FY32" s="317"/>
      <c r="FZ32" s="317"/>
      <c r="GA32" s="317"/>
      <c r="GB32" s="317"/>
      <c r="GC32" s="317"/>
      <c r="GD32" s="317"/>
      <c r="GE32" s="317"/>
      <c r="GF32" s="317"/>
      <c r="GG32" s="317"/>
      <c r="GH32" s="317"/>
      <c r="GI32" s="317"/>
      <c r="GJ32" s="317"/>
      <c r="GK32" s="317"/>
      <c r="GL32" s="317"/>
      <c r="GM32" s="317"/>
      <c r="GN32" s="317"/>
      <c r="GO32" s="317"/>
      <c r="GP32" s="317"/>
      <c r="GQ32" s="317"/>
      <c r="GR32" s="317"/>
      <c r="GS32" s="317"/>
      <c r="GT32" s="317"/>
      <c r="GU32" s="317"/>
      <c r="GV32" s="317"/>
      <c r="GW32" s="317"/>
      <c r="GX32" s="317"/>
      <c r="GY32" s="317"/>
      <c r="GZ32" s="317"/>
      <c r="HA32" s="317"/>
      <c r="HB32" s="317"/>
      <c r="HC32" s="317"/>
      <c r="HD32" s="317"/>
      <c r="HE32" s="317"/>
      <c r="HF32" s="317"/>
      <c r="HG32" s="317"/>
      <c r="HH32" s="317"/>
      <c r="HI32" s="317"/>
      <c r="HJ32" s="317"/>
      <c r="HK32" s="317"/>
      <c r="HL32" s="317"/>
      <c r="HM32" s="317"/>
      <c r="HN32" s="317"/>
      <c r="HO32" s="317"/>
      <c r="HP32" s="317"/>
      <c r="HQ32" s="317"/>
      <c r="HR32" s="317"/>
      <c r="HS32" s="317"/>
      <c r="HT32" s="317"/>
      <c r="HU32" s="317"/>
      <c r="HV32" s="317"/>
      <c r="HW32" s="317"/>
      <c r="HX32" s="317"/>
      <c r="HY32" s="317"/>
      <c r="HZ32" s="317"/>
      <c r="IA32" s="317"/>
      <c r="IB32" s="317"/>
      <c r="IC32" s="317"/>
      <c r="ID32" s="317"/>
      <c r="IE32" s="317"/>
      <c r="IF32" s="317"/>
      <c r="IG32" s="317"/>
      <c r="IH32" s="317"/>
      <c r="II32" s="317"/>
      <c r="IJ32" s="317"/>
      <c r="IK32" s="317"/>
      <c r="IL32" s="317"/>
      <c r="IM32" s="317"/>
      <c r="IN32" s="317"/>
      <c r="IO32" s="317"/>
      <c r="IP32" s="317"/>
      <c r="IQ32" s="317"/>
      <c r="IR32" s="317"/>
      <c r="IS32" s="317"/>
      <c r="IT32" s="317"/>
      <c r="IU32" s="317"/>
      <c r="IV32" s="317"/>
      <c r="IW32" s="317"/>
    </row>
    <row r="33" customFormat="false" ht="12.75" hidden="false" customHeight="false" outlineLevel="0" collapsed="false">
      <c r="B33" s="1180"/>
      <c r="C33" s="108"/>
      <c r="D33" s="215" t="s">
        <v>773</v>
      </c>
      <c r="E33" s="215" t="s">
        <v>774</v>
      </c>
      <c r="F33" s="1181"/>
      <c r="G33" s="240"/>
      <c r="H33" s="240"/>
      <c r="I33" s="240"/>
      <c r="J33" s="240"/>
      <c r="K33" s="240"/>
      <c r="L33" s="240"/>
      <c r="M33" s="240"/>
      <c r="N33" s="240"/>
      <c r="O33" s="240"/>
      <c r="P33" s="240"/>
      <c r="Q33" s="240"/>
      <c r="R33" s="240"/>
      <c r="S33" s="240"/>
      <c r="T33" s="240"/>
      <c r="U33" s="240"/>
      <c r="V33" s="240"/>
      <c r="W33" s="24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240"/>
      <c r="AU33" s="240"/>
      <c r="AV33" s="240"/>
      <c r="AW33" s="240"/>
      <c r="AX33" s="240"/>
      <c r="AY33" s="240"/>
      <c r="AZ33" s="240"/>
      <c r="BA33" s="240"/>
      <c r="BB33" s="240"/>
      <c r="BC33" s="240"/>
      <c r="BD33" s="240"/>
      <c r="BE33" s="240"/>
      <c r="BF33" s="240"/>
      <c r="BG33" s="240"/>
      <c r="BH33" s="240"/>
      <c r="BI33" s="240"/>
      <c r="BJ33" s="240"/>
      <c r="BK33" s="240"/>
      <c r="BL33" s="240"/>
      <c r="BM33" s="240"/>
      <c r="BN33" s="240"/>
      <c r="BO33" s="240"/>
      <c r="BP33" s="240"/>
      <c r="BQ33" s="240"/>
      <c r="BR33" s="240"/>
      <c r="BS33" s="240"/>
      <c r="BT33" s="240"/>
      <c r="BU33" s="240"/>
      <c r="BV33" s="240"/>
      <c r="BW33" s="240"/>
      <c r="BX33" s="240"/>
      <c r="BY33" s="240"/>
      <c r="BZ33" s="240"/>
      <c r="CA33" s="240"/>
      <c r="CB33" s="240"/>
      <c r="CC33" s="240"/>
      <c r="CD33" s="240"/>
      <c r="CE33" s="240"/>
      <c r="CF33" s="240"/>
      <c r="CG33" s="240"/>
      <c r="CH33" s="240"/>
      <c r="CI33" s="240"/>
      <c r="CJ33" s="240"/>
      <c r="CK33" s="240"/>
      <c r="CL33" s="240"/>
      <c r="CM33" s="240"/>
      <c r="CN33" s="240"/>
      <c r="CO33" s="240"/>
      <c r="CP33" s="240"/>
      <c r="CQ33" s="240"/>
      <c r="CR33" s="240"/>
      <c r="CS33" s="240"/>
      <c r="CT33" s="240"/>
      <c r="CU33" s="240"/>
      <c r="CV33" s="240"/>
      <c r="CW33" s="240"/>
      <c r="CX33" s="240"/>
      <c r="CY33" s="240"/>
      <c r="CZ33" s="240"/>
      <c r="DA33" s="240"/>
      <c r="DB33" s="240"/>
      <c r="DC33" s="240"/>
      <c r="DD33" s="240"/>
      <c r="DE33" s="240"/>
      <c r="DF33" s="240"/>
      <c r="DG33" s="240"/>
      <c r="DH33" s="240"/>
      <c r="DI33" s="240"/>
      <c r="DJ33" s="240"/>
      <c r="DK33" s="240"/>
      <c r="DL33" s="240"/>
      <c r="DM33" s="240"/>
      <c r="DN33" s="240"/>
      <c r="DO33" s="240"/>
      <c r="DP33" s="240"/>
      <c r="DQ33" s="240"/>
      <c r="DR33" s="240"/>
      <c r="DS33" s="240"/>
      <c r="DT33" s="240"/>
      <c r="DU33" s="240"/>
      <c r="DV33" s="240"/>
      <c r="DW33" s="240"/>
      <c r="DX33" s="240"/>
      <c r="DY33" s="240"/>
      <c r="DZ33" s="240"/>
      <c r="EA33" s="240"/>
      <c r="EB33" s="240"/>
      <c r="EC33" s="240"/>
      <c r="ED33" s="240"/>
      <c r="EE33" s="240"/>
      <c r="EF33" s="240"/>
      <c r="EG33" s="240"/>
      <c r="EH33" s="240"/>
      <c r="EI33" s="240"/>
      <c r="EJ33" s="240"/>
      <c r="EK33" s="240"/>
      <c r="EL33" s="240"/>
      <c r="EM33" s="317"/>
      <c r="EN33" s="317"/>
      <c r="EO33" s="317"/>
      <c r="EP33" s="317"/>
      <c r="EQ33" s="317"/>
      <c r="ER33" s="317"/>
      <c r="ES33" s="317"/>
      <c r="ET33" s="317"/>
      <c r="EU33" s="317"/>
      <c r="EV33" s="317"/>
      <c r="EW33" s="317"/>
      <c r="EX33" s="317"/>
      <c r="EY33" s="317"/>
      <c r="EZ33" s="317"/>
      <c r="FA33" s="317"/>
      <c r="FB33" s="317"/>
      <c r="FC33" s="317"/>
      <c r="FD33" s="317"/>
      <c r="FE33" s="317"/>
      <c r="FF33" s="317"/>
      <c r="FG33" s="317"/>
      <c r="FH33" s="317"/>
      <c r="FI33" s="317"/>
      <c r="FJ33" s="317"/>
      <c r="FK33" s="317"/>
      <c r="FL33" s="317"/>
      <c r="FM33" s="317"/>
      <c r="FN33" s="317"/>
      <c r="FO33" s="317"/>
      <c r="FP33" s="317"/>
      <c r="FQ33" s="317"/>
      <c r="FR33" s="317"/>
      <c r="FS33" s="317"/>
      <c r="FT33" s="317"/>
      <c r="FU33" s="317"/>
      <c r="FV33" s="317"/>
      <c r="FW33" s="317"/>
      <c r="FX33" s="317"/>
      <c r="FY33" s="317"/>
      <c r="FZ33" s="317"/>
      <c r="GA33" s="317"/>
      <c r="GB33" s="317"/>
      <c r="GC33" s="317"/>
      <c r="GD33" s="317"/>
      <c r="GE33" s="317"/>
      <c r="GF33" s="317"/>
      <c r="GG33" s="317"/>
      <c r="GH33" s="317"/>
      <c r="GI33" s="317"/>
      <c r="GJ33" s="317"/>
      <c r="GK33" s="317"/>
      <c r="GL33" s="317"/>
      <c r="GM33" s="317"/>
      <c r="GN33" s="317"/>
      <c r="GO33" s="317"/>
      <c r="GP33" s="317"/>
      <c r="GQ33" s="317"/>
      <c r="GR33" s="317"/>
      <c r="GS33" s="317"/>
      <c r="GT33" s="317"/>
      <c r="GU33" s="317"/>
      <c r="GV33" s="317"/>
      <c r="GW33" s="317"/>
      <c r="GX33" s="317"/>
      <c r="GY33" s="317"/>
      <c r="GZ33" s="317"/>
      <c r="HA33" s="317"/>
      <c r="HB33" s="317"/>
      <c r="HC33" s="317"/>
      <c r="HD33" s="317"/>
      <c r="HE33" s="317"/>
      <c r="HF33" s="317"/>
      <c r="HG33" s="317"/>
      <c r="HH33" s="317"/>
      <c r="HI33" s="317"/>
      <c r="HJ33" s="317"/>
      <c r="HK33" s="317"/>
      <c r="HL33" s="317"/>
      <c r="HM33" s="317"/>
      <c r="HN33" s="317"/>
      <c r="HO33" s="317"/>
      <c r="HP33" s="317"/>
      <c r="HQ33" s="317"/>
      <c r="HR33" s="317"/>
      <c r="HS33" s="317"/>
      <c r="HT33" s="317"/>
      <c r="HU33" s="317"/>
      <c r="HV33" s="317"/>
      <c r="HW33" s="317"/>
      <c r="HX33" s="317"/>
      <c r="HY33" s="317"/>
      <c r="HZ33" s="317"/>
      <c r="IA33" s="317"/>
      <c r="IB33" s="317"/>
      <c r="IC33" s="317"/>
      <c r="ID33" s="317"/>
      <c r="IE33" s="317"/>
      <c r="IF33" s="317"/>
      <c r="IG33" s="317"/>
      <c r="IH33" s="317"/>
      <c r="II33" s="317"/>
      <c r="IJ33" s="317"/>
      <c r="IK33" s="317"/>
      <c r="IL33" s="317"/>
      <c r="IM33" s="317"/>
      <c r="IN33" s="317"/>
      <c r="IO33" s="317"/>
      <c r="IP33" s="317"/>
      <c r="IQ33" s="317"/>
      <c r="IR33" s="317"/>
      <c r="IS33" s="317"/>
      <c r="IT33" s="317"/>
      <c r="IU33" s="317"/>
      <c r="IV33" s="317"/>
      <c r="IW33" s="317"/>
    </row>
    <row r="34" customFormat="false" ht="12.75" hidden="false" customHeight="false" outlineLevel="0" collapsed="false">
      <c r="B34" s="1182"/>
      <c r="C34" s="221"/>
      <c r="D34" s="1183"/>
      <c r="E34" s="1184" t="n">
        <f aca="false">Assum!E326</f>
        <v>0.13</v>
      </c>
      <c r="F34" s="1185"/>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c r="BQ34" s="124"/>
      <c r="BR34" s="124"/>
      <c r="BS34" s="124"/>
      <c r="BT34" s="124"/>
      <c r="BU34" s="124"/>
      <c r="BV34" s="124"/>
      <c r="BW34" s="124"/>
      <c r="BX34" s="124"/>
      <c r="BY34" s="124"/>
      <c r="BZ34" s="124"/>
      <c r="CA34" s="124"/>
      <c r="CB34" s="124"/>
      <c r="CC34" s="124"/>
      <c r="CD34" s="124"/>
      <c r="CE34" s="124"/>
      <c r="CF34" s="124"/>
      <c r="CG34" s="124"/>
      <c r="CH34" s="124"/>
      <c r="CI34" s="124"/>
      <c r="CJ34" s="124"/>
      <c r="CK34" s="124"/>
      <c r="CL34" s="124"/>
      <c r="CM34" s="124"/>
      <c r="CN34" s="124"/>
      <c r="CO34" s="124"/>
      <c r="CP34" s="124"/>
      <c r="CQ34" s="124"/>
      <c r="CR34" s="124"/>
      <c r="CS34" s="124"/>
      <c r="CT34" s="124"/>
      <c r="CU34" s="124"/>
      <c r="CV34" s="124"/>
      <c r="CW34" s="124"/>
      <c r="CX34" s="124"/>
      <c r="CY34" s="124"/>
      <c r="CZ34" s="124"/>
      <c r="DA34" s="124"/>
      <c r="DB34" s="124"/>
      <c r="DC34" s="124"/>
      <c r="DD34" s="124"/>
      <c r="DE34" s="124"/>
      <c r="DF34" s="124"/>
      <c r="DG34" s="124"/>
      <c r="DH34" s="124"/>
      <c r="DI34" s="124"/>
      <c r="DJ34" s="124"/>
      <c r="DK34" s="124"/>
      <c r="DL34" s="124"/>
      <c r="DM34" s="124"/>
      <c r="DN34" s="124"/>
      <c r="DO34" s="124"/>
      <c r="DP34" s="124"/>
      <c r="DQ34" s="124"/>
      <c r="DR34" s="124"/>
      <c r="DS34" s="124"/>
      <c r="DT34" s="124"/>
      <c r="DU34" s="124"/>
      <c r="DV34" s="124"/>
      <c r="DW34" s="124"/>
      <c r="DX34" s="124"/>
      <c r="DY34" s="124"/>
      <c r="DZ34" s="124"/>
      <c r="EA34" s="124"/>
      <c r="EB34" s="124"/>
      <c r="EC34" s="124"/>
      <c r="ED34" s="124"/>
      <c r="EE34" s="124"/>
      <c r="EF34" s="124"/>
      <c r="EG34" s="124"/>
      <c r="EH34" s="124"/>
      <c r="EI34" s="124"/>
      <c r="EJ34" s="124"/>
      <c r="EK34" s="124"/>
      <c r="EL34" s="124"/>
    </row>
    <row r="35" customFormat="false" ht="12.75" hidden="false" customHeight="false" outlineLevel="0" collapsed="false">
      <c r="B35" s="214"/>
      <c r="C35" s="1186" t="s">
        <v>775</v>
      </c>
      <c r="D35" s="256" t="n">
        <f aca="false">IRR(D28:N28,0.05)</f>
        <v>0.114701162515339</v>
      </c>
      <c r="E35" s="100" t="n">
        <f aca="false">NPV(E34,D28:N28)</f>
        <v>-1168.22092659972</v>
      </c>
      <c r="F35" s="1187"/>
      <c r="AI35" s="124"/>
      <c r="AJ35" s="124"/>
      <c r="AK35" s="124"/>
      <c r="AL35" s="124"/>
      <c r="AM35" s="124"/>
      <c r="AN35" s="124"/>
      <c r="AO35" s="124"/>
      <c r="AP35" s="124"/>
      <c r="AQ35" s="124"/>
      <c r="AR35" s="124"/>
      <c r="AS35" s="124"/>
      <c r="AT35" s="124"/>
      <c r="AU35" s="124"/>
      <c r="AV35" s="124"/>
      <c r="AW35" s="124"/>
      <c r="AX35" s="124"/>
      <c r="AY35" s="124"/>
      <c r="AZ35" s="124"/>
      <c r="BA35" s="124"/>
      <c r="BB35" s="124"/>
      <c r="BC35" s="124"/>
      <c r="BD35" s="124"/>
      <c r="BE35" s="124"/>
      <c r="BF35" s="124"/>
      <c r="BG35" s="124"/>
      <c r="BH35" s="124"/>
      <c r="BI35" s="124"/>
      <c r="BJ35" s="124"/>
      <c r="BK35" s="124"/>
      <c r="BL35" s="124"/>
      <c r="BM35" s="124"/>
      <c r="BN35" s="124"/>
      <c r="BO35" s="124"/>
      <c r="BP35" s="124"/>
      <c r="BQ35" s="124"/>
      <c r="BR35" s="124"/>
      <c r="BS35" s="124"/>
      <c r="BT35" s="124"/>
      <c r="BU35" s="124"/>
      <c r="BV35" s="124"/>
      <c r="BW35" s="124"/>
      <c r="BX35" s="124"/>
      <c r="BY35" s="124"/>
      <c r="BZ35" s="124"/>
      <c r="CA35" s="124"/>
      <c r="CB35" s="124"/>
      <c r="CC35" s="124"/>
      <c r="CD35" s="124"/>
      <c r="CE35" s="124"/>
      <c r="CF35" s="124"/>
      <c r="CG35" s="124"/>
      <c r="CH35" s="124"/>
      <c r="CI35" s="124"/>
      <c r="CJ35" s="124"/>
      <c r="CK35" s="124"/>
      <c r="CL35" s="124"/>
      <c r="CM35" s="124"/>
      <c r="CN35" s="124"/>
      <c r="CO35" s="124"/>
      <c r="CP35" s="124"/>
      <c r="CQ35" s="124"/>
      <c r="CR35" s="124"/>
      <c r="CS35" s="124"/>
      <c r="CT35" s="124"/>
      <c r="CU35" s="124"/>
      <c r="CV35" s="124"/>
      <c r="CW35" s="124"/>
      <c r="CX35" s="124"/>
      <c r="CY35" s="124"/>
      <c r="CZ35" s="124"/>
      <c r="DA35" s="124"/>
      <c r="DB35" s="124"/>
      <c r="DC35" s="124"/>
      <c r="DD35" s="124"/>
      <c r="DE35" s="124"/>
      <c r="DF35" s="124"/>
      <c r="DG35" s="124"/>
      <c r="DH35" s="124"/>
      <c r="DI35" s="124"/>
      <c r="DJ35" s="124"/>
      <c r="DK35" s="124"/>
      <c r="DL35" s="124"/>
      <c r="DM35" s="124"/>
      <c r="DN35" s="124"/>
      <c r="DO35" s="124"/>
      <c r="DP35" s="124"/>
      <c r="DQ35" s="124"/>
      <c r="DR35" s="124"/>
      <c r="DS35" s="124"/>
      <c r="DT35" s="124"/>
      <c r="DU35" s="124"/>
      <c r="DV35" s="124"/>
      <c r="DW35" s="124"/>
      <c r="DX35" s="124"/>
      <c r="DY35" s="124"/>
      <c r="DZ35" s="124"/>
      <c r="EA35" s="124"/>
      <c r="EB35" s="124"/>
      <c r="EC35" s="124"/>
      <c r="ED35" s="124"/>
      <c r="EE35" s="124"/>
      <c r="EF35" s="124"/>
      <c r="EG35" s="124"/>
      <c r="EH35" s="124"/>
      <c r="EI35" s="124"/>
      <c r="EJ35" s="124"/>
      <c r="EK35" s="124"/>
      <c r="EL35" s="124"/>
    </row>
    <row r="36" customFormat="false" ht="12.75" hidden="false" customHeight="false" outlineLevel="0" collapsed="false">
      <c r="B36" s="214"/>
      <c r="C36" s="1186" t="s">
        <v>776</v>
      </c>
      <c r="D36" s="256" t="n">
        <f aca="false">IRR(D28:X28)</f>
        <v>0.119093136183159</v>
      </c>
      <c r="E36" s="100" t="n">
        <f aca="false">NPV(E34,D28:X28)</f>
        <v>-881.329755463012</v>
      </c>
      <c r="F36" s="1187"/>
      <c r="AI36" s="124"/>
      <c r="AJ36" s="124"/>
      <c r="AK36" s="124"/>
      <c r="AL36" s="124"/>
      <c r="AM36" s="124"/>
      <c r="AN36" s="124"/>
      <c r="AO36" s="124"/>
      <c r="AP36" s="124"/>
      <c r="AQ36" s="124"/>
      <c r="AR36" s="124"/>
      <c r="AS36" s="124"/>
      <c r="AT36" s="124"/>
      <c r="AU36" s="124"/>
      <c r="AV36" s="124"/>
      <c r="AW36" s="124"/>
      <c r="AX36" s="124"/>
      <c r="AY36" s="124"/>
      <c r="AZ36" s="124"/>
      <c r="BA36" s="124"/>
      <c r="BB36" s="124"/>
      <c r="BC36" s="124"/>
      <c r="BD36" s="124"/>
      <c r="BE36" s="124"/>
      <c r="BF36" s="124"/>
      <c r="BG36" s="124"/>
      <c r="BH36" s="124"/>
      <c r="BI36" s="124"/>
      <c r="BJ36" s="124"/>
      <c r="BK36" s="124"/>
      <c r="BL36" s="124"/>
      <c r="BM36" s="124"/>
      <c r="BN36" s="124"/>
      <c r="BO36" s="124"/>
      <c r="BP36" s="124"/>
      <c r="BQ36" s="124"/>
      <c r="BR36" s="124"/>
      <c r="BS36" s="124"/>
      <c r="BT36" s="124"/>
      <c r="BU36" s="124"/>
      <c r="BV36" s="124"/>
      <c r="BW36" s="124"/>
      <c r="BX36" s="124"/>
      <c r="BY36" s="124"/>
      <c r="BZ36" s="124"/>
      <c r="CA36" s="124"/>
      <c r="CB36" s="124"/>
      <c r="CC36" s="124"/>
      <c r="CD36" s="124"/>
      <c r="CE36" s="124"/>
      <c r="CF36" s="124"/>
      <c r="CG36" s="124"/>
      <c r="CH36" s="124"/>
      <c r="CI36" s="124"/>
      <c r="CJ36" s="124"/>
      <c r="CK36" s="124"/>
      <c r="CL36" s="124"/>
      <c r="CM36" s="124"/>
      <c r="CN36" s="124"/>
      <c r="CO36" s="124"/>
      <c r="CP36" s="124"/>
      <c r="CQ36" s="124"/>
      <c r="CR36" s="124"/>
      <c r="CS36" s="124"/>
      <c r="CT36" s="124"/>
      <c r="CU36" s="124"/>
      <c r="CV36" s="124"/>
      <c r="CW36" s="124"/>
      <c r="CX36" s="124"/>
      <c r="CY36" s="124"/>
      <c r="CZ36" s="124"/>
      <c r="DA36" s="124"/>
      <c r="DB36" s="124"/>
      <c r="DC36" s="124"/>
      <c r="DD36" s="124"/>
      <c r="DE36" s="124"/>
      <c r="DF36" s="124"/>
      <c r="DG36" s="124"/>
      <c r="DH36" s="124"/>
      <c r="DI36" s="124"/>
      <c r="DJ36" s="124"/>
      <c r="DK36" s="124"/>
      <c r="DL36" s="124"/>
      <c r="DM36" s="124"/>
      <c r="DN36" s="124"/>
      <c r="DO36" s="124"/>
      <c r="DP36" s="124"/>
      <c r="DQ36" s="124"/>
      <c r="DR36" s="124"/>
      <c r="DS36" s="124"/>
      <c r="DT36" s="124"/>
      <c r="DU36" s="124"/>
      <c r="DV36" s="124"/>
      <c r="DW36" s="124"/>
      <c r="DX36" s="124"/>
      <c r="DY36" s="124"/>
      <c r="DZ36" s="124"/>
      <c r="EA36" s="124"/>
      <c r="EB36" s="124"/>
      <c r="EC36" s="124"/>
      <c r="ED36" s="124"/>
      <c r="EE36" s="124"/>
      <c r="EF36" s="124"/>
      <c r="EG36" s="124"/>
      <c r="EH36" s="124"/>
      <c r="EI36" s="124"/>
      <c r="EJ36" s="124"/>
      <c r="EK36" s="124"/>
      <c r="EL36" s="124"/>
    </row>
    <row r="37" customFormat="false" ht="12.75" hidden="false" customHeight="false" outlineLevel="0" collapsed="false">
      <c r="B37" s="214"/>
      <c r="C37" s="1186" t="s">
        <v>777</v>
      </c>
      <c r="D37" s="256" t="n">
        <f aca="false">IRR(D28:AH28)</f>
        <v>0.119093136183159</v>
      </c>
      <c r="E37" s="100" t="n">
        <f aca="false">NPV(E34,D28:AH28)</f>
        <v>-881.329755463012</v>
      </c>
      <c r="F37" s="1187"/>
      <c r="AI37" s="124"/>
      <c r="AJ37" s="124"/>
      <c r="AK37" s="124"/>
      <c r="AL37" s="124"/>
      <c r="AM37" s="124"/>
      <c r="AN37" s="124"/>
      <c r="AO37" s="124"/>
      <c r="AP37" s="124"/>
      <c r="AQ37" s="124"/>
      <c r="AR37" s="124"/>
      <c r="AS37" s="124"/>
      <c r="AT37" s="124"/>
      <c r="AU37" s="124"/>
      <c r="AV37" s="124"/>
      <c r="AW37" s="124"/>
      <c r="AX37" s="124"/>
      <c r="AY37" s="124"/>
      <c r="AZ37" s="124"/>
      <c r="BA37" s="124"/>
      <c r="BB37" s="124"/>
      <c r="BC37" s="124"/>
      <c r="BD37" s="124"/>
      <c r="BE37" s="124"/>
      <c r="BF37" s="124"/>
      <c r="BG37" s="124"/>
      <c r="BH37" s="124"/>
      <c r="BI37" s="124"/>
      <c r="BJ37" s="124"/>
      <c r="BK37" s="124"/>
      <c r="BL37" s="124"/>
      <c r="BM37" s="124"/>
      <c r="BN37" s="124"/>
      <c r="BO37" s="124"/>
      <c r="BP37" s="124"/>
      <c r="BQ37" s="124"/>
      <c r="BR37" s="124"/>
      <c r="BS37" s="124"/>
      <c r="BT37" s="124"/>
      <c r="BU37" s="124"/>
      <c r="BV37" s="124"/>
      <c r="BW37" s="124"/>
      <c r="BX37" s="124"/>
      <c r="BY37" s="124"/>
      <c r="BZ37" s="124"/>
      <c r="CA37" s="124"/>
      <c r="CB37" s="124"/>
      <c r="CC37" s="124"/>
      <c r="CD37" s="124"/>
      <c r="CE37" s="124"/>
      <c r="CF37" s="124"/>
      <c r="CG37" s="124"/>
      <c r="CH37" s="124"/>
      <c r="CI37" s="124"/>
      <c r="CJ37" s="124"/>
      <c r="CK37" s="124"/>
      <c r="CL37" s="124"/>
      <c r="CM37" s="124"/>
      <c r="CN37" s="124"/>
      <c r="CO37" s="124"/>
      <c r="CP37" s="124"/>
      <c r="CQ37" s="124"/>
      <c r="CR37" s="124"/>
      <c r="CS37" s="124"/>
      <c r="CT37" s="124"/>
      <c r="CU37" s="124"/>
      <c r="CV37" s="124"/>
      <c r="CW37" s="124"/>
      <c r="CX37" s="124"/>
      <c r="CY37" s="124"/>
      <c r="CZ37" s="124"/>
      <c r="DA37" s="124"/>
      <c r="DB37" s="124"/>
      <c r="DC37" s="124"/>
      <c r="DD37" s="124"/>
      <c r="DE37" s="124"/>
      <c r="DF37" s="124"/>
      <c r="DG37" s="124"/>
      <c r="DH37" s="124"/>
      <c r="DI37" s="124"/>
      <c r="DJ37" s="124"/>
      <c r="DK37" s="124"/>
      <c r="DL37" s="124"/>
      <c r="DM37" s="124"/>
      <c r="DN37" s="124"/>
      <c r="DO37" s="124"/>
      <c r="DP37" s="124"/>
      <c r="DQ37" s="124"/>
      <c r="DR37" s="124"/>
      <c r="DS37" s="124"/>
      <c r="DT37" s="124"/>
      <c r="DU37" s="124"/>
      <c r="DV37" s="124"/>
      <c r="DW37" s="124"/>
      <c r="DX37" s="124"/>
      <c r="DY37" s="124"/>
      <c r="DZ37" s="124"/>
      <c r="EA37" s="124"/>
      <c r="EB37" s="124"/>
      <c r="EC37" s="124"/>
      <c r="ED37" s="124"/>
      <c r="EE37" s="124"/>
      <c r="EF37" s="124"/>
      <c r="EG37" s="124"/>
      <c r="EH37" s="124"/>
      <c r="EI37" s="124"/>
      <c r="EJ37" s="124"/>
      <c r="EK37" s="124"/>
      <c r="EL37" s="124"/>
    </row>
    <row r="38" customFormat="false" ht="12.75" hidden="false" customHeight="false" outlineLevel="0" collapsed="false">
      <c r="B38" s="214"/>
      <c r="C38" s="108"/>
      <c r="D38" s="221"/>
      <c r="E38" s="108"/>
      <c r="F38" s="217"/>
      <c r="AI38" s="124"/>
      <c r="AJ38" s="124"/>
      <c r="AK38" s="124"/>
      <c r="AL38" s="124"/>
      <c r="AM38" s="124"/>
      <c r="AN38" s="124"/>
      <c r="AO38" s="124"/>
      <c r="AP38" s="124"/>
      <c r="AQ38" s="124"/>
      <c r="AR38" s="124"/>
      <c r="AS38" s="124"/>
      <c r="AT38" s="124"/>
      <c r="AU38" s="124"/>
      <c r="AV38" s="124"/>
      <c r="AW38" s="124"/>
      <c r="AX38" s="124"/>
      <c r="AY38" s="124"/>
      <c r="AZ38" s="124"/>
      <c r="BA38" s="124"/>
      <c r="BB38" s="124"/>
      <c r="BC38" s="124"/>
      <c r="BD38" s="124"/>
      <c r="BE38" s="124"/>
      <c r="BF38" s="124"/>
      <c r="BG38" s="124"/>
      <c r="BH38" s="124"/>
      <c r="BI38" s="124"/>
      <c r="BJ38" s="124"/>
      <c r="BK38" s="124"/>
      <c r="BL38" s="124"/>
      <c r="BM38" s="124"/>
      <c r="BN38" s="124"/>
      <c r="BO38" s="124"/>
      <c r="BP38" s="124"/>
      <c r="BQ38" s="124"/>
      <c r="BR38" s="124"/>
      <c r="BS38" s="124"/>
      <c r="BT38" s="124"/>
      <c r="BU38" s="124"/>
      <c r="BV38" s="124"/>
      <c r="BW38" s="124"/>
      <c r="BX38" s="124"/>
      <c r="BY38" s="124"/>
      <c r="BZ38" s="124"/>
      <c r="CA38" s="124"/>
      <c r="CB38" s="124"/>
      <c r="CC38" s="124"/>
      <c r="CD38" s="124"/>
      <c r="CE38" s="124"/>
      <c r="CF38" s="124"/>
      <c r="CG38" s="124"/>
      <c r="CH38" s="124"/>
      <c r="CI38" s="124"/>
      <c r="CJ38" s="124"/>
      <c r="CK38" s="124"/>
      <c r="CL38" s="124"/>
      <c r="CM38" s="124"/>
      <c r="CN38" s="124"/>
      <c r="CO38" s="124"/>
      <c r="CP38" s="124"/>
      <c r="CQ38" s="124"/>
      <c r="CR38" s="124"/>
      <c r="CS38" s="124"/>
      <c r="CT38" s="124"/>
      <c r="CU38" s="124"/>
      <c r="CV38" s="124"/>
      <c r="CW38" s="124"/>
      <c r="CX38" s="124"/>
      <c r="CY38" s="124"/>
      <c r="CZ38" s="124"/>
      <c r="DA38" s="124"/>
      <c r="DB38" s="124"/>
      <c r="DC38" s="124"/>
      <c r="DD38" s="124"/>
      <c r="DE38" s="124"/>
      <c r="DF38" s="124"/>
      <c r="DG38" s="124"/>
      <c r="DH38" s="124"/>
      <c r="DI38" s="124"/>
      <c r="DJ38" s="124"/>
      <c r="DK38" s="124"/>
      <c r="DL38" s="124"/>
      <c r="DM38" s="124"/>
      <c r="DN38" s="124"/>
      <c r="DO38" s="124"/>
      <c r="DP38" s="124"/>
      <c r="DQ38" s="124"/>
      <c r="DR38" s="124"/>
      <c r="DS38" s="124"/>
      <c r="DT38" s="124"/>
      <c r="DU38" s="124"/>
      <c r="DV38" s="124"/>
      <c r="DW38" s="124"/>
      <c r="DX38" s="124"/>
      <c r="DY38" s="124"/>
      <c r="DZ38" s="124"/>
      <c r="EA38" s="124"/>
      <c r="EB38" s="124"/>
      <c r="EC38" s="124"/>
      <c r="ED38" s="124"/>
      <c r="EE38" s="124"/>
      <c r="EF38" s="124"/>
      <c r="EG38" s="124"/>
      <c r="EH38" s="124"/>
      <c r="EI38" s="124"/>
      <c r="EJ38" s="124"/>
      <c r="EK38" s="124"/>
      <c r="EL38" s="124"/>
    </row>
    <row r="39" customFormat="false" ht="12.75" hidden="false" customHeight="false" outlineLevel="0" collapsed="false">
      <c r="B39" s="214"/>
      <c r="C39" s="108"/>
      <c r="D39" s="1188" t="s">
        <v>425</v>
      </c>
      <c r="E39" s="1188"/>
      <c r="F39" s="636"/>
      <c r="AI39" s="124"/>
      <c r="AJ39" s="124"/>
      <c r="AK39" s="124"/>
      <c r="AL39" s="124"/>
      <c r="AM39" s="124"/>
      <c r="AN39" s="124"/>
      <c r="AO39" s="124"/>
      <c r="AP39" s="124"/>
      <c r="AQ39" s="124"/>
      <c r="AR39" s="124"/>
      <c r="AS39" s="124"/>
      <c r="AT39" s="124"/>
      <c r="AU39" s="124"/>
      <c r="AV39" s="124"/>
      <c r="AW39" s="124"/>
      <c r="AX39" s="124"/>
      <c r="AY39" s="124"/>
      <c r="AZ39" s="124"/>
      <c r="BA39" s="124"/>
      <c r="BB39" s="124"/>
      <c r="BC39" s="124"/>
      <c r="BD39" s="124"/>
      <c r="BE39" s="124"/>
      <c r="BF39" s="124"/>
      <c r="BG39" s="124"/>
      <c r="BH39" s="124"/>
      <c r="BI39" s="124"/>
      <c r="BJ39" s="124"/>
      <c r="BK39" s="124"/>
      <c r="BL39" s="124"/>
      <c r="BM39" s="124"/>
      <c r="BN39" s="124"/>
      <c r="BO39" s="124"/>
      <c r="BP39" s="124"/>
      <c r="BQ39" s="124"/>
      <c r="BR39" s="124"/>
      <c r="BS39" s="124"/>
      <c r="BT39" s="124"/>
      <c r="BU39" s="124"/>
      <c r="BV39" s="124"/>
      <c r="BW39" s="124"/>
      <c r="BX39" s="124"/>
      <c r="BY39" s="124"/>
      <c r="BZ39" s="124"/>
      <c r="CA39" s="124"/>
      <c r="CB39" s="124"/>
      <c r="CC39" s="124"/>
      <c r="CD39" s="124"/>
      <c r="CE39" s="124"/>
      <c r="CF39" s="124"/>
      <c r="CG39" s="124"/>
      <c r="CH39" s="124"/>
      <c r="CI39" s="124"/>
      <c r="CJ39" s="124"/>
      <c r="CK39" s="124"/>
      <c r="CL39" s="124"/>
      <c r="CM39" s="124"/>
      <c r="CN39" s="124"/>
      <c r="CO39" s="124"/>
      <c r="CP39" s="124"/>
      <c r="CQ39" s="124"/>
      <c r="CR39" s="124"/>
      <c r="CS39" s="124"/>
      <c r="CT39" s="124"/>
      <c r="CU39" s="124"/>
      <c r="CV39" s="124"/>
      <c r="CW39" s="124"/>
      <c r="CX39" s="124"/>
      <c r="CY39" s="124"/>
      <c r="CZ39" s="124"/>
      <c r="DA39" s="124"/>
      <c r="DB39" s="124"/>
      <c r="DC39" s="124"/>
      <c r="DD39" s="124"/>
      <c r="DE39" s="124"/>
      <c r="DF39" s="124"/>
      <c r="DG39" s="124"/>
      <c r="DH39" s="124"/>
      <c r="DI39" s="124"/>
      <c r="DJ39" s="124"/>
      <c r="DK39" s="124"/>
      <c r="DL39" s="124"/>
      <c r="DM39" s="124"/>
      <c r="DN39" s="124"/>
      <c r="DO39" s="124"/>
      <c r="DP39" s="124"/>
      <c r="DQ39" s="124"/>
      <c r="DR39" s="124"/>
      <c r="DS39" s="124"/>
      <c r="DT39" s="124"/>
      <c r="DU39" s="124"/>
      <c r="DV39" s="124"/>
      <c r="DW39" s="124"/>
      <c r="DX39" s="124"/>
      <c r="DY39" s="124"/>
      <c r="DZ39" s="124"/>
      <c r="EA39" s="124"/>
      <c r="EB39" s="124"/>
      <c r="EC39" s="124"/>
      <c r="ED39" s="124"/>
      <c r="EE39" s="124"/>
      <c r="EF39" s="124"/>
      <c r="EG39" s="124"/>
      <c r="EH39" s="124"/>
      <c r="EI39" s="124"/>
      <c r="EJ39" s="124"/>
      <c r="EK39" s="124"/>
      <c r="EL39" s="124"/>
    </row>
    <row r="40" customFormat="false" ht="12.75" hidden="false" customHeight="false" outlineLevel="0" collapsed="false">
      <c r="B40" s="214"/>
      <c r="C40" s="1186" t="s">
        <v>775</v>
      </c>
      <c r="D40" s="256" t="n">
        <f aca="false">IRR(D25:N25,-0.05)</f>
        <v>-0.215357982424484</v>
      </c>
      <c r="E40" s="100" t="n">
        <f aca="false">NPV((E34),D25:N25)</f>
        <v>-20531.307389139</v>
      </c>
      <c r="F40" s="1166"/>
      <c r="AI40" s="124"/>
      <c r="AJ40" s="124"/>
      <c r="AK40" s="124"/>
      <c r="AL40" s="124"/>
      <c r="AM40" s="124"/>
      <c r="AN40" s="124"/>
      <c r="AO40" s="124"/>
      <c r="AP40" s="124"/>
      <c r="AQ40" s="124"/>
      <c r="AR40" s="124"/>
      <c r="AS40" s="124"/>
      <c r="AT40" s="124"/>
      <c r="AU40" s="124"/>
      <c r="AV40" s="124"/>
      <c r="AW40" s="124"/>
      <c r="AX40" s="124"/>
      <c r="AY40" s="124"/>
      <c r="AZ40" s="124"/>
      <c r="BA40" s="124"/>
      <c r="BB40" s="124"/>
      <c r="BC40" s="124"/>
      <c r="BD40" s="124"/>
      <c r="BE40" s="124"/>
      <c r="BF40" s="124"/>
      <c r="BG40" s="124"/>
      <c r="BH40" s="124"/>
      <c r="BI40" s="124"/>
      <c r="BJ40" s="124"/>
      <c r="BK40" s="124"/>
      <c r="BL40" s="124"/>
      <c r="BM40" s="124"/>
      <c r="BN40" s="124"/>
      <c r="BO40" s="124"/>
      <c r="BP40" s="124"/>
      <c r="BQ40" s="124"/>
      <c r="BR40" s="124"/>
      <c r="BS40" s="124"/>
      <c r="BT40" s="124"/>
      <c r="BU40" s="124"/>
      <c r="BV40" s="124"/>
      <c r="BW40" s="124"/>
      <c r="BX40" s="124"/>
      <c r="BY40" s="124"/>
      <c r="BZ40" s="124"/>
      <c r="CA40" s="124"/>
      <c r="CB40" s="124"/>
      <c r="CC40" s="124"/>
      <c r="CD40" s="124"/>
      <c r="CE40" s="124"/>
      <c r="CF40" s="124"/>
      <c r="CG40" s="124"/>
      <c r="CH40" s="124"/>
      <c r="CI40" s="124"/>
      <c r="CJ40" s="124"/>
      <c r="CK40" s="124"/>
      <c r="CL40" s="124"/>
      <c r="CM40" s="124"/>
      <c r="CN40" s="124"/>
      <c r="CO40" s="124"/>
      <c r="CP40" s="124"/>
      <c r="CQ40" s="124"/>
      <c r="CR40" s="124"/>
      <c r="CS40" s="124"/>
      <c r="CT40" s="124"/>
      <c r="CU40" s="124"/>
      <c r="CV40" s="124"/>
      <c r="CW40" s="124"/>
      <c r="CX40" s="124"/>
      <c r="CY40" s="124"/>
      <c r="CZ40" s="124"/>
      <c r="DA40" s="124"/>
      <c r="DB40" s="124"/>
      <c r="DC40" s="124"/>
      <c r="DD40" s="124"/>
      <c r="DE40" s="124"/>
      <c r="DF40" s="124"/>
      <c r="DG40" s="124"/>
      <c r="DH40" s="124"/>
      <c r="DI40" s="124"/>
      <c r="DJ40" s="124"/>
      <c r="DK40" s="124"/>
      <c r="DL40" s="124"/>
      <c r="DM40" s="124"/>
      <c r="DN40" s="124"/>
      <c r="DO40" s="124"/>
      <c r="DP40" s="124"/>
      <c r="DQ40" s="124"/>
      <c r="DR40" s="124"/>
      <c r="DS40" s="124"/>
      <c r="DT40" s="124"/>
      <c r="DU40" s="124"/>
      <c r="DV40" s="124"/>
      <c r="DW40" s="124"/>
      <c r="DX40" s="124"/>
      <c r="DY40" s="124"/>
      <c r="DZ40" s="124"/>
      <c r="EA40" s="124"/>
      <c r="EB40" s="124"/>
      <c r="EC40" s="124"/>
      <c r="ED40" s="124"/>
      <c r="EE40" s="124"/>
      <c r="EF40" s="124"/>
      <c r="EG40" s="124"/>
      <c r="EH40" s="124"/>
      <c r="EI40" s="124"/>
      <c r="EJ40" s="124"/>
      <c r="EK40" s="124"/>
      <c r="EL40" s="124"/>
    </row>
    <row r="41" customFormat="false" ht="12.75" hidden="false" customHeight="false" outlineLevel="0" collapsed="false">
      <c r="B41" s="214"/>
      <c r="C41" s="1186" t="s">
        <v>776</v>
      </c>
      <c r="D41" s="256" t="n">
        <f aca="false">IRR(D25:X25,0.05)</f>
        <v>-0.0381936070075242</v>
      </c>
      <c r="E41" s="100" t="n">
        <f aca="false">NPV((E34),D25:X25)</f>
        <v>-19384.482220224</v>
      </c>
      <c r="F41" s="1166"/>
      <c r="AI41" s="124"/>
      <c r="AJ41" s="124"/>
      <c r="AK41" s="124"/>
      <c r="AL41" s="124"/>
      <c r="AM41" s="124"/>
      <c r="AN41" s="124"/>
      <c r="AO41" s="124"/>
      <c r="AP41" s="124"/>
      <c r="AQ41" s="124"/>
      <c r="AR41" s="124"/>
      <c r="AS41" s="124"/>
      <c r="AT41" s="124"/>
      <c r="AU41" s="124"/>
      <c r="AV41" s="124"/>
      <c r="AW41" s="124"/>
      <c r="AX41" s="124"/>
      <c r="AY41" s="124"/>
      <c r="AZ41" s="124"/>
      <c r="BA41" s="124"/>
      <c r="BB41" s="124"/>
      <c r="BC41" s="124"/>
      <c r="BD41" s="124"/>
      <c r="BE41" s="124"/>
      <c r="BF41" s="124"/>
      <c r="BG41" s="124"/>
      <c r="BH41" s="124"/>
      <c r="BI41" s="124"/>
      <c r="BJ41" s="124"/>
      <c r="BK41" s="124"/>
      <c r="BL41" s="124"/>
      <c r="BM41" s="124"/>
      <c r="BN41" s="124"/>
      <c r="BO41" s="124"/>
      <c r="BP41" s="124"/>
      <c r="BQ41" s="124"/>
      <c r="BR41" s="124"/>
      <c r="BS41" s="124"/>
      <c r="BT41" s="124"/>
      <c r="BU41" s="124"/>
      <c r="BV41" s="124"/>
      <c r="BW41" s="124"/>
      <c r="BX41" s="124"/>
      <c r="BY41" s="124"/>
      <c r="BZ41" s="124"/>
      <c r="CA41" s="124"/>
      <c r="CB41" s="124"/>
      <c r="CC41" s="124"/>
      <c r="CD41" s="124"/>
      <c r="CE41" s="124"/>
      <c r="CF41" s="124"/>
      <c r="CG41" s="124"/>
      <c r="CH41" s="124"/>
      <c r="CI41" s="124"/>
      <c r="CJ41" s="124"/>
      <c r="CK41" s="124"/>
      <c r="CL41" s="124"/>
      <c r="CM41" s="124"/>
      <c r="CN41" s="124"/>
      <c r="CO41" s="124"/>
      <c r="CP41" s="124"/>
      <c r="CQ41" s="124"/>
      <c r="CR41" s="124"/>
      <c r="CS41" s="124"/>
      <c r="CT41" s="124"/>
      <c r="CU41" s="124"/>
      <c r="CV41" s="124"/>
      <c r="CW41" s="124"/>
      <c r="CX41" s="124"/>
      <c r="CY41" s="124"/>
      <c r="CZ41" s="124"/>
      <c r="DA41" s="124"/>
      <c r="DB41" s="124"/>
      <c r="DC41" s="124"/>
      <c r="DD41" s="124"/>
      <c r="DE41" s="124"/>
      <c r="DF41" s="124"/>
      <c r="DG41" s="124"/>
      <c r="DH41" s="124"/>
      <c r="DI41" s="124"/>
      <c r="DJ41" s="124"/>
      <c r="DK41" s="124"/>
      <c r="DL41" s="124"/>
      <c r="DM41" s="124"/>
      <c r="DN41" s="124"/>
      <c r="DO41" s="124"/>
      <c r="DP41" s="124"/>
      <c r="DQ41" s="124"/>
      <c r="DR41" s="124"/>
      <c r="DS41" s="124"/>
      <c r="DT41" s="124"/>
      <c r="DU41" s="124"/>
      <c r="DV41" s="124"/>
      <c r="DW41" s="124"/>
      <c r="DX41" s="124"/>
      <c r="DY41" s="124"/>
      <c r="DZ41" s="124"/>
      <c r="EA41" s="124"/>
      <c r="EB41" s="124"/>
      <c r="EC41" s="124"/>
      <c r="ED41" s="124"/>
      <c r="EE41" s="124"/>
      <c r="EF41" s="124"/>
      <c r="EG41" s="124"/>
      <c r="EH41" s="124"/>
      <c r="EI41" s="124"/>
      <c r="EJ41" s="124"/>
      <c r="EK41" s="124"/>
      <c r="EL41" s="124"/>
    </row>
    <row r="42" customFormat="false" ht="13.5" hidden="false" customHeight="false" outlineLevel="0" collapsed="false">
      <c r="B42" s="1189"/>
      <c r="C42" s="1190" t="s">
        <v>777</v>
      </c>
      <c r="D42" s="1191" t="n">
        <f aca="false">IRR(D25:AH25,0.05)</f>
        <v>-0.0381936070075242</v>
      </c>
      <c r="E42" s="730" t="n">
        <f aca="false">NPV((E34),D25:AH25)</f>
        <v>-19384.482220224</v>
      </c>
      <c r="F42" s="1192"/>
      <c r="M42" s="114"/>
      <c r="N42" s="275"/>
      <c r="O42" s="275"/>
      <c r="P42" s="275"/>
      <c r="Q42" s="275"/>
      <c r="R42" s="275"/>
      <c r="S42" s="275"/>
      <c r="T42" s="275"/>
      <c r="U42" s="275"/>
      <c r="V42" s="275"/>
      <c r="W42" s="275"/>
      <c r="X42" s="275"/>
      <c r="Y42" s="275"/>
      <c r="Z42" s="275"/>
      <c r="AA42" s="275"/>
      <c r="AB42" s="275"/>
      <c r="AC42" s="275"/>
      <c r="AD42" s="275"/>
      <c r="AE42" s="275"/>
      <c r="AF42" s="275"/>
      <c r="AG42" s="275"/>
      <c r="AH42" s="124"/>
      <c r="AI42" s="124"/>
      <c r="AJ42" s="124"/>
      <c r="AK42" s="124"/>
      <c r="AL42" s="124"/>
      <c r="AM42" s="124"/>
      <c r="AN42" s="124"/>
      <c r="AO42" s="124"/>
      <c r="AP42" s="124"/>
      <c r="AQ42" s="124"/>
      <c r="AR42" s="124"/>
      <c r="AS42" s="124"/>
      <c r="AT42" s="124"/>
      <c r="AU42" s="124"/>
      <c r="AV42" s="124"/>
      <c r="AW42" s="124"/>
      <c r="AX42" s="124"/>
      <c r="AY42" s="124"/>
      <c r="AZ42" s="124"/>
      <c r="BA42" s="124"/>
      <c r="BB42" s="124"/>
      <c r="BC42" s="124"/>
      <c r="BD42" s="124"/>
      <c r="BE42" s="124"/>
      <c r="BF42" s="124"/>
      <c r="BG42" s="124"/>
      <c r="BH42" s="124"/>
      <c r="BI42" s="124"/>
      <c r="BJ42" s="124"/>
      <c r="BK42" s="124"/>
      <c r="BL42" s="124"/>
      <c r="BM42" s="124"/>
      <c r="BN42" s="124"/>
      <c r="BO42" s="124"/>
      <c r="BP42" s="124"/>
      <c r="BQ42" s="124"/>
      <c r="BR42" s="124"/>
      <c r="BS42" s="124"/>
      <c r="BT42" s="124"/>
      <c r="BU42" s="124"/>
      <c r="BV42" s="124"/>
      <c r="BW42" s="124"/>
      <c r="BX42" s="124"/>
      <c r="BY42" s="124"/>
      <c r="BZ42" s="124"/>
      <c r="CA42" s="124"/>
      <c r="CB42" s="124"/>
      <c r="CC42" s="124"/>
      <c r="CD42" s="124"/>
      <c r="CE42" s="124"/>
      <c r="CF42" s="124"/>
      <c r="CG42" s="124"/>
      <c r="CH42" s="124"/>
      <c r="CI42" s="124"/>
      <c r="CJ42" s="124"/>
      <c r="CK42" s="124"/>
      <c r="CL42" s="124"/>
      <c r="CM42" s="124"/>
      <c r="CN42" s="124"/>
      <c r="CO42" s="124"/>
      <c r="CP42" s="124"/>
      <c r="CQ42" s="124"/>
      <c r="CR42" s="124"/>
      <c r="CS42" s="124"/>
      <c r="CT42" s="124"/>
      <c r="CU42" s="124"/>
      <c r="CV42" s="124"/>
      <c r="CW42" s="124"/>
      <c r="CX42" s="124"/>
      <c r="CY42" s="124"/>
      <c r="CZ42" s="124"/>
      <c r="DA42" s="124"/>
      <c r="DB42" s="124"/>
      <c r="DC42" s="124"/>
      <c r="DD42" s="124"/>
      <c r="DE42" s="124"/>
      <c r="DF42" s="124"/>
      <c r="DG42" s="124"/>
      <c r="DH42" s="124"/>
      <c r="DI42" s="124"/>
      <c r="DJ42" s="124"/>
      <c r="DK42" s="124"/>
      <c r="DL42" s="124"/>
      <c r="DM42" s="124"/>
      <c r="DN42" s="124"/>
      <c r="DO42" s="124"/>
      <c r="DP42" s="124"/>
      <c r="DQ42" s="124"/>
      <c r="DR42" s="124"/>
      <c r="DS42" s="124"/>
      <c r="DT42" s="124"/>
      <c r="DU42" s="124"/>
      <c r="DV42" s="124"/>
      <c r="DW42" s="124"/>
      <c r="DX42" s="124"/>
      <c r="DY42" s="124"/>
      <c r="DZ42" s="124"/>
      <c r="EA42" s="124"/>
      <c r="EB42" s="124"/>
      <c r="EC42" s="124"/>
      <c r="ED42" s="124"/>
      <c r="EE42" s="124"/>
      <c r="EF42" s="124"/>
      <c r="EG42" s="124"/>
      <c r="EH42" s="124"/>
      <c r="EI42" s="124"/>
      <c r="EJ42" s="124"/>
      <c r="EK42" s="124"/>
      <c r="EL42" s="124"/>
    </row>
    <row r="43" customFormat="false" ht="12.75" hidden="false" customHeight="false" outlineLevel="0" collapsed="false">
      <c r="B43" s="1193"/>
      <c r="C43" s="1184"/>
      <c r="F43" s="106"/>
      <c r="M43" s="114"/>
      <c r="N43" s="275"/>
      <c r="O43" s="275"/>
      <c r="P43" s="275"/>
      <c r="Q43" s="275"/>
      <c r="R43" s="275"/>
      <c r="S43" s="275"/>
      <c r="T43" s="275"/>
      <c r="U43" s="275"/>
      <c r="V43" s="275"/>
      <c r="W43" s="275"/>
      <c r="X43" s="275"/>
      <c r="Y43" s="275"/>
      <c r="Z43" s="275"/>
      <c r="AA43" s="275"/>
      <c r="AB43" s="275"/>
      <c r="AC43" s="275"/>
      <c r="AD43" s="275"/>
      <c r="AE43" s="275"/>
      <c r="AF43" s="275"/>
      <c r="AG43" s="275"/>
      <c r="AH43" s="124"/>
      <c r="AI43" s="124"/>
      <c r="AJ43" s="124"/>
      <c r="AK43" s="124"/>
      <c r="AL43" s="124"/>
      <c r="AM43" s="124"/>
      <c r="AN43" s="124"/>
      <c r="AO43" s="124"/>
      <c r="AP43" s="124"/>
      <c r="AQ43" s="124"/>
      <c r="AR43" s="124"/>
      <c r="AS43" s="124"/>
      <c r="AT43" s="124"/>
      <c r="AU43" s="124"/>
      <c r="AV43" s="124"/>
      <c r="AW43" s="124"/>
      <c r="AX43" s="124"/>
      <c r="AY43" s="124"/>
      <c r="AZ43" s="124"/>
      <c r="BA43" s="124"/>
      <c r="BB43" s="124"/>
      <c r="BC43" s="124"/>
      <c r="BD43" s="124"/>
      <c r="BE43" s="124"/>
      <c r="BF43" s="124"/>
      <c r="BG43" s="124"/>
      <c r="BH43" s="124"/>
      <c r="BI43" s="124"/>
      <c r="BJ43" s="124"/>
      <c r="BK43" s="124"/>
      <c r="BL43" s="124"/>
      <c r="BM43" s="124"/>
      <c r="BN43" s="124"/>
      <c r="BO43" s="124"/>
      <c r="BP43" s="124"/>
      <c r="BQ43" s="124"/>
      <c r="BR43" s="124"/>
      <c r="BS43" s="124"/>
      <c r="BT43" s="124"/>
      <c r="BU43" s="124"/>
      <c r="BV43" s="124"/>
      <c r="BW43" s="124"/>
      <c r="BX43" s="124"/>
      <c r="BY43" s="124"/>
      <c r="BZ43" s="124"/>
      <c r="CA43" s="124"/>
      <c r="CB43" s="124"/>
      <c r="CC43" s="124"/>
      <c r="CD43" s="124"/>
      <c r="CE43" s="124"/>
      <c r="CF43" s="124"/>
      <c r="CG43" s="124"/>
      <c r="CH43" s="124"/>
      <c r="CI43" s="124"/>
      <c r="CJ43" s="124"/>
      <c r="CK43" s="124"/>
      <c r="CL43" s="124"/>
      <c r="CM43" s="124"/>
      <c r="CN43" s="124"/>
      <c r="CO43" s="124"/>
      <c r="CP43" s="124"/>
      <c r="CQ43" s="124"/>
      <c r="CR43" s="124"/>
      <c r="CS43" s="124"/>
      <c r="CT43" s="124"/>
      <c r="CU43" s="124"/>
      <c r="CV43" s="124"/>
      <c r="CW43" s="124"/>
      <c r="CX43" s="124"/>
      <c r="CY43" s="124"/>
      <c r="CZ43" s="124"/>
      <c r="DA43" s="124"/>
      <c r="DB43" s="124"/>
      <c r="DC43" s="124"/>
      <c r="DD43" s="124"/>
      <c r="DE43" s="124"/>
      <c r="DF43" s="124"/>
      <c r="DG43" s="124"/>
      <c r="DH43" s="124"/>
      <c r="DI43" s="124"/>
      <c r="DJ43" s="124"/>
      <c r="DK43" s="124"/>
      <c r="DL43" s="124"/>
      <c r="DM43" s="124"/>
      <c r="DN43" s="124"/>
      <c r="DO43" s="124"/>
      <c r="DP43" s="124"/>
      <c r="DQ43" s="124"/>
      <c r="DR43" s="124"/>
      <c r="DS43" s="124"/>
      <c r="DT43" s="124"/>
      <c r="DU43" s="124"/>
      <c r="DV43" s="124"/>
      <c r="DW43" s="124"/>
      <c r="DX43" s="124"/>
      <c r="DY43" s="124"/>
      <c r="DZ43" s="124"/>
      <c r="EA43" s="124"/>
      <c r="EB43" s="124"/>
      <c r="EC43" s="124"/>
      <c r="ED43" s="124"/>
      <c r="EE43" s="124"/>
      <c r="EF43" s="124"/>
      <c r="EG43" s="124"/>
      <c r="EH43" s="124"/>
      <c r="EI43" s="124"/>
      <c r="EJ43" s="124"/>
      <c r="EK43" s="124"/>
      <c r="EL43" s="124"/>
    </row>
    <row r="44" customFormat="false" ht="12.75" hidden="false" customHeight="false" outlineLevel="0" collapsed="false">
      <c r="B44" s="1193"/>
      <c r="C44" s="1184"/>
      <c r="F44" s="114"/>
      <c r="M44" s="114"/>
      <c r="N44" s="275"/>
      <c r="O44" s="275"/>
      <c r="P44" s="275"/>
      <c r="Q44" s="275"/>
      <c r="R44" s="275"/>
      <c r="S44" s="275"/>
      <c r="T44" s="275"/>
      <c r="U44" s="275"/>
      <c r="V44" s="275"/>
      <c r="W44" s="275"/>
      <c r="X44" s="275"/>
      <c r="Y44" s="275"/>
      <c r="Z44" s="275"/>
      <c r="AA44" s="275"/>
      <c r="AB44" s="275"/>
      <c r="AC44" s="275"/>
      <c r="AD44" s="275"/>
      <c r="AE44" s="275"/>
      <c r="AF44" s="275"/>
      <c r="AG44" s="275"/>
      <c r="AH44" s="124"/>
      <c r="AI44" s="124"/>
      <c r="AJ44" s="124"/>
      <c r="AK44" s="124"/>
      <c r="AL44" s="124"/>
      <c r="AM44" s="124"/>
      <c r="AN44" s="124"/>
      <c r="AO44" s="124"/>
      <c r="AP44" s="124"/>
      <c r="AQ44" s="124"/>
      <c r="AR44" s="124"/>
      <c r="AS44" s="124"/>
      <c r="AT44" s="124"/>
      <c r="AU44" s="124"/>
      <c r="AV44" s="124"/>
      <c r="AW44" s="124"/>
      <c r="AX44" s="124"/>
      <c r="AY44" s="124"/>
      <c r="AZ44" s="124"/>
      <c r="BA44" s="124"/>
      <c r="BB44" s="124"/>
      <c r="BC44" s="124"/>
      <c r="BD44" s="124"/>
      <c r="BE44" s="124"/>
      <c r="BF44" s="124"/>
      <c r="BG44" s="124"/>
      <c r="BH44" s="124"/>
      <c r="BI44" s="124"/>
      <c r="BJ44" s="124"/>
      <c r="BK44" s="124"/>
      <c r="BL44" s="124"/>
      <c r="BM44" s="124"/>
      <c r="BN44" s="124"/>
      <c r="BO44" s="124"/>
      <c r="BP44" s="124"/>
      <c r="BQ44" s="124"/>
      <c r="BR44" s="124"/>
      <c r="BS44" s="124"/>
      <c r="BT44" s="124"/>
      <c r="BU44" s="124"/>
      <c r="BV44" s="124"/>
      <c r="BW44" s="124"/>
      <c r="BX44" s="124"/>
      <c r="BY44" s="124"/>
      <c r="BZ44" s="124"/>
      <c r="CA44" s="124"/>
      <c r="CB44" s="124"/>
      <c r="CC44" s="124"/>
      <c r="CD44" s="124"/>
      <c r="CE44" s="124"/>
      <c r="CF44" s="124"/>
      <c r="CG44" s="124"/>
      <c r="CH44" s="124"/>
      <c r="CI44" s="124"/>
      <c r="CJ44" s="124"/>
      <c r="CK44" s="124"/>
      <c r="CL44" s="124"/>
      <c r="CM44" s="124"/>
      <c r="CN44" s="124"/>
      <c r="CO44" s="124"/>
      <c r="CP44" s="124"/>
      <c r="CQ44" s="124"/>
      <c r="CR44" s="124"/>
      <c r="CS44" s="124"/>
      <c r="CT44" s="124"/>
      <c r="CU44" s="124"/>
      <c r="CV44" s="124"/>
      <c r="CW44" s="124"/>
      <c r="CX44" s="124"/>
      <c r="CY44" s="124"/>
      <c r="CZ44" s="124"/>
      <c r="DA44" s="124"/>
      <c r="DB44" s="124"/>
      <c r="DC44" s="124"/>
      <c r="DD44" s="124"/>
      <c r="DE44" s="124"/>
      <c r="DF44" s="124"/>
      <c r="DG44" s="124"/>
      <c r="DH44" s="124"/>
      <c r="DI44" s="124"/>
      <c r="DJ44" s="124"/>
      <c r="DK44" s="124"/>
      <c r="DL44" s="124"/>
      <c r="DM44" s="124"/>
      <c r="DN44" s="124"/>
      <c r="DO44" s="124"/>
      <c r="DP44" s="124"/>
      <c r="DQ44" s="124"/>
      <c r="DR44" s="124"/>
      <c r="DS44" s="124"/>
      <c r="DT44" s="124"/>
      <c r="DU44" s="124"/>
      <c r="DV44" s="124"/>
      <c r="DW44" s="124"/>
      <c r="DX44" s="124"/>
      <c r="DY44" s="124"/>
      <c r="DZ44" s="124"/>
      <c r="EA44" s="124"/>
      <c r="EB44" s="124"/>
      <c r="EC44" s="124"/>
      <c r="ED44" s="124"/>
      <c r="EE44" s="124"/>
      <c r="EF44" s="124"/>
      <c r="EG44" s="124"/>
      <c r="EH44" s="124"/>
      <c r="EI44" s="124"/>
      <c r="EJ44" s="124"/>
      <c r="EK44" s="124"/>
      <c r="EL44" s="124"/>
    </row>
    <row r="45" customFormat="false" ht="12.75" hidden="false" customHeight="false" outlineLevel="0" collapsed="false">
      <c r="B45" s="124"/>
      <c r="C45" s="124"/>
      <c r="D45" s="124"/>
      <c r="F45" s="1194"/>
      <c r="G45" s="1194"/>
      <c r="H45" s="1194"/>
      <c r="I45" s="1194"/>
      <c r="J45" s="1194"/>
      <c r="K45" s="1194"/>
      <c r="L45" s="1194"/>
      <c r="M45" s="1194"/>
      <c r="N45" s="1194"/>
      <c r="O45" s="1194"/>
      <c r="P45" s="1194"/>
      <c r="Q45" s="1194"/>
      <c r="R45" s="1194"/>
      <c r="S45" s="1194"/>
      <c r="T45" s="1194"/>
      <c r="U45" s="1194"/>
      <c r="V45" s="1194"/>
      <c r="W45" s="1194"/>
      <c r="X45" s="1194"/>
      <c r="Y45" s="1194"/>
      <c r="Z45" s="1194"/>
      <c r="AA45" s="1194"/>
      <c r="AB45" s="1194"/>
      <c r="AC45" s="1194"/>
      <c r="AD45" s="1194"/>
      <c r="AE45" s="1194"/>
      <c r="AF45" s="1194"/>
      <c r="AG45" s="1194"/>
      <c r="AH45" s="1194"/>
      <c r="AI45" s="1194"/>
      <c r="AJ45" s="124"/>
      <c r="AK45" s="124"/>
      <c r="AL45" s="124"/>
      <c r="AM45" s="124"/>
      <c r="AN45" s="124"/>
      <c r="AO45" s="124"/>
      <c r="AP45" s="124"/>
      <c r="AQ45" s="124"/>
      <c r="AR45" s="124"/>
      <c r="AS45" s="124"/>
      <c r="AT45" s="124"/>
      <c r="AU45" s="124"/>
      <c r="AV45" s="124"/>
      <c r="AW45" s="124"/>
      <c r="AX45" s="124"/>
      <c r="AY45" s="124"/>
      <c r="AZ45" s="124"/>
      <c r="BA45" s="124"/>
      <c r="BB45" s="124"/>
      <c r="BC45" s="124"/>
      <c r="BD45" s="124"/>
      <c r="BE45" s="124"/>
      <c r="BF45" s="124"/>
      <c r="BG45" s="124"/>
      <c r="BH45" s="124"/>
      <c r="BI45" s="124"/>
      <c r="BJ45" s="124"/>
      <c r="BK45" s="124"/>
      <c r="BL45" s="124"/>
      <c r="BM45" s="124"/>
      <c r="BN45" s="124"/>
      <c r="BO45" s="124"/>
      <c r="BP45" s="124"/>
      <c r="BQ45" s="124"/>
      <c r="BR45" s="124"/>
      <c r="BS45" s="124"/>
      <c r="BT45" s="124"/>
      <c r="BU45" s="124"/>
      <c r="BV45" s="124"/>
      <c r="BW45" s="124"/>
      <c r="BX45" s="124"/>
      <c r="BY45" s="124"/>
      <c r="BZ45" s="124"/>
      <c r="CA45" s="124"/>
      <c r="CB45" s="124"/>
      <c r="CC45" s="124"/>
      <c r="CD45" s="124"/>
      <c r="CE45" s="124"/>
      <c r="CF45" s="124"/>
      <c r="CG45" s="124"/>
      <c r="CH45" s="124"/>
      <c r="CI45" s="124"/>
      <c r="CJ45" s="124"/>
      <c r="CK45" s="124"/>
      <c r="CL45" s="124"/>
      <c r="CM45" s="124"/>
      <c r="CN45" s="124"/>
      <c r="CO45" s="124"/>
      <c r="CP45" s="124"/>
      <c r="CQ45" s="124"/>
      <c r="CR45" s="124"/>
      <c r="CS45" s="124"/>
      <c r="CT45" s="124"/>
      <c r="CU45" s="124"/>
      <c r="CV45" s="124"/>
      <c r="CW45" s="124"/>
      <c r="CX45" s="124"/>
      <c r="CY45" s="124"/>
      <c r="CZ45" s="124"/>
      <c r="DA45" s="124"/>
      <c r="DB45" s="124"/>
      <c r="DC45" s="124"/>
      <c r="DD45" s="124"/>
      <c r="DE45" s="124"/>
      <c r="DF45" s="124"/>
      <c r="DG45" s="124"/>
      <c r="DH45" s="124"/>
      <c r="DI45" s="124"/>
      <c r="DJ45" s="124"/>
      <c r="DK45" s="124"/>
      <c r="DL45" s="124"/>
      <c r="DM45" s="124"/>
      <c r="DN45" s="124"/>
      <c r="DO45" s="124"/>
      <c r="DP45" s="124"/>
      <c r="DQ45" s="124"/>
      <c r="DR45" s="124"/>
      <c r="DS45" s="124"/>
      <c r="DT45" s="124"/>
      <c r="DU45" s="124"/>
      <c r="DV45" s="124"/>
      <c r="DW45" s="124"/>
      <c r="DX45" s="124"/>
      <c r="DY45" s="124"/>
      <c r="DZ45" s="124"/>
      <c r="EA45" s="124"/>
      <c r="EB45" s="124"/>
      <c r="EC45" s="124"/>
      <c r="ED45" s="124"/>
      <c r="EE45" s="124"/>
      <c r="EF45" s="124"/>
      <c r="EG45" s="124"/>
      <c r="EH45" s="124"/>
      <c r="EI45" s="124"/>
      <c r="EJ45" s="124"/>
      <c r="EK45" s="124"/>
      <c r="EL45" s="124"/>
    </row>
    <row r="46" customFormat="false" ht="12.75" hidden="false" customHeight="false" outlineLevel="0" collapsed="false">
      <c r="B46" s="129" t="s">
        <v>778</v>
      </c>
      <c r="C46" s="124"/>
      <c r="D46" s="124" t="s">
        <v>426</v>
      </c>
      <c r="F46" s="1194"/>
      <c r="G46" s="1194"/>
      <c r="H46" s="1194"/>
      <c r="I46" s="1194"/>
      <c r="J46" s="1194"/>
      <c r="K46" s="1194"/>
      <c r="L46" s="1194"/>
      <c r="M46" s="1194"/>
      <c r="N46" s="1194"/>
      <c r="O46" s="1194"/>
      <c r="P46" s="1194"/>
      <c r="Q46" s="1194"/>
      <c r="R46" s="1194"/>
      <c r="S46" s="1194"/>
      <c r="T46" s="1194"/>
      <c r="U46" s="1194"/>
      <c r="V46" s="1194"/>
      <c r="W46" s="1194"/>
      <c r="X46" s="1194"/>
      <c r="Y46" s="1194"/>
      <c r="Z46" s="1194"/>
      <c r="AA46" s="1194"/>
      <c r="AB46" s="1194"/>
      <c r="AC46" s="1194"/>
      <c r="AD46" s="1194"/>
      <c r="AE46" s="1194"/>
      <c r="AF46" s="1194"/>
      <c r="AG46" s="1194"/>
      <c r="AH46" s="1194"/>
      <c r="AI46" s="1194"/>
      <c r="AJ46" s="124"/>
      <c r="AK46" s="124"/>
      <c r="AL46" s="124"/>
      <c r="AM46" s="124"/>
      <c r="AN46" s="124"/>
      <c r="AO46" s="124"/>
      <c r="AP46" s="124"/>
      <c r="AQ46" s="124"/>
      <c r="AR46" s="124"/>
      <c r="AS46" s="124"/>
      <c r="AT46" s="124"/>
      <c r="AU46" s="124"/>
      <c r="AV46" s="124"/>
      <c r="AW46" s="124"/>
      <c r="AX46" s="124"/>
      <c r="AY46" s="124"/>
      <c r="AZ46" s="124"/>
      <c r="BA46" s="124"/>
      <c r="BB46" s="124"/>
      <c r="BC46" s="124"/>
      <c r="BD46" s="124"/>
      <c r="BE46" s="124"/>
      <c r="BF46" s="124"/>
      <c r="BG46" s="124"/>
      <c r="BH46" s="124"/>
      <c r="BI46" s="124"/>
      <c r="BJ46" s="124"/>
      <c r="BK46" s="124"/>
      <c r="BL46" s="124"/>
      <c r="BM46" s="124"/>
      <c r="BN46" s="124"/>
      <c r="BO46" s="124"/>
      <c r="BP46" s="124"/>
      <c r="BQ46" s="124"/>
      <c r="BR46" s="124"/>
      <c r="BS46" s="124"/>
      <c r="BT46" s="124"/>
      <c r="BU46" s="124"/>
      <c r="BV46" s="124"/>
      <c r="BW46" s="124"/>
      <c r="BX46" s="124"/>
      <c r="BY46" s="124"/>
      <c r="BZ46" s="124"/>
      <c r="CA46" s="124"/>
      <c r="CB46" s="124"/>
      <c r="CC46" s="124"/>
      <c r="CD46" s="124"/>
      <c r="CE46" s="124"/>
      <c r="CF46" s="124"/>
      <c r="CG46" s="124"/>
      <c r="CH46" s="124"/>
      <c r="CI46" s="124"/>
      <c r="CJ46" s="124"/>
      <c r="CK46" s="124"/>
      <c r="CL46" s="124"/>
      <c r="CM46" s="124"/>
      <c r="CN46" s="124"/>
      <c r="CO46" s="124"/>
      <c r="CP46" s="124"/>
      <c r="CQ46" s="124"/>
      <c r="CR46" s="124"/>
      <c r="CS46" s="124"/>
      <c r="CT46" s="124"/>
      <c r="CU46" s="124"/>
      <c r="CV46" s="124"/>
      <c r="CW46" s="124"/>
      <c r="CX46" s="124"/>
      <c r="CY46" s="124"/>
      <c r="CZ46" s="124"/>
      <c r="DA46" s="124"/>
      <c r="DB46" s="124"/>
      <c r="DC46" s="124"/>
      <c r="DD46" s="124"/>
      <c r="DE46" s="124"/>
      <c r="DF46" s="124"/>
      <c r="DG46" s="124"/>
      <c r="DH46" s="124"/>
      <c r="DI46" s="124"/>
      <c r="DJ46" s="124"/>
      <c r="DK46" s="124"/>
      <c r="DL46" s="124"/>
      <c r="DM46" s="124"/>
      <c r="DN46" s="124"/>
      <c r="DO46" s="124"/>
      <c r="DP46" s="124"/>
      <c r="DQ46" s="124"/>
      <c r="DR46" s="124"/>
      <c r="DS46" s="124"/>
      <c r="DT46" s="124"/>
      <c r="DU46" s="124"/>
      <c r="DV46" s="124"/>
      <c r="DW46" s="124"/>
      <c r="DX46" s="124"/>
      <c r="DY46" s="124"/>
      <c r="DZ46" s="124"/>
      <c r="EA46" s="124"/>
      <c r="EB46" s="124"/>
      <c r="EC46" s="124"/>
      <c r="ED46" s="124"/>
      <c r="EE46" s="124"/>
      <c r="EF46" s="124"/>
      <c r="EG46" s="124"/>
      <c r="EH46" s="124"/>
      <c r="EI46" s="124"/>
      <c r="EJ46" s="124"/>
      <c r="EK46" s="124"/>
      <c r="EL46" s="124"/>
    </row>
    <row r="47" customFormat="false" ht="12.75" hidden="false" customHeight="false" outlineLevel="0" collapsed="false">
      <c r="B47" s="124"/>
      <c r="C47" s="124"/>
      <c r="D47" s="1195" t="n">
        <f aca="false">Assum!F24</f>
        <v>35795</v>
      </c>
      <c r="E47" s="1196" t="n">
        <f aca="false">IF(Assum!$F$25-274&lt;D47,D47,Assum!$F$25-274)</f>
        <v>35885</v>
      </c>
      <c r="F47" s="1197" t="n">
        <f aca="false">Assum!F25+365-274</f>
        <v>36250</v>
      </c>
      <c r="G47" s="1197" t="n">
        <f aca="false">EDATE(F50,3)</f>
        <v>36616</v>
      </c>
      <c r="H47" s="1197" t="n">
        <f aca="false">EDATE(G50,3)</f>
        <v>36981</v>
      </c>
      <c r="I47" s="1197" t="n">
        <f aca="false">EDATE(H50,3)</f>
        <v>37346</v>
      </c>
      <c r="J47" s="1197" t="n">
        <f aca="false">EDATE(I50,3)</f>
        <v>37711</v>
      </c>
      <c r="K47" s="1197" t="n">
        <f aca="false">EDATE(J50,3)</f>
        <v>38077</v>
      </c>
      <c r="L47" s="1197" t="n">
        <f aca="false">EDATE(K50,3)</f>
        <v>38442</v>
      </c>
      <c r="M47" s="1197" t="n">
        <f aca="false">EDATE(L50,3)</f>
        <v>38807</v>
      </c>
      <c r="N47" s="1197" t="n">
        <f aca="false">EDATE(M50,3)</f>
        <v>39172</v>
      </c>
      <c r="O47" s="1197" t="n">
        <f aca="false">EDATE(N50,3)</f>
        <v>39538</v>
      </c>
      <c r="P47" s="1197" t="n">
        <f aca="false">EDATE(O50,3)</f>
        <v>39903</v>
      </c>
      <c r="Q47" s="1197" t="n">
        <f aca="false">EDATE(P50,3)</f>
        <v>40268</v>
      </c>
      <c r="R47" s="1197" t="n">
        <f aca="false">EDATE(Q50,3)</f>
        <v>40633</v>
      </c>
      <c r="S47" s="1197" t="n">
        <f aca="false">EDATE(R50,3)</f>
        <v>40999</v>
      </c>
      <c r="T47" s="1197" t="n">
        <f aca="false">EDATE(S50,3)</f>
        <v>41364</v>
      </c>
      <c r="U47" s="1197" t="n">
        <f aca="false">EDATE(T50,3)</f>
        <v>41729</v>
      </c>
      <c r="V47" s="1197" t="n">
        <f aca="false">EDATE(U50,3)</f>
        <v>42094</v>
      </c>
      <c r="W47" s="1197" t="n">
        <f aca="false">EDATE(V50,3)</f>
        <v>42460</v>
      </c>
      <c r="X47" s="1197" t="n">
        <f aca="false">EDATE(W50,3)</f>
        <v>42825</v>
      </c>
      <c r="Y47" s="1197" t="n">
        <f aca="false">EDATE(X50,3)</f>
        <v>43190</v>
      </c>
      <c r="Z47" s="1197" t="n">
        <f aca="false">EDATE(Y50,3)</f>
        <v>43555</v>
      </c>
      <c r="AA47" s="1197" t="n">
        <f aca="false">EDATE(Z50,3)</f>
        <v>43921</v>
      </c>
      <c r="AB47" s="1197" t="n">
        <f aca="false">EDATE(AA50,3)</f>
        <v>44286</v>
      </c>
      <c r="AC47" s="1197" t="n">
        <f aca="false">EDATE(AB50,3)</f>
        <v>44651</v>
      </c>
      <c r="AD47" s="1197" t="n">
        <f aca="false">EDATE(AC50,3)</f>
        <v>45016</v>
      </c>
      <c r="AE47" s="1197" t="n">
        <f aca="false">EDATE(AD50,3)</f>
        <v>45382</v>
      </c>
      <c r="AF47" s="1197" t="n">
        <f aca="false">EDATE(AE50,3)</f>
        <v>45747</v>
      </c>
      <c r="AG47" s="1197" t="n">
        <f aca="false">EDATE(AF50,3)</f>
        <v>46112</v>
      </c>
      <c r="AH47" s="1197" t="n">
        <f aca="false">EDATE(AG50,3)</f>
        <v>46477</v>
      </c>
      <c r="AI47" s="1197" t="n">
        <f aca="false">EDATE(AH50,3)</f>
        <v>46843</v>
      </c>
      <c r="AJ47" s="124"/>
      <c r="AK47" s="124"/>
      <c r="AL47" s="124"/>
      <c r="AM47" s="124"/>
      <c r="AN47" s="124"/>
      <c r="AO47" s="124"/>
      <c r="AP47" s="124"/>
      <c r="AQ47" s="124"/>
      <c r="AR47" s="124"/>
      <c r="AS47" s="124"/>
      <c r="AT47" s="124"/>
      <c r="AU47" s="124"/>
      <c r="AV47" s="124"/>
      <c r="AW47" s="124"/>
      <c r="AX47" s="124"/>
      <c r="AY47" s="124"/>
      <c r="AZ47" s="124"/>
      <c r="BA47" s="124"/>
      <c r="BB47" s="124"/>
      <c r="BC47" s="124"/>
      <c r="BD47" s="124"/>
      <c r="BE47" s="124"/>
      <c r="BF47" s="124"/>
      <c r="BG47" s="124"/>
      <c r="BH47" s="124"/>
      <c r="BI47" s="124"/>
      <c r="BJ47" s="124"/>
      <c r="BK47" s="124"/>
      <c r="BL47" s="124"/>
      <c r="BM47" s="124"/>
      <c r="BN47" s="124"/>
      <c r="BO47" s="124"/>
      <c r="BP47" s="124"/>
      <c r="BQ47" s="124"/>
      <c r="BR47" s="124"/>
      <c r="BS47" s="124"/>
      <c r="BT47" s="124"/>
      <c r="BU47" s="124"/>
      <c r="BV47" s="124"/>
      <c r="BW47" s="124"/>
      <c r="BX47" s="124"/>
      <c r="BY47" s="124"/>
      <c r="BZ47" s="124"/>
      <c r="CA47" s="124"/>
      <c r="CB47" s="124"/>
      <c r="CC47" s="124"/>
      <c r="CD47" s="124"/>
      <c r="CE47" s="124"/>
      <c r="CF47" s="124"/>
      <c r="CG47" s="124"/>
      <c r="CH47" s="124"/>
      <c r="CI47" s="124"/>
      <c r="CJ47" s="124"/>
      <c r="CK47" s="124"/>
      <c r="CL47" s="124"/>
      <c r="CM47" s="124"/>
      <c r="CN47" s="124"/>
      <c r="CO47" s="124"/>
      <c r="CP47" s="124"/>
      <c r="CQ47" s="124"/>
      <c r="CR47" s="124"/>
      <c r="CS47" s="124"/>
      <c r="CT47" s="124"/>
      <c r="CU47" s="124"/>
      <c r="CV47" s="124"/>
      <c r="CW47" s="124"/>
      <c r="CX47" s="124"/>
      <c r="CY47" s="124"/>
      <c r="CZ47" s="124"/>
      <c r="DA47" s="124"/>
      <c r="DB47" s="124"/>
      <c r="DC47" s="124"/>
      <c r="DD47" s="124"/>
      <c r="DE47" s="124"/>
      <c r="DF47" s="124"/>
      <c r="DG47" s="124"/>
      <c r="DH47" s="124"/>
      <c r="DI47" s="124"/>
      <c r="DJ47" s="124"/>
      <c r="DK47" s="124"/>
      <c r="DL47" s="124"/>
      <c r="DM47" s="124"/>
      <c r="DN47" s="124"/>
      <c r="DO47" s="124"/>
      <c r="DP47" s="124"/>
      <c r="DQ47" s="124"/>
      <c r="DR47" s="124"/>
      <c r="DS47" s="124"/>
      <c r="DT47" s="124"/>
      <c r="DU47" s="124"/>
      <c r="DV47" s="124"/>
      <c r="DW47" s="124"/>
      <c r="DX47" s="124"/>
      <c r="DY47" s="124"/>
      <c r="DZ47" s="124"/>
      <c r="EA47" s="124"/>
      <c r="EB47" s="124"/>
      <c r="EC47" s="124"/>
      <c r="ED47" s="124"/>
      <c r="EE47" s="124"/>
      <c r="EF47" s="124"/>
      <c r="EG47" s="124"/>
      <c r="EH47" s="124"/>
      <c r="EI47" s="124"/>
      <c r="EJ47" s="124"/>
      <c r="EK47" s="124"/>
      <c r="EL47" s="124"/>
    </row>
    <row r="48" customFormat="false" ht="12.75" hidden="false" customHeight="false" outlineLevel="0" collapsed="false">
      <c r="B48" s="124"/>
      <c r="C48" s="124"/>
      <c r="D48" s="1198" t="n">
        <f aca="false">$D$47</f>
        <v>35795</v>
      </c>
      <c r="E48" s="1199" t="n">
        <f aca="false">IF(Assum!$F$25-182&lt;D48,D48,Assum!$F$25-182)</f>
        <v>35977</v>
      </c>
      <c r="F48" s="1200" t="n">
        <f aca="false">EDATE(F47,3)</f>
        <v>36341</v>
      </c>
      <c r="G48" s="1200" t="n">
        <f aca="false">EDATE(G47,3)</f>
        <v>36707</v>
      </c>
      <c r="H48" s="1200" t="n">
        <f aca="false">EDATE(H47,3)</f>
        <v>37072</v>
      </c>
      <c r="I48" s="1200" t="n">
        <f aca="false">EDATE(I47,3)</f>
        <v>37437</v>
      </c>
      <c r="J48" s="1200" t="n">
        <f aca="false">EDATE(J47,3)</f>
        <v>37802</v>
      </c>
      <c r="K48" s="1200" t="n">
        <f aca="false">EDATE(K47,3)</f>
        <v>38168</v>
      </c>
      <c r="L48" s="1200" t="n">
        <f aca="false">EDATE(L47,3)</f>
        <v>38533</v>
      </c>
      <c r="M48" s="1200" t="n">
        <f aca="false">EDATE(M47,3)</f>
        <v>38898</v>
      </c>
      <c r="N48" s="1200" t="n">
        <f aca="false">EDATE(N47,3)</f>
        <v>39263</v>
      </c>
      <c r="O48" s="1200" t="n">
        <f aca="false">EDATE(O47,3)</f>
        <v>39629</v>
      </c>
      <c r="P48" s="1200" t="n">
        <f aca="false">EDATE(P47,3)</f>
        <v>39994</v>
      </c>
      <c r="Q48" s="1200" t="n">
        <f aca="false">EDATE(Q47,3)</f>
        <v>40359</v>
      </c>
      <c r="R48" s="1200" t="n">
        <f aca="false">EDATE(R47,3)</f>
        <v>40724</v>
      </c>
      <c r="S48" s="1200" t="n">
        <f aca="false">EDATE(S47,3)</f>
        <v>41090</v>
      </c>
      <c r="T48" s="1200" t="n">
        <f aca="false">EDATE(T47,3)</f>
        <v>41455</v>
      </c>
      <c r="U48" s="1200" t="n">
        <f aca="false">EDATE(U47,3)</f>
        <v>41820</v>
      </c>
      <c r="V48" s="1200" t="n">
        <f aca="false">EDATE(V47,3)</f>
        <v>42185</v>
      </c>
      <c r="W48" s="1200" t="n">
        <f aca="false">EDATE(W47,3)</f>
        <v>42551</v>
      </c>
      <c r="X48" s="1200" t="n">
        <f aca="false">EDATE(X47,3)</f>
        <v>42916</v>
      </c>
      <c r="Y48" s="1200" t="n">
        <f aca="false">EDATE(Y47,3)</f>
        <v>43281</v>
      </c>
      <c r="Z48" s="1200" t="n">
        <f aca="false">EDATE(Z47,3)</f>
        <v>43646</v>
      </c>
      <c r="AA48" s="1200" t="n">
        <f aca="false">EDATE(AA47,3)</f>
        <v>44012</v>
      </c>
      <c r="AB48" s="1200" t="n">
        <f aca="false">EDATE(AB47,3)</f>
        <v>44377</v>
      </c>
      <c r="AC48" s="1200" t="n">
        <f aca="false">EDATE(AC47,3)</f>
        <v>44742</v>
      </c>
      <c r="AD48" s="1200" t="n">
        <f aca="false">EDATE(AD47,3)</f>
        <v>45107</v>
      </c>
      <c r="AE48" s="1200" t="n">
        <f aca="false">EDATE(AE47,3)</f>
        <v>45473</v>
      </c>
      <c r="AF48" s="1200" t="n">
        <f aca="false">EDATE(AF47,3)</f>
        <v>45838</v>
      </c>
      <c r="AG48" s="1200" t="n">
        <f aca="false">EDATE(AG47,3)</f>
        <v>46203</v>
      </c>
      <c r="AH48" s="1200" t="n">
        <f aca="false">EDATE(AH47,3)</f>
        <v>46568</v>
      </c>
      <c r="AI48" s="1201" t="n">
        <f aca="false">EDATE(AI47,3)</f>
        <v>46934</v>
      </c>
      <c r="AJ48" s="124"/>
      <c r="AK48" s="124"/>
      <c r="AL48" s="124"/>
      <c r="AM48" s="124"/>
      <c r="AN48" s="124"/>
      <c r="AO48" s="124"/>
      <c r="AP48" s="124"/>
      <c r="AQ48" s="124"/>
      <c r="AR48" s="124"/>
      <c r="AS48" s="124"/>
      <c r="AT48" s="124"/>
      <c r="AU48" s="124"/>
      <c r="AV48" s="124"/>
      <c r="AW48" s="124"/>
      <c r="AX48" s="124"/>
      <c r="AY48" s="124"/>
      <c r="AZ48" s="124"/>
      <c r="BA48" s="124"/>
      <c r="BB48" s="124"/>
      <c r="BC48" s="124"/>
      <c r="BD48" s="124"/>
      <c r="BE48" s="124"/>
      <c r="BF48" s="124"/>
      <c r="BG48" s="124"/>
      <c r="BH48" s="124"/>
      <c r="BI48" s="124"/>
      <c r="BJ48" s="124"/>
      <c r="BK48" s="124"/>
      <c r="BL48" s="124"/>
      <c r="BM48" s="124"/>
      <c r="BN48" s="124"/>
      <c r="BO48" s="124"/>
      <c r="BP48" s="124"/>
      <c r="BQ48" s="124"/>
      <c r="BR48" s="124"/>
      <c r="BS48" s="124"/>
      <c r="BT48" s="124"/>
      <c r="BU48" s="124"/>
      <c r="BV48" s="124"/>
      <c r="BW48" s="124"/>
      <c r="BX48" s="124"/>
      <c r="BY48" s="124"/>
      <c r="BZ48" s="124"/>
      <c r="CA48" s="124"/>
      <c r="CB48" s="124"/>
      <c r="CC48" s="124"/>
      <c r="CD48" s="124"/>
      <c r="CE48" s="124"/>
      <c r="CF48" s="124"/>
      <c r="CG48" s="124"/>
      <c r="CH48" s="124"/>
      <c r="CI48" s="124"/>
      <c r="CJ48" s="124"/>
      <c r="CK48" s="124"/>
      <c r="CL48" s="124"/>
      <c r="CM48" s="124"/>
      <c r="CN48" s="124"/>
      <c r="CO48" s="124"/>
      <c r="CP48" s="124"/>
      <c r="CQ48" s="124"/>
      <c r="CR48" s="124"/>
      <c r="CS48" s="124"/>
      <c r="CT48" s="124"/>
      <c r="CU48" s="124"/>
      <c r="CV48" s="124"/>
      <c r="CW48" s="124"/>
      <c r="CX48" s="124"/>
      <c r="CY48" s="124"/>
      <c r="CZ48" s="124"/>
      <c r="DA48" s="124"/>
      <c r="DB48" s="124"/>
      <c r="DC48" s="124"/>
      <c r="DD48" s="124"/>
      <c r="DE48" s="124"/>
      <c r="DF48" s="124"/>
      <c r="DG48" s="124"/>
      <c r="DH48" s="124"/>
      <c r="DI48" s="124"/>
      <c r="DJ48" s="124"/>
      <c r="DK48" s="124"/>
      <c r="DL48" s="124"/>
      <c r="DM48" s="124"/>
      <c r="DN48" s="124"/>
      <c r="DO48" s="124"/>
      <c r="DP48" s="124"/>
      <c r="DQ48" s="124"/>
      <c r="DR48" s="124"/>
      <c r="DS48" s="124"/>
      <c r="DT48" s="124"/>
      <c r="DU48" s="124"/>
      <c r="DV48" s="124"/>
      <c r="DW48" s="124"/>
      <c r="DX48" s="124"/>
      <c r="DY48" s="124"/>
      <c r="DZ48" s="124"/>
      <c r="EA48" s="124"/>
      <c r="EB48" s="124"/>
      <c r="EC48" s="124"/>
      <c r="ED48" s="124"/>
      <c r="EE48" s="124"/>
      <c r="EF48" s="124"/>
      <c r="EG48" s="124"/>
      <c r="EH48" s="124"/>
      <c r="EI48" s="124"/>
      <c r="EJ48" s="124"/>
      <c r="EK48" s="124"/>
      <c r="EL48" s="124"/>
    </row>
    <row r="49" customFormat="false" ht="12.75" hidden="false" customHeight="false" outlineLevel="0" collapsed="false">
      <c r="B49" s="124"/>
      <c r="C49" s="124"/>
      <c r="D49" s="1198" t="n">
        <f aca="false">$D$47</f>
        <v>35795</v>
      </c>
      <c r="E49" s="1199" t="n">
        <f aca="false">IF(Assum!$F$25-92&lt;D49,D49,Assum!$F$25-92)</f>
        <v>36067</v>
      </c>
      <c r="F49" s="1200" t="n">
        <f aca="false">EDATE(F48,3)</f>
        <v>36433</v>
      </c>
      <c r="G49" s="1200" t="n">
        <f aca="false">EDATE(G48,3)</f>
        <v>36799</v>
      </c>
      <c r="H49" s="1200" t="n">
        <f aca="false">EDATE(H48,3)</f>
        <v>37164</v>
      </c>
      <c r="I49" s="1200" t="n">
        <f aca="false">EDATE(I48,3)</f>
        <v>37529</v>
      </c>
      <c r="J49" s="1200" t="n">
        <f aca="false">EDATE(J48,3)</f>
        <v>37894</v>
      </c>
      <c r="K49" s="1200" t="n">
        <f aca="false">EDATE(K48,3)</f>
        <v>38260</v>
      </c>
      <c r="L49" s="1200" t="n">
        <f aca="false">EDATE(L48,3)</f>
        <v>38625</v>
      </c>
      <c r="M49" s="1200" t="n">
        <f aca="false">EDATE(M48,3)</f>
        <v>38990</v>
      </c>
      <c r="N49" s="1200" t="n">
        <f aca="false">EDATE(N48,3)</f>
        <v>39355</v>
      </c>
      <c r="O49" s="1200" t="n">
        <f aca="false">EDATE(O48,3)</f>
        <v>39721</v>
      </c>
      <c r="P49" s="1200" t="n">
        <f aca="false">EDATE(P48,3)</f>
        <v>40086</v>
      </c>
      <c r="Q49" s="1200" t="n">
        <f aca="false">EDATE(Q48,3)</f>
        <v>40451</v>
      </c>
      <c r="R49" s="1200" t="n">
        <f aca="false">EDATE(R48,3)</f>
        <v>40816</v>
      </c>
      <c r="S49" s="1200" t="n">
        <f aca="false">EDATE(S48,3)</f>
        <v>41182</v>
      </c>
      <c r="T49" s="1200" t="n">
        <f aca="false">EDATE(T48,3)</f>
        <v>41547</v>
      </c>
      <c r="U49" s="1200" t="n">
        <f aca="false">EDATE(U48,3)</f>
        <v>41912</v>
      </c>
      <c r="V49" s="1200" t="n">
        <f aca="false">EDATE(V48,3)</f>
        <v>42277</v>
      </c>
      <c r="W49" s="1200" t="n">
        <f aca="false">EDATE(W48,3)</f>
        <v>42643</v>
      </c>
      <c r="X49" s="1200" t="n">
        <f aca="false">EDATE(X48,3)</f>
        <v>43008</v>
      </c>
      <c r="Y49" s="1200" t="n">
        <f aca="false">EDATE(Y48,3)</f>
        <v>43373</v>
      </c>
      <c r="Z49" s="1200" t="n">
        <f aca="false">EDATE(Z48,3)</f>
        <v>43738</v>
      </c>
      <c r="AA49" s="1200" t="n">
        <f aca="false">EDATE(AA48,3)</f>
        <v>44104</v>
      </c>
      <c r="AB49" s="1200" t="n">
        <f aca="false">EDATE(AB48,3)</f>
        <v>44469</v>
      </c>
      <c r="AC49" s="1200" t="n">
        <f aca="false">EDATE(AC48,3)</f>
        <v>44834</v>
      </c>
      <c r="AD49" s="1200" t="n">
        <f aca="false">EDATE(AD48,3)</f>
        <v>45199</v>
      </c>
      <c r="AE49" s="1200" t="n">
        <f aca="false">EDATE(AE48,3)</f>
        <v>45565</v>
      </c>
      <c r="AF49" s="1200" t="n">
        <f aca="false">EDATE(AF48,3)</f>
        <v>45930</v>
      </c>
      <c r="AG49" s="1200" t="n">
        <f aca="false">EDATE(AG48,3)</f>
        <v>46295</v>
      </c>
      <c r="AH49" s="1200" t="n">
        <f aca="false">EDATE(AH48,3)</f>
        <v>46660</v>
      </c>
      <c r="AI49" s="1200" t="n">
        <f aca="false">EDATE(AI48,3)</f>
        <v>47026</v>
      </c>
      <c r="AJ49" s="124"/>
      <c r="AK49" s="124"/>
      <c r="AL49" s="124"/>
      <c r="AM49" s="124"/>
      <c r="AN49" s="124"/>
      <c r="AO49" s="124"/>
      <c r="AP49" s="124"/>
      <c r="AQ49" s="124"/>
      <c r="AR49" s="124"/>
      <c r="AS49" s="124"/>
      <c r="AT49" s="124"/>
      <c r="AU49" s="124"/>
      <c r="AV49" s="124"/>
      <c r="AW49" s="124"/>
      <c r="AX49" s="124"/>
      <c r="AY49" s="124"/>
      <c r="AZ49" s="124"/>
      <c r="BA49" s="124"/>
      <c r="BB49" s="124"/>
      <c r="BC49" s="124"/>
      <c r="BD49" s="124"/>
      <c r="BE49" s="124"/>
      <c r="BF49" s="124"/>
      <c r="BG49" s="124"/>
      <c r="BH49" s="124"/>
      <c r="BI49" s="124"/>
      <c r="BJ49" s="124"/>
      <c r="BK49" s="124"/>
      <c r="BL49" s="124"/>
      <c r="BM49" s="124"/>
      <c r="BN49" s="124"/>
      <c r="BO49" s="124"/>
      <c r="BP49" s="124"/>
      <c r="BQ49" s="124"/>
      <c r="BR49" s="124"/>
      <c r="BS49" s="124"/>
      <c r="BT49" s="124"/>
      <c r="BU49" s="124"/>
      <c r="BV49" s="124"/>
      <c r="BW49" s="124"/>
      <c r="BX49" s="124"/>
      <c r="BY49" s="124"/>
      <c r="BZ49" s="124"/>
      <c r="CA49" s="124"/>
      <c r="CB49" s="124"/>
      <c r="CC49" s="124"/>
      <c r="CD49" s="124"/>
      <c r="CE49" s="124"/>
      <c r="CF49" s="124"/>
      <c r="CG49" s="124"/>
      <c r="CH49" s="124"/>
      <c r="CI49" s="124"/>
      <c r="CJ49" s="124"/>
      <c r="CK49" s="124"/>
      <c r="CL49" s="124"/>
      <c r="CM49" s="124"/>
      <c r="CN49" s="124"/>
      <c r="CO49" s="124"/>
      <c r="CP49" s="124"/>
      <c r="CQ49" s="124"/>
      <c r="CR49" s="124"/>
      <c r="CS49" s="124"/>
      <c r="CT49" s="124"/>
      <c r="CU49" s="124"/>
      <c r="CV49" s="124"/>
      <c r="CW49" s="124"/>
      <c r="CX49" s="124"/>
      <c r="CY49" s="124"/>
      <c r="CZ49" s="124"/>
      <c r="DA49" s="124"/>
      <c r="DB49" s="124"/>
      <c r="DC49" s="124"/>
      <c r="DD49" s="124"/>
      <c r="DE49" s="124"/>
      <c r="DF49" s="124"/>
      <c r="DG49" s="124"/>
      <c r="DH49" s="124"/>
      <c r="DI49" s="124"/>
      <c r="DJ49" s="124"/>
      <c r="DK49" s="124"/>
      <c r="DL49" s="124"/>
      <c r="DM49" s="124"/>
      <c r="DN49" s="124"/>
      <c r="DO49" s="124"/>
      <c r="DP49" s="124"/>
      <c r="DQ49" s="124"/>
      <c r="DR49" s="124"/>
      <c r="DS49" s="124"/>
      <c r="DT49" s="124"/>
      <c r="DU49" s="124"/>
      <c r="DV49" s="124"/>
      <c r="DW49" s="124"/>
      <c r="DX49" s="124"/>
      <c r="DY49" s="124"/>
      <c r="DZ49" s="124"/>
      <c r="EA49" s="124"/>
      <c r="EB49" s="124"/>
      <c r="EC49" s="124"/>
      <c r="ED49" s="124"/>
      <c r="EE49" s="124"/>
      <c r="EF49" s="124"/>
      <c r="EG49" s="124"/>
      <c r="EH49" s="124"/>
      <c r="EI49" s="124"/>
      <c r="EJ49" s="124"/>
      <c r="EK49" s="124"/>
      <c r="EL49" s="124"/>
    </row>
    <row r="50" customFormat="false" ht="12.75" hidden="false" customHeight="false" outlineLevel="0" collapsed="false">
      <c r="B50" s="124"/>
      <c r="C50" s="124"/>
      <c r="D50" s="1198" t="n">
        <f aca="false">$D$47</f>
        <v>35795</v>
      </c>
      <c r="E50" s="1202" t="n">
        <f aca="false">IF(Assum!$F$25+1&lt;D50,D50,Assum!$F$25+1)</f>
        <v>36160</v>
      </c>
      <c r="F50" s="1200" t="n">
        <f aca="false">EDATE(F49,3)</f>
        <v>36525</v>
      </c>
      <c r="G50" s="1200" t="n">
        <f aca="false">EDATE(G49,3)</f>
        <v>36891</v>
      </c>
      <c r="H50" s="1200" t="n">
        <f aca="false">EDATE(H49,3)</f>
        <v>37256</v>
      </c>
      <c r="I50" s="1200" t="n">
        <f aca="false">EDATE(I49,3)</f>
        <v>37621</v>
      </c>
      <c r="J50" s="1200" t="n">
        <f aca="false">EDATE(J49,3)</f>
        <v>37986</v>
      </c>
      <c r="K50" s="1200" t="n">
        <f aca="false">EDATE(K49,3)</f>
        <v>38352</v>
      </c>
      <c r="L50" s="1200" t="n">
        <f aca="false">EDATE(L49,3)</f>
        <v>38717</v>
      </c>
      <c r="M50" s="1200" t="n">
        <f aca="false">EDATE(M49,3)</f>
        <v>39082</v>
      </c>
      <c r="N50" s="1200" t="n">
        <f aca="false">EDATE(N49,3)</f>
        <v>39447</v>
      </c>
      <c r="O50" s="1200" t="n">
        <f aca="false">EDATE(O49,3)</f>
        <v>39813</v>
      </c>
      <c r="P50" s="1200" t="n">
        <f aca="false">EDATE(P49,3)</f>
        <v>40178</v>
      </c>
      <c r="Q50" s="1200" t="n">
        <f aca="false">EDATE(Q49,3)</f>
        <v>40543</v>
      </c>
      <c r="R50" s="1200" t="n">
        <f aca="false">EDATE(R49,3)</f>
        <v>40908</v>
      </c>
      <c r="S50" s="1200" t="n">
        <f aca="false">EDATE(S49,3)</f>
        <v>41274</v>
      </c>
      <c r="T50" s="1200" t="n">
        <f aca="false">EDATE(T49,3)</f>
        <v>41639</v>
      </c>
      <c r="U50" s="1200" t="n">
        <f aca="false">EDATE(U49,3)</f>
        <v>42004</v>
      </c>
      <c r="V50" s="1200" t="n">
        <f aca="false">EDATE(V49,3)</f>
        <v>42369</v>
      </c>
      <c r="W50" s="1200" t="n">
        <f aca="false">EDATE(W49,3)</f>
        <v>42735</v>
      </c>
      <c r="X50" s="1200" t="n">
        <f aca="false">EDATE(X49,3)</f>
        <v>43100</v>
      </c>
      <c r="Y50" s="1200" t="n">
        <f aca="false">EDATE(Y49,3)</f>
        <v>43465</v>
      </c>
      <c r="Z50" s="1200" t="n">
        <f aca="false">EDATE(Z49,3)</f>
        <v>43830</v>
      </c>
      <c r="AA50" s="1200" t="n">
        <f aca="false">EDATE(AA49,3)</f>
        <v>44196</v>
      </c>
      <c r="AB50" s="1200" t="n">
        <f aca="false">EDATE(AB49,3)</f>
        <v>44561</v>
      </c>
      <c r="AC50" s="1200" t="n">
        <f aca="false">EDATE(AC49,3)</f>
        <v>44926</v>
      </c>
      <c r="AD50" s="1200" t="n">
        <f aca="false">EDATE(AD49,3)</f>
        <v>45291</v>
      </c>
      <c r="AE50" s="1200" t="n">
        <f aca="false">EDATE(AE49,3)</f>
        <v>45657</v>
      </c>
      <c r="AF50" s="1200" t="n">
        <f aca="false">EDATE(AF49,3)</f>
        <v>46022</v>
      </c>
      <c r="AG50" s="1200" t="n">
        <f aca="false">EDATE(AG49,3)</f>
        <v>46387</v>
      </c>
      <c r="AH50" s="1200" t="n">
        <f aca="false">EDATE(AH49,3)</f>
        <v>46752</v>
      </c>
      <c r="AI50" s="1200" t="n">
        <f aca="false">EDATE(AI49,3)</f>
        <v>47118</v>
      </c>
      <c r="AJ50" s="124"/>
      <c r="AK50" s="124"/>
      <c r="AL50" s="124"/>
      <c r="AM50" s="124"/>
      <c r="AN50" s="124"/>
      <c r="AO50" s="124"/>
      <c r="AP50" s="124"/>
      <c r="AQ50" s="124"/>
      <c r="AR50" s="124"/>
      <c r="AS50" s="124"/>
      <c r="AT50" s="124"/>
      <c r="AU50" s="124"/>
      <c r="AV50" s="124"/>
      <c r="AW50" s="124"/>
      <c r="AX50" s="124"/>
      <c r="AY50" s="124"/>
      <c r="AZ50" s="124"/>
      <c r="BA50" s="124"/>
      <c r="BB50" s="124"/>
      <c r="BC50" s="124"/>
      <c r="BD50" s="124"/>
      <c r="BE50" s="124"/>
      <c r="BF50" s="124"/>
      <c r="BG50" s="124"/>
      <c r="BH50" s="124"/>
      <c r="BI50" s="124"/>
      <c r="BJ50" s="124"/>
      <c r="BK50" s="124"/>
      <c r="BL50" s="124"/>
      <c r="BM50" s="124"/>
      <c r="BN50" s="124"/>
      <c r="BO50" s="124"/>
      <c r="BP50" s="124"/>
      <c r="BQ50" s="124"/>
      <c r="BR50" s="124"/>
      <c r="BS50" s="124"/>
      <c r="BT50" s="124"/>
      <c r="BU50" s="124"/>
      <c r="BV50" s="124"/>
      <c r="BW50" s="124"/>
      <c r="BX50" s="124"/>
      <c r="BY50" s="124"/>
      <c r="BZ50" s="124"/>
      <c r="CA50" s="124"/>
      <c r="CB50" s="124"/>
      <c r="CC50" s="124"/>
      <c r="CD50" s="124"/>
      <c r="CE50" s="124"/>
      <c r="CF50" s="124"/>
      <c r="CG50" s="124"/>
      <c r="CH50" s="124"/>
      <c r="CI50" s="124"/>
      <c r="CJ50" s="124"/>
      <c r="CK50" s="124"/>
      <c r="CL50" s="124"/>
      <c r="CM50" s="124"/>
      <c r="CN50" s="124"/>
      <c r="CO50" s="124"/>
      <c r="CP50" s="124"/>
      <c r="CQ50" s="124"/>
      <c r="CR50" s="124"/>
      <c r="CS50" s="124"/>
      <c r="CT50" s="124"/>
      <c r="CU50" s="124"/>
      <c r="CV50" s="124"/>
      <c r="CW50" s="124"/>
      <c r="CX50" s="124"/>
      <c r="CY50" s="124"/>
      <c r="CZ50" s="124"/>
      <c r="DA50" s="124"/>
      <c r="DB50" s="124"/>
      <c r="DC50" s="124"/>
      <c r="DD50" s="124"/>
      <c r="DE50" s="124"/>
      <c r="DF50" s="124"/>
      <c r="DG50" s="124"/>
      <c r="DH50" s="124"/>
      <c r="DI50" s="124"/>
      <c r="DJ50" s="124"/>
      <c r="DK50" s="124"/>
      <c r="DL50" s="124"/>
      <c r="DM50" s="124"/>
      <c r="DN50" s="124"/>
      <c r="DO50" s="124"/>
      <c r="DP50" s="124"/>
      <c r="DQ50" s="124"/>
      <c r="DR50" s="124"/>
      <c r="DS50" s="124"/>
      <c r="DT50" s="124"/>
      <c r="DU50" s="124"/>
      <c r="DV50" s="124"/>
      <c r="DW50" s="124"/>
      <c r="DX50" s="124"/>
      <c r="DY50" s="124"/>
      <c r="DZ50" s="124"/>
      <c r="EA50" s="124"/>
      <c r="EB50" s="124"/>
      <c r="EC50" s="124"/>
      <c r="ED50" s="124"/>
      <c r="EE50" s="124"/>
      <c r="EF50" s="124"/>
      <c r="EG50" s="124"/>
      <c r="EH50" s="124"/>
      <c r="EI50" s="124"/>
      <c r="EJ50" s="124"/>
      <c r="EK50" s="124"/>
      <c r="EL50" s="124"/>
    </row>
    <row r="51" customFormat="false" ht="12.75" hidden="false" customHeight="false" outlineLevel="0" collapsed="false">
      <c r="B51" s="252" t="s">
        <v>779</v>
      </c>
      <c r="C51" s="1203" t="n">
        <f aca="false">D47</f>
        <v>35795</v>
      </c>
      <c r="D51" s="1204" t="n">
        <f aca="false">$D$47</f>
        <v>35795</v>
      </c>
      <c r="E51" s="1205" t="n">
        <f aca="false">Assum!E322</f>
        <v>36158</v>
      </c>
      <c r="F51" s="1206" t="n">
        <f aca="false">EDATE(E51,12)</f>
        <v>36523</v>
      </c>
      <c r="G51" s="1206" t="n">
        <f aca="false">EDATE(F51,12)</f>
        <v>36889</v>
      </c>
      <c r="H51" s="1206" t="n">
        <f aca="false">EDATE(G51,12)</f>
        <v>37254</v>
      </c>
      <c r="I51" s="1206" t="n">
        <f aca="false">EDATE(H51,12)</f>
        <v>37619</v>
      </c>
      <c r="J51" s="1206" t="n">
        <f aca="false">EDATE(I51,12)</f>
        <v>37984</v>
      </c>
      <c r="K51" s="1206" t="n">
        <f aca="false">EDATE(J51,12)</f>
        <v>38350</v>
      </c>
      <c r="L51" s="1206" t="n">
        <f aca="false">EDATE(K51,12)</f>
        <v>38715</v>
      </c>
      <c r="M51" s="1206" t="n">
        <f aca="false">EDATE(L51,12)</f>
        <v>39080</v>
      </c>
      <c r="N51" s="1206" t="n">
        <f aca="false">EDATE(M51,12)</f>
        <v>39445</v>
      </c>
      <c r="O51" s="1206" t="n">
        <f aca="false">EDATE(N51,12)</f>
        <v>39811</v>
      </c>
      <c r="P51" s="1206" t="n">
        <f aca="false">EDATE(O51,12)</f>
        <v>40176</v>
      </c>
      <c r="Q51" s="1206" t="n">
        <f aca="false">EDATE(P51,12)</f>
        <v>40541</v>
      </c>
      <c r="R51" s="1206" t="n">
        <f aca="false">EDATE(Q51,12)</f>
        <v>40906</v>
      </c>
      <c r="S51" s="1206" t="n">
        <f aca="false">EDATE(R51,12)</f>
        <v>41272</v>
      </c>
      <c r="T51" s="1206" t="n">
        <f aca="false">EDATE(S51,12)</f>
        <v>41637</v>
      </c>
      <c r="U51" s="1206" t="n">
        <f aca="false">EDATE(T51,12)</f>
        <v>42002</v>
      </c>
      <c r="V51" s="1206" t="n">
        <f aca="false">EDATE(U51,12)</f>
        <v>42367</v>
      </c>
      <c r="W51" s="1206" t="n">
        <f aca="false">EDATE(V51,12)</f>
        <v>42733</v>
      </c>
      <c r="X51" s="1206" t="n">
        <f aca="false">EDATE(W51,12)</f>
        <v>43098</v>
      </c>
      <c r="Y51" s="1206" t="n">
        <f aca="false">EDATE(X51,12)</f>
        <v>43463</v>
      </c>
      <c r="Z51" s="1206" t="n">
        <f aca="false">EDATE(Y51,12)</f>
        <v>43828</v>
      </c>
      <c r="AA51" s="1206" t="n">
        <f aca="false">EDATE(Z51,12)</f>
        <v>44194</v>
      </c>
      <c r="AB51" s="1206" t="n">
        <f aca="false">EDATE(AA51,12)</f>
        <v>44559</v>
      </c>
      <c r="AC51" s="1206" t="n">
        <f aca="false">EDATE(AB51,12)</f>
        <v>44924</v>
      </c>
      <c r="AD51" s="1206" t="n">
        <f aca="false">EDATE(AC51,12)</f>
        <v>45289</v>
      </c>
      <c r="AE51" s="1206" t="n">
        <f aca="false">EDATE(AD51,12)</f>
        <v>45655</v>
      </c>
      <c r="AF51" s="1206" t="n">
        <f aca="false">EDATE(AE51,12)</f>
        <v>46020</v>
      </c>
      <c r="AG51" s="1206" t="n">
        <f aca="false">EDATE(AF51,12)</f>
        <v>46385</v>
      </c>
      <c r="AH51" s="1206" t="n">
        <f aca="false">EDATE(AG51,12)</f>
        <v>46750</v>
      </c>
      <c r="AI51" s="1206" t="n">
        <f aca="false">EDATE(AH51,12)</f>
        <v>47116</v>
      </c>
      <c r="AJ51" s="124"/>
      <c r="AK51" s="124"/>
      <c r="AL51" s="124"/>
      <c r="AM51" s="124"/>
      <c r="AN51" s="124"/>
      <c r="AO51" s="124"/>
      <c r="AP51" s="124"/>
      <c r="AQ51" s="124"/>
      <c r="AR51" s="124"/>
      <c r="AS51" s="124"/>
      <c r="AT51" s="124"/>
      <c r="AU51" s="124"/>
      <c r="AV51" s="124"/>
      <c r="AW51" s="124"/>
      <c r="AX51" s="124"/>
      <c r="AY51" s="124"/>
      <c r="AZ51" s="124"/>
      <c r="BA51" s="124"/>
      <c r="BB51" s="124"/>
      <c r="BC51" s="124"/>
      <c r="BD51" s="124"/>
      <c r="BE51" s="124"/>
      <c r="BF51" s="124"/>
      <c r="BG51" s="124"/>
      <c r="BH51" s="124"/>
      <c r="BI51" s="124"/>
      <c r="BJ51" s="124"/>
      <c r="BK51" s="124"/>
      <c r="BL51" s="124"/>
      <c r="BM51" s="124"/>
      <c r="BN51" s="124"/>
      <c r="BO51" s="124"/>
      <c r="BP51" s="124"/>
      <c r="BQ51" s="124"/>
      <c r="BR51" s="124"/>
      <c r="BS51" s="124"/>
      <c r="BT51" s="124"/>
      <c r="BU51" s="124"/>
      <c r="BV51" s="124"/>
      <c r="BW51" s="124"/>
      <c r="BX51" s="124"/>
      <c r="BY51" s="124"/>
      <c r="BZ51" s="124"/>
      <c r="CA51" s="124"/>
      <c r="CB51" s="124"/>
      <c r="CC51" s="124"/>
      <c r="CD51" s="124"/>
      <c r="CE51" s="124"/>
      <c r="CF51" s="124"/>
      <c r="CG51" s="124"/>
      <c r="CH51" s="124"/>
      <c r="CI51" s="124"/>
      <c r="CJ51" s="124"/>
      <c r="CK51" s="124"/>
      <c r="CL51" s="124"/>
      <c r="CM51" s="124"/>
      <c r="CN51" s="124"/>
      <c r="CO51" s="124"/>
      <c r="CP51" s="124"/>
      <c r="CQ51" s="124"/>
      <c r="CR51" s="124"/>
      <c r="CS51" s="124"/>
      <c r="CT51" s="124"/>
      <c r="CU51" s="124"/>
      <c r="CV51" s="124"/>
      <c r="CW51" s="124"/>
      <c r="CX51" s="124"/>
      <c r="CY51" s="124"/>
      <c r="CZ51" s="124"/>
      <c r="DA51" s="124"/>
      <c r="DB51" s="124"/>
      <c r="DC51" s="124"/>
      <c r="DD51" s="124"/>
      <c r="DE51" s="124"/>
      <c r="DF51" s="124"/>
      <c r="DG51" s="124"/>
      <c r="DH51" s="124"/>
      <c r="DI51" s="124"/>
      <c r="DJ51" s="124"/>
      <c r="DK51" s="124"/>
      <c r="DL51" s="124"/>
      <c r="DM51" s="124"/>
      <c r="DN51" s="124"/>
      <c r="DO51" s="124"/>
      <c r="DP51" s="124"/>
      <c r="DQ51" s="124"/>
      <c r="DR51" s="124"/>
      <c r="DS51" s="124"/>
      <c r="DT51" s="124"/>
      <c r="DU51" s="124"/>
      <c r="DV51" s="124"/>
      <c r="DW51" s="124"/>
      <c r="DX51" s="124"/>
      <c r="DY51" s="124"/>
      <c r="DZ51" s="124"/>
      <c r="EA51" s="124"/>
      <c r="EB51" s="124"/>
      <c r="EC51" s="124"/>
      <c r="ED51" s="124"/>
      <c r="EE51" s="124"/>
      <c r="EF51" s="124"/>
      <c r="EG51" s="124"/>
      <c r="EH51" s="124"/>
      <c r="EI51" s="124"/>
      <c r="EJ51" s="124"/>
      <c r="EK51" s="124"/>
      <c r="EL51" s="124"/>
    </row>
    <row r="52" customFormat="false" ht="12.75" hidden="false" customHeight="false" outlineLevel="0" collapsed="false">
      <c r="B52" s="124"/>
      <c r="C52" s="124"/>
      <c r="D52" s="124"/>
      <c r="E52" s="124"/>
      <c r="F52" s="124"/>
      <c r="G52" s="124"/>
      <c r="H52" s="124"/>
      <c r="I52" s="124"/>
      <c r="J52" s="124"/>
      <c r="K52" s="124"/>
      <c r="L52" s="124"/>
      <c r="M52" s="124"/>
      <c r="N52" s="124"/>
      <c r="O52" s="124"/>
      <c r="P52" s="124"/>
      <c r="Q52" s="124"/>
      <c r="R52" s="124"/>
      <c r="S52" s="124"/>
      <c r="T52" s="124"/>
      <c r="U52" s="124"/>
      <c r="V52" s="124"/>
      <c r="W52" s="124"/>
      <c r="X52" s="124"/>
      <c r="Y52" s="124"/>
      <c r="Z52" s="124"/>
      <c r="AA52" s="124"/>
      <c r="AB52" s="124"/>
      <c r="AC52" s="124"/>
      <c r="AD52" s="124"/>
      <c r="AE52" s="124"/>
      <c r="AF52" s="124"/>
      <c r="AG52" s="124"/>
      <c r="AH52" s="124"/>
      <c r="AI52" s="124"/>
      <c r="AJ52" s="124"/>
      <c r="AK52" s="124"/>
      <c r="AL52" s="124"/>
      <c r="AM52" s="124"/>
      <c r="AN52" s="124"/>
      <c r="AO52" s="124"/>
      <c r="AP52" s="124"/>
      <c r="AQ52" s="124"/>
      <c r="AR52" s="124"/>
      <c r="AS52" s="124"/>
      <c r="AT52" s="124"/>
      <c r="AU52" s="124"/>
      <c r="AV52" s="124"/>
      <c r="AW52" s="124"/>
      <c r="AX52" s="124"/>
      <c r="AY52" s="124"/>
      <c r="AZ52" s="124"/>
      <c r="BA52" s="124"/>
      <c r="BB52" s="124"/>
      <c r="BC52" s="124"/>
      <c r="BD52" s="124"/>
      <c r="BE52" s="124"/>
      <c r="BF52" s="124"/>
      <c r="BG52" s="124"/>
      <c r="BH52" s="124"/>
      <c r="BI52" s="124"/>
      <c r="BJ52" s="124"/>
      <c r="BK52" s="124"/>
      <c r="BL52" s="124"/>
      <c r="BM52" s="124"/>
      <c r="BN52" s="124"/>
      <c r="BO52" s="124"/>
      <c r="BP52" s="124"/>
      <c r="BQ52" s="124"/>
      <c r="BR52" s="124"/>
      <c r="BS52" s="124"/>
      <c r="BT52" s="124"/>
      <c r="BU52" s="124"/>
      <c r="BV52" s="124"/>
      <c r="BW52" s="124"/>
      <c r="BX52" s="124"/>
      <c r="BY52" s="124"/>
      <c r="BZ52" s="124"/>
      <c r="CA52" s="124"/>
      <c r="CB52" s="124"/>
      <c r="CC52" s="124"/>
      <c r="CD52" s="124"/>
      <c r="CE52" s="124"/>
      <c r="CF52" s="124"/>
      <c r="CG52" s="124"/>
      <c r="CH52" s="124"/>
      <c r="CI52" s="124"/>
      <c r="CJ52" s="124"/>
      <c r="CK52" s="124"/>
      <c r="CL52" s="124"/>
      <c r="CM52" s="124"/>
      <c r="CN52" s="124"/>
      <c r="CO52" s="124"/>
      <c r="CP52" s="124"/>
      <c r="CQ52" s="124"/>
      <c r="CR52" s="124"/>
      <c r="CS52" s="124"/>
      <c r="CT52" s="124"/>
      <c r="CU52" s="124"/>
      <c r="CV52" s="124"/>
      <c r="CW52" s="124"/>
      <c r="CX52" s="124"/>
      <c r="CY52" s="124"/>
      <c r="CZ52" s="124"/>
      <c r="DA52" s="124"/>
      <c r="DB52" s="124"/>
      <c r="DC52" s="124"/>
      <c r="DD52" s="124"/>
      <c r="DE52" s="124"/>
      <c r="DF52" s="124"/>
      <c r="DG52" s="124"/>
      <c r="DH52" s="124"/>
      <c r="DI52" s="124"/>
      <c r="DJ52" s="124"/>
      <c r="DK52" s="124"/>
      <c r="DL52" s="124"/>
      <c r="DM52" s="124"/>
      <c r="DN52" s="124"/>
      <c r="DO52" s="124"/>
      <c r="DP52" s="124"/>
      <c r="DQ52" s="124"/>
      <c r="DR52" s="124"/>
      <c r="DS52" s="124"/>
      <c r="DT52" s="124"/>
      <c r="DU52" s="124"/>
      <c r="DV52" s="124"/>
      <c r="DW52" s="124"/>
      <c r="DX52" s="124"/>
      <c r="DY52" s="124"/>
      <c r="DZ52" s="124"/>
      <c r="EA52" s="124"/>
      <c r="EB52" s="124"/>
      <c r="EC52" s="124"/>
      <c r="ED52" s="124"/>
      <c r="EE52" s="124"/>
      <c r="EF52" s="124"/>
      <c r="EG52" s="124"/>
      <c r="EH52" s="124"/>
      <c r="EI52" s="124"/>
      <c r="EJ52" s="124"/>
      <c r="EK52" s="124"/>
      <c r="EL52" s="124"/>
    </row>
    <row r="53" customFormat="false" ht="12.75" hidden="false" customHeight="false" outlineLevel="0" collapsed="false">
      <c r="B53" s="129" t="s">
        <v>780</v>
      </c>
      <c r="C53" s="124"/>
      <c r="D53" s="124" t="s">
        <v>426</v>
      </c>
      <c r="E53" s="124"/>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124"/>
      <c r="AF53" s="124"/>
      <c r="AG53" s="124"/>
      <c r="AH53" s="124"/>
      <c r="AI53" s="124"/>
      <c r="AJ53" s="124"/>
      <c r="AK53" s="124"/>
      <c r="AL53" s="124"/>
      <c r="AM53" s="124"/>
      <c r="AN53" s="124"/>
      <c r="AO53" s="124"/>
      <c r="AP53" s="124"/>
      <c r="AQ53" s="124"/>
      <c r="AR53" s="124"/>
      <c r="AS53" s="124"/>
      <c r="AT53" s="124"/>
      <c r="AU53" s="124"/>
      <c r="AV53" s="124"/>
      <c r="AW53" s="124"/>
      <c r="AX53" s="124"/>
      <c r="AY53" s="124"/>
      <c r="AZ53" s="124"/>
      <c r="BA53" s="124"/>
      <c r="BB53" s="124"/>
      <c r="BC53" s="124"/>
      <c r="BD53" s="124"/>
      <c r="BE53" s="124"/>
      <c r="BF53" s="124"/>
      <c r="BG53" s="124"/>
      <c r="BH53" s="124"/>
      <c r="BI53" s="124"/>
      <c r="BJ53" s="124"/>
      <c r="BK53" s="124"/>
      <c r="BL53" s="124"/>
      <c r="BM53" s="124"/>
      <c r="BN53" s="124"/>
      <c r="BO53" s="124"/>
      <c r="BP53" s="124"/>
      <c r="BQ53" s="124"/>
      <c r="BR53" s="124"/>
      <c r="BS53" s="124"/>
      <c r="BT53" s="124"/>
      <c r="BU53" s="124"/>
      <c r="BV53" s="124"/>
      <c r="BW53" s="124"/>
      <c r="BX53" s="124"/>
      <c r="BY53" s="124"/>
      <c r="BZ53" s="124"/>
      <c r="CA53" s="124"/>
      <c r="CB53" s="124"/>
      <c r="CC53" s="124"/>
      <c r="CD53" s="124"/>
      <c r="CE53" s="124"/>
      <c r="CF53" s="124"/>
      <c r="CG53" s="124"/>
      <c r="CH53" s="124"/>
      <c r="CI53" s="124"/>
      <c r="CJ53" s="124"/>
      <c r="CK53" s="124"/>
      <c r="CL53" s="124"/>
      <c r="CM53" s="124"/>
      <c r="CN53" s="124"/>
      <c r="CO53" s="124"/>
      <c r="CP53" s="124"/>
      <c r="CQ53" s="124"/>
      <c r="CR53" s="124"/>
      <c r="CS53" s="124"/>
      <c r="CT53" s="124"/>
      <c r="CU53" s="124"/>
      <c r="CV53" s="124"/>
      <c r="CW53" s="124"/>
      <c r="CX53" s="124"/>
      <c r="CY53" s="124"/>
      <c r="CZ53" s="124"/>
      <c r="DA53" s="124"/>
      <c r="DB53" s="124"/>
      <c r="DC53" s="124"/>
      <c r="DD53" s="124"/>
      <c r="DE53" s="124"/>
      <c r="DF53" s="124"/>
      <c r="DG53" s="124"/>
      <c r="DH53" s="124"/>
      <c r="DI53" s="124"/>
      <c r="DJ53" s="124"/>
      <c r="DK53" s="124"/>
      <c r="DL53" s="124"/>
      <c r="DM53" s="124"/>
      <c r="DN53" s="124"/>
      <c r="DO53" s="124"/>
      <c r="DP53" s="124"/>
      <c r="DQ53" s="124"/>
      <c r="DR53" s="124"/>
      <c r="DS53" s="124"/>
      <c r="DT53" s="124"/>
      <c r="DU53" s="124"/>
      <c r="DV53" s="124"/>
      <c r="DW53" s="124"/>
      <c r="DX53" s="124"/>
      <c r="DY53" s="124"/>
      <c r="DZ53" s="124"/>
      <c r="EA53" s="124"/>
      <c r="EB53" s="124"/>
      <c r="EC53" s="124"/>
      <c r="ED53" s="124"/>
      <c r="EE53" s="124"/>
      <c r="EF53" s="124"/>
      <c r="EG53" s="124"/>
      <c r="EH53" s="124"/>
      <c r="EI53" s="124"/>
      <c r="EJ53" s="124"/>
      <c r="EK53" s="124"/>
      <c r="EL53" s="124"/>
    </row>
    <row r="54" customFormat="false" ht="12.75" hidden="false" customHeight="false" outlineLevel="0" collapsed="false">
      <c r="B54" s="124"/>
      <c r="D54" s="1207" t="n">
        <f aca="false">D19</f>
        <v>-26230.8505492135</v>
      </c>
      <c r="E54" s="1208" t="n">
        <f aca="false">IF(Assum!$H$24=1,SUM(Outside!$E$22:$E$23)/4,0)</f>
        <v>1212.18818391736</v>
      </c>
      <c r="F54" s="1208" t="n">
        <f aca="false">SUMPRODUCT($C$77:$C$80,F$20:F$23)</f>
        <v>1675.09702082726</v>
      </c>
      <c r="G54" s="1208" t="n">
        <f aca="false">SUMPRODUCT($C$77:$C$80,G$20:G$23)</f>
        <v>1209.28179605036</v>
      </c>
      <c r="H54" s="1208" t="n">
        <f aca="false">SUMPRODUCT($C$77:$C$80,H$20:H$23)</f>
        <v>927.642425794918</v>
      </c>
      <c r="I54" s="1208" t="n">
        <f aca="false">SUMPRODUCT($C$77:$C$80,I$20:I$23)</f>
        <v>955.146492153442</v>
      </c>
      <c r="J54" s="1208" t="n">
        <f aca="false">SUMPRODUCT($C$77:$C$80,J$20:J$23)</f>
        <v>742.51058229674</v>
      </c>
      <c r="K54" s="1208" t="n">
        <f aca="false">SUMPRODUCT($C$77:$C$80,K$20:K$23)</f>
        <v>562.152644354113</v>
      </c>
      <c r="L54" s="1208" t="n">
        <f aca="false">SUMPRODUCT($C$77:$C$80,L$20:L$23)</f>
        <v>557.612381772981</v>
      </c>
      <c r="M54" s="1208" t="n">
        <f aca="false">SUMPRODUCT($C$77:$C$80,M$20:M$23)</f>
        <v>552.909135596221</v>
      </c>
      <c r="N54" s="1208" t="n">
        <f aca="false">SUMPRODUCT($C$77:$C$80,N$20:N$23)</f>
        <v>579.271589937745</v>
      </c>
      <c r="O54" s="1208" t="n">
        <f aca="false">SUMPRODUCT($C$77:$C$80,O$20:O$23)</f>
        <v>-123.727277237506</v>
      </c>
      <c r="P54" s="1208" t="n">
        <f aca="false">SUMPRODUCT($C$77:$C$80,P$20:P$23)</f>
        <v>-130.447203807886</v>
      </c>
      <c r="Q54" s="1208" t="n">
        <f aca="false">SUMPRODUCT($C$77:$C$80,Q$20:Q$23)</f>
        <v>-137.554525844568</v>
      </c>
      <c r="R54" s="1208" t="n">
        <f aca="false">SUMPRODUCT($C$77:$C$80,R$20:R$23)</f>
        <v>-145.300137338141</v>
      </c>
      <c r="S54" s="1208" t="n">
        <f aca="false">SUMPRODUCT($C$77:$C$80,S$20:S$23)</f>
        <v>-153.629849544074</v>
      </c>
      <c r="T54" s="1208" t="n">
        <f aca="false">SUMPRODUCT($C$77:$C$80,T$20:T$23)</f>
        <v>-162.987565803713</v>
      </c>
      <c r="U54" s="1208" t="n">
        <f aca="false">SUMPRODUCT($C$77:$C$80,U$20:U$23)</f>
        <v>-174.065014971682</v>
      </c>
      <c r="V54" s="1208" t="n">
        <f aca="false">SUMPRODUCT($C$77:$C$80,V$20:V$23)</f>
        <v>-194.984565690676</v>
      </c>
      <c r="W54" s="1208" t="n">
        <f aca="false">SUMPRODUCT($C$77:$C$80,W$20:W$23)</f>
        <v>-191.940822628544</v>
      </c>
      <c r="X54" s="1208" t="n">
        <f aca="false">SUMPRODUCT($C$77:$C$80,X$20:X$23)</f>
        <v>-188.904595550074</v>
      </c>
      <c r="Y54" s="1208" t="n">
        <f aca="false">SUMPRODUCT($C$77:$C$80,Y$20:Y$23)</f>
        <v>0</v>
      </c>
      <c r="Z54" s="1208" t="n">
        <f aca="false">SUMPRODUCT($C$77:$C$80,Z$20:Z$23)</f>
        <v>0</v>
      </c>
      <c r="AA54" s="1208" t="n">
        <f aca="false">SUMPRODUCT($C$77:$C$80,AA$20:AA$23)</f>
        <v>0</v>
      </c>
      <c r="AB54" s="1208" t="n">
        <f aca="false">SUMPRODUCT($C$77:$C$80,AB$20:AB$23)</f>
        <v>0</v>
      </c>
      <c r="AC54" s="1208" t="n">
        <f aca="false">SUMPRODUCT($C$77:$C$80,AC$20:AC$23)</f>
        <v>0</v>
      </c>
      <c r="AD54" s="1208" t="n">
        <f aca="false">SUMPRODUCT($C$77:$C$80,AD$20:AD$23)</f>
        <v>0</v>
      </c>
      <c r="AE54" s="1208" t="n">
        <f aca="false">SUMPRODUCT($C$77:$C$80,AE$20:AE$23)</f>
        <v>0</v>
      </c>
      <c r="AF54" s="1208" t="n">
        <f aca="false">SUMPRODUCT($C$77:$C$80,AF$20:AF$23)</f>
        <v>0</v>
      </c>
      <c r="AG54" s="1208" t="n">
        <f aca="false">SUMPRODUCT($C$77:$C$80,AG$20:AG$23)</f>
        <v>0</v>
      </c>
      <c r="AH54" s="1208" t="n">
        <f aca="false">SUMPRODUCT($C$77:$C$80,AH$20:AH$23)</f>
        <v>0</v>
      </c>
      <c r="AI54" s="1209" t="n">
        <f aca="false">SUMPRODUCT($C$77:$C$80,AI$20:AI$23)</f>
        <v>0</v>
      </c>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c r="BO54" s="124"/>
      <c r="BP54" s="124"/>
      <c r="BQ54" s="124"/>
      <c r="BR54" s="124"/>
      <c r="BS54" s="124"/>
      <c r="BT54" s="124"/>
      <c r="BU54" s="124"/>
      <c r="BV54" s="124"/>
      <c r="BW54" s="124"/>
      <c r="BX54" s="124"/>
      <c r="BY54" s="124"/>
      <c r="BZ54" s="124"/>
      <c r="CA54" s="124"/>
      <c r="CB54" s="124"/>
      <c r="CC54" s="124"/>
      <c r="CD54" s="124"/>
      <c r="CE54" s="124"/>
      <c r="CF54" s="124"/>
      <c r="CG54" s="124"/>
      <c r="CH54" s="124"/>
      <c r="CI54" s="124"/>
      <c r="CJ54" s="124"/>
      <c r="CK54" s="124"/>
      <c r="CL54" s="124"/>
      <c r="CM54" s="124"/>
      <c r="CN54" s="124"/>
      <c r="CO54" s="124"/>
      <c r="CP54" s="124"/>
      <c r="CQ54" s="124"/>
      <c r="CR54" s="124"/>
      <c r="CS54" s="124"/>
      <c r="CT54" s="124"/>
      <c r="CU54" s="124"/>
      <c r="CV54" s="124"/>
      <c r="CW54" s="124"/>
      <c r="CX54" s="124"/>
      <c r="CY54" s="124"/>
      <c r="CZ54" s="124"/>
      <c r="DA54" s="124"/>
      <c r="DB54" s="124"/>
      <c r="DC54" s="124"/>
      <c r="DD54" s="124"/>
      <c r="DE54" s="124"/>
      <c r="DF54" s="124"/>
      <c r="DG54" s="124"/>
      <c r="DH54" s="124"/>
      <c r="DI54" s="124"/>
      <c r="DJ54" s="124"/>
      <c r="DK54" s="124"/>
      <c r="DL54" s="124"/>
      <c r="DM54" s="124"/>
      <c r="DN54" s="124"/>
      <c r="DO54" s="124"/>
      <c r="DP54" s="124"/>
      <c r="DQ54" s="124"/>
      <c r="DR54" s="124"/>
      <c r="DS54" s="124"/>
      <c r="DT54" s="124"/>
      <c r="DU54" s="124"/>
      <c r="DV54" s="124"/>
      <c r="DW54" s="124"/>
      <c r="DX54" s="124"/>
      <c r="DY54" s="124"/>
      <c r="DZ54" s="124"/>
      <c r="EA54" s="124"/>
      <c r="EB54" s="124"/>
      <c r="EC54" s="124"/>
      <c r="ED54" s="124"/>
      <c r="EE54" s="124"/>
      <c r="EF54" s="124"/>
      <c r="EG54" s="124"/>
      <c r="EH54" s="124"/>
      <c r="EI54" s="124"/>
      <c r="EJ54" s="124"/>
      <c r="EK54" s="124"/>
      <c r="EL54" s="124"/>
    </row>
    <row r="55" customFormat="false" ht="12.75" hidden="false" customHeight="false" outlineLevel="0" collapsed="false">
      <c r="D55" s="1210" t="n">
        <v>0</v>
      </c>
      <c r="E55" s="254" t="n">
        <f aca="false">IF(Assum!$H$24=1,SUM(Outside!$E$22:$E$23)/4,IF(Assum!$H$24=0.75,SUM(Outside!$E$22:$E$23)/3,0))</f>
        <v>1212.18818391736</v>
      </c>
      <c r="F55" s="254" t="n">
        <f aca="false">SUMPRODUCT($C$77:$C$80,F$20:F$23)</f>
        <v>1675.09702082726</v>
      </c>
      <c r="G55" s="254" t="n">
        <f aca="false">SUMPRODUCT($C$77:$C$80,G$20:G$23)</f>
        <v>1209.28179605036</v>
      </c>
      <c r="H55" s="254" t="n">
        <f aca="false">SUMPRODUCT($C$77:$C$80,H$20:H$23)</f>
        <v>927.642425794918</v>
      </c>
      <c r="I55" s="254" t="n">
        <f aca="false">SUMPRODUCT($C$77:$C$80,I$20:I$23)</f>
        <v>955.146492153442</v>
      </c>
      <c r="J55" s="254" t="n">
        <f aca="false">SUMPRODUCT($C$77:$C$80,J$20:J$23)</f>
        <v>742.51058229674</v>
      </c>
      <c r="K55" s="254" t="n">
        <f aca="false">SUMPRODUCT($C$77:$C$80,K$20:K$23)</f>
        <v>562.152644354113</v>
      </c>
      <c r="L55" s="254" t="n">
        <f aca="false">SUMPRODUCT($C$77:$C$80,L$20:L$23)</f>
        <v>557.612381772981</v>
      </c>
      <c r="M55" s="254" t="n">
        <f aca="false">SUMPRODUCT($C$77:$C$80,M$20:M$23)</f>
        <v>552.909135596221</v>
      </c>
      <c r="N55" s="254" t="n">
        <f aca="false">SUMPRODUCT($C$77:$C$80,N$20:N$23)</f>
        <v>579.271589937745</v>
      </c>
      <c r="O55" s="254" t="n">
        <f aca="false">SUMPRODUCT($C$77:$C$80,O$20:O$23)</f>
        <v>-123.727277237506</v>
      </c>
      <c r="P55" s="254" t="n">
        <f aca="false">SUMPRODUCT($C$77:$C$80,P$20:P$23)</f>
        <v>-130.447203807886</v>
      </c>
      <c r="Q55" s="254" t="n">
        <f aca="false">SUMPRODUCT($C$77:$C$80,Q$20:Q$23)</f>
        <v>-137.554525844568</v>
      </c>
      <c r="R55" s="254" t="n">
        <f aca="false">SUMPRODUCT($C$77:$C$80,R$20:R$23)</f>
        <v>-145.300137338141</v>
      </c>
      <c r="S55" s="254" t="n">
        <f aca="false">SUMPRODUCT($C$77:$C$80,S$20:S$23)</f>
        <v>-153.629849544074</v>
      </c>
      <c r="T55" s="254" t="n">
        <f aca="false">SUMPRODUCT($C$77:$C$80,T$20:T$23)</f>
        <v>-162.987565803713</v>
      </c>
      <c r="U55" s="254" t="n">
        <f aca="false">SUMPRODUCT($C$77:$C$80,U$20:U$23)</f>
        <v>-174.065014971682</v>
      </c>
      <c r="V55" s="254" t="n">
        <f aca="false">SUMPRODUCT($C$77:$C$80,V$20:V$23)</f>
        <v>-194.984565690676</v>
      </c>
      <c r="W55" s="254" t="n">
        <f aca="false">SUMPRODUCT($C$77:$C$80,W$20:W$23)</f>
        <v>-191.940822628544</v>
      </c>
      <c r="X55" s="254" t="n">
        <f aca="false">SUMPRODUCT($C$77:$C$80,X$20:X$23)</f>
        <v>-188.904595550074</v>
      </c>
      <c r="Y55" s="254" t="n">
        <f aca="false">SUMPRODUCT($C$77:$C$80,Y$20:Y$23)</f>
        <v>0</v>
      </c>
      <c r="Z55" s="254" t="n">
        <f aca="false">SUMPRODUCT($C$77:$C$80,Z$20:Z$23)</f>
        <v>0</v>
      </c>
      <c r="AA55" s="254" t="n">
        <f aca="false">SUMPRODUCT($C$77:$C$80,AA$20:AA$23)</f>
        <v>0</v>
      </c>
      <c r="AB55" s="254" t="n">
        <f aca="false">SUMPRODUCT($C$77:$C$80,AB$20:AB$23)</f>
        <v>0</v>
      </c>
      <c r="AC55" s="254" t="n">
        <f aca="false">SUMPRODUCT($C$77:$C$80,AC$20:AC$23)</f>
        <v>0</v>
      </c>
      <c r="AD55" s="254" t="n">
        <f aca="false">SUMPRODUCT($C$77:$C$80,AD$20:AD$23)</f>
        <v>0</v>
      </c>
      <c r="AE55" s="254" t="n">
        <f aca="false">SUMPRODUCT($C$77:$C$80,AE$20:AE$23)</f>
        <v>0</v>
      </c>
      <c r="AF55" s="254" t="n">
        <f aca="false">SUMPRODUCT($C$77:$C$80,AF$20:AF$23)</f>
        <v>0</v>
      </c>
      <c r="AG55" s="254" t="n">
        <f aca="false">SUMPRODUCT($C$77:$C$80,AG$20:AG$23)</f>
        <v>0</v>
      </c>
      <c r="AH55" s="254" t="n">
        <f aca="false">SUMPRODUCT($C$77:$C$80,AH$20:AH$23)</f>
        <v>0</v>
      </c>
      <c r="AI55" s="1211" t="n">
        <f aca="false">SUMPRODUCT($C$77:$C$80,AI$20:AI$23)</f>
        <v>0</v>
      </c>
    </row>
    <row r="56" customFormat="false" ht="12.75" hidden="false" customHeight="false" outlineLevel="0" collapsed="false">
      <c r="D56" s="1210" t="n">
        <v>0</v>
      </c>
      <c r="E56" s="254" t="n">
        <f aca="false">IF(Assum!$H$24=1,SUM(Outside!$E$22:$E$23)/4,IF(Assum!$H$24=0.75,SUM(Outside!$E$22:$E$23)/3,IF(Assum!$H$24=0.5,SUM(Outside!$E$22:$E$23)/2,0)))</f>
        <v>1212.18818391736</v>
      </c>
      <c r="F56" s="254" t="n">
        <f aca="false">SUMPRODUCT($C$77:$C$80,F$20:F$23)</f>
        <v>1675.09702082726</v>
      </c>
      <c r="G56" s="254" t="n">
        <f aca="false">SUMPRODUCT($C$77:$C$80,G$20:G$23)</f>
        <v>1209.28179605036</v>
      </c>
      <c r="H56" s="254" t="n">
        <f aca="false">SUMPRODUCT($C$77:$C$80,H$20:H$23)</f>
        <v>927.642425794918</v>
      </c>
      <c r="I56" s="254" t="n">
        <f aca="false">SUMPRODUCT($C$77:$C$80,I$20:I$23)</f>
        <v>955.146492153442</v>
      </c>
      <c r="J56" s="254" t="n">
        <f aca="false">SUMPRODUCT($C$77:$C$80,J$20:J$23)</f>
        <v>742.51058229674</v>
      </c>
      <c r="K56" s="254" t="n">
        <f aca="false">SUMPRODUCT($C$77:$C$80,K$20:K$23)</f>
        <v>562.152644354113</v>
      </c>
      <c r="L56" s="254" t="n">
        <f aca="false">SUMPRODUCT($C$77:$C$80,L$20:L$23)</f>
        <v>557.612381772981</v>
      </c>
      <c r="M56" s="254" t="n">
        <f aca="false">SUMPRODUCT($C$77:$C$80,M$20:M$23)</f>
        <v>552.909135596221</v>
      </c>
      <c r="N56" s="254" t="n">
        <f aca="false">SUMPRODUCT($C$77:$C$80,N$20:N$23)</f>
        <v>579.271589937745</v>
      </c>
      <c r="O56" s="254" t="n">
        <f aca="false">SUMPRODUCT($C$77:$C$80,O$20:O$23)</f>
        <v>-123.727277237506</v>
      </c>
      <c r="P56" s="254" t="n">
        <f aca="false">SUMPRODUCT($C$77:$C$80,P$20:P$23)</f>
        <v>-130.447203807886</v>
      </c>
      <c r="Q56" s="254" t="n">
        <f aca="false">SUMPRODUCT($C$77:$C$80,Q$20:Q$23)</f>
        <v>-137.554525844568</v>
      </c>
      <c r="R56" s="254" t="n">
        <f aca="false">SUMPRODUCT($C$77:$C$80,R$20:R$23)</f>
        <v>-145.300137338141</v>
      </c>
      <c r="S56" s="254" t="n">
        <f aca="false">SUMPRODUCT($C$77:$C$80,S$20:S$23)</f>
        <v>-153.629849544074</v>
      </c>
      <c r="T56" s="254" t="n">
        <f aca="false">SUMPRODUCT($C$77:$C$80,T$20:T$23)</f>
        <v>-162.987565803713</v>
      </c>
      <c r="U56" s="254" t="n">
        <f aca="false">SUMPRODUCT($C$77:$C$80,U$20:U$23)</f>
        <v>-174.065014971682</v>
      </c>
      <c r="V56" s="254" t="n">
        <f aca="false">SUMPRODUCT($C$77:$C$80,V$20:V$23)</f>
        <v>-194.984565690676</v>
      </c>
      <c r="W56" s="254" t="n">
        <f aca="false">SUMPRODUCT($C$77:$C$80,W$20:W$23)</f>
        <v>-191.940822628544</v>
      </c>
      <c r="X56" s="254" t="n">
        <f aca="false">SUMPRODUCT($C$77:$C$80,X$20:X$23)</f>
        <v>-188.904595550074</v>
      </c>
      <c r="Y56" s="254" t="n">
        <f aca="false">SUMPRODUCT($C$77:$C$80,Y$20:Y$23)</f>
        <v>0</v>
      </c>
      <c r="Z56" s="254" t="n">
        <f aca="false">SUMPRODUCT($C$77:$C$80,Z$20:Z$23)</f>
        <v>0</v>
      </c>
      <c r="AA56" s="254" t="n">
        <f aca="false">SUMPRODUCT($C$77:$C$80,AA$20:AA$23)</f>
        <v>0</v>
      </c>
      <c r="AB56" s="254" t="n">
        <f aca="false">SUMPRODUCT($C$77:$C$80,AB$20:AB$23)</f>
        <v>0</v>
      </c>
      <c r="AC56" s="254" t="n">
        <f aca="false">SUMPRODUCT($C$77:$C$80,AC$20:AC$23)</f>
        <v>0</v>
      </c>
      <c r="AD56" s="254" t="n">
        <f aca="false">SUMPRODUCT($C$77:$C$80,AD$20:AD$23)</f>
        <v>0</v>
      </c>
      <c r="AE56" s="254" t="n">
        <f aca="false">SUMPRODUCT($C$77:$C$80,AE$20:AE$23)</f>
        <v>0</v>
      </c>
      <c r="AF56" s="254" t="n">
        <f aca="false">SUMPRODUCT($C$77:$C$80,AF$20:AF$23)</f>
        <v>0</v>
      </c>
      <c r="AG56" s="254" t="n">
        <f aca="false">SUMPRODUCT($C$77:$C$80,AG$20:AG$23)</f>
        <v>0</v>
      </c>
      <c r="AH56" s="254" t="n">
        <f aca="false">SUMPRODUCT($C$77:$C$80,AH$20:AH$23)</f>
        <v>0</v>
      </c>
      <c r="AI56" s="1211" t="n">
        <f aca="false">SUMPRODUCT($C$77:$C$80,AI$20:AI$23)</f>
        <v>0</v>
      </c>
    </row>
    <row r="57" customFormat="false" ht="12.75" hidden="false" customHeight="false" outlineLevel="0" collapsed="false">
      <c r="D57" s="1210" t="n">
        <v>0</v>
      </c>
      <c r="E57" s="1212" t="n">
        <f aca="false">IF(Assum!$H$24=1,SUM(Outside!$E$22:$E$23)/4,IF(Assum!$H$24=0.75,SUM(Outside!$E$22:$E$23)/3,IF(Assum!$H$24=0.5,SUM(Outside!$E$22:E23)/2,SUM($E$22:E23))))</f>
        <v>1212.18818391736</v>
      </c>
      <c r="F57" s="254" t="n">
        <f aca="false">SUMPRODUCT($C$77:$C$80,F$20:F$23)</f>
        <v>1675.09702082726</v>
      </c>
      <c r="G57" s="254" t="n">
        <f aca="false">SUMPRODUCT($C$77:$C$80,G$20:G$23)</f>
        <v>1209.28179605036</v>
      </c>
      <c r="H57" s="254" t="n">
        <f aca="false">SUMPRODUCT($C$77:$C$80,H$20:H$23)</f>
        <v>927.642425794918</v>
      </c>
      <c r="I57" s="254" t="n">
        <f aca="false">SUMPRODUCT($C$77:$C$80,I$20:I$23)</f>
        <v>955.146492153442</v>
      </c>
      <c r="J57" s="254" t="n">
        <f aca="false">SUMPRODUCT($C$77:$C$80,J$20:J$23)</f>
        <v>742.51058229674</v>
      </c>
      <c r="K57" s="254" t="n">
        <f aca="false">SUMPRODUCT($C$77:$C$80,K$20:K$23)</f>
        <v>562.152644354113</v>
      </c>
      <c r="L57" s="254" t="n">
        <f aca="false">SUMPRODUCT($C$77:$C$80,L$20:L$23)</f>
        <v>557.612381772981</v>
      </c>
      <c r="M57" s="254" t="n">
        <f aca="false">SUMPRODUCT($C$77:$C$80,M$20:M$23)</f>
        <v>552.909135596221</v>
      </c>
      <c r="N57" s="254" t="n">
        <f aca="false">SUMPRODUCT($C$77:$C$80,N$20:N$23)</f>
        <v>579.271589937745</v>
      </c>
      <c r="O57" s="254" t="n">
        <f aca="false">SUMPRODUCT($C$77:$C$80,O$20:O$23)</f>
        <v>-123.727277237506</v>
      </c>
      <c r="P57" s="254" t="n">
        <f aca="false">SUMPRODUCT($C$77:$C$80,P$20:P$23)</f>
        <v>-130.447203807886</v>
      </c>
      <c r="Q57" s="254" t="n">
        <f aca="false">SUMPRODUCT($C$77:$C$80,Q$20:Q$23)</f>
        <v>-137.554525844568</v>
      </c>
      <c r="R57" s="254" t="n">
        <f aca="false">SUMPRODUCT($C$77:$C$80,R$20:R$23)</f>
        <v>-145.300137338141</v>
      </c>
      <c r="S57" s="254" t="n">
        <f aca="false">SUMPRODUCT($C$77:$C$80,S$20:S$23)</f>
        <v>-153.629849544074</v>
      </c>
      <c r="T57" s="254" t="n">
        <f aca="false">SUMPRODUCT($C$77:$C$80,T$20:T$23)</f>
        <v>-162.987565803713</v>
      </c>
      <c r="U57" s="254" t="n">
        <f aca="false">SUMPRODUCT($C$77:$C$80,U$20:U$23)</f>
        <v>-174.065014971682</v>
      </c>
      <c r="V57" s="254" t="n">
        <f aca="false">SUMPRODUCT($C$77:$C$80,V$20:V$23)</f>
        <v>-194.984565690676</v>
      </c>
      <c r="W57" s="254" t="n">
        <f aca="false">SUMPRODUCT($C$77:$C$80,W$20:W$23)</f>
        <v>-191.940822628544</v>
      </c>
      <c r="X57" s="254" t="n">
        <f aca="false">SUMPRODUCT($C$77:$C$80,X$20:X$23)</f>
        <v>-188.904595550074</v>
      </c>
      <c r="Y57" s="254" t="n">
        <f aca="false">SUMPRODUCT($C$77:$C$80,Y$20:Y$23)</f>
        <v>0</v>
      </c>
      <c r="Z57" s="254" t="n">
        <f aca="false">SUMPRODUCT($C$77:$C$80,Z$20:Z$23)</f>
        <v>0</v>
      </c>
      <c r="AA57" s="254" t="n">
        <f aca="false">SUMPRODUCT($C$77:$C$80,AA$20:AA$23)</f>
        <v>0</v>
      </c>
      <c r="AB57" s="254" t="n">
        <f aca="false">SUMPRODUCT($C$77:$C$80,AB$20:AB$23)</f>
        <v>0</v>
      </c>
      <c r="AC57" s="254" t="n">
        <f aca="false">SUMPRODUCT($C$77:$C$80,AC$20:AC$23)</f>
        <v>0</v>
      </c>
      <c r="AD57" s="254" t="n">
        <f aca="false">SUMPRODUCT($C$77:$C$80,AD$20:AD$23)</f>
        <v>0</v>
      </c>
      <c r="AE57" s="254" t="n">
        <f aca="false">SUMPRODUCT($C$77:$C$80,AE$20:AE$23)</f>
        <v>0</v>
      </c>
      <c r="AF57" s="254" t="n">
        <f aca="false">SUMPRODUCT($C$77:$C$80,AF$20:AF$23)</f>
        <v>0</v>
      </c>
      <c r="AG57" s="254" t="n">
        <f aca="false">SUMPRODUCT($C$77:$C$80,AG$20:AG$23)</f>
        <v>0</v>
      </c>
      <c r="AH57" s="254" t="n">
        <f aca="false">SUMPRODUCT($C$77:$C$80,AH$20:AH$23)</f>
        <v>0</v>
      </c>
      <c r="AI57" s="254" t="n">
        <f aca="false">SUMPRODUCT($C$77:$C$80,AI$20:AI$23)</f>
        <v>0</v>
      </c>
    </row>
    <row r="58" customFormat="false" ht="12.75" hidden="false" customHeight="false" outlineLevel="0" collapsed="false">
      <c r="B58" s="252" t="s">
        <v>779</v>
      </c>
      <c r="C58" s="1213" t="n">
        <f aca="false">D54</f>
        <v>-26230.8505492135</v>
      </c>
      <c r="D58" s="1214" t="n">
        <v>0</v>
      </c>
      <c r="E58" s="1212" t="n">
        <f aca="false">SUMPRODUCT($D$77:$D$80,E$20:E$23)</f>
        <v>567.567927207231</v>
      </c>
      <c r="F58" s="1215" t="n">
        <f aca="false">SUMPRODUCT($D$77:$D$80,F$20:F$23)</f>
        <v>565.891477850479</v>
      </c>
      <c r="G58" s="1215" t="n">
        <f aca="false">SUMPRODUCT($D$77:$D$80,G$20:G$23)</f>
        <v>564.040638135921</v>
      </c>
      <c r="H58" s="1215" t="n">
        <f aca="false">SUMPRODUCT($D$77:$D$80,H$20:H$23)</f>
        <v>561.950675418391</v>
      </c>
      <c r="I58" s="1215" t="n">
        <f aca="false">SUMPRODUCT($D$77:$D$80,I$20:I$23)</f>
        <v>559.657083776247</v>
      </c>
      <c r="J58" s="1215" t="n">
        <f aca="false">SUMPRODUCT($D$77:$D$80,J$20:J$23)</f>
        <v>557.250692721143</v>
      </c>
      <c r="K58" s="1215" t="n">
        <f aca="false">SUMPRODUCT($D$77:$D$80,K$20:K$23)</f>
        <v>552.089131830064</v>
      </c>
      <c r="L58" s="1215" t="n">
        <f aca="false">SUMPRODUCT($D$77:$D$80,L$20:L$23)</f>
        <v>546.705796732148</v>
      </c>
      <c r="M58" s="1215" t="n">
        <f aca="false">SUMPRODUCT($D$77:$D$80,M$20:M$23)</f>
        <v>541.094677038582</v>
      </c>
      <c r="N58" s="1215" t="n">
        <f aca="false">SUMPRODUCT($D$77:$D$80,N$20:N$23)</f>
        <v>534.989622795779</v>
      </c>
      <c r="O58" s="1215" t="n">
        <f aca="false">SUMPRODUCT($D$77:$D$80,O$20:O$23)</f>
        <v>541.56598132851</v>
      </c>
      <c r="P58" s="1215" t="n">
        <f aca="false">SUMPRODUCT($D$77:$D$80,P$20:P$23)</f>
        <v>535.031735333494</v>
      </c>
      <c r="Q58" s="1215" t="n">
        <f aca="false">SUMPRODUCT($D$77:$D$80,Q$20:Q$23)</f>
        <v>527.988779726472</v>
      </c>
      <c r="R58" s="1215" t="n">
        <f aca="false">SUMPRODUCT($D$77:$D$80,R$20:R$23)</f>
        <v>520.40487414159</v>
      </c>
      <c r="S58" s="1215" t="n">
        <f aca="false">SUMPRODUCT($D$77:$D$80,S$20:S$23)</f>
        <v>512.221841506162</v>
      </c>
      <c r="T58" s="1215" t="n">
        <f aca="false">SUMPRODUCT($D$77:$D$80,T$20:T$23)</f>
        <v>504.020604147278</v>
      </c>
      <c r="U58" s="1215" t="n">
        <f aca="false">SUMPRODUCT($D$77:$D$80,U$20:U$23)</f>
        <v>584.688627956806</v>
      </c>
      <c r="V58" s="1215" t="n">
        <f aca="false">SUMPRODUCT($D$77:$D$80,V$20:V$23)</f>
        <v>2010.52145325015</v>
      </c>
      <c r="W58" s="1215" t="n">
        <f aca="false">SUMPRODUCT($D$77:$D$80,W$20:W$23)</f>
        <v>1979.73770546626</v>
      </c>
      <c r="X58" s="1215" t="n">
        <f aca="false">SUMPRODUCT($D$77:$D$80,X$20:X$23)</f>
        <v>2144.55497268781</v>
      </c>
      <c r="Y58" s="1215" t="n">
        <f aca="false">SUMPRODUCT($D$77:$D$80,Y$20:Y$23)</f>
        <v>0</v>
      </c>
      <c r="Z58" s="1215" t="n">
        <f aca="false">SUMPRODUCT($D$77:$D$80,Z$20:Z$23)</f>
        <v>0</v>
      </c>
      <c r="AA58" s="1215" t="n">
        <f aca="false">SUMPRODUCT($D$77:$D$80,AA$20:AA$23)</f>
        <v>0</v>
      </c>
      <c r="AB58" s="1215" t="n">
        <f aca="false">SUMPRODUCT($D$77:$D$80,AB$20:AB$23)</f>
        <v>0</v>
      </c>
      <c r="AC58" s="1215" t="n">
        <f aca="false">SUMPRODUCT($D$77:$D$80,AC$20:AC$23)</f>
        <v>0</v>
      </c>
      <c r="AD58" s="1215" t="n">
        <f aca="false">SUMPRODUCT($D$77:$D$80,AD$20:AD$23)</f>
        <v>0</v>
      </c>
      <c r="AE58" s="1215" t="n">
        <f aca="false">SUMPRODUCT($D$77:$D$80,AE$20:AE$23)</f>
        <v>0</v>
      </c>
      <c r="AF58" s="1215" t="n">
        <f aca="false">SUMPRODUCT($D$77:$D$80,AF$20:AF$23)</f>
        <v>0</v>
      </c>
      <c r="AG58" s="1215" t="n">
        <f aca="false">SUMPRODUCT($D$77:$D$80,AG$20:AG$23)</f>
        <v>0</v>
      </c>
      <c r="AH58" s="1215" t="n">
        <f aca="false">SUMPRODUCT($D$77:$D$80,AH$20:AH$23)</f>
        <v>0</v>
      </c>
      <c r="AI58" s="1216" t="n">
        <f aca="false">SUMPRODUCT($D$77:$D$80,AI$20:AI$23)</f>
        <v>0</v>
      </c>
    </row>
    <row r="59" customFormat="false" ht="12" hidden="false" customHeight="true" outlineLevel="0" collapsed="false"/>
    <row r="60" customFormat="false" ht="16.5" hidden="false" customHeight="true" outlineLevel="0" collapsed="false">
      <c r="A60" s="1217"/>
      <c r="B60" s="1217" t="s">
        <v>781</v>
      </c>
      <c r="C60" s="1218"/>
      <c r="D60" s="1218"/>
      <c r="E60" s="1219" t="n">
        <f aca="false">SUM(E54:E58)</f>
        <v>5416.32066287669</v>
      </c>
      <c r="F60" s="1219" t="n">
        <f aca="false">SUM(F54:F58)</f>
        <v>7266.27956115951</v>
      </c>
      <c r="G60" s="1219" t="n">
        <f aca="false">SUM(G54:G58)</f>
        <v>5401.16782233737</v>
      </c>
      <c r="H60" s="1219" t="n">
        <f aca="false">SUM(H54:H58)</f>
        <v>4272.52037859806</v>
      </c>
      <c r="I60" s="1219" t="n">
        <f aca="false">SUM(I54:I58)</f>
        <v>4380.24305239002</v>
      </c>
      <c r="J60" s="1219" t="n">
        <f aca="false">SUM(J54:J58)</f>
        <v>3527.2930219081</v>
      </c>
      <c r="K60" s="1219" t="n">
        <f aca="false">SUM(K54:K58)</f>
        <v>2800.69970924651</v>
      </c>
      <c r="L60" s="1219" t="n">
        <f aca="false">SUM(L54:L58)</f>
        <v>2777.15532382407</v>
      </c>
      <c r="M60" s="1219" t="n">
        <f aca="false">SUM(M54:M58)</f>
        <v>2752.73121942347</v>
      </c>
      <c r="N60" s="1219" t="n">
        <f aca="false">SUM(N54:N58)</f>
        <v>2852.07598254676</v>
      </c>
      <c r="O60" s="1219" t="n">
        <f aca="false">SUM(O54:O58)</f>
        <v>46.6568723784853</v>
      </c>
      <c r="P60" s="1219" t="n">
        <f aca="false">SUM(P54:P58)</f>
        <v>13.2429201019493</v>
      </c>
      <c r="Q60" s="1219" t="n">
        <f aca="false">SUM(Q54:Q58)</f>
        <v>-22.2293236518009</v>
      </c>
      <c r="R60" s="1219" t="n">
        <f aca="false">SUM(R54:R58)</f>
        <v>-60.7956752109725</v>
      </c>
      <c r="S60" s="1219" t="n">
        <f aca="false">SUM(S54:S58)</f>
        <v>-102.297556670134</v>
      </c>
      <c r="T60" s="1219" t="n">
        <f aca="false">SUM(T54:T58)</f>
        <v>-147.929659067575</v>
      </c>
      <c r="U60" s="1219" t="n">
        <f aca="false">SUM(U54:U58)</f>
        <v>-111.571431929922</v>
      </c>
      <c r="V60" s="1219" t="n">
        <f aca="false">SUM(V54:V58)</f>
        <v>1230.58319048745</v>
      </c>
      <c r="W60" s="1219" t="n">
        <f aca="false">SUM(W54:W58)</f>
        <v>1211.97441495209</v>
      </c>
      <c r="X60" s="1219" t="n">
        <f aca="false">SUM(X54:X58)</f>
        <v>1388.93659048751</v>
      </c>
      <c r="Y60" s="1219" t="n">
        <f aca="false">SUM(Y54:Y58)</f>
        <v>0</v>
      </c>
      <c r="Z60" s="1219" t="n">
        <f aca="false">SUM(Z54:Z58)</f>
        <v>0</v>
      </c>
      <c r="AA60" s="1219" t="n">
        <f aca="false">SUM(AA54:AA58)</f>
        <v>0</v>
      </c>
      <c r="AB60" s="1219" t="n">
        <f aca="false">SUM(AB54:AB58)</f>
        <v>0</v>
      </c>
      <c r="AC60" s="1219" t="n">
        <f aca="false">SUM(AC54:AC58)</f>
        <v>0</v>
      </c>
      <c r="AD60" s="1219" t="n">
        <f aca="false">SUM(AD54:AD58)</f>
        <v>0</v>
      </c>
      <c r="AE60" s="1219" t="n">
        <f aca="false">SUM(AE54:AE58)</f>
        <v>0</v>
      </c>
      <c r="AF60" s="1219" t="n">
        <f aca="false">SUM(AF54:AF58)</f>
        <v>0</v>
      </c>
      <c r="AG60" s="1219" t="n">
        <f aca="false">SUM(AG54:AG58)</f>
        <v>0</v>
      </c>
      <c r="AH60" s="1219" t="n">
        <f aca="false">SUM(AH54:AH58)</f>
        <v>0</v>
      </c>
      <c r="AI60" s="1219" t="n">
        <f aca="false">SUM(AI54:AI58)</f>
        <v>0</v>
      </c>
      <c r="AJ60" s="1218"/>
      <c r="AK60" s="1218"/>
      <c r="AL60" s="1218"/>
      <c r="AM60" s="1218"/>
      <c r="AN60" s="1218"/>
      <c r="AO60" s="1218"/>
      <c r="AP60" s="1218"/>
      <c r="AQ60" s="1218"/>
      <c r="AR60" s="1218"/>
      <c r="AS60" s="1218"/>
      <c r="AT60" s="1218"/>
      <c r="AU60" s="1218"/>
      <c r="AV60" s="1218"/>
      <c r="AW60" s="1218"/>
      <c r="AX60" s="1218"/>
      <c r="AY60" s="1218"/>
      <c r="AZ60" s="1218"/>
      <c r="BA60" s="1218"/>
      <c r="BB60" s="1218"/>
      <c r="BC60" s="1218"/>
      <c r="BD60" s="1218"/>
      <c r="BE60" s="1218"/>
      <c r="BF60" s="1218"/>
      <c r="BG60" s="1218"/>
      <c r="BH60" s="1218"/>
      <c r="BI60" s="1218"/>
      <c r="BJ60" s="1218"/>
      <c r="BK60" s="1218"/>
      <c r="BL60" s="1218"/>
      <c r="BM60" s="1218"/>
      <c r="BN60" s="1218"/>
      <c r="BO60" s="1218"/>
      <c r="BP60" s="1218"/>
      <c r="BQ60" s="1218"/>
      <c r="BR60" s="1218"/>
      <c r="BS60" s="1218"/>
      <c r="BT60" s="1218"/>
      <c r="BU60" s="1218"/>
      <c r="BV60" s="1218"/>
      <c r="BW60" s="1218"/>
      <c r="BX60" s="1218"/>
      <c r="BY60" s="1218"/>
      <c r="BZ60" s="1218"/>
      <c r="CA60" s="1218"/>
      <c r="CB60" s="1218"/>
      <c r="CC60" s="1218"/>
      <c r="CD60" s="1218"/>
      <c r="CE60" s="1218"/>
      <c r="CF60" s="1218"/>
      <c r="CG60" s="1218"/>
      <c r="CH60" s="1218"/>
      <c r="CI60" s="1218"/>
      <c r="CJ60" s="1218"/>
      <c r="CK60" s="1218"/>
      <c r="CL60" s="1218"/>
      <c r="CM60" s="1218"/>
      <c r="CN60" s="1218"/>
      <c r="CO60" s="1218"/>
      <c r="CP60" s="1218"/>
      <c r="CQ60" s="1218"/>
      <c r="CR60" s="1218"/>
      <c r="CS60" s="1218"/>
      <c r="CT60" s="1218"/>
      <c r="CU60" s="1218"/>
      <c r="CV60" s="1218"/>
      <c r="CW60" s="1218"/>
      <c r="CX60" s="1218"/>
      <c r="CY60" s="1218"/>
      <c r="CZ60" s="1218"/>
      <c r="DA60" s="1218"/>
      <c r="DB60" s="1218"/>
      <c r="DC60" s="1218"/>
      <c r="DD60" s="1218"/>
      <c r="DE60" s="1218"/>
      <c r="DF60" s="1218"/>
      <c r="DG60" s="1218"/>
      <c r="DH60" s="1218"/>
      <c r="DI60" s="1218"/>
      <c r="DJ60" s="1218"/>
      <c r="DK60" s="1218"/>
      <c r="DL60" s="1218"/>
      <c r="DM60" s="1218"/>
      <c r="DN60" s="1218"/>
      <c r="DO60" s="1218"/>
      <c r="DP60" s="1218"/>
      <c r="DQ60" s="1218"/>
      <c r="DR60" s="1218"/>
      <c r="DS60" s="1218"/>
      <c r="DT60" s="1218"/>
      <c r="DU60" s="1218"/>
      <c r="DV60" s="1218"/>
      <c r="DW60" s="1218"/>
      <c r="DX60" s="1218"/>
      <c r="DY60" s="1218"/>
      <c r="DZ60" s="1218"/>
      <c r="EA60" s="1218"/>
      <c r="EB60" s="1218"/>
      <c r="EC60" s="1218"/>
      <c r="ED60" s="1218"/>
      <c r="EE60" s="1218"/>
      <c r="EF60" s="1218"/>
      <c r="EG60" s="1218"/>
      <c r="EH60" s="1218"/>
      <c r="EI60" s="1218"/>
      <c r="EJ60" s="1218"/>
      <c r="EK60" s="1218"/>
      <c r="EL60" s="1218"/>
      <c r="EM60" s="1218"/>
      <c r="EN60" s="1218"/>
      <c r="EO60" s="1218"/>
      <c r="EP60" s="1218"/>
      <c r="EQ60" s="1218"/>
      <c r="ER60" s="1218"/>
      <c r="ES60" s="1218"/>
      <c r="ET60" s="1218"/>
      <c r="EU60" s="1218"/>
      <c r="EV60" s="1218"/>
      <c r="EW60" s="1218"/>
      <c r="EX60" s="1218"/>
      <c r="EY60" s="1218"/>
      <c r="EZ60" s="1218"/>
      <c r="FA60" s="1218"/>
      <c r="FB60" s="1218"/>
      <c r="FC60" s="1218"/>
      <c r="FD60" s="1218"/>
      <c r="FE60" s="1218"/>
      <c r="FF60" s="1218"/>
      <c r="FG60" s="1218"/>
      <c r="FH60" s="1218"/>
      <c r="FI60" s="1218"/>
      <c r="FJ60" s="1218"/>
      <c r="FK60" s="1218"/>
      <c r="FL60" s="1218"/>
      <c r="FM60" s="1218"/>
      <c r="FN60" s="1218"/>
      <c r="FO60" s="1218"/>
      <c r="FP60" s="1218"/>
      <c r="FQ60" s="1218"/>
      <c r="FR60" s="1218"/>
      <c r="FS60" s="1218"/>
      <c r="FT60" s="1218"/>
      <c r="FU60" s="1218"/>
      <c r="FV60" s="1218"/>
      <c r="FW60" s="1218"/>
      <c r="FX60" s="1218"/>
      <c r="FY60" s="1218"/>
      <c r="FZ60" s="1218"/>
      <c r="GA60" s="1218"/>
      <c r="GB60" s="1218"/>
      <c r="GC60" s="1218"/>
      <c r="GD60" s="1218"/>
      <c r="GE60" s="1218"/>
      <c r="GF60" s="1218"/>
      <c r="GG60" s="1218"/>
      <c r="GH60" s="1218"/>
      <c r="GI60" s="1218"/>
      <c r="GJ60" s="1218"/>
      <c r="GK60" s="1218"/>
      <c r="GL60" s="1218"/>
      <c r="GM60" s="1218"/>
      <c r="GN60" s="1218"/>
      <c r="GO60" s="1218"/>
      <c r="GP60" s="1218"/>
      <c r="GQ60" s="1218"/>
      <c r="GR60" s="1218"/>
      <c r="GS60" s="1218"/>
      <c r="GT60" s="1218"/>
      <c r="GU60" s="1218"/>
      <c r="GV60" s="1218"/>
      <c r="GW60" s="1218"/>
      <c r="GX60" s="1218"/>
      <c r="GY60" s="1218"/>
      <c r="GZ60" s="1218"/>
      <c r="HA60" s="1218"/>
      <c r="HB60" s="1218"/>
      <c r="HC60" s="1218"/>
      <c r="HD60" s="1218"/>
      <c r="HE60" s="1218"/>
      <c r="HF60" s="1218"/>
      <c r="HG60" s="1218"/>
      <c r="HH60" s="1218"/>
      <c r="HI60" s="1218"/>
      <c r="HJ60" s="1218"/>
      <c r="HK60" s="1218"/>
      <c r="HL60" s="1218"/>
      <c r="HM60" s="1218"/>
      <c r="HN60" s="1218"/>
      <c r="HO60" s="1218"/>
      <c r="HP60" s="1218"/>
      <c r="HQ60" s="1218"/>
      <c r="HR60" s="1218"/>
      <c r="HS60" s="1218"/>
      <c r="HT60" s="1218"/>
      <c r="HU60" s="1218"/>
      <c r="HV60" s="1218"/>
      <c r="HW60" s="1218"/>
      <c r="HX60" s="1218"/>
      <c r="HY60" s="1218"/>
      <c r="HZ60" s="1218"/>
      <c r="IA60" s="1218"/>
      <c r="IB60" s="1218"/>
      <c r="IC60" s="1218"/>
      <c r="ID60" s="1218"/>
      <c r="IE60" s="1218"/>
      <c r="IF60" s="1218"/>
      <c r="IG60" s="1218"/>
      <c r="IH60" s="1218"/>
      <c r="II60" s="1218"/>
      <c r="IJ60" s="1218"/>
      <c r="IK60" s="1218"/>
      <c r="IL60" s="1218"/>
      <c r="IM60" s="1218"/>
      <c r="IN60" s="1218"/>
      <c r="IO60" s="1218"/>
      <c r="IP60" s="1218"/>
      <c r="IQ60" s="1218"/>
      <c r="IR60" s="1218"/>
      <c r="IS60" s="1218"/>
      <c r="IT60" s="1218"/>
      <c r="IU60" s="1218"/>
      <c r="IV60" s="1218"/>
      <c r="IW60" s="1218"/>
    </row>
    <row r="61" customFormat="false" ht="16.5" hidden="false" customHeight="true" outlineLevel="0" collapsed="false"/>
    <row r="62" customFormat="false" ht="12" hidden="false" customHeight="true" outlineLevel="0" collapsed="false">
      <c r="B62" s="1178" t="s">
        <v>782</v>
      </c>
      <c r="C62" s="1161"/>
      <c r="D62" s="1179" t="s">
        <v>426</v>
      </c>
      <c r="E62" s="1179"/>
      <c r="F62" s="1179"/>
      <c r="G62" s="1162"/>
    </row>
    <row r="63" customFormat="false" ht="12" hidden="false" customHeight="true" outlineLevel="0" collapsed="false">
      <c r="B63" s="1180"/>
      <c r="C63" s="108"/>
      <c r="D63" s="215" t="s">
        <v>773</v>
      </c>
      <c r="E63" s="215" t="s">
        <v>774</v>
      </c>
      <c r="F63" s="215" t="s">
        <v>783</v>
      </c>
      <c r="G63" s="636"/>
    </row>
    <row r="64" customFormat="false" ht="12.75" hidden="false" customHeight="false" outlineLevel="0" collapsed="false">
      <c r="B64" s="1180"/>
      <c r="C64" s="108"/>
      <c r="D64" s="108"/>
      <c r="E64" s="1220" t="n">
        <f aca="false">Assum!E326</f>
        <v>0.13</v>
      </c>
      <c r="F64" s="1220" t="n">
        <f aca="false">Assum!E326</f>
        <v>0.13</v>
      </c>
      <c r="G64" s="636"/>
    </row>
    <row r="65" customFormat="false" ht="12.75" hidden="false" customHeight="false" outlineLevel="0" collapsed="false">
      <c r="B65" s="1180"/>
      <c r="C65" s="1186" t="s">
        <v>775</v>
      </c>
      <c r="D65" s="256" t="n">
        <f aca="false">XIRR(D54:N58,D47:N51)</f>
        <v>0.126472759435792</v>
      </c>
      <c r="E65" s="100" t="n">
        <f aca="false">XNPV($E$64,$D$54:$N$58,$D$47:$N$51)</f>
        <v>-278.127090956715</v>
      </c>
      <c r="F65" s="100" t="n">
        <f aca="false">E65-$C$58</f>
        <v>25952.7234582568</v>
      </c>
      <c r="G65" s="636"/>
    </row>
    <row r="66" customFormat="false" ht="12.75" hidden="false" customHeight="false" outlineLevel="0" collapsed="false">
      <c r="B66" s="1180"/>
      <c r="C66" s="1186" t="s">
        <v>776</v>
      </c>
      <c r="D66" s="256" t="n">
        <f aca="false">XIRR(D54:X58,D47:X51)</f>
        <v>0.13</v>
      </c>
      <c r="E66" s="100" t="n">
        <f aca="false">XNPV($E$64,$D$54:$X$58,$D$47:$X$51)</f>
        <v>6.53699316899292E-013</v>
      </c>
      <c r="F66" s="100" t="n">
        <f aca="false">E66-$C$58</f>
        <v>26230.8505492135</v>
      </c>
      <c r="G66" s="638"/>
    </row>
    <row r="67" customFormat="false" ht="12.75" hidden="false" customHeight="false" outlineLevel="0" collapsed="false">
      <c r="B67" s="1180"/>
      <c r="C67" s="1186" t="s">
        <v>777</v>
      </c>
      <c r="D67" s="256" t="n">
        <f aca="false">XIRR(D54:AI58,D47:AI51)</f>
        <v>0.13</v>
      </c>
      <c r="E67" s="100" t="n">
        <f aca="false">XNPV($E$64,$D$54:$AI$58,$D$47:$AI$51)</f>
        <v>6.53699316899292E-013</v>
      </c>
      <c r="F67" s="100" t="n">
        <f aca="false">E67-$C$58</f>
        <v>26230.8505492135</v>
      </c>
      <c r="G67" s="636"/>
    </row>
    <row r="68" customFormat="false" ht="12.75" hidden="false" customHeight="false" outlineLevel="0" collapsed="false">
      <c r="B68" s="1180"/>
      <c r="C68" s="108"/>
      <c r="D68" s="108"/>
      <c r="E68" s="108"/>
      <c r="F68" s="108"/>
      <c r="G68" s="636"/>
    </row>
    <row r="69" customFormat="false" ht="12.75" hidden="false" customHeight="false" outlineLevel="0" collapsed="false">
      <c r="B69" s="1180"/>
      <c r="C69" s="108"/>
      <c r="D69" s="1188" t="s">
        <v>425</v>
      </c>
      <c r="E69" s="1188"/>
      <c r="F69" s="1188"/>
      <c r="G69" s="636"/>
    </row>
    <row r="70" customFormat="false" ht="12.75" hidden="false" customHeight="false" outlineLevel="0" collapsed="false">
      <c r="B70" s="1180"/>
      <c r="C70" s="1186" t="s">
        <v>775</v>
      </c>
      <c r="D70" s="256" t="n">
        <f aca="false">XIRR(C58:N58,C51:N51)</f>
        <v>-0.215385834924812</v>
      </c>
      <c r="E70" s="100" t="n">
        <f aca="false">XNPV($E$64,$C$58:$N$58,$C$51:$N$51)</f>
        <v>-23199.3062779864</v>
      </c>
      <c r="F70" s="1104" t="n">
        <f aca="false">E70-$C$58</f>
        <v>3031.54427122709</v>
      </c>
      <c r="G70" s="636"/>
    </row>
    <row r="71" customFormat="false" ht="12.75" hidden="false" customHeight="false" outlineLevel="0" collapsed="false">
      <c r="B71" s="1180"/>
      <c r="C71" s="1186" t="s">
        <v>776</v>
      </c>
      <c r="D71" s="256" t="n">
        <f aca="false">XIRR(C58:X58,C51:X51)</f>
        <v>-0.0381829974578543</v>
      </c>
      <c r="E71" s="100" t="n">
        <f aca="false">XNPV($E$64,$C$58:$X$58,$C$51:$X$51)</f>
        <v>-21904.2325119779</v>
      </c>
      <c r="F71" s="1104" t="n">
        <f aca="false">E71-$C$58</f>
        <v>4326.61803723563</v>
      </c>
      <c r="G71" s="636"/>
    </row>
    <row r="72" customFormat="false" ht="12.75" hidden="false" customHeight="false" outlineLevel="0" collapsed="false">
      <c r="B72" s="1180"/>
      <c r="C72" s="1186" t="s">
        <v>777</v>
      </c>
      <c r="D72" s="256" t="n">
        <f aca="false">XIRR(C58:AI58,C51:AI51)</f>
        <v>-0.0381829974578543</v>
      </c>
      <c r="E72" s="100" t="n">
        <f aca="false">XNPV($E$64,$C$58:$AI$58,$C$51:$AI$51)</f>
        <v>-21904.2325119779</v>
      </c>
      <c r="F72" s="1104" t="n">
        <f aca="false">E72-$C$58</f>
        <v>4326.61803723563</v>
      </c>
      <c r="G72" s="636"/>
    </row>
    <row r="73" customFormat="false" ht="13.5" hidden="false" customHeight="false" outlineLevel="0" collapsed="false">
      <c r="B73" s="1221"/>
      <c r="C73" s="661"/>
      <c r="D73" s="661"/>
      <c r="E73" s="661"/>
      <c r="F73" s="661"/>
      <c r="G73" s="662"/>
    </row>
    <row r="74" customFormat="false" ht="13.5" hidden="false" customHeight="true" outlineLevel="0" collapsed="false"/>
    <row r="76" customFormat="false" ht="13.5" hidden="false" customHeight="false" outlineLevel="0" collapsed="false">
      <c r="B76" s="0" t="s">
        <v>784</v>
      </c>
    </row>
    <row r="77" customFormat="false" ht="12.75" hidden="false" customHeight="false" outlineLevel="0" collapsed="false">
      <c r="B77" s="1222" t="s">
        <v>674</v>
      </c>
      <c r="C77" s="1161" t="n">
        <v>0</v>
      </c>
      <c r="D77" s="1162" t="n">
        <v>1</v>
      </c>
    </row>
    <row r="78" customFormat="false" ht="12.75" hidden="false" customHeight="false" outlineLevel="0" collapsed="false">
      <c r="B78" s="1165" t="s">
        <v>765</v>
      </c>
      <c r="C78" s="254" t="n">
        <v>0</v>
      </c>
      <c r="D78" s="1223" t="n">
        <v>1</v>
      </c>
    </row>
    <row r="79" customFormat="false" ht="12.75" hidden="false" customHeight="false" outlineLevel="0" collapsed="false">
      <c r="B79" s="1167" t="s">
        <v>766</v>
      </c>
      <c r="C79" s="108" t="n">
        <v>0.25</v>
      </c>
      <c r="D79" s="636" t="n">
        <v>0</v>
      </c>
    </row>
    <row r="80" customFormat="false" ht="13.5" hidden="false" customHeight="false" outlineLevel="0" collapsed="false">
      <c r="B80" s="1224" t="s">
        <v>767</v>
      </c>
      <c r="C80" s="661" t="n">
        <v>0.25</v>
      </c>
      <c r="D80" s="662" t="n">
        <v>0</v>
      </c>
      <c r="H80" s="1186"/>
    </row>
    <row r="81" customFormat="false" ht="12.75" hidden="false" customHeight="false" outlineLevel="0" collapsed="false">
      <c r="H81" s="1186"/>
    </row>
    <row r="82" customFormat="false" ht="12.75" hidden="false" customHeight="false" outlineLevel="0" collapsed="false">
      <c r="A82" s="1029"/>
      <c r="B82" s="17"/>
      <c r="C82" s="17"/>
      <c r="D82" s="17"/>
      <c r="E82" s="17"/>
      <c r="F82" s="17"/>
      <c r="G82" s="17"/>
      <c r="H82" s="1225"/>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17"/>
      <c r="BX82" s="17"/>
      <c r="BY82" s="17"/>
      <c r="BZ82" s="17"/>
      <c r="CA82" s="17"/>
      <c r="CB82" s="17"/>
      <c r="CC82" s="17"/>
      <c r="CD82" s="17"/>
      <c r="CE82" s="17"/>
      <c r="CF82" s="17"/>
      <c r="CG82" s="17"/>
      <c r="CH82" s="17"/>
      <c r="CI82" s="17"/>
      <c r="CJ82" s="17"/>
      <c r="CK82" s="17"/>
      <c r="CL82" s="17"/>
      <c r="CM82" s="17"/>
      <c r="CN82" s="17"/>
      <c r="CO82" s="17"/>
      <c r="CP82" s="17"/>
      <c r="CQ82" s="17"/>
      <c r="CR82" s="17"/>
      <c r="CS82" s="17"/>
      <c r="CT82" s="17"/>
      <c r="CU82" s="17"/>
      <c r="CV82" s="17"/>
      <c r="CW82" s="17"/>
      <c r="CX82" s="17"/>
      <c r="CY82" s="17"/>
      <c r="CZ82" s="17"/>
      <c r="DA82" s="17"/>
      <c r="DB82" s="17"/>
      <c r="DC82" s="17"/>
      <c r="DD82" s="17"/>
      <c r="DE82" s="17"/>
      <c r="DF82" s="17"/>
      <c r="DG82" s="17"/>
      <c r="DH82" s="17"/>
      <c r="DI82" s="17"/>
      <c r="DJ82" s="17"/>
      <c r="DK82" s="17"/>
      <c r="DL82" s="17"/>
      <c r="DM82" s="17"/>
      <c r="DN82" s="17"/>
      <c r="DO82" s="17"/>
      <c r="DP82" s="17"/>
      <c r="DQ82" s="17"/>
      <c r="DR82" s="17"/>
      <c r="DS82" s="17"/>
      <c r="DT82" s="17"/>
      <c r="DU82" s="17"/>
      <c r="DV82" s="17"/>
      <c r="DW82" s="17"/>
      <c r="DX82" s="17"/>
      <c r="DY82" s="17"/>
      <c r="DZ82" s="17"/>
      <c r="EA82" s="17"/>
      <c r="EB82" s="17"/>
      <c r="EC82" s="17"/>
      <c r="ED82" s="17"/>
      <c r="EE82" s="17"/>
      <c r="EF82" s="17"/>
      <c r="EG82" s="17"/>
      <c r="EH82" s="17"/>
      <c r="EI82" s="17"/>
      <c r="EJ82" s="17"/>
      <c r="EK82" s="17"/>
      <c r="EL82" s="17"/>
      <c r="EM82" s="17"/>
      <c r="EN82" s="17"/>
      <c r="EO82" s="17"/>
      <c r="EP82" s="17"/>
      <c r="EQ82" s="17"/>
      <c r="ER82" s="17"/>
      <c r="ES82" s="17"/>
      <c r="ET82" s="17"/>
      <c r="EU82" s="17"/>
      <c r="EV82" s="17"/>
      <c r="EW82" s="17"/>
      <c r="EX82" s="17"/>
      <c r="EY82" s="17"/>
      <c r="EZ82" s="17"/>
      <c r="FA82" s="17"/>
      <c r="FB82" s="17"/>
      <c r="FC82" s="17"/>
      <c r="FD82" s="17"/>
      <c r="FE82" s="17"/>
      <c r="FF82" s="17"/>
      <c r="FG82" s="17"/>
      <c r="FH82" s="17"/>
      <c r="FI82" s="17"/>
      <c r="FJ82" s="17"/>
      <c r="FK82" s="17"/>
      <c r="FL82" s="17"/>
      <c r="FM82" s="17"/>
      <c r="FN82" s="17"/>
      <c r="FO82" s="17"/>
      <c r="FP82" s="17"/>
      <c r="FQ82" s="17"/>
      <c r="FR82" s="17"/>
      <c r="FS82" s="17"/>
      <c r="FT82" s="17"/>
      <c r="FU82" s="17"/>
      <c r="FV82" s="17"/>
      <c r="FW82" s="17"/>
      <c r="FX82" s="17"/>
      <c r="FY82" s="17"/>
      <c r="FZ82" s="17"/>
      <c r="GA82" s="17"/>
      <c r="GB82" s="17"/>
      <c r="GC82" s="17"/>
      <c r="GD82" s="17"/>
      <c r="GE82" s="17"/>
      <c r="GF82" s="17"/>
      <c r="GG82" s="17"/>
      <c r="GH82" s="17"/>
      <c r="GI82" s="17"/>
      <c r="GJ82" s="17"/>
      <c r="GK82" s="17"/>
      <c r="GL82" s="17"/>
      <c r="GM82" s="17"/>
      <c r="GN82" s="17"/>
      <c r="GO82" s="17"/>
      <c r="GP82" s="17"/>
      <c r="GQ82" s="17"/>
      <c r="GR82" s="17"/>
      <c r="GS82" s="17"/>
      <c r="GT82" s="17"/>
      <c r="GU82" s="17"/>
      <c r="GV82" s="17"/>
      <c r="GW82" s="17"/>
      <c r="GX82" s="17"/>
      <c r="GY82" s="17"/>
      <c r="GZ82" s="17"/>
      <c r="HA82" s="17"/>
      <c r="HB82" s="17"/>
      <c r="HC82" s="17"/>
      <c r="HD82" s="17"/>
      <c r="HE82" s="17"/>
      <c r="HF82" s="17"/>
      <c r="HG82" s="17"/>
      <c r="HH82" s="17"/>
      <c r="HI82" s="17"/>
      <c r="HJ82" s="17"/>
      <c r="HK82" s="17"/>
      <c r="HL82" s="17"/>
      <c r="HM82" s="17"/>
      <c r="HN82" s="17"/>
      <c r="HO82" s="17"/>
      <c r="HP82" s="17"/>
      <c r="HQ82" s="17"/>
      <c r="HR82" s="17"/>
      <c r="HS82" s="17"/>
      <c r="HT82" s="17"/>
      <c r="HU82" s="17"/>
      <c r="HV82" s="17"/>
      <c r="HW82" s="17"/>
      <c r="HX82" s="17"/>
      <c r="HY82" s="17"/>
      <c r="HZ82" s="17"/>
      <c r="IA82" s="17"/>
      <c r="IB82" s="17"/>
      <c r="IC82" s="17"/>
      <c r="ID82" s="17"/>
      <c r="IE82" s="17"/>
      <c r="IF82" s="17"/>
      <c r="IG82" s="17"/>
      <c r="IH82" s="17"/>
      <c r="II82" s="17"/>
      <c r="IJ82" s="17"/>
      <c r="IK82" s="17"/>
      <c r="IL82" s="17"/>
      <c r="IM82" s="17"/>
      <c r="IN82" s="17"/>
      <c r="IO82" s="17"/>
      <c r="IP82" s="17"/>
      <c r="IQ82" s="17"/>
      <c r="IR82" s="17"/>
      <c r="IS82" s="17"/>
      <c r="IT82" s="17"/>
      <c r="IU82" s="17"/>
      <c r="IV82" s="17"/>
      <c r="IW82" s="17"/>
    </row>
    <row r="83" customFormat="false" ht="12.75" hidden="false" customHeight="false" outlineLevel="0" collapsed="false">
      <c r="H83" s="1186"/>
    </row>
    <row r="84" customFormat="false" ht="12.75" hidden="false" customHeight="false" outlineLevel="0" collapsed="false">
      <c r="A84" s="696"/>
      <c r="B84" s="1034" t="s">
        <v>785</v>
      </c>
      <c r="C84" s="223"/>
      <c r="D84" s="317"/>
      <c r="E84" s="240"/>
      <c r="F84" s="223"/>
      <c r="G84" s="240"/>
      <c r="H84" s="240"/>
      <c r="I84" s="240"/>
      <c r="J84" s="240"/>
      <c r="K84" s="240"/>
      <c r="L84" s="240"/>
      <c r="M84" s="240"/>
      <c r="N84" s="240"/>
      <c r="O84" s="240"/>
      <c r="P84" s="240"/>
      <c r="Q84" s="240"/>
      <c r="R84" s="240"/>
      <c r="S84" s="240"/>
      <c r="T84" s="240"/>
      <c r="U84" s="240"/>
      <c r="V84" s="240"/>
      <c r="W84" s="240"/>
      <c r="X84" s="240"/>
      <c r="Y84" s="240"/>
      <c r="Z84" s="240"/>
      <c r="AA84" s="240"/>
      <c r="AB84" s="240"/>
      <c r="AC84" s="240"/>
      <c r="AD84" s="240"/>
      <c r="AE84" s="240"/>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c r="BO84" s="240"/>
      <c r="BP84" s="240"/>
      <c r="BQ84" s="240"/>
      <c r="BR84" s="240"/>
      <c r="BS84" s="240"/>
      <c r="BT84" s="240"/>
      <c r="BU84" s="240"/>
      <c r="BV84" s="240"/>
      <c r="BW84" s="240"/>
      <c r="BX84" s="240"/>
      <c r="BY84" s="240"/>
      <c r="BZ84" s="240"/>
      <c r="CA84" s="240"/>
      <c r="CB84" s="240"/>
      <c r="CC84" s="240"/>
      <c r="CD84" s="240"/>
      <c r="CE84" s="240"/>
      <c r="CF84" s="240"/>
      <c r="CG84" s="240"/>
      <c r="CH84" s="240"/>
      <c r="CI84" s="240"/>
      <c r="CJ84" s="240"/>
      <c r="CK84" s="240"/>
      <c r="CL84" s="240"/>
      <c r="CM84" s="240"/>
      <c r="CN84" s="240"/>
      <c r="CO84" s="240"/>
      <c r="CP84" s="240"/>
      <c r="CQ84" s="240"/>
      <c r="CR84" s="240"/>
      <c r="CS84" s="240"/>
      <c r="CT84" s="240"/>
      <c r="CU84" s="240"/>
      <c r="CV84" s="240"/>
      <c r="CW84" s="240"/>
      <c r="CX84" s="240"/>
      <c r="CY84" s="240"/>
      <c r="CZ84" s="240"/>
      <c r="DA84" s="240"/>
      <c r="DB84" s="240"/>
      <c r="DC84" s="240"/>
      <c r="DD84" s="240"/>
      <c r="DE84" s="240"/>
      <c r="DF84" s="240"/>
      <c r="DG84" s="240"/>
      <c r="DH84" s="240"/>
      <c r="DI84" s="240"/>
      <c r="DJ84" s="240"/>
      <c r="DK84" s="240"/>
      <c r="DL84" s="240"/>
      <c r="DM84" s="240"/>
      <c r="DN84" s="240"/>
      <c r="DO84" s="240"/>
      <c r="DP84" s="240"/>
      <c r="DQ84" s="240"/>
      <c r="DR84" s="240"/>
      <c r="DS84" s="240"/>
      <c r="DT84" s="240"/>
      <c r="DU84" s="240"/>
      <c r="DV84" s="240"/>
      <c r="DW84" s="240"/>
      <c r="DX84" s="240"/>
      <c r="DY84" s="240"/>
      <c r="DZ84" s="240"/>
      <c r="EA84" s="240"/>
      <c r="EB84" s="240"/>
      <c r="EC84" s="240"/>
      <c r="ED84" s="240"/>
      <c r="EE84" s="240"/>
      <c r="EF84" s="240"/>
      <c r="EG84" s="240"/>
      <c r="EH84" s="240"/>
      <c r="EI84" s="240"/>
      <c r="EJ84" s="240"/>
      <c r="EK84" s="240"/>
      <c r="EL84" s="240"/>
      <c r="EM84" s="317"/>
      <c r="EN84" s="317"/>
      <c r="EO84" s="317"/>
      <c r="EP84" s="317"/>
      <c r="EQ84" s="317"/>
      <c r="ER84" s="317"/>
      <c r="ES84" s="317"/>
      <c r="ET84" s="317"/>
      <c r="EU84" s="317"/>
      <c r="EV84" s="317"/>
      <c r="EW84" s="317"/>
      <c r="EX84" s="317"/>
      <c r="EY84" s="317"/>
      <c r="EZ84" s="317"/>
      <c r="FA84" s="317"/>
      <c r="FB84" s="317"/>
      <c r="FC84" s="317"/>
      <c r="FD84" s="317"/>
      <c r="FE84" s="317"/>
      <c r="FF84" s="317"/>
      <c r="FG84" s="317"/>
      <c r="FH84" s="317"/>
      <c r="FI84" s="317"/>
      <c r="FJ84" s="317"/>
      <c r="FK84" s="317"/>
      <c r="FL84" s="317"/>
      <c r="FM84" s="317"/>
      <c r="FN84" s="317"/>
      <c r="FO84" s="317"/>
      <c r="FP84" s="317"/>
      <c r="FQ84" s="317"/>
      <c r="FR84" s="317"/>
      <c r="FS84" s="317"/>
      <c r="FT84" s="317"/>
      <c r="FU84" s="317"/>
      <c r="FV84" s="317"/>
      <c r="FW84" s="317"/>
      <c r="FX84" s="317"/>
      <c r="FY84" s="317"/>
      <c r="FZ84" s="317"/>
      <c r="GA84" s="317"/>
      <c r="GB84" s="317"/>
      <c r="GC84" s="317"/>
      <c r="GD84" s="317"/>
      <c r="GE84" s="317"/>
      <c r="GF84" s="317"/>
      <c r="GG84" s="317"/>
      <c r="GH84" s="317"/>
      <c r="GI84" s="317"/>
      <c r="GJ84" s="317"/>
      <c r="GK84" s="317"/>
      <c r="GL84" s="317"/>
      <c r="GM84" s="317"/>
      <c r="GN84" s="317"/>
      <c r="GO84" s="317"/>
      <c r="GP84" s="317"/>
      <c r="GQ84" s="317"/>
      <c r="GR84" s="317"/>
      <c r="GS84" s="317"/>
      <c r="GT84" s="317"/>
      <c r="GU84" s="317"/>
      <c r="GV84" s="317"/>
      <c r="GW84" s="317"/>
      <c r="GX84" s="317"/>
      <c r="GY84" s="317"/>
      <c r="GZ84" s="317"/>
      <c r="HA84" s="317"/>
      <c r="HB84" s="317"/>
      <c r="HC84" s="317"/>
      <c r="HD84" s="317"/>
      <c r="HE84" s="317"/>
      <c r="HF84" s="317"/>
      <c r="HG84" s="317"/>
      <c r="HH84" s="317"/>
      <c r="HI84" s="317"/>
      <c r="HJ84" s="317"/>
      <c r="HK84" s="317"/>
      <c r="HL84" s="317"/>
      <c r="HM84" s="317"/>
      <c r="HN84" s="317"/>
      <c r="HO84" s="317"/>
      <c r="HP84" s="317"/>
      <c r="HQ84" s="317"/>
      <c r="HR84" s="317"/>
      <c r="HS84" s="317"/>
      <c r="HT84" s="317"/>
      <c r="HU84" s="317"/>
      <c r="HV84" s="317"/>
      <c r="HW84" s="317"/>
      <c r="HX84" s="317"/>
      <c r="HY84" s="317"/>
      <c r="HZ84" s="317"/>
      <c r="IA84" s="317"/>
      <c r="IB84" s="317"/>
      <c r="IC84" s="317"/>
      <c r="ID84" s="317"/>
      <c r="IE84" s="317"/>
      <c r="IF84" s="317"/>
      <c r="IG84" s="317"/>
      <c r="IH84" s="317"/>
      <c r="II84" s="317"/>
      <c r="IJ84" s="317"/>
      <c r="IK84" s="317"/>
      <c r="IL84" s="317"/>
      <c r="IM84" s="317"/>
      <c r="IN84" s="317"/>
      <c r="IO84" s="317"/>
      <c r="IP84" s="317"/>
      <c r="IQ84" s="317"/>
      <c r="IR84" s="317"/>
      <c r="IS84" s="317"/>
      <c r="IT84" s="317"/>
      <c r="IU84" s="317"/>
      <c r="IV84" s="317"/>
      <c r="IW84" s="317"/>
    </row>
    <row r="85" customFormat="false" ht="12.75" hidden="false" customHeight="false" outlineLevel="0" collapsed="false">
      <c r="A85" s="696"/>
      <c r="B85" s="1226" t="s">
        <v>786</v>
      </c>
      <c r="C85" s="223"/>
      <c r="D85" s="317"/>
      <c r="E85" s="1043" t="n">
        <f aca="false">CashFlow!E13*Assum!E337</f>
        <v>3666.92260553876</v>
      </c>
      <c r="F85" s="1043" t="n">
        <f aca="false">CashFlow!F13*Assum!F337</f>
        <v>3666.92260553876</v>
      </c>
      <c r="G85" s="1043" t="n">
        <f aca="false">CashFlow!G13*Assum!G337</f>
        <v>3666.92260553876</v>
      </c>
      <c r="H85" s="1043" t="n">
        <f aca="false">CashFlow!H13*Assum!H337</f>
        <v>3666.92260553876</v>
      </c>
      <c r="I85" s="1043" t="n">
        <f aca="false">CashFlow!I13*Assum!I337</f>
        <v>3666.92260553876</v>
      </c>
      <c r="J85" s="1043" t="n">
        <f aca="false">CashFlow!J13*Assum!J337</f>
        <v>3666.92260553876</v>
      </c>
      <c r="K85" s="1043" t="n">
        <f aca="false">CashFlow!K13*Assum!K337</f>
        <v>3666.92260553876</v>
      </c>
      <c r="L85" s="1043" t="n">
        <f aca="false">CashFlow!L13*Assum!L337</f>
        <v>3666.92260553876</v>
      </c>
      <c r="M85" s="1043" t="n">
        <f aca="false">CashFlow!M13*Assum!M337</f>
        <v>3666.92260553876</v>
      </c>
      <c r="N85" s="1043" t="n">
        <f aca="false">CashFlow!N13*Assum!N337</f>
        <v>3666.92260553876</v>
      </c>
      <c r="O85" s="1043" t="n">
        <f aca="false">CashFlow!O13*Assum!O337</f>
        <v>3666.92260553876</v>
      </c>
      <c r="P85" s="1043" t="n">
        <f aca="false">CashFlow!P13*Assum!P337</f>
        <v>3666.92260553876</v>
      </c>
      <c r="Q85" s="1043" t="n">
        <f aca="false">CashFlow!Q13*Assum!Q337</f>
        <v>3666.92260553876</v>
      </c>
      <c r="R85" s="1043" t="n">
        <f aca="false">CashFlow!R13*Assum!R337</f>
        <v>3666.92260553876</v>
      </c>
      <c r="S85" s="1043" t="n">
        <f aca="false">CashFlow!S13*Assum!S337</f>
        <v>3666.92260553876</v>
      </c>
      <c r="T85" s="1043" t="n">
        <f aca="false">CashFlow!T13*Assum!T337</f>
        <v>3666.92260553876</v>
      </c>
      <c r="U85" s="1043" t="n">
        <f aca="false">CashFlow!U13*Assum!U337</f>
        <v>3666.92260553876</v>
      </c>
      <c r="V85" s="1043" t="n">
        <f aca="false">CashFlow!V13*Assum!V337</f>
        <v>3666.92260553876</v>
      </c>
      <c r="W85" s="1043" t="n">
        <f aca="false">CashFlow!W13*Assum!W337</f>
        <v>3666.92260553876</v>
      </c>
      <c r="X85" s="1043" t="n">
        <f aca="false">CashFlow!X13*Assum!X337</f>
        <v>3666.92260553876</v>
      </c>
      <c r="Y85" s="1043" t="n">
        <f aca="false">CashFlow!Y13*Assum!Y337</f>
        <v>0</v>
      </c>
      <c r="Z85" s="1043" t="n">
        <f aca="false">CashFlow!Z13*Assum!Z337</f>
        <v>0</v>
      </c>
      <c r="AA85" s="1043" t="n">
        <f aca="false">CashFlow!AA13*Assum!AA337</f>
        <v>0</v>
      </c>
      <c r="AB85" s="1043" t="n">
        <f aca="false">CashFlow!AB13*Assum!AB337</f>
        <v>0</v>
      </c>
      <c r="AC85" s="1043" t="n">
        <f aca="false">CashFlow!AC13*Assum!AC337</f>
        <v>0</v>
      </c>
      <c r="AD85" s="1043" t="n">
        <f aca="false">CashFlow!AD13*Assum!AD337</f>
        <v>0</v>
      </c>
      <c r="AE85" s="1043" t="n">
        <f aca="false">CashFlow!AE13*Assum!AE337</f>
        <v>0</v>
      </c>
      <c r="AF85" s="1043" t="n">
        <f aca="false">CashFlow!AF13*Assum!AF337</f>
        <v>0</v>
      </c>
      <c r="AG85" s="1043" t="n">
        <f aca="false">CashFlow!AG13*Assum!AG337</f>
        <v>0</v>
      </c>
      <c r="AH85" s="1043" t="n">
        <f aca="false">CashFlow!AH13*Assum!AH337</f>
        <v>0</v>
      </c>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c r="BO85" s="240"/>
      <c r="BP85" s="240"/>
      <c r="BQ85" s="240"/>
      <c r="BR85" s="240"/>
      <c r="BS85" s="240"/>
      <c r="BT85" s="240"/>
      <c r="BU85" s="240"/>
      <c r="BV85" s="240"/>
      <c r="BW85" s="240"/>
      <c r="BX85" s="240"/>
      <c r="BY85" s="240"/>
      <c r="BZ85" s="240"/>
      <c r="CA85" s="240"/>
      <c r="CB85" s="240"/>
      <c r="CC85" s="240"/>
      <c r="CD85" s="240"/>
      <c r="CE85" s="240"/>
      <c r="CF85" s="240"/>
      <c r="CG85" s="240"/>
      <c r="CH85" s="240"/>
      <c r="CI85" s="240"/>
      <c r="CJ85" s="240"/>
      <c r="CK85" s="240"/>
      <c r="CL85" s="240"/>
      <c r="CM85" s="240"/>
      <c r="CN85" s="240"/>
      <c r="CO85" s="240"/>
      <c r="CP85" s="240"/>
      <c r="CQ85" s="240"/>
      <c r="CR85" s="240"/>
      <c r="CS85" s="240"/>
      <c r="CT85" s="240"/>
      <c r="CU85" s="240"/>
      <c r="CV85" s="240"/>
      <c r="CW85" s="240"/>
      <c r="CX85" s="240"/>
      <c r="CY85" s="240"/>
      <c r="CZ85" s="240"/>
      <c r="DA85" s="240"/>
      <c r="DB85" s="240"/>
      <c r="DC85" s="240"/>
      <c r="DD85" s="240"/>
      <c r="DE85" s="240"/>
      <c r="DF85" s="240"/>
      <c r="DG85" s="240"/>
      <c r="DH85" s="240"/>
      <c r="DI85" s="240"/>
      <c r="DJ85" s="240"/>
      <c r="DK85" s="240"/>
      <c r="DL85" s="240"/>
      <c r="DM85" s="240"/>
      <c r="DN85" s="240"/>
      <c r="DO85" s="240"/>
      <c r="DP85" s="240"/>
      <c r="DQ85" s="240"/>
      <c r="DR85" s="240"/>
      <c r="DS85" s="240"/>
      <c r="DT85" s="240"/>
      <c r="DU85" s="240"/>
      <c r="DV85" s="240"/>
      <c r="DW85" s="240"/>
      <c r="DX85" s="240"/>
      <c r="DY85" s="240"/>
      <c r="DZ85" s="240"/>
      <c r="EA85" s="240"/>
      <c r="EB85" s="240"/>
      <c r="EC85" s="240"/>
      <c r="ED85" s="240"/>
      <c r="EE85" s="240"/>
      <c r="EF85" s="240"/>
      <c r="EG85" s="240"/>
      <c r="EH85" s="240"/>
      <c r="EI85" s="240"/>
      <c r="EJ85" s="240"/>
      <c r="EK85" s="240"/>
      <c r="EL85" s="240"/>
      <c r="EM85" s="317"/>
      <c r="EN85" s="317"/>
      <c r="EO85" s="317"/>
      <c r="EP85" s="317"/>
      <c r="EQ85" s="317"/>
      <c r="ER85" s="317"/>
      <c r="ES85" s="317"/>
      <c r="ET85" s="317"/>
      <c r="EU85" s="317"/>
      <c r="EV85" s="317"/>
      <c r="EW85" s="317"/>
      <c r="EX85" s="317"/>
      <c r="EY85" s="317"/>
      <c r="EZ85" s="317"/>
      <c r="FA85" s="317"/>
      <c r="FB85" s="317"/>
      <c r="FC85" s="317"/>
      <c r="FD85" s="317"/>
      <c r="FE85" s="317"/>
      <c r="FF85" s="317"/>
      <c r="FG85" s="317"/>
      <c r="FH85" s="317"/>
      <c r="FI85" s="317"/>
      <c r="FJ85" s="317"/>
      <c r="FK85" s="317"/>
      <c r="FL85" s="317"/>
      <c r="FM85" s="317"/>
      <c r="FN85" s="317"/>
      <c r="FO85" s="317"/>
      <c r="FP85" s="317"/>
      <c r="FQ85" s="317"/>
      <c r="FR85" s="317"/>
      <c r="FS85" s="317"/>
      <c r="FT85" s="317"/>
      <c r="FU85" s="317"/>
      <c r="FV85" s="317"/>
      <c r="FW85" s="317"/>
      <c r="FX85" s="317"/>
      <c r="FY85" s="317"/>
      <c r="FZ85" s="317"/>
      <c r="GA85" s="317"/>
      <c r="GB85" s="317"/>
      <c r="GC85" s="317"/>
      <c r="GD85" s="317"/>
      <c r="GE85" s="317"/>
      <c r="GF85" s="317"/>
      <c r="GG85" s="317"/>
      <c r="GH85" s="317"/>
      <c r="GI85" s="317"/>
      <c r="GJ85" s="317"/>
      <c r="GK85" s="317"/>
      <c r="GL85" s="317"/>
      <c r="GM85" s="317"/>
      <c r="GN85" s="317"/>
      <c r="GO85" s="317"/>
      <c r="GP85" s="317"/>
      <c r="GQ85" s="317"/>
      <c r="GR85" s="317"/>
      <c r="GS85" s="317"/>
      <c r="GT85" s="317"/>
      <c r="GU85" s="317"/>
      <c r="GV85" s="317"/>
      <c r="GW85" s="317"/>
      <c r="GX85" s="317"/>
      <c r="GY85" s="317"/>
      <c r="GZ85" s="317"/>
      <c r="HA85" s="317"/>
      <c r="HB85" s="317"/>
      <c r="HC85" s="317"/>
      <c r="HD85" s="317"/>
      <c r="HE85" s="317"/>
      <c r="HF85" s="317"/>
      <c r="HG85" s="317"/>
      <c r="HH85" s="317"/>
      <c r="HI85" s="317"/>
      <c r="HJ85" s="317"/>
      <c r="HK85" s="317"/>
      <c r="HL85" s="317"/>
      <c r="HM85" s="317"/>
      <c r="HN85" s="317"/>
      <c r="HO85" s="317"/>
      <c r="HP85" s="317"/>
      <c r="HQ85" s="317"/>
      <c r="HR85" s="317"/>
      <c r="HS85" s="317"/>
      <c r="HT85" s="317"/>
      <c r="HU85" s="317"/>
      <c r="HV85" s="317"/>
      <c r="HW85" s="317"/>
      <c r="HX85" s="317"/>
      <c r="HY85" s="317"/>
      <c r="HZ85" s="317"/>
      <c r="IA85" s="317"/>
      <c r="IB85" s="317"/>
      <c r="IC85" s="317"/>
      <c r="ID85" s="317"/>
      <c r="IE85" s="317"/>
      <c r="IF85" s="317"/>
      <c r="IG85" s="317"/>
      <c r="IH85" s="317"/>
      <c r="II85" s="317"/>
      <c r="IJ85" s="317"/>
      <c r="IK85" s="317"/>
      <c r="IL85" s="317"/>
      <c r="IM85" s="317"/>
      <c r="IN85" s="317"/>
      <c r="IO85" s="317"/>
      <c r="IP85" s="317"/>
      <c r="IQ85" s="317"/>
      <c r="IR85" s="317"/>
      <c r="IS85" s="317"/>
      <c r="IT85" s="317"/>
      <c r="IU85" s="317"/>
      <c r="IV85" s="317"/>
      <c r="IW85" s="317"/>
    </row>
    <row r="86" customFormat="false" ht="12.75" hidden="false" customHeight="false" outlineLevel="0" collapsed="false">
      <c r="A86" s="696"/>
      <c r="B86" s="1057" t="s">
        <v>787</v>
      </c>
      <c r="C86" s="130"/>
      <c r="D86" s="130"/>
      <c r="E86" s="130" t="n">
        <f aca="false">Income!E81*Assum!E337</f>
        <v>-1117.266876</v>
      </c>
      <c r="F86" s="130" t="n">
        <f aca="false">Income!F81*Assum!F337</f>
        <v>-1117.75949703</v>
      </c>
      <c r="G86" s="130" t="n">
        <f aca="false">Income!G81*Assum!G337</f>
        <v>-1118.8977679336</v>
      </c>
      <c r="H86" s="130" t="n">
        <f aca="false">Income!H81*Assum!H337</f>
        <v>-1120.82749176339</v>
      </c>
      <c r="I86" s="130" t="n">
        <f aca="false">Income!I81*Assum!I337</f>
        <v>-1123.42441781521</v>
      </c>
      <c r="J86" s="130" t="n">
        <f aca="false">Income!J81*Assum!J337</f>
        <v>-1468.15208961953</v>
      </c>
      <c r="K86" s="130" t="n">
        <f aca="false">Income!K81*Assum!K337</f>
        <v>-1480.94082080893</v>
      </c>
      <c r="L86" s="130" t="n">
        <f aca="false">Income!L81*Assum!L337</f>
        <v>-1494.47805216379</v>
      </c>
      <c r="M86" s="130" t="n">
        <f aca="false">Income!M81*Assum!M337</f>
        <v>-1508.76842656092</v>
      </c>
      <c r="N86" s="130" t="n">
        <f aca="false">Income!N81*Assum!N337</f>
        <v>-1523.91227500562</v>
      </c>
      <c r="O86" s="130" t="n">
        <f aca="false">Income!O81*Assum!O337</f>
        <v>-1495.42728745304</v>
      </c>
      <c r="P86" s="130" t="n">
        <f aca="false">Income!P81*Assum!P337</f>
        <v>-1512.75494559966</v>
      </c>
      <c r="Q86" s="130" t="n">
        <f aca="false">Income!Q81*Assum!Q337</f>
        <v>-1531.67347469501</v>
      </c>
      <c r="R86" s="130" t="n">
        <f aca="false">Income!R81*Assum!R337</f>
        <v>-1552.26438500795</v>
      </c>
      <c r="S86" s="130" t="n">
        <f aca="false">Income!S81*Assum!S337</f>
        <v>-1574.72154516328</v>
      </c>
      <c r="T86" s="130" t="n">
        <f aca="false">Income!T81*Assum!T337</f>
        <v>-1599.04386596267</v>
      </c>
      <c r="U86" s="130" t="n">
        <f aca="false">Income!U81*Assum!U337</f>
        <v>-1625.09418775839</v>
      </c>
      <c r="V86" s="130" t="n">
        <f aca="false">Income!V81*Assum!V337</f>
        <v>-1575.70662037067</v>
      </c>
      <c r="W86" s="130" t="n">
        <f aca="false">Income!W81*Assum!W337</f>
        <v>-1604.2076112649</v>
      </c>
      <c r="X86" s="130" t="n">
        <f aca="false">Income!X81*Assum!X337</f>
        <v>-1635.81513841995</v>
      </c>
      <c r="Y86" s="130" t="n">
        <f aca="false">Income!Y81*Assum!Y337</f>
        <v>0</v>
      </c>
      <c r="Z86" s="130" t="n">
        <f aca="false">Income!Z81*Assum!Z337</f>
        <v>0</v>
      </c>
      <c r="AA86" s="130" t="n">
        <f aca="false">Income!AA81*Assum!AA337</f>
        <v>0</v>
      </c>
      <c r="AB86" s="130" t="n">
        <f aca="false">Income!AB81*Assum!AB337</f>
        <v>0</v>
      </c>
      <c r="AC86" s="130" t="n">
        <f aca="false">Income!AC81*Assum!AC337</f>
        <v>0</v>
      </c>
      <c r="AD86" s="130" t="n">
        <f aca="false">Income!AD81*Assum!AD337</f>
        <v>0</v>
      </c>
      <c r="AE86" s="130" t="n">
        <f aca="false">Income!AE81*Assum!AE337</f>
        <v>0</v>
      </c>
      <c r="AF86" s="130" t="n">
        <f aca="false">Income!AF81*Assum!AF337</f>
        <v>0</v>
      </c>
      <c r="AG86" s="130" t="n">
        <f aca="false">Income!AG81*Assum!AG337</f>
        <v>0</v>
      </c>
      <c r="AH86" s="130" t="n">
        <f aca="false">Income!AH81*Assum!AH337</f>
        <v>0</v>
      </c>
      <c r="AI86" s="130"/>
      <c r="AJ86" s="130"/>
      <c r="AK86" s="130"/>
      <c r="AL86" s="130"/>
      <c r="AM86" s="130"/>
      <c r="AN86" s="130"/>
      <c r="AO86" s="130"/>
      <c r="AP86" s="130"/>
      <c r="AQ86" s="130"/>
      <c r="AR86" s="130"/>
      <c r="AS86" s="130"/>
      <c r="AT86" s="130"/>
      <c r="AU86" s="130"/>
      <c r="AV86" s="130"/>
      <c r="AW86" s="130"/>
      <c r="AX86" s="130"/>
      <c r="AY86" s="130"/>
      <c r="AZ86" s="130"/>
      <c r="BA86" s="130"/>
      <c r="BB86" s="130"/>
      <c r="BC86" s="130"/>
      <c r="BD86" s="130"/>
      <c r="BE86" s="130"/>
      <c r="BF86" s="130"/>
      <c r="BG86" s="130"/>
      <c r="BH86" s="130"/>
      <c r="BI86" s="130"/>
      <c r="BJ86" s="130"/>
      <c r="BK86" s="130"/>
      <c r="BL86" s="130"/>
      <c r="BM86" s="130"/>
      <c r="BN86" s="130"/>
      <c r="BO86" s="130"/>
      <c r="BP86" s="130"/>
      <c r="BQ86" s="130"/>
      <c r="BR86" s="130"/>
      <c r="BS86" s="130"/>
      <c r="BT86" s="130"/>
      <c r="BU86" s="130"/>
      <c r="BV86" s="130"/>
      <c r="BW86" s="130"/>
      <c r="BX86" s="130"/>
      <c r="BY86" s="130"/>
      <c r="BZ86" s="130"/>
      <c r="CA86" s="130"/>
      <c r="CB86" s="130"/>
      <c r="CC86" s="130"/>
      <c r="CD86" s="130"/>
      <c r="CE86" s="130"/>
      <c r="CF86" s="130"/>
      <c r="CG86" s="130"/>
      <c r="CH86" s="130"/>
      <c r="CI86" s="130"/>
      <c r="CJ86" s="130"/>
      <c r="CK86" s="130"/>
      <c r="CL86" s="130"/>
      <c r="CM86" s="130"/>
      <c r="CN86" s="130"/>
      <c r="CO86" s="130"/>
      <c r="CP86" s="130"/>
      <c r="CQ86" s="130"/>
      <c r="CR86" s="130"/>
      <c r="CS86" s="130"/>
      <c r="CT86" s="130"/>
      <c r="CU86" s="130"/>
      <c r="CV86" s="130"/>
      <c r="CW86" s="130"/>
      <c r="CX86" s="130"/>
      <c r="CY86" s="130"/>
      <c r="CZ86" s="130"/>
      <c r="DA86" s="130"/>
      <c r="DB86" s="130"/>
      <c r="DC86" s="130"/>
      <c r="DD86" s="130"/>
      <c r="DE86" s="130"/>
      <c r="DF86" s="130"/>
      <c r="DG86" s="130"/>
      <c r="DH86" s="130"/>
      <c r="DI86" s="130"/>
      <c r="DJ86" s="130"/>
      <c r="DK86" s="130"/>
      <c r="DL86" s="130"/>
      <c r="DM86" s="130"/>
      <c r="DN86" s="130"/>
      <c r="DO86" s="130"/>
      <c r="DP86" s="130"/>
      <c r="DQ86" s="130"/>
      <c r="DR86" s="130"/>
      <c r="DS86" s="130"/>
      <c r="DT86" s="130"/>
      <c r="DU86" s="130"/>
      <c r="DV86" s="130"/>
      <c r="DW86" s="130"/>
      <c r="DX86" s="130"/>
      <c r="DY86" s="130"/>
      <c r="DZ86" s="130"/>
      <c r="EA86" s="130"/>
      <c r="EB86" s="130"/>
      <c r="EC86" s="130"/>
      <c r="ED86" s="130"/>
      <c r="EE86" s="130"/>
      <c r="EF86" s="130"/>
      <c r="EG86" s="130"/>
      <c r="EH86" s="130"/>
      <c r="EI86" s="130"/>
      <c r="EJ86" s="130"/>
      <c r="EK86" s="130"/>
      <c r="EL86" s="130"/>
      <c r="EM86" s="130"/>
      <c r="EN86" s="130"/>
      <c r="EO86" s="130"/>
      <c r="EP86" s="130"/>
      <c r="EQ86" s="130"/>
      <c r="ER86" s="130"/>
      <c r="ES86" s="130"/>
      <c r="ET86" s="130"/>
      <c r="EU86" s="130"/>
      <c r="EV86" s="130"/>
      <c r="EW86" s="130"/>
      <c r="EX86" s="130"/>
      <c r="EY86" s="130"/>
      <c r="EZ86" s="130"/>
      <c r="FA86" s="130"/>
      <c r="FB86" s="130"/>
      <c r="FC86" s="130"/>
      <c r="FD86" s="130"/>
      <c r="FE86" s="130"/>
      <c r="FF86" s="130"/>
      <c r="FG86" s="130"/>
      <c r="FH86" s="130"/>
      <c r="FI86" s="130"/>
      <c r="FJ86" s="130"/>
      <c r="FK86" s="130"/>
      <c r="FL86" s="130"/>
      <c r="FM86" s="130"/>
      <c r="FN86" s="130"/>
      <c r="FO86" s="130"/>
      <c r="FP86" s="130"/>
      <c r="FQ86" s="130"/>
      <c r="FR86" s="130"/>
      <c r="FS86" s="130"/>
      <c r="FT86" s="130"/>
      <c r="FU86" s="130"/>
      <c r="FV86" s="130"/>
      <c r="FW86" s="130"/>
      <c r="FX86" s="130"/>
      <c r="FY86" s="130"/>
      <c r="FZ86" s="130"/>
      <c r="GA86" s="130"/>
      <c r="GB86" s="130"/>
      <c r="GC86" s="130"/>
      <c r="GD86" s="130"/>
      <c r="GE86" s="130"/>
      <c r="GF86" s="130"/>
      <c r="GG86" s="130"/>
      <c r="GH86" s="130"/>
      <c r="GI86" s="130"/>
      <c r="GJ86" s="130"/>
      <c r="GK86" s="130"/>
      <c r="GL86" s="130"/>
      <c r="GM86" s="130"/>
      <c r="GN86" s="130"/>
      <c r="GO86" s="130"/>
      <c r="GP86" s="130"/>
      <c r="GQ86" s="130"/>
      <c r="GR86" s="130"/>
      <c r="GS86" s="130"/>
      <c r="GT86" s="130"/>
      <c r="GU86" s="130"/>
      <c r="GV86" s="130"/>
      <c r="GW86" s="130"/>
      <c r="GX86" s="130"/>
      <c r="GY86" s="130"/>
      <c r="GZ86" s="130"/>
      <c r="HA86" s="130"/>
      <c r="HB86" s="130"/>
      <c r="HC86" s="130"/>
      <c r="HD86" s="130"/>
      <c r="HE86" s="130"/>
      <c r="HF86" s="130"/>
      <c r="HG86" s="130"/>
      <c r="HH86" s="130"/>
      <c r="HI86" s="130"/>
      <c r="HJ86" s="130"/>
      <c r="HK86" s="130"/>
      <c r="HL86" s="130"/>
      <c r="HM86" s="130"/>
      <c r="HN86" s="130"/>
      <c r="HO86" s="130"/>
      <c r="HP86" s="130"/>
      <c r="HQ86" s="130"/>
      <c r="HR86" s="130"/>
      <c r="HS86" s="130"/>
      <c r="HT86" s="130"/>
      <c r="HU86" s="130"/>
      <c r="HV86" s="130"/>
      <c r="HW86" s="130"/>
      <c r="HX86" s="130"/>
      <c r="HY86" s="130"/>
      <c r="HZ86" s="130"/>
      <c r="IA86" s="130"/>
      <c r="IB86" s="130"/>
      <c r="IC86" s="130"/>
      <c r="ID86" s="130"/>
      <c r="IE86" s="130"/>
      <c r="IF86" s="130"/>
      <c r="IG86" s="130"/>
      <c r="IH86" s="130"/>
      <c r="II86" s="130"/>
      <c r="IJ86" s="130"/>
      <c r="IK86" s="130"/>
      <c r="IL86" s="130"/>
      <c r="IM86" s="130"/>
      <c r="IN86" s="130"/>
      <c r="IO86" s="130"/>
      <c r="IP86" s="130"/>
      <c r="IQ86" s="130"/>
      <c r="IR86" s="130"/>
      <c r="IS86" s="130"/>
      <c r="IT86" s="130"/>
      <c r="IU86" s="130"/>
      <c r="IV86" s="130"/>
      <c r="IW86" s="130"/>
    </row>
    <row r="87" customFormat="false" ht="12.75" hidden="false" customHeight="false" outlineLevel="0" collapsed="false">
      <c r="A87" s="696"/>
      <c r="B87" s="1057" t="s">
        <v>788</v>
      </c>
      <c r="C87" s="130"/>
      <c r="D87" s="130"/>
      <c r="E87" s="130" t="n">
        <f aca="false">Income!E84*Assum!E337</f>
        <v>-1828.29625762903</v>
      </c>
      <c r="F87" s="130" t="n">
        <f aca="false">Income!F84*Assum!F337</f>
        <v>-1828.29625762903</v>
      </c>
      <c r="G87" s="130" t="n">
        <f aca="false">Income!G84*Assum!G337</f>
        <v>-1828.29625762903</v>
      </c>
      <c r="H87" s="130" t="n">
        <f aca="false">Income!H84*Assum!H337</f>
        <v>-1828.29625762903</v>
      </c>
      <c r="I87" s="130" t="n">
        <f aca="false">Income!I84*Assum!I337</f>
        <v>-1828.29625762903</v>
      </c>
      <c r="J87" s="130" t="n">
        <f aca="false">Income!J84*Assum!J337</f>
        <v>-1828.29625762903</v>
      </c>
      <c r="K87" s="130" t="n">
        <f aca="false">Income!K84*Assum!K337</f>
        <v>-1828.29625762903</v>
      </c>
      <c r="L87" s="130" t="n">
        <f aca="false">Income!L84*Assum!L337</f>
        <v>-1828.29625762903</v>
      </c>
      <c r="M87" s="130" t="n">
        <f aca="false">Income!M84*Assum!M337</f>
        <v>-1828.29625762903</v>
      </c>
      <c r="N87" s="130" t="n">
        <f aca="false">Income!N84*Assum!N337</f>
        <v>-1828.29625762903</v>
      </c>
      <c r="O87" s="130" t="n">
        <f aca="false">Income!O84*Assum!O337</f>
        <v>-1828.29625762903</v>
      </c>
      <c r="P87" s="130" t="n">
        <f aca="false">Income!P84*Assum!P337</f>
        <v>-1828.29625762903</v>
      </c>
      <c r="Q87" s="130" t="n">
        <f aca="false">Income!Q84*Assum!Q337</f>
        <v>-1828.29625762903</v>
      </c>
      <c r="R87" s="130" t="n">
        <f aca="false">Income!R84*Assum!R337</f>
        <v>-1828.29625762903</v>
      </c>
      <c r="S87" s="130" t="n">
        <f aca="false">Income!S84*Assum!S337</f>
        <v>-1828.29625762903</v>
      </c>
      <c r="T87" s="130" t="n">
        <f aca="false">Income!T84*Assum!T337</f>
        <v>-1828.29625762903</v>
      </c>
      <c r="U87" s="130" t="n">
        <f aca="false">Income!U84*Assum!U337</f>
        <v>-1828.29625762903</v>
      </c>
      <c r="V87" s="130" t="n">
        <f aca="false">Income!V84*Assum!V337</f>
        <v>-1828.29625762903</v>
      </c>
      <c r="W87" s="130" t="n">
        <f aca="false">Income!W84*Assum!W337</f>
        <v>-1828.29625762903</v>
      </c>
      <c r="X87" s="130" t="n">
        <f aca="false">Income!X84*Assum!X337</f>
        <v>-1828.29625762903</v>
      </c>
      <c r="Y87" s="130" t="n">
        <f aca="false">Income!Y84*Assum!Y337</f>
        <v>-0</v>
      </c>
      <c r="Z87" s="130" t="n">
        <f aca="false">Income!Z84*Assum!Z337</f>
        <v>-0</v>
      </c>
      <c r="AA87" s="130" t="n">
        <f aca="false">Income!AA84*Assum!AA337</f>
        <v>-0</v>
      </c>
      <c r="AB87" s="130" t="n">
        <f aca="false">Income!AB84*Assum!AB337</f>
        <v>-0</v>
      </c>
      <c r="AC87" s="130" t="n">
        <f aca="false">Income!AC84*Assum!AC337</f>
        <v>-0</v>
      </c>
      <c r="AD87" s="130" t="n">
        <f aca="false">Income!AD84*Assum!AD337</f>
        <v>-0</v>
      </c>
      <c r="AE87" s="130" t="n">
        <f aca="false">Income!AE84*Assum!AE337</f>
        <v>-0</v>
      </c>
      <c r="AF87" s="130" t="n">
        <f aca="false">Income!AF84*Assum!AF337</f>
        <v>-0</v>
      </c>
      <c r="AG87" s="130" t="n">
        <f aca="false">Income!AG84*Assum!AG337</f>
        <v>-0</v>
      </c>
      <c r="AH87" s="130" t="n">
        <f aca="false">Income!AH84*Assum!AH337</f>
        <v>-0</v>
      </c>
      <c r="AI87" s="130"/>
      <c r="AJ87" s="130"/>
      <c r="AK87" s="130"/>
      <c r="AL87" s="130"/>
      <c r="AM87" s="130"/>
      <c r="AN87" s="130"/>
      <c r="AO87" s="130"/>
      <c r="AP87" s="130"/>
      <c r="AQ87" s="130"/>
      <c r="AR87" s="130"/>
      <c r="AS87" s="130"/>
      <c r="AT87" s="130"/>
      <c r="AU87" s="130"/>
      <c r="AV87" s="130"/>
      <c r="AW87" s="130"/>
      <c r="AX87" s="130"/>
      <c r="AY87" s="130"/>
      <c r="AZ87" s="130"/>
      <c r="BA87" s="130"/>
      <c r="BB87" s="130"/>
      <c r="BC87" s="130"/>
      <c r="BD87" s="130"/>
      <c r="BE87" s="130"/>
      <c r="BF87" s="130"/>
      <c r="BG87" s="130"/>
      <c r="BH87" s="130"/>
      <c r="BI87" s="130"/>
      <c r="BJ87" s="130"/>
      <c r="BK87" s="130"/>
      <c r="BL87" s="130"/>
      <c r="BM87" s="130"/>
      <c r="BN87" s="130"/>
      <c r="BO87" s="130"/>
      <c r="BP87" s="130"/>
      <c r="BQ87" s="130"/>
      <c r="BR87" s="130"/>
      <c r="BS87" s="130"/>
      <c r="BT87" s="130"/>
      <c r="BU87" s="130"/>
      <c r="BV87" s="130"/>
      <c r="BW87" s="130"/>
      <c r="BX87" s="130"/>
      <c r="BY87" s="130"/>
      <c r="BZ87" s="130"/>
      <c r="CA87" s="130"/>
      <c r="CB87" s="130"/>
      <c r="CC87" s="130"/>
      <c r="CD87" s="130"/>
      <c r="CE87" s="130"/>
      <c r="CF87" s="130"/>
      <c r="CG87" s="130"/>
      <c r="CH87" s="130"/>
      <c r="CI87" s="130"/>
      <c r="CJ87" s="130"/>
      <c r="CK87" s="130"/>
      <c r="CL87" s="130"/>
      <c r="CM87" s="130"/>
      <c r="CN87" s="130"/>
      <c r="CO87" s="130"/>
      <c r="CP87" s="130"/>
      <c r="CQ87" s="130"/>
      <c r="CR87" s="130"/>
      <c r="CS87" s="130"/>
      <c r="CT87" s="130"/>
      <c r="CU87" s="130"/>
      <c r="CV87" s="130"/>
      <c r="CW87" s="130"/>
      <c r="CX87" s="130"/>
      <c r="CY87" s="130"/>
      <c r="CZ87" s="130"/>
      <c r="DA87" s="130"/>
      <c r="DB87" s="130"/>
      <c r="DC87" s="130"/>
      <c r="DD87" s="130"/>
      <c r="DE87" s="130"/>
      <c r="DF87" s="130"/>
      <c r="DG87" s="130"/>
      <c r="DH87" s="130"/>
      <c r="DI87" s="130"/>
      <c r="DJ87" s="130"/>
      <c r="DK87" s="130"/>
      <c r="DL87" s="130"/>
      <c r="DM87" s="130"/>
      <c r="DN87" s="130"/>
      <c r="DO87" s="130"/>
      <c r="DP87" s="130"/>
      <c r="DQ87" s="130"/>
      <c r="DR87" s="130"/>
      <c r="DS87" s="130"/>
      <c r="DT87" s="130"/>
      <c r="DU87" s="130"/>
      <c r="DV87" s="130"/>
      <c r="DW87" s="130"/>
      <c r="DX87" s="130"/>
      <c r="DY87" s="130"/>
      <c r="DZ87" s="130"/>
      <c r="EA87" s="130"/>
      <c r="EB87" s="130"/>
      <c r="EC87" s="130"/>
      <c r="ED87" s="130"/>
      <c r="EE87" s="130"/>
      <c r="EF87" s="130"/>
      <c r="EG87" s="130"/>
      <c r="EH87" s="130"/>
      <c r="EI87" s="130"/>
      <c r="EJ87" s="130"/>
      <c r="EK87" s="130"/>
      <c r="EL87" s="130"/>
      <c r="EM87" s="130"/>
      <c r="EN87" s="130"/>
      <c r="EO87" s="130"/>
      <c r="EP87" s="130"/>
      <c r="EQ87" s="130"/>
      <c r="ER87" s="130"/>
      <c r="ES87" s="130"/>
      <c r="ET87" s="130"/>
      <c r="EU87" s="130"/>
      <c r="EV87" s="130"/>
      <c r="EW87" s="130"/>
      <c r="EX87" s="130"/>
      <c r="EY87" s="130"/>
      <c r="EZ87" s="130"/>
      <c r="FA87" s="130"/>
      <c r="FB87" s="130"/>
      <c r="FC87" s="130"/>
      <c r="FD87" s="130"/>
      <c r="FE87" s="130"/>
      <c r="FF87" s="130"/>
      <c r="FG87" s="130"/>
      <c r="FH87" s="130"/>
      <c r="FI87" s="130"/>
      <c r="FJ87" s="130"/>
      <c r="FK87" s="130"/>
      <c r="FL87" s="130"/>
      <c r="FM87" s="130"/>
      <c r="FN87" s="130"/>
      <c r="FO87" s="130"/>
      <c r="FP87" s="130"/>
      <c r="FQ87" s="130"/>
      <c r="FR87" s="130"/>
      <c r="FS87" s="130"/>
      <c r="FT87" s="130"/>
      <c r="FU87" s="130"/>
      <c r="FV87" s="130"/>
      <c r="FW87" s="130"/>
      <c r="FX87" s="130"/>
      <c r="FY87" s="130"/>
      <c r="FZ87" s="130"/>
      <c r="GA87" s="130"/>
      <c r="GB87" s="130"/>
      <c r="GC87" s="130"/>
      <c r="GD87" s="130"/>
      <c r="GE87" s="130"/>
      <c r="GF87" s="130"/>
      <c r="GG87" s="130"/>
      <c r="GH87" s="130"/>
      <c r="GI87" s="130"/>
      <c r="GJ87" s="130"/>
      <c r="GK87" s="130"/>
      <c r="GL87" s="130"/>
      <c r="GM87" s="130"/>
      <c r="GN87" s="130"/>
      <c r="GO87" s="130"/>
      <c r="GP87" s="130"/>
      <c r="GQ87" s="130"/>
      <c r="GR87" s="130"/>
      <c r="GS87" s="130"/>
      <c r="GT87" s="130"/>
      <c r="GU87" s="130"/>
      <c r="GV87" s="130"/>
      <c r="GW87" s="130"/>
      <c r="GX87" s="130"/>
      <c r="GY87" s="130"/>
      <c r="GZ87" s="130"/>
      <c r="HA87" s="130"/>
      <c r="HB87" s="130"/>
      <c r="HC87" s="130"/>
      <c r="HD87" s="130"/>
      <c r="HE87" s="130"/>
      <c r="HF87" s="130"/>
      <c r="HG87" s="130"/>
      <c r="HH87" s="130"/>
      <c r="HI87" s="130"/>
      <c r="HJ87" s="130"/>
      <c r="HK87" s="130"/>
      <c r="HL87" s="130"/>
      <c r="HM87" s="130"/>
      <c r="HN87" s="130"/>
      <c r="HO87" s="130"/>
      <c r="HP87" s="130"/>
      <c r="HQ87" s="130"/>
      <c r="HR87" s="130"/>
      <c r="HS87" s="130"/>
      <c r="HT87" s="130"/>
      <c r="HU87" s="130"/>
      <c r="HV87" s="130"/>
      <c r="HW87" s="130"/>
      <c r="HX87" s="130"/>
      <c r="HY87" s="130"/>
      <c r="HZ87" s="130"/>
      <c r="IA87" s="130"/>
      <c r="IB87" s="130"/>
      <c r="IC87" s="130"/>
      <c r="ID87" s="130"/>
      <c r="IE87" s="130"/>
      <c r="IF87" s="130"/>
      <c r="IG87" s="130"/>
      <c r="IH87" s="130"/>
      <c r="II87" s="130"/>
      <c r="IJ87" s="130"/>
      <c r="IK87" s="130"/>
      <c r="IL87" s="130"/>
      <c r="IM87" s="130"/>
      <c r="IN87" s="130"/>
      <c r="IO87" s="130"/>
      <c r="IP87" s="130"/>
      <c r="IQ87" s="130"/>
      <c r="IR87" s="130"/>
      <c r="IS87" s="130"/>
      <c r="IT87" s="130"/>
      <c r="IU87" s="130"/>
      <c r="IV87" s="130"/>
      <c r="IW87" s="130"/>
    </row>
    <row r="88" customFormat="false" ht="12.75" hidden="false" customHeight="false" outlineLevel="0" collapsed="false">
      <c r="A88" s="696"/>
      <c r="B88" s="1057" t="s">
        <v>789</v>
      </c>
      <c r="C88" s="130"/>
      <c r="D88" s="130"/>
      <c r="E88" s="130" t="n">
        <f aca="false">Income!E85*Assum!E337</f>
        <v>-106.414766697912</v>
      </c>
      <c r="F88" s="130" t="n">
        <f aca="false">Income!F85*Assum!F337</f>
        <v>-106.414766697912</v>
      </c>
      <c r="G88" s="130" t="n">
        <f aca="false">Income!G85*Assum!G337</f>
        <v>-106.414766697912</v>
      </c>
      <c r="H88" s="130" t="n">
        <f aca="false">Income!H85*Assum!H337</f>
        <v>-106.414766697912</v>
      </c>
      <c r="I88" s="130" t="n">
        <f aca="false">Income!I85*Assum!I337</f>
        <v>-106.414766697912</v>
      </c>
      <c r="J88" s="130" t="n">
        <f aca="false">Income!J85*Assum!J337</f>
        <v>-106.414766697912</v>
      </c>
      <c r="K88" s="130" t="n">
        <f aca="false">Income!K85*Assum!K337</f>
        <v>-106.414766697912</v>
      </c>
      <c r="L88" s="130" t="n">
        <f aca="false">Income!L85*Assum!L337</f>
        <v>-106.414766697912</v>
      </c>
      <c r="M88" s="130" t="n">
        <f aca="false">Income!M85*Assum!M337</f>
        <v>-106.414766697912</v>
      </c>
      <c r="N88" s="130" t="n">
        <f aca="false">Income!N85*Assum!N337</f>
        <v>-106.414766697912</v>
      </c>
      <c r="O88" s="130" t="n">
        <f aca="false">Income!O85*Assum!O337</f>
        <v>-106.414766697912</v>
      </c>
      <c r="P88" s="130" t="n">
        <f aca="false">Income!P85*Assum!P337</f>
        <v>-106.414766697912</v>
      </c>
      <c r="Q88" s="130" t="n">
        <f aca="false">Income!Q85*Assum!Q337</f>
        <v>-106.414766697912</v>
      </c>
      <c r="R88" s="130" t="n">
        <f aca="false">Income!R85*Assum!R337</f>
        <v>-106.414766697912</v>
      </c>
      <c r="S88" s="130" t="n">
        <f aca="false">Income!S85*Assum!S337</f>
        <v>-106.414766697912</v>
      </c>
      <c r="T88" s="130" t="n">
        <f aca="false">Income!T85*Assum!T337</f>
        <v>-106.414766697912</v>
      </c>
      <c r="U88" s="130" t="n">
        <f aca="false">Income!U85*Assum!U337</f>
        <v>-106.414766697912</v>
      </c>
      <c r="V88" s="130" t="n">
        <f aca="false">Income!V85*Assum!V337</f>
        <v>-38.4904475290321</v>
      </c>
      <c r="W88" s="130" t="n">
        <f aca="false">Income!W85*Assum!W337</f>
        <v>-38.4904475290321</v>
      </c>
      <c r="X88" s="130" t="n">
        <f aca="false">Income!X85*Assum!X337</f>
        <v>-38.4904475290321</v>
      </c>
      <c r="Y88" s="130" t="n">
        <f aca="false">Income!Y85*Assum!Y337</f>
        <v>-0</v>
      </c>
      <c r="Z88" s="130" t="n">
        <f aca="false">Income!Z85*Assum!Z337</f>
        <v>-0</v>
      </c>
      <c r="AA88" s="130" t="n">
        <f aca="false">Income!AA85*Assum!AA337</f>
        <v>-0</v>
      </c>
      <c r="AB88" s="130" t="n">
        <f aca="false">Income!AB85*Assum!AB337</f>
        <v>-0</v>
      </c>
      <c r="AC88" s="130" t="n">
        <f aca="false">Income!AC85*Assum!AC337</f>
        <v>-0</v>
      </c>
      <c r="AD88" s="130" t="n">
        <f aca="false">Income!AD85*Assum!AD337</f>
        <v>-0</v>
      </c>
      <c r="AE88" s="130" t="n">
        <f aca="false">Income!AE85*Assum!AE337</f>
        <v>-0</v>
      </c>
      <c r="AF88" s="130" t="n">
        <f aca="false">Income!AF85*Assum!AF337</f>
        <v>-0</v>
      </c>
      <c r="AG88" s="130" t="n">
        <f aca="false">Income!AG85*Assum!AG337</f>
        <v>-0</v>
      </c>
      <c r="AH88" s="130" t="n">
        <f aca="false">Income!AH85*Assum!AH337</f>
        <v>-0</v>
      </c>
      <c r="AI88" s="130"/>
      <c r="AJ88" s="130"/>
      <c r="AK88" s="130"/>
      <c r="AL88" s="130"/>
      <c r="AM88" s="130"/>
      <c r="AN88" s="130"/>
      <c r="AO88" s="130"/>
      <c r="AP88" s="130"/>
      <c r="AQ88" s="130"/>
      <c r="AR88" s="130"/>
      <c r="AS88" s="130"/>
      <c r="AT88" s="130"/>
      <c r="AU88" s="130"/>
      <c r="AV88" s="130"/>
      <c r="AW88" s="130"/>
      <c r="AX88" s="130"/>
      <c r="AY88" s="130"/>
      <c r="AZ88" s="130"/>
      <c r="BA88" s="130"/>
      <c r="BB88" s="130"/>
      <c r="BC88" s="130"/>
      <c r="BD88" s="130"/>
      <c r="BE88" s="130"/>
      <c r="BF88" s="130"/>
      <c r="BG88" s="130"/>
      <c r="BH88" s="130"/>
      <c r="BI88" s="130"/>
      <c r="BJ88" s="130"/>
      <c r="BK88" s="130"/>
      <c r="BL88" s="130"/>
      <c r="BM88" s="130"/>
      <c r="BN88" s="130"/>
      <c r="BO88" s="130"/>
      <c r="BP88" s="130"/>
      <c r="BQ88" s="130"/>
      <c r="BR88" s="130"/>
      <c r="BS88" s="130"/>
      <c r="BT88" s="130"/>
      <c r="BU88" s="130"/>
      <c r="BV88" s="130"/>
      <c r="BW88" s="130"/>
      <c r="BX88" s="130"/>
      <c r="BY88" s="130"/>
      <c r="BZ88" s="130"/>
      <c r="CA88" s="130"/>
      <c r="CB88" s="130"/>
      <c r="CC88" s="130"/>
      <c r="CD88" s="130"/>
      <c r="CE88" s="130"/>
      <c r="CF88" s="130"/>
      <c r="CG88" s="130"/>
      <c r="CH88" s="130"/>
      <c r="CI88" s="130"/>
      <c r="CJ88" s="130"/>
      <c r="CK88" s="130"/>
      <c r="CL88" s="130"/>
      <c r="CM88" s="130"/>
      <c r="CN88" s="130"/>
      <c r="CO88" s="130"/>
      <c r="CP88" s="130"/>
      <c r="CQ88" s="130"/>
      <c r="CR88" s="130"/>
      <c r="CS88" s="130"/>
      <c r="CT88" s="130"/>
      <c r="CU88" s="130"/>
      <c r="CV88" s="130"/>
      <c r="CW88" s="130"/>
      <c r="CX88" s="130"/>
      <c r="CY88" s="130"/>
      <c r="CZ88" s="130"/>
      <c r="DA88" s="130"/>
      <c r="DB88" s="130"/>
      <c r="DC88" s="130"/>
      <c r="DD88" s="130"/>
      <c r="DE88" s="130"/>
      <c r="DF88" s="130"/>
      <c r="DG88" s="130"/>
      <c r="DH88" s="130"/>
      <c r="DI88" s="130"/>
      <c r="DJ88" s="130"/>
      <c r="DK88" s="130"/>
      <c r="DL88" s="130"/>
      <c r="DM88" s="130"/>
      <c r="DN88" s="130"/>
      <c r="DO88" s="130"/>
      <c r="DP88" s="130"/>
      <c r="DQ88" s="130"/>
      <c r="DR88" s="130"/>
      <c r="DS88" s="130"/>
      <c r="DT88" s="130"/>
      <c r="DU88" s="130"/>
      <c r="DV88" s="130"/>
      <c r="DW88" s="130"/>
      <c r="DX88" s="130"/>
      <c r="DY88" s="130"/>
      <c r="DZ88" s="130"/>
      <c r="EA88" s="130"/>
      <c r="EB88" s="130"/>
      <c r="EC88" s="130"/>
      <c r="ED88" s="130"/>
      <c r="EE88" s="130"/>
      <c r="EF88" s="130"/>
      <c r="EG88" s="130"/>
      <c r="EH88" s="130"/>
      <c r="EI88" s="130"/>
      <c r="EJ88" s="130"/>
      <c r="EK88" s="130"/>
      <c r="EL88" s="130"/>
      <c r="EM88" s="130"/>
      <c r="EN88" s="130"/>
      <c r="EO88" s="130"/>
      <c r="EP88" s="130"/>
      <c r="EQ88" s="130"/>
      <c r="ER88" s="130"/>
      <c r="ES88" s="130"/>
      <c r="ET88" s="130"/>
      <c r="EU88" s="130"/>
      <c r="EV88" s="130"/>
      <c r="EW88" s="130"/>
      <c r="EX88" s="130"/>
      <c r="EY88" s="130"/>
      <c r="EZ88" s="130"/>
      <c r="FA88" s="130"/>
      <c r="FB88" s="130"/>
      <c r="FC88" s="130"/>
      <c r="FD88" s="130"/>
      <c r="FE88" s="130"/>
      <c r="FF88" s="130"/>
      <c r="FG88" s="130"/>
      <c r="FH88" s="130"/>
      <c r="FI88" s="130"/>
      <c r="FJ88" s="130"/>
      <c r="FK88" s="130"/>
      <c r="FL88" s="130"/>
      <c r="FM88" s="130"/>
      <c r="FN88" s="130"/>
      <c r="FO88" s="130"/>
      <c r="FP88" s="130"/>
      <c r="FQ88" s="130"/>
      <c r="FR88" s="130"/>
      <c r="FS88" s="130"/>
      <c r="FT88" s="130"/>
      <c r="FU88" s="130"/>
      <c r="FV88" s="130"/>
      <c r="FW88" s="130"/>
      <c r="FX88" s="130"/>
      <c r="FY88" s="130"/>
      <c r="FZ88" s="130"/>
      <c r="GA88" s="130"/>
      <c r="GB88" s="130"/>
      <c r="GC88" s="130"/>
      <c r="GD88" s="130"/>
      <c r="GE88" s="130"/>
      <c r="GF88" s="130"/>
      <c r="GG88" s="130"/>
      <c r="GH88" s="130"/>
      <c r="GI88" s="130"/>
      <c r="GJ88" s="130"/>
      <c r="GK88" s="130"/>
      <c r="GL88" s="130"/>
      <c r="GM88" s="130"/>
      <c r="GN88" s="130"/>
      <c r="GO88" s="130"/>
      <c r="GP88" s="130"/>
      <c r="GQ88" s="130"/>
      <c r="GR88" s="130"/>
      <c r="GS88" s="130"/>
      <c r="GT88" s="130"/>
      <c r="GU88" s="130"/>
      <c r="GV88" s="130"/>
      <c r="GW88" s="130"/>
      <c r="GX88" s="130"/>
      <c r="GY88" s="130"/>
      <c r="GZ88" s="130"/>
      <c r="HA88" s="130"/>
      <c r="HB88" s="130"/>
      <c r="HC88" s="130"/>
      <c r="HD88" s="130"/>
      <c r="HE88" s="130"/>
      <c r="HF88" s="130"/>
      <c r="HG88" s="130"/>
      <c r="HH88" s="130"/>
      <c r="HI88" s="130"/>
      <c r="HJ88" s="130"/>
      <c r="HK88" s="130"/>
      <c r="HL88" s="130"/>
      <c r="HM88" s="130"/>
      <c r="HN88" s="130"/>
      <c r="HO88" s="130"/>
      <c r="HP88" s="130"/>
      <c r="HQ88" s="130"/>
      <c r="HR88" s="130"/>
      <c r="HS88" s="130"/>
      <c r="HT88" s="130"/>
      <c r="HU88" s="130"/>
      <c r="HV88" s="130"/>
      <c r="HW88" s="130"/>
      <c r="HX88" s="130"/>
      <c r="HY88" s="130"/>
      <c r="HZ88" s="130"/>
      <c r="IA88" s="130"/>
      <c r="IB88" s="130"/>
      <c r="IC88" s="130"/>
      <c r="ID88" s="130"/>
      <c r="IE88" s="130"/>
      <c r="IF88" s="130"/>
      <c r="IG88" s="130"/>
      <c r="IH88" s="130"/>
      <c r="II88" s="130"/>
      <c r="IJ88" s="130"/>
      <c r="IK88" s="130"/>
      <c r="IL88" s="130"/>
      <c r="IM88" s="130"/>
      <c r="IN88" s="130"/>
      <c r="IO88" s="130"/>
      <c r="IP88" s="130"/>
      <c r="IQ88" s="130"/>
      <c r="IR88" s="130"/>
      <c r="IS88" s="130"/>
      <c r="IT88" s="130"/>
      <c r="IU88" s="130"/>
      <c r="IV88" s="130"/>
      <c r="IW88" s="130"/>
    </row>
    <row r="89" customFormat="false" ht="12.75" hidden="false" customHeight="false" outlineLevel="0" collapsed="false">
      <c r="A89" s="696"/>
      <c r="B89" s="1057" t="s">
        <v>790</v>
      </c>
      <c r="C89" s="130"/>
      <c r="D89" s="130"/>
      <c r="E89" s="130" t="n">
        <f aca="false">Income!E87*Assum!E337</f>
        <v>-1249.97332454788</v>
      </c>
      <c r="F89" s="130" t="n">
        <f aca="false">Income!F87*Assum!F337</f>
        <v>-1223.18003159097</v>
      </c>
      <c r="G89" s="130" t="n">
        <f aca="false">Income!G87*Assum!G337</f>
        <v>-1189.80184493934</v>
      </c>
      <c r="H89" s="130" t="n">
        <f aca="false">Income!H87*Assum!H337</f>
        <v>-1146.15792255265</v>
      </c>
      <c r="I89" s="130" t="n">
        <f aca="false">Income!I87*Assum!I337</f>
        <v>-1101.56735928843</v>
      </c>
      <c r="J89" s="130" t="n">
        <f aca="false">Income!J87*Assum!J337</f>
        <v>-1052.53567368055</v>
      </c>
      <c r="K89" s="130" t="n">
        <f aca="false">Income!K87*Assum!K337</f>
        <v>-1001.7239820269</v>
      </c>
      <c r="L89" s="130" t="n">
        <f aca="false">Income!L87*Assum!L337</f>
        <v>-940.751978958632</v>
      </c>
      <c r="M89" s="130" t="n">
        <f aca="false">Income!M87*Assum!M337</f>
        <v>-877.365851744889</v>
      </c>
      <c r="N89" s="130" t="n">
        <f aca="false">Income!N87*Assum!N337</f>
        <v>-808.455725642369</v>
      </c>
      <c r="O89" s="130" t="n">
        <f aca="false">Income!O87*Assum!O337</f>
        <v>-734.868833870019</v>
      </c>
      <c r="P89" s="130" t="n">
        <f aca="false">Income!P87*Assum!P337</f>
        <v>-647.993830079961</v>
      </c>
      <c r="Q89" s="130" t="n">
        <f aca="false">Income!Q87*Assum!Q337</f>
        <v>-555.555747756969</v>
      </c>
      <c r="R89" s="130" t="n">
        <f aca="false">Income!R87*Assum!R337</f>
        <v>-454.926638284114</v>
      </c>
      <c r="S89" s="130" t="n">
        <f aca="false">Income!S87*Assum!S337</f>
        <v>-346.457900041567</v>
      </c>
      <c r="T89" s="130" t="n">
        <f aca="false">Income!T87*Assum!T337</f>
        <v>-226.241692608388</v>
      </c>
      <c r="U89" s="130" t="n">
        <f aca="false">Income!U87*Assum!U337</f>
        <v>-96.4206299740355</v>
      </c>
      <c r="V89" s="130" t="n">
        <f aca="false">Income!V87*Assum!V337</f>
        <v>0</v>
      </c>
      <c r="W89" s="130" t="n">
        <f aca="false">Income!W87*Assum!W337</f>
        <v>0</v>
      </c>
      <c r="X89" s="130" t="n">
        <f aca="false">Income!X87*Assum!X337</f>
        <v>0</v>
      </c>
      <c r="Y89" s="130" t="n">
        <f aca="false">Income!Y87*Assum!Y337</f>
        <v>0</v>
      </c>
      <c r="Z89" s="130" t="n">
        <f aca="false">Income!Z87*Assum!Z337</f>
        <v>0</v>
      </c>
      <c r="AA89" s="130" t="n">
        <f aca="false">Income!AA87*Assum!AA337</f>
        <v>0</v>
      </c>
      <c r="AB89" s="130" t="n">
        <f aca="false">Income!AB87*Assum!AB337</f>
        <v>0</v>
      </c>
      <c r="AC89" s="130" t="n">
        <f aca="false">Income!AC87*Assum!AC337</f>
        <v>0</v>
      </c>
      <c r="AD89" s="130" t="n">
        <f aca="false">Income!AD87*Assum!AD337</f>
        <v>0</v>
      </c>
      <c r="AE89" s="130" t="n">
        <f aca="false">Income!AE87*Assum!AE337</f>
        <v>0</v>
      </c>
      <c r="AF89" s="130" t="n">
        <f aca="false">Income!AF87*Assum!AF337</f>
        <v>0</v>
      </c>
      <c r="AG89" s="130" t="n">
        <f aca="false">Income!AG87*Assum!AG337</f>
        <v>0</v>
      </c>
      <c r="AH89" s="130" t="n">
        <f aca="false">Income!AH87*Assum!AH337</f>
        <v>0</v>
      </c>
      <c r="AI89" s="130"/>
      <c r="AJ89" s="130"/>
      <c r="AK89" s="130"/>
      <c r="AL89" s="130"/>
      <c r="AM89" s="130"/>
      <c r="AN89" s="130"/>
      <c r="AO89" s="130"/>
      <c r="AP89" s="130"/>
      <c r="AQ89" s="130"/>
      <c r="AR89" s="130"/>
      <c r="AS89" s="130"/>
      <c r="AT89" s="130"/>
      <c r="AU89" s="130"/>
      <c r="AV89" s="130"/>
      <c r="AW89" s="130"/>
      <c r="AX89" s="130"/>
      <c r="AY89" s="130"/>
      <c r="AZ89" s="130"/>
      <c r="BA89" s="130"/>
      <c r="BB89" s="130"/>
      <c r="BC89" s="130"/>
      <c r="BD89" s="130"/>
      <c r="BE89" s="130"/>
      <c r="BF89" s="130"/>
      <c r="BG89" s="130"/>
      <c r="BH89" s="130"/>
      <c r="BI89" s="130"/>
      <c r="BJ89" s="130"/>
      <c r="BK89" s="130"/>
      <c r="BL89" s="130"/>
      <c r="BM89" s="130"/>
      <c r="BN89" s="130"/>
      <c r="BO89" s="130"/>
      <c r="BP89" s="130"/>
      <c r="BQ89" s="130"/>
      <c r="BR89" s="130"/>
      <c r="BS89" s="130"/>
      <c r="BT89" s="130"/>
      <c r="BU89" s="130"/>
      <c r="BV89" s="130"/>
      <c r="BW89" s="130"/>
      <c r="BX89" s="130"/>
      <c r="BY89" s="130"/>
      <c r="BZ89" s="130"/>
      <c r="CA89" s="130"/>
      <c r="CB89" s="130"/>
      <c r="CC89" s="130"/>
      <c r="CD89" s="130"/>
      <c r="CE89" s="130"/>
      <c r="CF89" s="130"/>
      <c r="CG89" s="130"/>
      <c r="CH89" s="130"/>
      <c r="CI89" s="130"/>
      <c r="CJ89" s="130"/>
      <c r="CK89" s="130"/>
      <c r="CL89" s="130"/>
      <c r="CM89" s="130"/>
      <c r="CN89" s="130"/>
      <c r="CO89" s="130"/>
      <c r="CP89" s="130"/>
      <c r="CQ89" s="130"/>
      <c r="CR89" s="130"/>
      <c r="CS89" s="130"/>
      <c r="CT89" s="130"/>
      <c r="CU89" s="130"/>
      <c r="CV89" s="130"/>
      <c r="CW89" s="130"/>
      <c r="CX89" s="130"/>
      <c r="CY89" s="130"/>
      <c r="CZ89" s="130"/>
      <c r="DA89" s="130"/>
      <c r="DB89" s="130"/>
      <c r="DC89" s="130"/>
      <c r="DD89" s="130"/>
      <c r="DE89" s="130"/>
      <c r="DF89" s="130"/>
      <c r="DG89" s="130"/>
      <c r="DH89" s="130"/>
      <c r="DI89" s="130"/>
      <c r="DJ89" s="130"/>
      <c r="DK89" s="130"/>
      <c r="DL89" s="130"/>
      <c r="DM89" s="130"/>
      <c r="DN89" s="130"/>
      <c r="DO89" s="130"/>
      <c r="DP89" s="130"/>
      <c r="DQ89" s="130"/>
      <c r="DR89" s="130"/>
      <c r="DS89" s="130"/>
      <c r="DT89" s="130"/>
      <c r="DU89" s="130"/>
      <c r="DV89" s="130"/>
      <c r="DW89" s="130"/>
      <c r="DX89" s="130"/>
      <c r="DY89" s="130"/>
      <c r="DZ89" s="130"/>
      <c r="EA89" s="130"/>
      <c r="EB89" s="130"/>
      <c r="EC89" s="130"/>
      <c r="ED89" s="130"/>
      <c r="EE89" s="130"/>
      <c r="EF89" s="130"/>
      <c r="EG89" s="130"/>
      <c r="EH89" s="130"/>
      <c r="EI89" s="130"/>
      <c r="EJ89" s="130"/>
      <c r="EK89" s="130"/>
      <c r="EL89" s="130"/>
      <c r="EM89" s="130"/>
      <c r="EN89" s="130"/>
      <c r="EO89" s="130"/>
      <c r="EP89" s="130"/>
      <c r="EQ89" s="130"/>
      <c r="ER89" s="130"/>
      <c r="ES89" s="130"/>
      <c r="ET89" s="130"/>
      <c r="EU89" s="130"/>
      <c r="EV89" s="130"/>
      <c r="EW89" s="130"/>
      <c r="EX89" s="130"/>
      <c r="EY89" s="130"/>
      <c r="EZ89" s="130"/>
      <c r="FA89" s="130"/>
      <c r="FB89" s="130"/>
      <c r="FC89" s="130"/>
      <c r="FD89" s="130"/>
      <c r="FE89" s="130"/>
      <c r="FF89" s="130"/>
      <c r="FG89" s="130"/>
      <c r="FH89" s="130"/>
      <c r="FI89" s="130"/>
      <c r="FJ89" s="130"/>
      <c r="FK89" s="130"/>
      <c r="FL89" s="130"/>
      <c r="FM89" s="130"/>
      <c r="FN89" s="130"/>
      <c r="FO89" s="130"/>
      <c r="FP89" s="130"/>
      <c r="FQ89" s="130"/>
      <c r="FR89" s="130"/>
      <c r="FS89" s="130"/>
      <c r="FT89" s="130"/>
      <c r="FU89" s="130"/>
      <c r="FV89" s="130"/>
      <c r="FW89" s="130"/>
      <c r="FX89" s="130"/>
      <c r="FY89" s="130"/>
      <c r="FZ89" s="130"/>
      <c r="GA89" s="130"/>
      <c r="GB89" s="130"/>
      <c r="GC89" s="130"/>
      <c r="GD89" s="130"/>
      <c r="GE89" s="130"/>
      <c r="GF89" s="130"/>
      <c r="GG89" s="130"/>
      <c r="GH89" s="130"/>
      <c r="GI89" s="130"/>
      <c r="GJ89" s="130"/>
      <c r="GK89" s="130"/>
      <c r="GL89" s="130"/>
      <c r="GM89" s="130"/>
      <c r="GN89" s="130"/>
      <c r="GO89" s="130"/>
      <c r="GP89" s="130"/>
      <c r="GQ89" s="130"/>
      <c r="GR89" s="130"/>
      <c r="GS89" s="130"/>
      <c r="GT89" s="130"/>
      <c r="GU89" s="130"/>
      <c r="GV89" s="130"/>
      <c r="GW89" s="130"/>
      <c r="GX89" s="130"/>
      <c r="GY89" s="130"/>
      <c r="GZ89" s="130"/>
      <c r="HA89" s="130"/>
      <c r="HB89" s="130"/>
      <c r="HC89" s="130"/>
      <c r="HD89" s="130"/>
      <c r="HE89" s="130"/>
      <c r="HF89" s="130"/>
      <c r="HG89" s="130"/>
      <c r="HH89" s="130"/>
      <c r="HI89" s="130"/>
      <c r="HJ89" s="130"/>
      <c r="HK89" s="130"/>
      <c r="HL89" s="130"/>
      <c r="HM89" s="130"/>
      <c r="HN89" s="130"/>
      <c r="HO89" s="130"/>
      <c r="HP89" s="130"/>
      <c r="HQ89" s="130"/>
      <c r="HR89" s="130"/>
      <c r="HS89" s="130"/>
      <c r="HT89" s="130"/>
      <c r="HU89" s="130"/>
      <c r="HV89" s="130"/>
      <c r="HW89" s="130"/>
      <c r="HX89" s="130"/>
      <c r="HY89" s="130"/>
      <c r="HZ89" s="130"/>
      <c r="IA89" s="130"/>
      <c r="IB89" s="130"/>
      <c r="IC89" s="130"/>
      <c r="ID89" s="130"/>
      <c r="IE89" s="130"/>
      <c r="IF89" s="130"/>
      <c r="IG89" s="130"/>
      <c r="IH89" s="130"/>
      <c r="II89" s="130"/>
      <c r="IJ89" s="130"/>
      <c r="IK89" s="130"/>
      <c r="IL89" s="130"/>
      <c r="IM89" s="130"/>
      <c r="IN89" s="130"/>
      <c r="IO89" s="130"/>
      <c r="IP89" s="130"/>
      <c r="IQ89" s="130"/>
      <c r="IR89" s="130"/>
      <c r="IS89" s="130"/>
      <c r="IT89" s="130"/>
      <c r="IU89" s="130"/>
      <c r="IV89" s="130"/>
      <c r="IW89" s="130"/>
    </row>
    <row r="90" customFormat="false" ht="12.75" hidden="false" customHeight="false" outlineLevel="0" collapsed="false">
      <c r="A90" s="696"/>
      <c r="B90" s="1057" t="s">
        <v>791</v>
      </c>
      <c r="C90" s="130"/>
      <c r="D90" s="130"/>
      <c r="E90" s="130" t="n">
        <f aca="false">SUM(E86:E89)</f>
        <v>-4301.95122487482</v>
      </c>
      <c r="F90" s="130" t="n">
        <f aca="false">SUM(F86:F89)</f>
        <v>-4275.65055294791</v>
      </c>
      <c r="G90" s="130" t="n">
        <f aca="false">SUM(G86:G89)</f>
        <v>-4243.41063719988</v>
      </c>
      <c r="H90" s="130" t="n">
        <f aca="false">SUM(H86:H89)</f>
        <v>-4201.69643864298</v>
      </c>
      <c r="I90" s="130" t="n">
        <f aca="false">SUM(I86:I89)</f>
        <v>-4159.70280143058</v>
      </c>
      <c r="J90" s="130" t="n">
        <f aca="false">SUM(J86:J89)</f>
        <v>-4455.39878762702</v>
      </c>
      <c r="K90" s="130" t="n">
        <f aca="false">SUM(K86:K89)</f>
        <v>-4417.37582716277</v>
      </c>
      <c r="L90" s="130" t="n">
        <f aca="false">SUM(L86:L89)</f>
        <v>-4369.94105544936</v>
      </c>
      <c r="M90" s="130" t="n">
        <f aca="false">SUM(M86:M89)</f>
        <v>-4320.84530263275</v>
      </c>
      <c r="N90" s="130" t="n">
        <f aca="false">SUM(N86:N89)</f>
        <v>-4267.07902497492</v>
      </c>
      <c r="O90" s="130" t="n">
        <f aca="false">SUM(O86:O89)</f>
        <v>-4165.00714565</v>
      </c>
      <c r="P90" s="130" t="n">
        <f aca="false">SUM(P86:P89)</f>
        <v>-4095.45980000656</v>
      </c>
      <c r="Q90" s="130" t="n">
        <f aca="false">SUM(Q86:Q89)</f>
        <v>-4021.94024677892</v>
      </c>
      <c r="R90" s="130" t="n">
        <f aca="false">SUM(R86:R89)</f>
        <v>-3941.902047619</v>
      </c>
      <c r="S90" s="130" t="n">
        <f aca="false">SUM(S86:S89)</f>
        <v>-3855.89046953179</v>
      </c>
      <c r="T90" s="130" t="n">
        <f aca="false">SUM(T86:T89)</f>
        <v>-3759.99658289799</v>
      </c>
      <c r="U90" s="130" t="n">
        <f aca="false">SUM(U86:U89)</f>
        <v>-3656.22584205937</v>
      </c>
      <c r="V90" s="130" t="n">
        <f aca="false">SUM(V86:V89)</f>
        <v>-3442.49332552873</v>
      </c>
      <c r="W90" s="130" t="n">
        <f aca="false">SUM(W86:W89)</f>
        <v>-3470.99431642296</v>
      </c>
      <c r="X90" s="130" t="n">
        <f aca="false">SUM(X86:X89)</f>
        <v>-3502.60184357801</v>
      </c>
      <c r="Y90" s="130" t="n">
        <f aca="false">SUM(Y86:Y89)</f>
        <v>0</v>
      </c>
      <c r="Z90" s="130" t="n">
        <f aca="false">SUM(Z86:Z89)</f>
        <v>0</v>
      </c>
      <c r="AA90" s="130" t="n">
        <f aca="false">SUM(AA86:AA89)</f>
        <v>0</v>
      </c>
      <c r="AB90" s="130" t="n">
        <f aca="false">SUM(AB86:AB89)</f>
        <v>0</v>
      </c>
      <c r="AC90" s="130" t="n">
        <f aca="false">SUM(AC86:AC89)</f>
        <v>0</v>
      </c>
      <c r="AD90" s="130" t="n">
        <f aca="false">SUM(AD86:AD89)</f>
        <v>0</v>
      </c>
      <c r="AE90" s="130" t="n">
        <f aca="false">SUM(AE86:AE89)</f>
        <v>0</v>
      </c>
      <c r="AF90" s="130" t="n">
        <f aca="false">SUM(AF86:AF89)</f>
        <v>0</v>
      </c>
      <c r="AG90" s="130" t="n">
        <f aca="false">SUM(AG86:AG89)</f>
        <v>0</v>
      </c>
      <c r="AH90" s="130" t="n">
        <f aca="false">SUM(AH86:AH89)</f>
        <v>0</v>
      </c>
      <c r="AI90" s="130"/>
      <c r="AJ90" s="130"/>
      <c r="AK90" s="130"/>
      <c r="AL90" s="130"/>
      <c r="AM90" s="130"/>
      <c r="AN90" s="130"/>
      <c r="AO90" s="130"/>
      <c r="AP90" s="130"/>
      <c r="AQ90" s="130"/>
      <c r="AR90" s="130"/>
      <c r="AS90" s="130"/>
      <c r="AT90" s="130"/>
      <c r="AU90" s="130"/>
      <c r="AV90" s="130"/>
      <c r="AW90" s="130"/>
      <c r="AX90" s="130"/>
      <c r="AY90" s="130"/>
      <c r="AZ90" s="130"/>
      <c r="BA90" s="130"/>
      <c r="BB90" s="130"/>
      <c r="BC90" s="130"/>
      <c r="BD90" s="130"/>
      <c r="BE90" s="130"/>
      <c r="BF90" s="130"/>
      <c r="BG90" s="130"/>
      <c r="BH90" s="130"/>
      <c r="BI90" s="130"/>
      <c r="BJ90" s="130"/>
      <c r="BK90" s="130"/>
      <c r="BL90" s="130"/>
      <c r="BM90" s="130"/>
      <c r="BN90" s="130"/>
      <c r="BO90" s="130"/>
      <c r="BP90" s="130"/>
      <c r="BQ90" s="130"/>
      <c r="BR90" s="130"/>
      <c r="BS90" s="130"/>
      <c r="BT90" s="130"/>
      <c r="BU90" s="130"/>
      <c r="BV90" s="130"/>
      <c r="BW90" s="130"/>
      <c r="BX90" s="130"/>
      <c r="BY90" s="130"/>
      <c r="BZ90" s="130"/>
      <c r="CA90" s="130"/>
      <c r="CB90" s="130"/>
      <c r="CC90" s="130"/>
      <c r="CD90" s="130"/>
      <c r="CE90" s="130"/>
      <c r="CF90" s="130"/>
      <c r="CG90" s="130"/>
      <c r="CH90" s="130"/>
      <c r="CI90" s="130"/>
      <c r="CJ90" s="130"/>
      <c r="CK90" s="130"/>
      <c r="CL90" s="130"/>
      <c r="CM90" s="130"/>
      <c r="CN90" s="130"/>
      <c r="CO90" s="130"/>
      <c r="CP90" s="130"/>
      <c r="CQ90" s="130"/>
      <c r="CR90" s="130"/>
      <c r="CS90" s="130"/>
      <c r="CT90" s="130"/>
      <c r="CU90" s="130"/>
      <c r="CV90" s="130"/>
      <c r="CW90" s="130"/>
      <c r="CX90" s="130"/>
      <c r="CY90" s="130"/>
      <c r="CZ90" s="130"/>
      <c r="DA90" s="130"/>
      <c r="DB90" s="130"/>
      <c r="DC90" s="130"/>
      <c r="DD90" s="130"/>
      <c r="DE90" s="130"/>
      <c r="DF90" s="130"/>
      <c r="DG90" s="130"/>
      <c r="DH90" s="130"/>
      <c r="DI90" s="130"/>
      <c r="DJ90" s="130"/>
      <c r="DK90" s="130"/>
      <c r="DL90" s="130"/>
      <c r="DM90" s="130"/>
      <c r="DN90" s="130"/>
      <c r="DO90" s="130"/>
      <c r="DP90" s="130"/>
      <c r="DQ90" s="130"/>
      <c r="DR90" s="130"/>
      <c r="DS90" s="130"/>
      <c r="DT90" s="130"/>
      <c r="DU90" s="130"/>
      <c r="DV90" s="130"/>
      <c r="DW90" s="130"/>
      <c r="DX90" s="130"/>
      <c r="DY90" s="130"/>
      <c r="DZ90" s="130"/>
      <c r="EA90" s="130"/>
      <c r="EB90" s="130"/>
      <c r="EC90" s="130"/>
      <c r="ED90" s="130"/>
      <c r="EE90" s="130"/>
      <c r="EF90" s="130"/>
      <c r="EG90" s="130"/>
      <c r="EH90" s="130"/>
      <c r="EI90" s="130"/>
      <c r="EJ90" s="130"/>
      <c r="EK90" s="130"/>
      <c r="EL90" s="130"/>
      <c r="EM90" s="130"/>
      <c r="EN90" s="130"/>
      <c r="EO90" s="130"/>
      <c r="EP90" s="130"/>
      <c r="EQ90" s="130"/>
      <c r="ER90" s="130"/>
      <c r="ES90" s="130"/>
      <c r="ET90" s="130"/>
      <c r="EU90" s="130"/>
      <c r="EV90" s="130"/>
      <c r="EW90" s="130"/>
      <c r="EX90" s="130"/>
      <c r="EY90" s="130"/>
      <c r="EZ90" s="130"/>
      <c r="FA90" s="130"/>
      <c r="FB90" s="130"/>
      <c r="FC90" s="130"/>
      <c r="FD90" s="130"/>
      <c r="FE90" s="130"/>
      <c r="FF90" s="130"/>
      <c r="FG90" s="130"/>
      <c r="FH90" s="130"/>
      <c r="FI90" s="130"/>
      <c r="FJ90" s="130"/>
      <c r="FK90" s="130"/>
      <c r="FL90" s="130"/>
      <c r="FM90" s="130"/>
      <c r="FN90" s="130"/>
      <c r="FO90" s="130"/>
      <c r="FP90" s="130"/>
      <c r="FQ90" s="130"/>
      <c r="FR90" s="130"/>
      <c r="FS90" s="130"/>
      <c r="FT90" s="130"/>
      <c r="FU90" s="130"/>
      <c r="FV90" s="130"/>
      <c r="FW90" s="130"/>
      <c r="FX90" s="130"/>
      <c r="FY90" s="130"/>
      <c r="FZ90" s="130"/>
      <c r="GA90" s="130"/>
      <c r="GB90" s="130"/>
      <c r="GC90" s="130"/>
      <c r="GD90" s="130"/>
      <c r="GE90" s="130"/>
      <c r="GF90" s="130"/>
      <c r="GG90" s="130"/>
      <c r="GH90" s="130"/>
      <c r="GI90" s="130"/>
      <c r="GJ90" s="130"/>
      <c r="GK90" s="130"/>
      <c r="GL90" s="130"/>
      <c r="GM90" s="130"/>
      <c r="GN90" s="130"/>
      <c r="GO90" s="130"/>
      <c r="GP90" s="130"/>
      <c r="GQ90" s="130"/>
      <c r="GR90" s="130"/>
      <c r="GS90" s="130"/>
      <c r="GT90" s="130"/>
      <c r="GU90" s="130"/>
      <c r="GV90" s="130"/>
      <c r="GW90" s="130"/>
      <c r="GX90" s="130"/>
      <c r="GY90" s="130"/>
      <c r="GZ90" s="130"/>
      <c r="HA90" s="130"/>
      <c r="HB90" s="130"/>
      <c r="HC90" s="130"/>
      <c r="HD90" s="130"/>
      <c r="HE90" s="130"/>
      <c r="HF90" s="130"/>
      <c r="HG90" s="130"/>
      <c r="HH90" s="130"/>
      <c r="HI90" s="130"/>
      <c r="HJ90" s="130"/>
      <c r="HK90" s="130"/>
      <c r="HL90" s="130"/>
      <c r="HM90" s="130"/>
      <c r="HN90" s="130"/>
      <c r="HO90" s="130"/>
      <c r="HP90" s="130"/>
      <c r="HQ90" s="130"/>
      <c r="HR90" s="130"/>
      <c r="HS90" s="130"/>
      <c r="HT90" s="130"/>
      <c r="HU90" s="130"/>
      <c r="HV90" s="130"/>
      <c r="HW90" s="130"/>
      <c r="HX90" s="130"/>
      <c r="HY90" s="130"/>
      <c r="HZ90" s="130"/>
      <c r="IA90" s="130"/>
      <c r="IB90" s="130"/>
      <c r="IC90" s="130"/>
      <c r="ID90" s="130"/>
      <c r="IE90" s="130"/>
      <c r="IF90" s="130"/>
      <c r="IG90" s="130"/>
      <c r="IH90" s="130"/>
      <c r="II90" s="130"/>
      <c r="IJ90" s="130"/>
      <c r="IK90" s="130"/>
      <c r="IL90" s="130"/>
      <c r="IM90" s="130"/>
      <c r="IN90" s="130"/>
      <c r="IO90" s="130"/>
      <c r="IP90" s="130"/>
      <c r="IQ90" s="130"/>
      <c r="IR90" s="130"/>
      <c r="IS90" s="130"/>
      <c r="IT90" s="130"/>
      <c r="IU90" s="130"/>
      <c r="IV90" s="130"/>
      <c r="IW90" s="130"/>
    </row>
    <row r="91" customFormat="false" ht="13.5" hidden="false" customHeight="false" outlineLevel="0" collapsed="false">
      <c r="A91" s="29"/>
      <c r="B91" s="1227" t="s">
        <v>792</v>
      </c>
      <c r="C91" s="724"/>
      <c r="D91" s="724"/>
      <c r="E91" s="724" t="n">
        <f aca="false">E85+E90</f>
        <v>-635.02861933606</v>
      </c>
      <c r="F91" s="724" t="n">
        <f aca="false">F85+F90</f>
        <v>-608.727947409149</v>
      </c>
      <c r="G91" s="724" t="n">
        <f aca="false">G85+G90</f>
        <v>-576.488031661121</v>
      </c>
      <c r="H91" s="724" t="n">
        <f aca="false">H85+H90</f>
        <v>-534.773833104219</v>
      </c>
      <c r="I91" s="724" t="n">
        <f aca="false">I85+I90</f>
        <v>-492.780195891818</v>
      </c>
      <c r="J91" s="724" t="n">
        <f aca="false">J85+J90</f>
        <v>-788.476182088256</v>
      </c>
      <c r="K91" s="724" t="n">
        <f aca="false">K85+K90</f>
        <v>-750.453221624007</v>
      </c>
      <c r="L91" s="724" t="n">
        <f aca="false">L85+L90</f>
        <v>-703.018449910595</v>
      </c>
      <c r="M91" s="724" t="n">
        <f aca="false">M85+M90</f>
        <v>-653.922697093985</v>
      </c>
      <c r="N91" s="724" t="n">
        <f aca="false">N85+N90</f>
        <v>-600.156419436163</v>
      </c>
      <c r="O91" s="724" t="n">
        <f aca="false">O85+O90</f>
        <v>-498.084540111237</v>
      </c>
      <c r="P91" s="724" t="n">
        <f aca="false">P85+P90</f>
        <v>-428.537194467795</v>
      </c>
      <c r="Q91" s="724" t="n">
        <f aca="false">Q85+Q90</f>
        <v>-355.017641240158</v>
      </c>
      <c r="R91" s="724" t="n">
        <f aca="false">R85+R90</f>
        <v>-274.979442080238</v>
      </c>
      <c r="S91" s="724" t="n">
        <f aca="false">S85+S90</f>
        <v>-188.967863993025</v>
      </c>
      <c r="T91" s="724" t="n">
        <f aca="false">T85+T90</f>
        <v>-93.0739773592309</v>
      </c>
      <c r="U91" s="724" t="n">
        <f aca="false">U85+U90</f>
        <v>10.6967634793955</v>
      </c>
      <c r="V91" s="724" t="n">
        <f aca="false">V85+V90</f>
        <v>224.429280010035</v>
      </c>
      <c r="W91" s="724" t="n">
        <f aca="false">W85+W90</f>
        <v>195.928289115801</v>
      </c>
      <c r="X91" s="724" t="n">
        <f aca="false">X85+X90</f>
        <v>164.320761960749</v>
      </c>
      <c r="Y91" s="724" t="n">
        <f aca="false">Y85+Y90</f>
        <v>0</v>
      </c>
      <c r="Z91" s="724" t="n">
        <f aca="false">Z85+Z90</f>
        <v>0</v>
      </c>
      <c r="AA91" s="724" t="n">
        <f aca="false">AA85+AA90</f>
        <v>0</v>
      </c>
      <c r="AB91" s="724" t="n">
        <f aca="false">AB85+AB90</f>
        <v>0</v>
      </c>
      <c r="AC91" s="724" t="n">
        <f aca="false">AC85+AC90</f>
        <v>0</v>
      </c>
      <c r="AD91" s="724" t="n">
        <f aca="false">AD85+AD90</f>
        <v>0</v>
      </c>
      <c r="AE91" s="724" t="n">
        <f aca="false">AE85+AE90</f>
        <v>0</v>
      </c>
      <c r="AF91" s="724" t="n">
        <f aca="false">AF85+AF90</f>
        <v>0</v>
      </c>
      <c r="AG91" s="724" t="n">
        <f aca="false">AG85+AG90</f>
        <v>0</v>
      </c>
      <c r="AH91" s="724" t="n">
        <f aca="false">AH85+AH90</f>
        <v>0</v>
      </c>
      <c r="AI91" s="313"/>
      <c r="AJ91" s="313"/>
      <c r="AK91" s="313"/>
      <c r="AL91" s="313"/>
      <c r="AM91" s="313"/>
      <c r="AN91" s="313"/>
      <c r="AO91" s="313"/>
      <c r="AP91" s="313"/>
      <c r="AQ91" s="313"/>
      <c r="AR91" s="313"/>
      <c r="AS91" s="313"/>
      <c r="AT91" s="313"/>
      <c r="AU91" s="313"/>
      <c r="AV91" s="313"/>
      <c r="AW91" s="313"/>
      <c r="AX91" s="313"/>
      <c r="AY91" s="313"/>
      <c r="AZ91" s="313"/>
      <c r="BA91" s="313"/>
      <c r="BB91" s="313"/>
      <c r="BC91" s="313"/>
      <c r="BD91" s="313"/>
      <c r="BE91" s="313"/>
      <c r="BF91" s="313"/>
      <c r="BG91" s="313"/>
      <c r="BH91" s="313"/>
      <c r="BI91" s="313"/>
      <c r="BJ91" s="313"/>
      <c r="BK91" s="313"/>
      <c r="BL91" s="313"/>
      <c r="BM91" s="313"/>
      <c r="BN91" s="313"/>
      <c r="BO91" s="313"/>
      <c r="BP91" s="313"/>
      <c r="BQ91" s="313"/>
      <c r="BR91" s="313"/>
      <c r="BS91" s="313"/>
      <c r="BT91" s="313"/>
      <c r="BU91" s="313"/>
      <c r="BV91" s="313"/>
      <c r="BW91" s="313"/>
      <c r="BX91" s="313"/>
      <c r="BY91" s="313"/>
      <c r="BZ91" s="313"/>
      <c r="CA91" s="313"/>
      <c r="CB91" s="313"/>
      <c r="CC91" s="313"/>
      <c r="CD91" s="313"/>
      <c r="CE91" s="313"/>
      <c r="CF91" s="313"/>
      <c r="CG91" s="313"/>
      <c r="CH91" s="313"/>
      <c r="CI91" s="313"/>
      <c r="CJ91" s="313"/>
      <c r="CK91" s="313"/>
      <c r="CL91" s="313"/>
      <c r="CM91" s="313"/>
      <c r="CN91" s="313"/>
      <c r="CO91" s="313"/>
      <c r="CP91" s="313"/>
      <c r="CQ91" s="313"/>
      <c r="CR91" s="313"/>
      <c r="CS91" s="313"/>
      <c r="CT91" s="313"/>
      <c r="CU91" s="313"/>
      <c r="CV91" s="313"/>
      <c r="CW91" s="313"/>
      <c r="CX91" s="313"/>
      <c r="CY91" s="313"/>
      <c r="CZ91" s="313"/>
      <c r="DA91" s="313"/>
      <c r="DB91" s="313"/>
      <c r="DC91" s="313"/>
      <c r="DD91" s="313"/>
      <c r="DE91" s="313"/>
      <c r="DF91" s="313"/>
      <c r="DG91" s="313"/>
      <c r="DH91" s="313"/>
      <c r="DI91" s="313"/>
      <c r="DJ91" s="313"/>
      <c r="DK91" s="313"/>
      <c r="DL91" s="313"/>
      <c r="DM91" s="313"/>
      <c r="DN91" s="313"/>
      <c r="DO91" s="313"/>
      <c r="DP91" s="313"/>
      <c r="DQ91" s="313"/>
      <c r="DR91" s="313"/>
      <c r="DS91" s="313"/>
      <c r="DT91" s="313"/>
      <c r="DU91" s="313"/>
      <c r="DV91" s="313"/>
      <c r="DW91" s="313"/>
      <c r="DX91" s="313"/>
      <c r="DY91" s="313"/>
      <c r="DZ91" s="313"/>
      <c r="EA91" s="313"/>
      <c r="EB91" s="313"/>
      <c r="EC91" s="313"/>
      <c r="ED91" s="313"/>
      <c r="EE91" s="313"/>
      <c r="EF91" s="313"/>
      <c r="EG91" s="313"/>
      <c r="EH91" s="313"/>
      <c r="EI91" s="313"/>
      <c r="EJ91" s="313"/>
      <c r="EK91" s="313"/>
      <c r="EL91" s="313"/>
      <c r="EM91" s="313"/>
      <c r="EN91" s="313"/>
      <c r="EO91" s="313"/>
      <c r="EP91" s="313"/>
      <c r="EQ91" s="313"/>
      <c r="ER91" s="313"/>
      <c r="ES91" s="313"/>
      <c r="ET91" s="313"/>
      <c r="EU91" s="313"/>
      <c r="EV91" s="313"/>
      <c r="EW91" s="313"/>
      <c r="EX91" s="313"/>
      <c r="EY91" s="313"/>
      <c r="EZ91" s="313"/>
      <c r="FA91" s="313"/>
      <c r="FB91" s="313"/>
      <c r="FC91" s="313"/>
      <c r="FD91" s="313"/>
      <c r="FE91" s="313"/>
      <c r="FF91" s="313"/>
      <c r="FG91" s="313"/>
      <c r="FH91" s="313"/>
      <c r="FI91" s="313"/>
      <c r="FJ91" s="313"/>
      <c r="FK91" s="313"/>
      <c r="FL91" s="313"/>
      <c r="FM91" s="313"/>
      <c r="FN91" s="313"/>
      <c r="FO91" s="313"/>
      <c r="FP91" s="313"/>
      <c r="FQ91" s="313"/>
      <c r="FR91" s="313"/>
      <c r="FS91" s="313"/>
      <c r="FT91" s="313"/>
      <c r="FU91" s="313"/>
      <c r="FV91" s="313"/>
      <c r="FW91" s="313"/>
      <c r="FX91" s="313"/>
      <c r="FY91" s="313"/>
      <c r="FZ91" s="313"/>
      <c r="GA91" s="313"/>
      <c r="GB91" s="313"/>
      <c r="GC91" s="313"/>
      <c r="GD91" s="313"/>
      <c r="GE91" s="313"/>
      <c r="GF91" s="313"/>
      <c r="GG91" s="313"/>
      <c r="GH91" s="313"/>
      <c r="GI91" s="313"/>
      <c r="GJ91" s="313"/>
      <c r="GK91" s="313"/>
      <c r="GL91" s="313"/>
      <c r="GM91" s="313"/>
      <c r="GN91" s="313"/>
      <c r="GO91" s="313"/>
      <c r="GP91" s="313"/>
      <c r="GQ91" s="313"/>
      <c r="GR91" s="313"/>
      <c r="GS91" s="313"/>
      <c r="GT91" s="313"/>
      <c r="GU91" s="313"/>
      <c r="GV91" s="313"/>
      <c r="GW91" s="313"/>
      <c r="GX91" s="313"/>
      <c r="GY91" s="313"/>
      <c r="GZ91" s="313"/>
      <c r="HA91" s="313"/>
      <c r="HB91" s="313"/>
      <c r="HC91" s="313"/>
      <c r="HD91" s="313"/>
      <c r="HE91" s="313"/>
      <c r="HF91" s="313"/>
      <c r="HG91" s="313"/>
      <c r="HH91" s="313"/>
      <c r="HI91" s="313"/>
      <c r="HJ91" s="313"/>
      <c r="HK91" s="313"/>
      <c r="HL91" s="313"/>
      <c r="HM91" s="313"/>
      <c r="HN91" s="313"/>
      <c r="HO91" s="313"/>
      <c r="HP91" s="313"/>
      <c r="HQ91" s="313"/>
      <c r="HR91" s="313"/>
      <c r="HS91" s="313"/>
      <c r="HT91" s="313"/>
      <c r="HU91" s="313"/>
      <c r="HV91" s="313"/>
      <c r="HW91" s="313"/>
      <c r="HX91" s="313"/>
      <c r="HY91" s="313"/>
      <c r="HZ91" s="313"/>
      <c r="IA91" s="313"/>
      <c r="IB91" s="313"/>
      <c r="IC91" s="313"/>
      <c r="ID91" s="313"/>
      <c r="IE91" s="313"/>
      <c r="IF91" s="313"/>
      <c r="IG91" s="313"/>
      <c r="IH91" s="313"/>
      <c r="II91" s="313"/>
      <c r="IJ91" s="313"/>
      <c r="IK91" s="313"/>
      <c r="IL91" s="313"/>
      <c r="IM91" s="313"/>
      <c r="IN91" s="313"/>
      <c r="IO91" s="313"/>
      <c r="IP91" s="313"/>
      <c r="IQ91" s="313"/>
      <c r="IR91" s="313"/>
      <c r="IS91" s="313"/>
      <c r="IT91" s="313"/>
      <c r="IU91" s="313"/>
      <c r="IV91" s="313"/>
      <c r="IW91" s="313"/>
    </row>
    <row r="92" customFormat="false" ht="13.5" hidden="false" customHeight="false" outlineLevel="0" collapsed="false">
      <c r="A92" s="696"/>
      <c r="B92" s="130" t="s">
        <v>793</v>
      </c>
      <c r="C92" s="570"/>
      <c r="D92" s="130"/>
      <c r="E92" s="130" t="n">
        <f aca="false">E9</f>
        <v>2580.55318585167</v>
      </c>
      <c r="F92" s="130" t="n">
        <f aca="false">F9</f>
        <v>4306.17744739025</v>
      </c>
      <c r="G92" s="130" t="n">
        <f aca="false">G9</f>
        <v>2442.91654828267</v>
      </c>
      <c r="H92" s="130" t="n">
        <f aca="false">H9</f>
        <v>1316.35906726089</v>
      </c>
      <c r="I92" s="130" t="n">
        <f aca="false">I9</f>
        <v>1300.364246594</v>
      </c>
      <c r="J92" s="130" t="n">
        <f aca="false">J9</f>
        <v>449.820607167193</v>
      </c>
      <c r="K92" s="130" t="n">
        <f aca="false">K9</f>
        <v>-397.622230704304</v>
      </c>
      <c r="L92" s="130" t="n">
        <f aca="false">L9</f>
        <v>-415.783281028831</v>
      </c>
      <c r="M92" s="130" t="n">
        <f aca="false">M9</f>
        <v>-434.596265735872</v>
      </c>
      <c r="N92" s="130" t="n">
        <f aca="false">N9</f>
        <v>-455.157534470762</v>
      </c>
      <c r="O92" s="130" t="n">
        <f aca="false">O9</f>
        <v>-494.909108950024</v>
      </c>
      <c r="P92" s="130" t="n">
        <f aca="false">P9</f>
        <v>-521.788815231545</v>
      </c>
      <c r="Q92" s="130" t="n">
        <f aca="false">Q9</f>
        <v>-550.218103378273</v>
      </c>
      <c r="R92" s="130" t="n">
        <f aca="false">R9</f>
        <v>-581.200549352562</v>
      </c>
      <c r="S92" s="130" t="n">
        <f aca="false">S9</f>
        <v>-614.519398176296</v>
      </c>
      <c r="T92" s="130" t="n">
        <f aca="false">T9</f>
        <v>-651.950263214853</v>
      </c>
      <c r="U92" s="130" t="n">
        <f aca="false">U9</f>
        <v>-696.260059886729</v>
      </c>
      <c r="V92" s="130" t="n">
        <f aca="false">V9</f>
        <v>-779.938262762703</v>
      </c>
      <c r="W92" s="130" t="n">
        <f aca="false">W9</f>
        <v>-767.763290514174</v>
      </c>
      <c r="X92" s="130" t="n">
        <f aca="false">X9</f>
        <v>-755.618382200295</v>
      </c>
      <c r="Y92" s="130" t="n">
        <f aca="false">Y9</f>
        <v>-0</v>
      </c>
      <c r="Z92" s="130" t="n">
        <f aca="false">Z9</f>
        <v>-0</v>
      </c>
      <c r="AA92" s="130" t="n">
        <f aca="false">AA9</f>
        <v>-0</v>
      </c>
      <c r="AB92" s="130" t="n">
        <f aca="false">AB9</f>
        <v>-0</v>
      </c>
      <c r="AC92" s="130" t="n">
        <f aca="false">AC9</f>
        <v>-0</v>
      </c>
      <c r="AD92" s="130" t="n">
        <f aca="false">AD9</f>
        <v>-0</v>
      </c>
      <c r="AE92" s="130" t="n">
        <f aca="false">AE9</f>
        <v>-0</v>
      </c>
      <c r="AF92" s="130" t="n">
        <f aca="false">AF9</f>
        <v>-0</v>
      </c>
      <c r="AG92" s="130" t="n">
        <f aca="false">AG9</f>
        <v>-0</v>
      </c>
      <c r="AH92" s="130" t="n">
        <f aca="false">AH9</f>
        <v>-0</v>
      </c>
      <c r="AI92" s="130"/>
      <c r="AJ92" s="130"/>
      <c r="AK92" s="130"/>
      <c r="AL92" s="130"/>
      <c r="AM92" s="130"/>
      <c r="AN92" s="130"/>
      <c r="AO92" s="130"/>
      <c r="AP92" s="130"/>
      <c r="AQ92" s="130"/>
      <c r="AR92" s="130"/>
      <c r="AS92" s="130"/>
      <c r="AT92" s="130"/>
      <c r="AU92" s="130"/>
      <c r="AV92" s="130"/>
      <c r="AW92" s="130"/>
      <c r="AX92" s="130"/>
      <c r="AY92" s="130"/>
      <c r="AZ92" s="130"/>
      <c r="BA92" s="130"/>
      <c r="BB92" s="130"/>
      <c r="BC92" s="130"/>
      <c r="BD92" s="130"/>
      <c r="BE92" s="130"/>
      <c r="BF92" s="130"/>
      <c r="BG92" s="130"/>
      <c r="BH92" s="130"/>
      <c r="BI92" s="130"/>
      <c r="BJ92" s="130"/>
      <c r="BK92" s="130"/>
      <c r="BL92" s="130"/>
      <c r="BM92" s="130"/>
      <c r="BN92" s="130"/>
      <c r="BO92" s="130"/>
      <c r="BP92" s="130"/>
      <c r="BQ92" s="130"/>
      <c r="BR92" s="130"/>
      <c r="BS92" s="130"/>
      <c r="BT92" s="130"/>
      <c r="BU92" s="130"/>
      <c r="BV92" s="130"/>
      <c r="BW92" s="130"/>
      <c r="BX92" s="130"/>
      <c r="BY92" s="130"/>
      <c r="BZ92" s="130"/>
      <c r="CA92" s="130"/>
      <c r="CB92" s="130"/>
      <c r="CC92" s="130"/>
      <c r="CD92" s="130"/>
      <c r="CE92" s="130"/>
      <c r="CF92" s="130"/>
      <c r="CG92" s="130"/>
      <c r="CH92" s="130"/>
      <c r="CI92" s="130"/>
      <c r="CJ92" s="130"/>
      <c r="CK92" s="130"/>
      <c r="CL92" s="130"/>
      <c r="CM92" s="130"/>
      <c r="CN92" s="130"/>
      <c r="CO92" s="130"/>
      <c r="CP92" s="130"/>
      <c r="CQ92" s="130"/>
      <c r="CR92" s="130"/>
      <c r="CS92" s="130"/>
      <c r="CT92" s="130"/>
      <c r="CU92" s="130"/>
      <c r="CV92" s="130"/>
      <c r="CW92" s="130"/>
      <c r="CX92" s="130"/>
      <c r="CY92" s="130"/>
      <c r="CZ92" s="130"/>
      <c r="DA92" s="130"/>
      <c r="DB92" s="130"/>
      <c r="DC92" s="130"/>
      <c r="DD92" s="130"/>
      <c r="DE92" s="130"/>
      <c r="DF92" s="130"/>
      <c r="DG92" s="130"/>
      <c r="DH92" s="130"/>
      <c r="DI92" s="130"/>
      <c r="DJ92" s="130"/>
      <c r="DK92" s="130"/>
      <c r="DL92" s="130"/>
      <c r="DM92" s="130"/>
      <c r="DN92" s="130"/>
      <c r="DO92" s="130"/>
      <c r="DP92" s="130"/>
      <c r="DQ92" s="130"/>
      <c r="DR92" s="130"/>
      <c r="DS92" s="130"/>
      <c r="DT92" s="130"/>
      <c r="DU92" s="130"/>
      <c r="DV92" s="130"/>
      <c r="DW92" s="130"/>
      <c r="DX92" s="130"/>
      <c r="DY92" s="130"/>
      <c r="DZ92" s="130"/>
      <c r="EA92" s="130"/>
      <c r="EB92" s="130"/>
      <c r="EC92" s="130"/>
      <c r="ED92" s="130"/>
      <c r="EE92" s="130"/>
      <c r="EF92" s="130"/>
      <c r="EG92" s="130"/>
      <c r="EH92" s="130"/>
      <c r="EI92" s="130"/>
      <c r="EJ92" s="130"/>
      <c r="EK92" s="130"/>
      <c r="EL92" s="130"/>
      <c r="EM92" s="130"/>
      <c r="EN92" s="130"/>
      <c r="EO92" s="130"/>
      <c r="EP92" s="130"/>
      <c r="EQ92" s="130"/>
      <c r="ER92" s="130"/>
      <c r="ES92" s="130"/>
      <c r="ET92" s="130"/>
      <c r="EU92" s="130"/>
      <c r="EV92" s="130"/>
      <c r="EW92" s="130"/>
      <c r="EX92" s="130"/>
      <c r="EY92" s="130"/>
      <c r="EZ92" s="130"/>
      <c r="FA92" s="130"/>
      <c r="FB92" s="130"/>
      <c r="FC92" s="130"/>
      <c r="FD92" s="130"/>
      <c r="FE92" s="130"/>
      <c r="FF92" s="130"/>
      <c r="FG92" s="130"/>
      <c r="FH92" s="130"/>
      <c r="FI92" s="130"/>
      <c r="FJ92" s="130"/>
      <c r="FK92" s="130"/>
      <c r="FL92" s="130"/>
      <c r="FM92" s="130"/>
      <c r="FN92" s="130"/>
      <c r="FO92" s="130"/>
      <c r="FP92" s="130"/>
      <c r="FQ92" s="130"/>
      <c r="FR92" s="130"/>
      <c r="FS92" s="130"/>
      <c r="FT92" s="130"/>
      <c r="FU92" s="130"/>
      <c r="FV92" s="130"/>
      <c r="FW92" s="130"/>
      <c r="FX92" s="130"/>
      <c r="FY92" s="130"/>
      <c r="FZ92" s="130"/>
      <c r="GA92" s="130"/>
      <c r="GB92" s="130"/>
      <c r="GC92" s="130"/>
      <c r="GD92" s="130"/>
      <c r="GE92" s="130"/>
      <c r="GF92" s="130"/>
      <c r="GG92" s="130"/>
      <c r="GH92" s="130"/>
      <c r="GI92" s="130"/>
      <c r="GJ92" s="130"/>
      <c r="GK92" s="130"/>
      <c r="GL92" s="130"/>
      <c r="GM92" s="130"/>
      <c r="GN92" s="130"/>
      <c r="GO92" s="130"/>
      <c r="GP92" s="130"/>
      <c r="GQ92" s="130"/>
      <c r="GR92" s="130"/>
      <c r="GS92" s="130"/>
      <c r="GT92" s="130"/>
      <c r="GU92" s="130"/>
      <c r="GV92" s="130"/>
      <c r="GW92" s="130"/>
      <c r="GX92" s="130"/>
      <c r="GY92" s="130"/>
      <c r="GZ92" s="130"/>
      <c r="HA92" s="130"/>
      <c r="HB92" s="130"/>
      <c r="HC92" s="130"/>
      <c r="HD92" s="130"/>
      <c r="HE92" s="130"/>
      <c r="HF92" s="130"/>
      <c r="HG92" s="130"/>
      <c r="HH92" s="130"/>
      <c r="HI92" s="130"/>
      <c r="HJ92" s="130"/>
      <c r="HK92" s="130"/>
      <c r="HL92" s="130"/>
      <c r="HM92" s="130"/>
      <c r="HN92" s="130"/>
      <c r="HO92" s="130"/>
      <c r="HP92" s="130"/>
      <c r="HQ92" s="130"/>
      <c r="HR92" s="130"/>
      <c r="HS92" s="130"/>
      <c r="HT92" s="130"/>
      <c r="HU92" s="130"/>
      <c r="HV92" s="130"/>
      <c r="HW92" s="130"/>
      <c r="HX92" s="130"/>
      <c r="HY92" s="130"/>
      <c r="HZ92" s="130"/>
      <c r="IA92" s="130"/>
      <c r="IB92" s="130"/>
      <c r="IC92" s="130"/>
      <c r="ID92" s="130"/>
      <c r="IE92" s="130"/>
      <c r="IF92" s="130"/>
      <c r="IG92" s="130"/>
      <c r="IH92" s="130"/>
      <c r="II92" s="130"/>
      <c r="IJ92" s="130"/>
      <c r="IK92" s="130"/>
      <c r="IL92" s="130"/>
      <c r="IM92" s="130"/>
      <c r="IN92" s="130"/>
      <c r="IO92" s="130"/>
      <c r="IP92" s="130"/>
      <c r="IQ92" s="130"/>
      <c r="IR92" s="130"/>
      <c r="IS92" s="130"/>
      <c r="IT92" s="130"/>
      <c r="IU92" s="130"/>
      <c r="IV92" s="130"/>
      <c r="IW92" s="130"/>
    </row>
    <row r="93" customFormat="false" ht="12.75" hidden="false" customHeight="false" outlineLevel="0" collapsed="false">
      <c r="A93" s="696"/>
      <c r="B93" s="130" t="s">
        <v>794</v>
      </c>
      <c r="C93" s="130"/>
      <c r="D93" s="130"/>
      <c r="E93" s="130" t="n">
        <f aca="false">E99</f>
        <v>-2329.39936690426</v>
      </c>
      <c r="F93" s="130" t="n">
        <f aca="false">F99</f>
        <v>-4065.42554418993</v>
      </c>
      <c r="G93" s="130" t="n">
        <f aca="false">G99</f>
        <v>-2214.9155317607</v>
      </c>
      <c r="H93" s="130" t="n">
        <f aca="false">H99</f>
        <v>-1104.85601626818</v>
      </c>
      <c r="I93" s="130" t="n">
        <f aca="false">I99</f>
        <v>-1105.46967911879</v>
      </c>
      <c r="J93" s="130" t="n">
        <f aca="false">J99</f>
        <v>-137.978277151288</v>
      </c>
      <c r="K93" s="130" t="n">
        <f aca="false">K99</f>
        <v>694.426479856599</v>
      </c>
      <c r="L93" s="130" t="n">
        <f aca="false">L99</f>
        <v>693.827077968472</v>
      </c>
      <c r="M93" s="130" t="n">
        <f aca="false">M99</f>
        <v>693.222692436543</v>
      </c>
      <c r="N93" s="130" t="n">
        <f aca="false">N99</f>
        <v>692.519398357765</v>
      </c>
      <c r="O93" s="130" t="n">
        <f aca="false">O99</f>
        <v>691.901544564019</v>
      </c>
      <c r="P93" s="130" t="n">
        <f aca="false">P99</f>
        <v>691.275275643558</v>
      </c>
      <c r="Q93" s="130" t="n">
        <f aca="false">Q99</f>
        <v>690.627580488756</v>
      </c>
      <c r="R93" s="130" t="n">
        <f aca="false">R99</f>
        <v>689.954918695296</v>
      </c>
      <c r="S93" s="130" t="n">
        <f aca="false">S99</f>
        <v>689.256188385537</v>
      </c>
      <c r="T93" s="130" t="n">
        <f aca="false">T99</f>
        <v>688.761021260429</v>
      </c>
      <c r="U93" s="130" t="n">
        <f aca="false">U99</f>
        <v>692.029489930628</v>
      </c>
      <c r="V93" s="130" t="n">
        <f aca="false">V99</f>
        <v>691.176482518734</v>
      </c>
      <c r="W93" s="130" t="n">
        <f aca="false">W99</f>
        <v>690.273652168875</v>
      </c>
      <c r="X93" s="130" t="n">
        <f aca="false">X99</f>
        <v>690.629520844818</v>
      </c>
      <c r="Y93" s="130" t="n">
        <f aca="false">Y99</f>
        <v>-0</v>
      </c>
      <c r="Z93" s="130" t="n">
        <f aca="false">Z99</f>
        <v>-0</v>
      </c>
      <c r="AA93" s="130" t="n">
        <f aca="false">AA99</f>
        <v>-0</v>
      </c>
      <c r="AB93" s="130" t="n">
        <f aca="false">AB99</f>
        <v>-0</v>
      </c>
      <c r="AC93" s="130" t="n">
        <f aca="false">AC99</f>
        <v>-0</v>
      </c>
      <c r="AD93" s="130" t="n">
        <f aca="false">AD99</f>
        <v>-0</v>
      </c>
      <c r="AE93" s="130" t="n">
        <f aca="false">AE99</f>
        <v>-0</v>
      </c>
      <c r="AF93" s="130" t="n">
        <f aca="false">AF99</f>
        <v>-0</v>
      </c>
      <c r="AG93" s="130" t="n">
        <f aca="false">AG99</f>
        <v>-0</v>
      </c>
      <c r="AH93" s="130" t="n">
        <f aca="false">AH99</f>
        <v>-0</v>
      </c>
      <c r="AI93" s="130"/>
      <c r="AJ93" s="130"/>
      <c r="AK93" s="130"/>
      <c r="AL93" s="130"/>
      <c r="AM93" s="130"/>
      <c r="AN93" s="130"/>
      <c r="AO93" s="130"/>
      <c r="AP93" s="130"/>
      <c r="AQ93" s="130"/>
      <c r="AR93" s="130"/>
      <c r="AS93" s="130"/>
      <c r="AT93" s="130"/>
      <c r="AU93" s="130"/>
      <c r="AV93" s="130"/>
      <c r="AW93" s="130"/>
      <c r="AX93" s="130"/>
      <c r="AY93" s="130"/>
      <c r="AZ93" s="130"/>
      <c r="BA93" s="130"/>
      <c r="BB93" s="130"/>
      <c r="BC93" s="130"/>
      <c r="BD93" s="130"/>
      <c r="BE93" s="130"/>
      <c r="BF93" s="130"/>
      <c r="BG93" s="130"/>
      <c r="BH93" s="130"/>
      <c r="BI93" s="130"/>
      <c r="BJ93" s="130"/>
      <c r="BK93" s="130"/>
      <c r="BL93" s="130"/>
      <c r="BM93" s="130"/>
      <c r="BN93" s="130"/>
      <c r="BO93" s="130"/>
      <c r="BP93" s="130"/>
      <c r="BQ93" s="130"/>
      <c r="BR93" s="130"/>
      <c r="BS93" s="130"/>
      <c r="BT93" s="130"/>
      <c r="BU93" s="130"/>
      <c r="BV93" s="130"/>
      <c r="BW93" s="130"/>
      <c r="BX93" s="130"/>
      <c r="BY93" s="130"/>
      <c r="BZ93" s="130"/>
      <c r="CA93" s="130"/>
      <c r="CB93" s="130"/>
      <c r="CC93" s="130"/>
      <c r="CD93" s="130"/>
      <c r="CE93" s="130"/>
      <c r="CF93" s="130"/>
      <c r="CG93" s="130"/>
      <c r="CH93" s="130"/>
      <c r="CI93" s="130"/>
      <c r="CJ93" s="130"/>
      <c r="CK93" s="130"/>
      <c r="CL93" s="130"/>
      <c r="CM93" s="130"/>
      <c r="CN93" s="130"/>
      <c r="CO93" s="130"/>
      <c r="CP93" s="130"/>
      <c r="CQ93" s="130"/>
      <c r="CR93" s="130"/>
      <c r="CS93" s="130"/>
      <c r="CT93" s="130"/>
      <c r="CU93" s="130"/>
      <c r="CV93" s="130"/>
      <c r="CW93" s="130"/>
      <c r="CX93" s="130"/>
      <c r="CY93" s="130"/>
      <c r="CZ93" s="130"/>
      <c r="DA93" s="130"/>
      <c r="DB93" s="130"/>
      <c r="DC93" s="130"/>
      <c r="DD93" s="130"/>
      <c r="DE93" s="130"/>
      <c r="DF93" s="130"/>
      <c r="DG93" s="130"/>
      <c r="DH93" s="130"/>
      <c r="DI93" s="130"/>
      <c r="DJ93" s="130"/>
      <c r="DK93" s="130"/>
      <c r="DL93" s="130"/>
      <c r="DM93" s="130"/>
      <c r="DN93" s="130"/>
      <c r="DO93" s="130"/>
      <c r="DP93" s="130"/>
      <c r="DQ93" s="130"/>
      <c r="DR93" s="130"/>
      <c r="DS93" s="130"/>
      <c r="DT93" s="130"/>
      <c r="DU93" s="130"/>
      <c r="DV93" s="130"/>
      <c r="DW93" s="130"/>
      <c r="DX93" s="130"/>
      <c r="DY93" s="130"/>
      <c r="DZ93" s="130"/>
      <c r="EA93" s="130"/>
      <c r="EB93" s="130"/>
      <c r="EC93" s="130"/>
      <c r="ED93" s="130"/>
      <c r="EE93" s="130"/>
      <c r="EF93" s="130"/>
      <c r="EG93" s="130"/>
      <c r="EH93" s="130"/>
      <c r="EI93" s="130"/>
      <c r="EJ93" s="130"/>
      <c r="EK93" s="130"/>
      <c r="EL93" s="130"/>
      <c r="EM93" s="130"/>
      <c r="EN93" s="130"/>
      <c r="EO93" s="130"/>
      <c r="EP93" s="130"/>
      <c r="EQ93" s="130"/>
      <c r="ER93" s="130"/>
      <c r="ES93" s="130"/>
      <c r="ET93" s="130"/>
      <c r="EU93" s="130"/>
      <c r="EV93" s="130"/>
      <c r="EW93" s="130"/>
      <c r="EX93" s="130"/>
      <c r="EY93" s="130"/>
      <c r="EZ93" s="130"/>
      <c r="FA93" s="130"/>
      <c r="FB93" s="130"/>
      <c r="FC93" s="130"/>
      <c r="FD93" s="130"/>
      <c r="FE93" s="130"/>
      <c r="FF93" s="130"/>
      <c r="FG93" s="130"/>
      <c r="FH93" s="130"/>
      <c r="FI93" s="130"/>
      <c r="FJ93" s="130"/>
      <c r="FK93" s="130"/>
      <c r="FL93" s="130"/>
      <c r="FM93" s="130"/>
      <c r="FN93" s="130"/>
      <c r="FO93" s="130"/>
      <c r="FP93" s="130"/>
      <c r="FQ93" s="130"/>
      <c r="FR93" s="130"/>
      <c r="FS93" s="130"/>
      <c r="FT93" s="130"/>
      <c r="FU93" s="130"/>
      <c r="FV93" s="130"/>
      <c r="FW93" s="130"/>
      <c r="FX93" s="130"/>
      <c r="FY93" s="130"/>
      <c r="FZ93" s="130"/>
      <c r="GA93" s="130"/>
      <c r="GB93" s="130"/>
      <c r="GC93" s="130"/>
      <c r="GD93" s="130"/>
      <c r="GE93" s="130"/>
      <c r="GF93" s="130"/>
      <c r="GG93" s="130"/>
      <c r="GH93" s="130"/>
      <c r="GI93" s="130"/>
      <c r="GJ93" s="130"/>
      <c r="GK93" s="130"/>
      <c r="GL93" s="130"/>
      <c r="GM93" s="130"/>
      <c r="GN93" s="130"/>
      <c r="GO93" s="130"/>
      <c r="GP93" s="130"/>
      <c r="GQ93" s="130"/>
      <c r="GR93" s="130"/>
      <c r="GS93" s="130"/>
      <c r="GT93" s="130"/>
      <c r="GU93" s="130"/>
      <c r="GV93" s="130"/>
      <c r="GW93" s="130"/>
      <c r="GX93" s="130"/>
      <c r="GY93" s="130"/>
      <c r="GZ93" s="130"/>
      <c r="HA93" s="130"/>
      <c r="HB93" s="130"/>
      <c r="HC93" s="130"/>
      <c r="HD93" s="130"/>
      <c r="HE93" s="130"/>
      <c r="HF93" s="130"/>
      <c r="HG93" s="130"/>
      <c r="HH93" s="130"/>
      <c r="HI93" s="130"/>
      <c r="HJ93" s="130"/>
      <c r="HK93" s="130"/>
      <c r="HL93" s="130"/>
      <c r="HM93" s="130"/>
      <c r="HN93" s="130"/>
      <c r="HO93" s="130"/>
      <c r="HP93" s="130"/>
      <c r="HQ93" s="130"/>
      <c r="HR93" s="130"/>
      <c r="HS93" s="130"/>
      <c r="HT93" s="130"/>
      <c r="HU93" s="130"/>
      <c r="HV93" s="130"/>
      <c r="HW93" s="130"/>
      <c r="HX93" s="130"/>
      <c r="HY93" s="130"/>
      <c r="HZ93" s="130"/>
      <c r="IA93" s="130"/>
      <c r="IB93" s="130"/>
      <c r="IC93" s="130"/>
      <c r="ID93" s="130"/>
      <c r="IE93" s="130"/>
      <c r="IF93" s="130"/>
      <c r="IG93" s="130"/>
      <c r="IH93" s="130"/>
      <c r="II93" s="130"/>
      <c r="IJ93" s="130"/>
      <c r="IK93" s="130"/>
      <c r="IL93" s="130"/>
      <c r="IM93" s="130"/>
      <c r="IN93" s="130"/>
      <c r="IO93" s="130"/>
      <c r="IP93" s="130"/>
      <c r="IQ93" s="130"/>
      <c r="IR93" s="130"/>
      <c r="IS93" s="130"/>
      <c r="IT93" s="130"/>
      <c r="IU93" s="130"/>
      <c r="IV93" s="130"/>
      <c r="IW93" s="130"/>
    </row>
    <row r="94" customFormat="false" ht="12.75" hidden="false" customHeight="false" outlineLevel="0" collapsed="false">
      <c r="A94" s="696"/>
      <c r="B94" s="130" t="s">
        <v>319</v>
      </c>
      <c r="C94" s="130"/>
      <c r="D94" s="130"/>
      <c r="E94" s="130" t="n">
        <f aca="false">E23</f>
        <v>2268.19954981779</v>
      </c>
      <c r="F94" s="130" t="n">
        <f aca="false">F23</f>
        <v>2394.21063591878</v>
      </c>
      <c r="G94" s="130" t="n">
        <f aca="false">G23</f>
        <v>2394.21063591878</v>
      </c>
      <c r="H94" s="130" t="n">
        <f aca="false">H23</f>
        <v>2394.21063591878</v>
      </c>
      <c r="I94" s="130" t="n">
        <f aca="false">I23</f>
        <v>2520.22172201977</v>
      </c>
      <c r="J94" s="130" t="n">
        <f aca="false">J23</f>
        <v>2520.22172201977</v>
      </c>
      <c r="K94" s="130" t="n">
        <f aca="false">K23</f>
        <v>2646.23280812075</v>
      </c>
      <c r="L94" s="130" t="n">
        <f aca="false">L23</f>
        <v>2646.23280812075</v>
      </c>
      <c r="M94" s="130" t="n">
        <f aca="false">M23</f>
        <v>2646.23280812075</v>
      </c>
      <c r="N94" s="130" t="n">
        <f aca="false">N23</f>
        <v>2772.24389422174</v>
      </c>
      <c r="O94" s="130" t="n">
        <f aca="false">O23</f>
        <v>0</v>
      </c>
      <c r="P94" s="130" t="n">
        <f aca="false">P23</f>
        <v>0</v>
      </c>
      <c r="Q94" s="130" t="n">
        <f aca="false">Q23</f>
        <v>0</v>
      </c>
      <c r="R94" s="130" t="n">
        <f aca="false">R23</f>
        <v>0</v>
      </c>
      <c r="S94" s="130" t="n">
        <f aca="false">S23</f>
        <v>0</v>
      </c>
      <c r="T94" s="130" t="n">
        <f aca="false">T23</f>
        <v>0</v>
      </c>
      <c r="U94" s="130" t="n">
        <f aca="false">U23</f>
        <v>0</v>
      </c>
      <c r="V94" s="130" t="n">
        <f aca="false">V23</f>
        <v>0</v>
      </c>
      <c r="W94" s="130" t="n">
        <f aca="false">W23</f>
        <v>0</v>
      </c>
      <c r="X94" s="130" t="n">
        <f aca="false">X23</f>
        <v>0</v>
      </c>
      <c r="Y94" s="130" t="n">
        <f aca="false">Y23</f>
        <v>0</v>
      </c>
      <c r="Z94" s="130" t="n">
        <f aca="false">Z23</f>
        <v>0</v>
      </c>
      <c r="AA94" s="130" t="n">
        <f aca="false">AA23</f>
        <v>0</v>
      </c>
      <c r="AB94" s="130" t="n">
        <f aca="false">AB23</f>
        <v>0</v>
      </c>
      <c r="AC94" s="130" t="n">
        <f aca="false">AC23</f>
        <v>0</v>
      </c>
      <c r="AD94" s="130" t="n">
        <f aca="false">AD23</f>
        <v>0</v>
      </c>
      <c r="AE94" s="130" t="n">
        <f aca="false">AE23</f>
        <v>0</v>
      </c>
      <c r="AF94" s="130" t="n">
        <f aca="false">AF23</f>
        <v>0</v>
      </c>
      <c r="AG94" s="130" t="n">
        <f aca="false">AG23</f>
        <v>0</v>
      </c>
      <c r="AH94" s="130" t="n">
        <f aca="false">AH23</f>
        <v>0</v>
      </c>
      <c r="AI94" s="130"/>
      <c r="AJ94" s="130"/>
      <c r="AK94" s="130"/>
      <c r="AL94" s="130"/>
      <c r="AM94" s="130"/>
      <c r="AN94" s="130"/>
      <c r="AO94" s="130"/>
      <c r="AP94" s="130"/>
      <c r="AQ94" s="130"/>
      <c r="AR94" s="130"/>
      <c r="AS94" s="130"/>
      <c r="AT94" s="130"/>
      <c r="AU94" s="130"/>
      <c r="AV94" s="130"/>
      <c r="AW94" s="130"/>
      <c r="AX94" s="130"/>
      <c r="AY94" s="130"/>
      <c r="AZ94" s="130"/>
      <c r="BA94" s="130"/>
      <c r="BB94" s="130"/>
      <c r="BC94" s="130"/>
      <c r="BD94" s="130"/>
      <c r="BE94" s="130"/>
      <c r="BF94" s="130"/>
      <c r="BG94" s="130"/>
      <c r="BH94" s="130"/>
      <c r="BI94" s="130"/>
      <c r="BJ94" s="130"/>
      <c r="BK94" s="130"/>
      <c r="BL94" s="130"/>
      <c r="BM94" s="130"/>
      <c r="BN94" s="130"/>
      <c r="BO94" s="130"/>
      <c r="BP94" s="130"/>
      <c r="BQ94" s="130"/>
      <c r="BR94" s="130"/>
      <c r="BS94" s="130"/>
      <c r="BT94" s="130"/>
      <c r="BU94" s="130"/>
      <c r="BV94" s="130"/>
      <c r="BW94" s="130"/>
      <c r="BX94" s="130"/>
      <c r="BY94" s="130"/>
      <c r="BZ94" s="130"/>
      <c r="CA94" s="130"/>
      <c r="CB94" s="130"/>
      <c r="CC94" s="130"/>
      <c r="CD94" s="130"/>
      <c r="CE94" s="130"/>
      <c r="CF94" s="130"/>
      <c r="CG94" s="130"/>
      <c r="CH94" s="130"/>
      <c r="CI94" s="130"/>
      <c r="CJ94" s="130"/>
      <c r="CK94" s="130"/>
      <c r="CL94" s="130"/>
      <c r="CM94" s="130"/>
      <c r="CN94" s="130"/>
      <c r="CO94" s="130"/>
      <c r="CP94" s="130"/>
      <c r="CQ94" s="130"/>
      <c r="CR94" s="130"/>
      <c r="CS94" s="130"/>
      <c r="CT94" s="130"/>
      <c r="CU94" s="130"/>
      <c r="CV94" s="130"/>
      <c r="CW94" s="130"/>
      <c r="CX94" s="130"/>
      <c r="CY94" s="130"/>
      <c r="CZ94" s="130"/>
      <c r="DA94" s="130"/>
      <c r="DB94" s="130"/>
      <c r="DC94" s="130"/>
      <c r="DD94" s="130"/>
      <c r="DE94" s="130"/>
      <c r="DF94" s="130"/>
      <c r="DG94" s="130"/>
      <c r="DH94" s="130"/>
      <c r="DI94" s="130"/>
      <c r="DJ94" s="130"/>
      <c r="DK94" s="130"/>
      <c r="DL94" s="130"/>
      <c r="DM94" s="130"/>
      <c r="DN94" s="130"/>
      <c r="DO94" s="130"/>
      <c r="DP94" s="130"/>
      <c r="DQ94" s="130"/>
      <c r="DR94" s="130"/>
      <c r="DS94" s="130"/>
      <c r="DT94" s="130"/>
      <c r="DU94" s="130"/>
      <c r="DV94" s="130"/>
      <c r="DW94" s="130"/>
      <c r="DX94" s="130"/>
      <c r="DY94" s="130"/>
      <c r="DZ94" s="130"/>
      <c r="EA94" s="130"/>
      <c r="EB94" s="130"/>
      <c r="EC94" s="130"/>
      <c r="ED94" s="130"/>
      <c r="EE94" s="130"/>
      <c r="EF94" s="130"/>
      <c r="EG94" s="130"/>
      <c r="EH94" s="130"/>
      <c r="EI94" s="130"/>
      <c r="EJ94" s="130"/>
      <c r="EK94" s="130"/>
      <c r="EL94" s="130"/>
      <c r="EM94" s="130"/>
      <c r="EN94" s="130"/>
      <c r="EO94" s="130"/>
      <c r="EP94" s="130"/>
      <c r="EQ94" s="130"/>
      <c r="ER94" s="130"/>
      <c r="ES94" s="130"/>
      <c r="ET94" s="130"/>
      <c r="EU94" s="130"/>
      <c r="EV94" s="130"/>
      <c r="EW94" s="130"/>
      <c r="EX94" s="130"/>
      <c r="EY94" s="130"/>
      <c r="EZ94" s="130"/>
      <c r="FA94" s="130"/>
      <c r="FB94" s="130"/>
      <c r="FC94" s="130"/>
      <c r="FD94" s="130"/>
      <c r="FE94" s="130"/>
      <c r="FF94" s="130"/>
      <c r="FG94" s="130"/>
      <c r="FH94" s="130"/>
      <c r="FI94" s="130"/>
      <c r="FJ94" s="130"/>
      <c r="FK94" s="130"/>
      <c r="FL94" s="130"/>
      <c r="FM94" s="130"/>
      <c r="FN94" s="130"/>
      <c r="FO94" s="130"/>
      <c r="FP94" s="130"/>
      <c r="FQ94" s="130"/>
      <c r="FR94" s="130"/>
      <c r="FS94" s="130"/>
      <c r="FT94" s="130"/>
      <c r="FU94" s="130"/>
      <c r="FV94" s="130"/>
      <c r="FW94" s="130"/>
      <c r="FX94" s="130"/>
      <c r="FY94" s="130"/>
      <c r="FZ94" s="130"/>
      <c r="GA94" s="130"/>
      <c r="GB94" s="130"/>
      <c r="GC94" s="130"/>
      <c r="GD94" s="130"/>
      <c r="GE94" s="130"/>
      <c r="GF94" s="130"/>
      <c r="GG94" s="130"/>
      <c r="GH94" s="130"/>
      <c r="GI94" s="130"/>
      <c r="GJ94" s="130"/>
      <c r="GK94" s="130"/>
      <c r="GL94" s="130"/>
      <c r="GM94" s="130"/>
      <c r="GN94" s="130"/>
      <c r="GO94" s="130"/>
      <c r="GP94" s="130"/>
      <c r="GQ94" s="130"/>
      <c r="GR94" s="130"/>
      <c r="GS94" s="130"/>
      <c r="GT94" s="130"/>
      <c r="GU94" s="130"/>
      <c r="GV94" s="130"/>
      <c r="GW94" s="130"/>
      <c r="GX94" s="130"/>
      <c r="GY94" s="130"/>
      <c r="GZ94" s="130"/>
      <c r="HA94" s="130"/>
      <c r="HB94" s="130"/>
      <c r="HC94" s="130"/>
      <c r="HD94" s="130"/>
      <c r="HE94" s="130"/>
      <c r="HF94" s="130"/>
      <c r="HG94" s="130"/>
      <c r="HH94" s="130"/>
      <c r="HI94" s="130"/>
      <c r="HJ94" s="130"/>
      <c r="HK94" s="130"/>
      <c r="HL94" s="130"/>
      <c r="HM94" s="130"/>
      <c r="HN94" s="130"/>
      <c r="HO94" s="130"/>
      <c r="HP94" s="130"/>
      <c r="HQ94" s="130"/>
      <c r="HR94" s="130"/>
      <c r="HS94" s="130"/>
      <c r="HT94" s="130"/>
      <c r="HU94" s="130"/>
      <c r="HV94" s="130"/>
      <c r="HW94" s="130"/>
      <c r="HX94" s="130"/>
      <c r="HY94" s="130"/>
      <c r="HZ94" s="130"/>
      <c r="IA94" s="130"/>
      <c r="IB94" s="130"/>
      <c r="IC94" s="130"/>
      <c r="ID94" s="130"/>
      <c r="IE94" s="130"/>
      <c r="IF94" s="130"/>
      <c r="IG94" s="130"/>
      <c r="IH94" s="130"/>
      <c r="II94" s="130"/>
      <c r="IJ94" s="130"/>
      <c r="IK94" s="130"/>
      <c r="IL94" s="130"/>
      <c r="IM94" s="130"/>
      <c r="IN94" s="130"/>
      <c r="IO94" s="130"/>
      <c r="IP94" s="130"/>
      <c r="IQ94" s="130"/>
      <c r="IR94" s="130"/>
      <c r="IS94" s="130"/>
      <c r="IT94" s="130"/>
      <c r="IU94" s="130"/>
      <c r="IV94" s="130"/>
      <c r="IW94" s="130"/>
    </row>
    <row r="95" customFormat="false" ht="13.5" hidden="false" customHeight="false" outlineLevel="0" collapsed="false">
      <c r="A95" s="29"/>
      <c r="B95" s="331" t="s">
        <v>795</v>
      </c>
      <c r="C95" s="331"/>
      <c r="D95" s="331"/>
      <c r="E95" s="331" t="n">
        <f aca="false">SUM(E91:E94)</f>
        <v>1884.32474942914</v>
      </c>
      <c r="F95" s="331" t="n">
        <f aca="false">SUM(F91:F94)</f>
        <v>2026.23459170995</v>
      </c>
      <c r="G95" s="331" t="n">
        <f aca="false">SUM(G91:G94)</f>
        <v>2045.72362077963</v>
      </c>
      <c r="H95" s="331" t="n">
        <f aca="false">SUM(H91:H94)</f>
        <v>2070.93985380728</v>
      </c>
      <c r="I95" s="331" t="n">
        <f aca="false">SUM(I91:I94)</f>
        <v>2222.33609360316</v>
      </c>
      <c r="J95" s="331" t="n">
        <f aca="false">SUM(J91:J94)</f>
        <v>2043.58786994742</v>
      </c>
      <c r="K95" s="331" t="n">
        <f aca="false">SUM(K91:K94)</f>
        <v>2192.58383564904</v>
      </c>
      <c r="L95" s="331" t="n">
        <f aca="false">SUM(L91:L94)</f>
        <v>2221.2581551498</v>
      </c>
      <c r="M95" s="331" t="n">
        <f aca="false">SUM(M91:M94)</f>
        <v>2250.93653772744</v>
      </c>
      <c r="N95" s="331" t="n">
        <f aca="false">SUM(N91:N94)</f>
        <v>2409.44933867258</v>
      </c>
      <c r="O95" s="331" t="n">
        <f aca="false">SUM(O91:O94)</f>
        <v>-301.092104497243</v>
      </c>
      <c r="P95" s="331" t="n">
        <f aca="false">SUM(P91:P94)</f>
        <v>-259.050734055782</v>
      </c>
      <c r="Q95" s="331" t="n">
        <f aca="false">SUM(Q91:Q94)</f>
        <v>-214.608164129676</v>
      </c>
      <c r="R95" s="331" t="n">
        <f aca="false">SUM(R91:R94)</f>
        <v>-166.225072737504</v>
      </c>
      <c r="S95" s="331" t="n">
        <f aca="false">SUM(S91:S94)</f>
        <v>-114.231073783784</v>
      </c>
      <c r="T95" s="331" t="n">
        <f aca="false">SUM(T91:T94)</f>
        <v>-56.2632193136551</v>
      </c>
      <c r="U95" s="331" t="n">
        <f aca="false">SUM(U91:U94)</f>
        <v>6.46619352329458</v>
      </c>
      <c r="V95" s="331" t="n">
        <f aca="false">SUM(V91:V94)</f>
        <v>135.667499766066</v>
      </c>
      <c r="W95" s="331" t="n">
        <f aca="false">SUM(W91:W94)</f>
        <v>118.438650770502</v>
      </c>
      <c r="X95" s="331" t="n">
        <f aca="false">SUM(X91:X94)</f>
        <v>99.331900605273</v>
      </c>
      <c r="Y95" s="331" t="n">
        <f aca="false">SUM(Y91:Y94)</f>
        <v>0</v>
      </c>
      <c r="Z95" s="331" t="n">
        <f aca="false">SUM(Z91:Z94)</f>
        <v>0</v>
      </c>
      <c r="AA95" s="331" t="n">
        <f aca="false">SUM(AA91:AA94)</f>
        <v>0</v>
      </c>
      <c r="AB95" s="331" t="n">
        <f aca="false">SUM(AB91:AB94)</f>
        <v>0</v>
      </c>
      <c r="AC95" s="331" t="n">
        <f aca="false">SUM(AC91:AC94)</f>
        <v>0</v>
      </c>
      <c r="AD95" s="331" t="n">
        <f aca="false">SUM(AD91:AD94)</f>
        <v>0</v>
      </c>
      <c r="AE95" s="331" t="n">
        <f aca="false">SUM(AE91:AE94)</f>
        <v>0</v>
      </c>
      <c r="AF95" s="331" t="n">
        <f aca="false">SUM(AF91:AF94)</f>
        <v>0</v>
      </c>
      <c r="AG95" s="331" t="n">
        <f aca="false">SUM(AG91:AG94)</f>
        <v>0</v>
      </c>
      <c r="AH95" s="331" t="n">
        <f aca="false">SUM(AH91:AH94)</f>
        <v>0</v>
      </c>
      <c r="AI95" s="313"/>
      <c r="AJ95" s="313"/>
      <c r="AK95" s="313"/>
      <c r="AL95" s="313"/>
      <c r="AM95" s="313"/>
      <c r="AN95" s="313"/>
      <c r="AO95" s="313"/>
      <c r="AP95" s="313"/>
      <c r="AQ95" s="313"/>
      <c r="AR95" s="313"/>
      <c r="AS95" s="313"/>
      <c r="AT95" s="313"/>
      <c r="AU95" s="313"/>
      <c r="AV95" s="313"/>
      <c r="AW95" s="313"/>
      <c r="AX95" s="313"/>
      <c r="AY95" s="313"/>
      <c r="AZ95" s="313"/>
      <c r="BA95" s="313"/>
      <c r="BB95" s="313"/>
      <c r="BC95" s="313"/>
      <c r="BD95" s="313"/>
      <c r="BE95" s="313"/>
      <c r="BF95" s="313"/>
      <c r="BG95" s="313"/>
      <c r="BH95" s="313"/>
      <c r="BI95" s="313"/>
      <c r="BJ95" s="313"/>
      <c r="BK95" s="313"/>
      <c r="BL95" s="313"/>
      <c r="BM95" s="313"/>
      <c r="BN95" s="313"/>
      <c r="BO95" s="313"/>
      <c r="BP95" s="313"/>
      <c r="BQ95" s="313"/>
      <c r="BR95" s="313"/>
      <c r="BS95" s="313"/>
      <c r="BT95" s="313"/>
      <c r="BU95" s="313"/>
      <c r="BV95" s="313"/>
      <c r="BW95" s="313"/>
      <c r="BX95" s="313"/>
      <c r="BY95" s="313"/>
      <c r="BZ95" s="313"/>
      <c r="CA95" s="313"/>
      <c r="CB95" s="313"/>
      <c r="CC95" s="313"/>
      <c r="CD95" s="313"/>
      <c r="CE95" s="313"/>
      <c r="CF95" s="313"/>
      <c r="CG95" s="313"/>
      <c r="CH95" s="313"/>
      <c r="CI95" s="313"/>
      <c r="CJ95" s="313"/>
      <c r="CK95" s="313"/>
      <c r="CL95" s="313"/>
      <c r="CM95" s="313"/>
      <c r="CN95" s="313"/>
      <c r="CO95" s="313"/>
      <c r="CP95" s="313"/>
      <c r="CQ95" s="313"/>
      <c r="CR95" s="313"/>
      <c r="CS95" s="313"/>
      <c r="CT95" s="313"/>
      <c r="CU95" s="313"/>
      <c r="CV95" s="313"/>
      <c r="CW95" s="313"/>
      <c r="CX95" s="313"/>
      <c r="CY95" s="313"/>
      <c r="CZ95" s="313"/>
      <c r="DA95" s="313"/>
      <c r="DB95" s="313"/>
      <c r="DC95" s="313"/>
      <c r="DD95" s="313"/>
      <c r="DE95" s="313"/>
      <c r="DF95" s="313"/>
      <c r="DG95" s="313"/>
      <c r="DH95" s="313"/>
      <c r="DI95" s="313"/>
      <c r="DJ95" s="313"/>
      <c r="DK95" s="313"/>
      <c r="DL95" s="313"/>
      <c r="DM95" s="313"/>
      <c r="DN95" s="313"/>
      <c r="DO95" s="313"/>
      <c r="DP95" s="313"/>
      <c r="DQ95" s="313"/>
      <c r="DR95" s="313"/>
      <c r="DS95" s="313"/>
      <c r="DT95" s="313"/>
      <c r="DU95" s="313"/>
      <c r="DV95" s="313"/>
      <c r="DW95" s="313"/>
      <c r="DX95" s="313"/>
      <c r="DY95" s="313"/>
      <c r="DZ95" s="313"/>
      <c r="EA95" s="313"/>
      <c r="EB95" s="313"/>
      <c r="EC95" s="313"/>
      <c r="ED95" s="313"/>
      <c r="EE95" s="313"/>
      <c r="EF95" s="313"/>
      <c r="EG95" s="313"/>
      <c r="EH95" s="313"/>
      <c r="EI95" s="313"/>
      <c r="EJ95" s="313"/>
      <c r="EK95" s="313"/>
      <c r="EL95" s="313"/>
      <c r="EM95" s="313"/>
      <c r="EN95" s="313"/>
      <c r="EO95" s="313"/>
      <c r="EP95" s="313"/>
      <c r="EQ95" s="313"/>
      <c r="ER95" s="313"/>
      <c r="ES95" s="313"/>
      <c r="ET95" s="313"/>
      <c r="EU95" s="313"/>
      <c r="EV95" s="313"/>
      <c r="EW95" s="313"/>
      <c r="EX95" s="313"/>
      <c r="EY95" s="313"/>
      <c r="EZ95" s="313"/>
      <c r="FA95" s="313"/>
      <c r="FB95" s="313"/>
      <c r="FC95" s="313"/>
      <c r="FD95" s="313"/>
      <c r="FE95" s="313"/>
      <c r="FF95" s="313"/>
      <c r="FG95" s="313"/>
      <c r="FH95" s="313"/>
      <c r="FI95" s="313"/>
      <c r="FJ95" s="313"/>
      <c r="FK95" s="313"/>
      <c r="FL95" s="313"/>
      <c r="FM95" s="313"/>
      <c r="FN95" s="313"/>
      <c r="FO95" s="313"/>
      <c r="FP95" s="313"/>
      <c r="FQ95" s="313"/>
      <c r="FR95" s="313"/>
      <c r="FS95" s="313"/>
      <c r="FT95" s="313"/>
      <c r="FU95" s="313"/>
      <c r="FV95" s="313"/>
      <c r="FW95" s="313"/>
      <c r="FX95" s="313"/>
      <c r="FY95" s="313"/>
      <c r="FZ95" s="313"/>
      <c r="GA95" s="313"/>
      <c r="GB95" s="313"/>
      <c r="GC95" s="313"/>
      <c r="GD95" s="313"/>
      <c r="GE95" s="313"/>
      <c r="GF95" s="313"/>
      <c r="GG95" s="313"/>
      <c r="GH95" s="313"/>
      <c r="GI95" s="313"/>
      <c r="GJ95" s="313"/>
      <c r="GK95" s="313"/>
      <c r="GL95" s="313"/>
      <c r="GM95" s="313"/>
      <c r="GN95" s="313"/>
      <c r="GO95" s="313"/>
      <c r="GP95" s="313"/>
      <c r="GQ95" s="313"/>
      <c r="GR95" s="313"/>
      <c r="GS95" s="313"/>
      <c r="GT95" s="313"/>
      <c r="GU95" s="313"/>
      <c r="GV95" s="313"/>
      <c r="GW95" s="313"/>
      <c r="GX95" s="313"/>
      <c r="GY95" s="313"/>
      <c r="GZ95" s="313"/>
      <c r="HA95" s="313"/>
      <c r="HB95" s="313"/>
      <c r="HC95" s="313"/>
      <c r="HD95" s="313"/>
      <c r="HE95" s="313"/>
      <c r="HF95" s="313"/>
      <c r="HG95" s="313"/>
      <c r="HH95" s="313"/>
      <c r="HI95" s="313"/>
      <c r="HJ95" s="313"/>
      <c r="HK95" s="313"/>
      <c r="HL95" s="313"/>
      <c r="HM95" s="313"/>
      <c r="HN95" s="313"/>
      <c r="HO95" s="313"/>
      <c r="HP95" s="313"/>
      <c r="HQ95" s="313"/>
      <c r="HR95" s="313"/>
      <c r="HS95" s="313"/>
      <c r="HT95" s="313"/>
      <c r="HU95" s="313"/>
      <c r="HV95" s="313"/>
      <c r="HW95" s="313"/>
      <c r="HX95" s="313"/>
      <c r="HY95" s="313"/>
      <c r="HZ95" s="313"/>
      <c r="IA95" s="313"/>
      <c r="IB95" s="313"/>
      <c r="IC95" s="313"/>
      <c r="ID95" s="313"/>
      <c r="IE95" s="313"/>
      <c r="IF95" s="313"/>
      <c r="IG95" s="313"/>
      <c r="IH95" s="313"/>
      <c r="II95" s="313"/>
      <c r="IJ95" s="313"/>
      <c r="IK95" s="313"/>
      <c r="IL95" s="313"/>
      <c r="IM95" s="313"/>
      <c r="IN95" s="313"/>
      <c r="IO95" s="313"/>
      <c r="IP95" s="313"/>
      <c r="IQ95" s="313"/>
      <c r="IR95" s="313"/>
      <c r="IS95" s="313"/>
      <c r="IT95" s="313"/>
      <c r="IU95" s="313"/>
      <c r="IV95" s="313"/>
      <c r="IW95" s="313"/>
    </row>
    <row r="96" customFormat="false" ht="12.75" hidden="false" customHeight="false" outlineLevel="0" collapsed="false">
      <c r="A96" s="696"/>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130"/>
      <c r="BI96" s="130"/>
      <c r="BJ96" s="130"/>
      <c r="BK96" s="130"/>
      <c r="BL96" s="130"/>
      <c r="BM96" s="130"/>
      <c r="BN96" s="130"/>
      <c r="BO96" s="130"/>
      <c r="BP96" s="130"/>
      <c r="BQ96" s="130"/>
      <c r="BR96" s="130"/>
      <c r="BS96" s="130"/>
      <c r="BT96" s="130"/>
      <c r="BU96" s="130"/>
      <c r="BV96" s="130"/>
      <c r="BW96" s="130"/>
      <c r="BX96" s="130"/>
      <c r="BY96" s="130"/>
      <c r="BZ96" s="130"/>
      <c r="CA96" s="130"/>
      <c r="CB96" s="130"/>
      <c r="CC96" s="130"/>
      <c r="CD96" s="130"/>
      <c r="CE96" s="130"/>
      <c r="CF96" s="130"/>
      <c r="CG96" s="130"/>
      <c r="CH96" s="130"/>
      <c r="CI96" s="130"/>
      <c r="CJ96" s="130"/>
      <c r="CK96" s="130"/>
      <c r="CL96" s="130"/>
      <c r="CM96" s="130"/>
      <c r="CN96" s="130"/>
      <c r="CO96" s="130"/>
      <c r="CP96" s="130"/>
      <c r="CQ96" s="130"/>
      <c r="CR96" s="130"/>
      <c r="CS96" s="130"/>
      <c r="CT96" s="130"/>
      <c r="CU96" s="130"/>
      <c r="CV96" s="130"/>
      <c r="CW96" s="130"/>
      <c r="CX96" s="130"/>
      <c r="CY96" s="130"/>
      <c r="CZ96" s="130"/>
      <c r="DA96" s="130"/>
      <c r="DB96" s="130"/>
      <c r="DC96" s="130"/>
      <c r="DD96" s="130"/>
      <c r="DE96" s="130"/>
      <c r="DF96" s="130"/>
      <c r="DG96" s="130"/>
      <c r="DH96" s="130"/>
      <c r="DI96" s="130"/>
      <c r="DJ96" s="130"/>
      <c r="DK96" s="130"/>
      <c r="DL96" s="130"/>
      <c r="DM96" s="130"/>
      <c r="DN96" s="130"/>
      <c r="DO96" s="130"/>
      <c r="DP96" s="130"/>
      <c r="DQ96" s="130"/>
      <c r="DR96" s="130"/>
      <c r="DS96" s="130"/>
      <c r="DT96" s="130"/>
      <c r="DU96" s="130"/>
      <c r="DV96" s="130"/>
      <c r="DW96" s="130"/>
      <c r="DX96" s="130"/>
      <c r="DY96" s="130"/>
      <c r="DZ96" s="130"/>
      <c r="EA96" s="130"/>
      <c r="EB96" s="130"/>
      <c r="EC96" s="130"/>
      <c r="ED96" s="130"/>
      <c r="EE96" s="130"/>
      <c r="EF96" s="130"/>
      <c r="EG96" s="130"/>
      <c r="EH96" s="130"/>
      <c r="EI96" s="130"/>
      <c r="EJ96" s="130"/>
      <c r="EK96" s="130"/>
      <c r="EL96" s="130"/>
      <c r="EM96" s="130"/>
      <c r="EN96" s="130"/>
      <c r="EO96" s="130"/>
      <c r="EP96" s="130"/>
      <c r="EQ96" s="130"/>
      <c r="ER96" s="130"/>
      <c r="ES96" s="130"/>
      <c r="ET96" s="130"/>
      <c r="EU96" s="130"/>
      <c r="EV96" s="130"/>
      <c r="EW96" s="130"/>
      <c r="EX96" s="130"/>
      <c r="EY96" s="130"/>
      <c r="EZ96" s="130"/>
      <c r="FA96" s="130"/>
      <c r="FB96" s="130"/>
      <c r="FC96" s="130"/>
      <c r="FD96" s="130"/>
      <c r="FE96" s="130"/>
      <c r="FF96" s="130"/>
      <c r="FG96" s="130"/>
      <c r="FH96" s="130"/>
      <c r="FI96" s="130"/>
      <c r="FJ96" s="130"/>
      <c r="FK96" s="130"/>
      <c r="FL96" s="130"/>
      <c r="FM96" s="130"/>
      <c r="FN96" s="130"/>
      <c r="FO96" s="130"/>
      <c r="FP96" s="130"/>
      <c r="FQ96" s="130"/>
      <c r="FR96" s="130"/>
      <c r="FS96" s="130"/>
      <c r="FT96" s="130"/>
      <c r="FU96" s="130"/>
      <c r="FV96" s="130"/>
      <c r="FW96" s="130"/>
      <c r="FX96" s="130"/>
      <c r="FY96" s="130"/>
      <c r="FZ96" s="130"/>
      <c r="GA96" s="130"/>
      <c r="GB96" s="130"/>
      <c r="GC96" s="130"/>
      <c r="GD96" s="130"/>
      <c r="GE96" s="130"/>
      <c r="GF96" s="130"/>
      <c r="GG96" s="130"/>
      <c r="GH96" s="130"/>
      <c r="GI96" s="130"/>
      <c r="GJ96" s="130"/>
      <c r="GK96" s="130"/>
      <c r="GL96" s="130"/>
      <c r="GM96" s="130"/>
      <c r="GN96" s="130"/>
      <c r="GO96" s="130"/>
      <c r="GP96" s="130"/>
      <c r="GQ96" s="130"/>
      <c r="GR96" s="130"/>
      <c r="GS96" s="130"/>
      <c r="GT96" s="130"/>
      <c r="GU96" s="130"/>
      <c r="GV96" s="130"/>
      <c r="GW96" s="130"/>
      <c r="GX96" s="130"/>
      <c r="GY96" s="130"/>
      <c r="GZ96" s="130"/>
      <c r="HA96" s="130"/>
      <c r="HB96" s="130"/>
      <c r="HC96" s="130"/>
      <c r="HD96" s="130"/>
      <c r="HE96" s="130"/>
      <c r="HF96" s="130"/>
      <c r="HG96" s="130"/>
      <c r="HH96" s="130"/>
      <c r="HI96" s="130"/>
      <c r="HJ96" s="130"/>
      <c r="HK96" s="130"/>
      <c r="HL96" s="130"/>
      <c r="HM96" s="130"/>
      <c r="HN96" s="130"/>
      <c r="HO96" s="130"/>
      <c r="HP96" s="130"/>
      <c r="HQ96" s="130"/>
      <c r="HR96" s="130"/>
      <c r="HS96" s="130"/>
      <c r="HT96" s="130"/>
      <c r="HU96" s="130"/>
      <c r="HV96" s="130"/>
      <c r="HW96" s="130"/>
      <c r="HX96" s="130"/>
      <c r="HY96" s="130"/>
      <c r="HZ96" s="130"/>
      <c r="IA96" s="130"/>
      <c r="IB96" s="130"/>
      <c r="IC96" s="130"/>
      <c r="ID96" s="130"/>
      <c r="IE96" s="130"/>
      <c r="IF96" s="130"/>
      <c r="IG96" s="130"/>
      <c r="IH96" s="130"/>
      <c r="II96" s="130"/>
      <c r="IJ96" s="130"/>
      <c r="IK96" s="130"/>
      <c r="IL96" s="130"/>
      <c r="IM96" s="130"/>
      <c r="IN96" s="130"/>
      <c r="IO96" s="130"/>
      <c r="IP96" s="130"/>
      <c r="IQ96" s="130"/>
      <c r="IR96" s="130"/>
      <c r="IS96" s="130"/>
      <c r="IT96" s="130"/>
      <c r="IU96" s="130"/>
      <c r="IV96" s="130"/>
      <c r="IW96" s="130"/>
    </row>
    <row r="97" customFormat="false" ht="12.75" hidden="false" customHeight="false" outlineLevel="0" collapsed="false">
      <c r="A97" s="696"/>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c r="BI97" s="130"/>
      <c r="BJ97" s="130"/>
      <c r="BK97" s="130"/>
      <c r="BL97" s="130"/>
      <c r="BM97" s="130"/>
      <c r="BN97" s="130"/>
      <c r="BO97" s="130"/>
      <c r="BP97" s="130"/>
      <c r="BQ97" s="130"/>
      <c r="BR97" s="130"/>
      <c r="BS97" s="130"/>
      <c r="BT97" s="130"/>
      <c r="BU97" s="130"/>
      <c r="BV97" s="130"/>
      <c r="BW97" s="130"/>
      <c r="BX97" s="130"/>
      <c r="BY97" s="130"/>
      <c r="BZ97" s="130"/>
      <c r="CA97" s="130"/>
      <c r="CB97" s="130"/>
      <c r="CC97" s="130"/>
      <c r="CD97" s="130"/>
      <c r="CE97" s="130"/>
      <c r="CF97" s="130"/>
      <c r="CG97" s="130"/>
      <c r="CH97" s="130"/>
      <c r="CI97" s="130"/>
      <c r="CJ97" s="130"/>
      <c r="CK97" s="130"/>
      <c r="CL97" s="130"/>
      <c r="CM97" s="130"/>
      <c r="CN97" s="130"/>
      <c r="CO97" s="130"/>
      <c r="CP97" s="130"/>
      <c r="CQ97" s="130"/>
      <c r="CR97" s="130"/>
      <c r="CS97" s="130"/>
      <c r="CT97" s="130"/>
      <c r="CU97" s="130"/>
      <c r="CV97" s="130"/>
      <c r="CW97" s="130"/>
      <c r="CX97" s="130"/>
      <c r="CY97" s="130"/>
      <c r="CZ97" s="130"/>
      <c r="DA97" s="130"/>
      <c r="DB97" s="130"/>
      <c r="DC97" s="130"/>
      <c r="DD97" s="130"/>
      <c r="DE97" s="130"/>
      <c r="DF97" s="130"/>
      <c r="DG97" s="130"/>
      <c r="DH97" s="130"/>
      <c r="DI97" s="130"/>
      <c r="DJ97" s="130"/>
      <c r="DK97" s="130"/>
      <c r="DL97" s="130"/>
      <c r="DM97" s="130"/>
      <c r="DN97" s="130"/>
      <c r="DO97" s="130"/>
      <c r="DP97" s="130"/>
      <c r="DQ97" s="130"/>
      <c r="DR97" s="130"/>
      <c r="DS97" s="130"/>
      <c r="DT97" s="130"/>
      <c r="DU97" s="130"/>
      <c r="DV97" s="130"/>
      <c r="DW97" s="130"/>
      <c r="DX97" s="130"/>
      <c r="DY97" s="130"/>
      <c r="DZ97" s="130"/>
      <c r="EA97" s="130"/>
      <c r="EB97" s="130"/>
      <c r="EC97" s="130"/>
      <c r="ED97" s="130"/>
      <c r="EE97" s="130"/>
      <c r="EF97" s="130"/>
      <c r="EG97" s="130"/>
      <c r="EH97" s="130"/>
      <c r="EI97" s="130"/>
      <c r="EJ97" s="130"/>
      <c r="EK97" s="130"/>
      <c r="EL97" s="130"/>
      <c r="EM97" s="130"/>
      <c r="EN97" s="130"/>
      <c r="EO97" s="130"/>
      <c r="EP97" s="130"/>
      <c r="EQ97" s="130"/>
      <c r="ER97" s="130"/>
      <c r="ES97" s="130"/>
      <c r="ET97" s="130"/>
      <c r="EU97" s="130"/>
      <c r="EV97" s="130"/>
      <c r="EW97" s="130"/>
      <c r="EX97" s="130"/>
      <c r="EY97" s="130"/>
      <c r="EZ97" s="130"/>
      <c r="FA97" s="130"/>
      <c r="FB97" s="130"/>
      <c r="FC97" s="130"/>
      <c r="FD97" s="130"/>
      <c r="FE97" s="130"/>
      <c r="FF97" s="130"/>
      <c r="FG97" s="130"/>
      <c r="FH97" s="130"/>
      <c r="FI97" s="130"/>
      <c r="FJ97" s="130"/>
      <c r="FK97" s="130"/>
      <c r="FL97" s="130"/>
      <c r="FM97" s="130"/>
      <c r="FN97" s="130"/>
      <c r="FO97" s="130"/>
      <c r="FP97" s="130"/>
      <c r="FQ97" s="130"/>
      <c r="FR97" s="130"/>
      <c r="FS97" s="130"/>
      <c r="FT97" s="130"/>
      <c r="FU97" s="130"/>
      <c r="FV97" s="130"/>
      <c r="FW97" s="130"/>
      <c r="FX97" s="130"/>
      <c r="FY97" s="130"/>
      <c r="FZ97" s="130"/>
      <c r="GA97" s="130"/>
      <c r="GB97" s="130"/>
      <c r="GC97" s="130"/>
      <c r="GD97" s="130"/>
      <c r="GE97" s="130"/>
      <c r="GF97" s="130"/>
      <c r="GG97" s="130"/>
      <c r="GH97" s="130"/>
      <c r="GI97" s="130"/>
      <c r="GJ97" s="130"/>
      <c r="GK97" s="130"/>
      <c r="GL97" s="130"/>
      <c r="GM97" s="130"/>
      <c r="GN97" s="130"/>
      <c r="GO97" s="130"/>
      <c r="GP97" s="130"/>
      <c r="GQ97" s="130"/>
      <c r="GR97" s="130"/>
      <c r="GS97" s="130"/>
      <c r="GT97" s="130"/>
      <c r="GU97" s="130"/>
      <c r="GV97" s="130"/>
      <c r="GW97" s="130"/>
      <c r="GX97" s="130"/>
      <c r="GY97" s="130"/>
      <c r="GZ97" s="130"/>
      <c r="HA97" s="130"/>
      <c r="HB97" s="130"/>
      <c r="HC97" s="130"/>
      <c r="HD97" s="130"/>
      <c r="HE97" s="130"/>
      <c r="HF97" s="130"/>
      <c r="HG97" s="130"/>
      <c r="HH97" s="130"/>
      <c r="HI97" s="130"/>
      <c r="HJ97" s="130"/>
      <c r="HK97" s="130"/>
      <c r="HL97" s="130"/>
      <c r="HM97" s="130"/>
      <c r="HN97" s="130"/>
      <c r="HO97" s="130"/>
      <c r="HP97" s="130"/>
      <c r="HQ97" s="130"/>
      <c r="HR97" s="130"/>
      <c r="HS97" s="130"/>
      <c r="HT97" s="130"/>
      <c r="HU97" s="130"/>
      <c r="HV97" s="130"/>
      <c r="HW97" s="130"/>
      <c r="HX97" s="130"/>
      <c r="HY97" s="130"/>
      <c r="HZ97" s="130"/>
      <c r="IA97" s="130"/>
      <c r="IB97" s="130"/>
      <c r="IC97" s="130"/>
      <c r="ID97" s="130"/>
      <c r="IE97" s="130"/>
      <c r="IF97" s="130"/>
      <c r="IG97" s="130"/>
      <c r="IH97" s="130"/>
      <c r="II97" s="130"/>
      <c r="IJ97" s="130"/>
      <c r="IK97" s="130"/>
      <c r="IL97" s="130"/>
      <c r="IM97" s="130"/>
      <c r="IN97" s="130"/>
      <c r="IO97" s="130"/>
      <c r="IP97" s="130"/>
      <c r="IQ97" s="130"/>
      <c r="IR97" s="130"/>
      <c r="IS97" s="130"/>
      <c r="IT97" s="130"/>
      <c r="IU97" s="130"/>
      <c r="IV97" s="130"/>
      <c r="IW97" s="130"/>
    </row>
    <row r="98" customFormat="false" ht="12.75" hidden="false" customHeight="false" outlineLevel="0" collapsed="false">
      <c r="A98" s="696"/>
      <c r="B98" s="130" t="s">
        <v>796</v>
      </c>
      <c r="C98" s="130"/>
      <c r="D98" s="130"/>
      <c r="E98" s="130" t="n">
        <f aca="false">E91-Outside!E5</f>
        <v>5889.75819697663</v>
      </c>
      <c r="F98" s="130" t="n">
        <f aca="false">F91-Outside!F5</f>
        <v>10279.2049157773</v>
      </c>
      <c r="G98" s="130" t="n">
        <f aca="false">G91-Outside!G5</f>
        <v>5600.29211570341</v>
      </c>
      <c r="H98" s="130" t="n">
        <f aca="false">H91-Outside!H5</f>
        <v>2793.56767703711</v>
      </c>
      <c r="I98" s="130" t="n">
        <f aca="false">I91-Outside!I5</f>
        <v>2795.1192898073</v>
      </c>
      <c r="J98" s="130" t="n">
        <f aca="false">J91-Outside!J5</f>
        <v>348.870485843964</v>
      </c>
      <c r="K98" s="130" t="n">
        <f aca="false">K91-Outside!K5</f>
        <v>-1755.81916525057</v>
      </c>
      <c r="L98" s="130" t="n">
        <f aca="false">L91-Outside!L5</f>
        <v>-1754.30361053975</v>
      </c>
      <c r="M98" s="130" t="n">
        <f aca="false">M91-Outside!M5</f>
        <v>-1752.77545495965</v>
      </c>
      <c r="N98" s="130" t="n">
        <f aca="false">N91-Outside!N5</f>
        <v>-1750.99721455819</v>
      </c>
      <c r="O98" s="130" t="n">
        <f aca="false">O91-Outside!O5</f>
        <v>-1749.43500521876</v>
      </c>
      <c r="P98" s="130" t="n">
        <f aca="false">P91-Outside!P5</f>
        <v>-1747.8515186942</v>
      </c>
      <c r="Q98" s="130" t="n">
        <f aca="false">Q91-Outside!Q5</f>
        <v>-1746.21385711443</v>
      </c>
      <c r="R98" s="130" t="n">
        <f aca="false">R91-Outside!R5</f>
        <v>-1744.51306876181</v>
      </c>
      <c r="S98" s="130" t="n">
        <f aca="false">S91-Outside!S5</f>
        <v>-1742.74636759934</v>
      </c>
      <c r="T98" s="130" t="n">
        <f aca="false">T91-Outside!T5</f>
        <v>-1741.49436475456</v>
      </c>
      <c r="U98" s="130" t="n">
        <f aca="false">U91-Outside!U5</f>
        <v>-1749.75850804204</v>
      </c>
      <c r="V98" s="130" t="n">
        <f aca="false">V91-Outside!V5</f>
        <v>-1747.60172571109</v>
      </c>
      <c r="W98" s="130" t="n">
        <f aca="false">W91-Outside!W5</f>
        <v>-1745.31896882143</v>
      </c>
      <c r="X98" s="130" t="n">
        <f aca="false">X91-Outside!X5</f>
        <v>-1746.21876319802</v>
      </c>
      <c r="Y98" s="130" t="n">
        <f aca="false">Y91-Outside!Y5</f>
        <v>0</v>
      </c>
      <c r="Z98" s="130" t="n">
        <f aca="false">Z91-Outside!Z5</f>
        <v>0</v>
      </c>
      <c r="AA98" s="130" t="n">
        <f aca="false">AA91-Outside!AA5</f>
        <v>0</v>
      </c>
      <c r="AB98" s="130" t="n">
        <f aca="false">AB91-Outside!AB5</f>
        <v>0</v>
      </c>
      <c r="AC98" s="130" t="n">
        <f aca="false">AC91-Outside!AC5</f>
        <v>0</v>
      </c>
      <c r="AD98" s="130" t="n">
        <f aca="false">AD91-Outside!AD5</f>
        <v>0</v>
      </c>
      <c r="AE98" s="130" t="n">
        <f aca="false">AE91-Outside!AE5</f>
        <v>0</v>
      </c>
      <c r="AF98" s="130" t="n">
        <f aca="false">AF91-Outside!AF5</f>
        <v>0</v>
      </c>
      <c r="AG98" s="130" t="n">
        <f aca="false">AG91-Outside!AG5</f>
        <v>0</v>
      </c>
      <c r="AH98" s="130" t="n">
        <f aca="false">AH91-Outside!AH5</f>
        <v>0</v>
      </c>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c r="BI98" s="130"/>
      <c r="BJ98" s="130"/>
      <c r="BK98" s="130"/>
      <c r="BL98" s="130"/>
      <c r="BM98" s="130"/>
      <c r="BN98" s="130"/>
      <c r="BO98" s="130"/>
      <c r="BP98" s="130"/>
      <c r="BQ98" s="130"/>
      <c r="BR98" s="130"/>
      <c r="BS98" s="130"/>
      <c r="BT98" s="130"/>
      <c r="BU98" s="130"/>
      <c r="BV98" s="130"/>
      <c r="BW98" s="130"/>
      <c r="BX98" s="130"/>
      <c r="BY98" s="130"/>
      <c r="BZ98" s="130"/>
      <c r="CA98" s="130"/>
      <c r="CB98" s="130"/>
      <c r="CC98" s="130"/>
      <c r="CD98" s="130"/>
      <c r="CE98" s="130"/>
      <c r="CF98" s="130"/>
      <c r="CG98" s="130"/>
      <c r="CH98" s="130"/>
      <c r="CI98" s="130"/>
      <c r="CJ98" s="130"/>
      <c r="CK98" s="130"/>
      <c r="CL98" s="130"/>
      <c r="CM98" s="130"/>
      <c r="CN98" s="130"/>
      <c r="CO98" s="130"/>
      <c r="CP98" s="130"/>
      <c r="CQ98" s="130"/>
      <c r="CR98" s="130"/>
      <c r="CS98" s="130"/>
      <c r="CT98" s="130"/>
      <c r="CU98" s="130"/>
      <c r="CV98" s="130"/>
      <c r="CW98" s="130"/>
      <c r="CX98" s="130"/>
      <c r="CY98" s="130"/>
      <c r="CZ98" s="130"/>
      <c r="DA98" s="130"/>
      <c r="DB98" s="130"/>
      <c r="DC98" s="130"/>
      <c r="DD98" s="130"/>
      <c r="DE98" s="130"/>
      <c r="DF98" s="130"/>
      <c r="DG98" s="130"/>
      <c r="DH98" s="130"/>
      <c r="DI98" s="130"/>
      <c r="DJ98" s="130"/>
      <c r="DK98" s="130"/>
      <c r="DL98" s="130"/>
      <c r="DM98" s="130"/>
      <c r="DN98" s="130"/>
      <c r="DO98" s="130"/>
      <c r="DP98" s="130"/>
      <c r="DQ98" s="130"/>
      <c r="DR98" s="130"/>
      <c r="DS98" s="130"/>
      <c r="DT98" s="130"/>
      <c r="DU98" s="130"/>
      <c r="DV98" s="130"/>
      <c r="DW98" s="130"/>
      <c r="DX98" s="130"/>
      <c r="DY98" s="130"/>
      <c r="DZ98" s="130"/>
      <c r="EA98" s="130"/>
      <c r="EB98" s="130"/>
      <c r="EC98" s="130"/>
      <c r="ED98" s="130"/>
      <c r="EE98" s="130"/>
      <c r="EF98" s="130"/>
      <c r="EG98" s="130"/>
      <c r="EH98" s="130"/>
      <c r="EI98" s="130"/>
      <c r="EJ98" s="130"/>
      <c r="EK98" s="130"/>
      <c r="EL98" s="130"/>
      <c r="EM98" s="130"/>
      <c r="EN98" s="130"/>
      <c r="EO98" s="130"/>
      <c r="EP98" s="130"/>
      <c r="EQ98" s="130"/>
      <c r="ER98" s="130"/>
      <c r="ES98" s="130"/>
      <c r="ET98" s="130"/>
      <c r="EU98" s="130"/>
      <c r="EV98" s="130"/>
      <c r="EW98" s="130"/>
      <c r="EX98" s="130"/>
      <c r="EY98" s="130"/>
      <c r="EZ98" s="130"/>
      <c r="FA98" s="130"/>
      <c r="FB98" s="130"/>
      <c r="FC98" s="130"/>
      <c r="FD98" s="130"/>
      <c r="FE98" s="130"/>
      <c r="FF98" s="130"/>
      <c r="FG98" s="130"/>
      <c r="FH98" s="130"/>
      <c r="FI98" s="130"/>
      <c r="FJ98" s="130"/>
      <c r="FK98" s="130"/>
      <c r="FL98" s="130"/>
      <c r="FM98" s="130"/>
      <c r="FN98" s="130"/>
      <c r="FO98" s="130"/>
      <c r="FP98" s="130"/>
      <c r="FQ98" s="130"/>
      <c r="FR98" s="130"/>
      <c r="FS98" s="130"/>
      <c r="FT98" s="130"/>
      <c r="FU98" s="130"/>
      <c r="FV98" s="130"/>
      <c r="FW98" s="130"/>
      <c r="FX98" s="130"/>
      <c r="FY98" s="130"/>
      <c r="FZ98" s="130"/>
      <c r="GA98" s="130"/>
      <c r="GB98" s="130"/>
      <c r="GC98" s="130"/>
      <c r="GD98" s="130"/>
      <c r="GE98" s="130"/>
      <c r="GF98" s="130"/>
      <c r="GG98" s="130"/>
      <c r="GH98" s="130"/>
      <c r="GI98" s="130"/>
      <c r="GJ98" s="130"/>
      <c r="GK98" s="130"/>
      <c r="GL98" s="130"/>
      <c r="GM98" s="130"/>
      <c r="GN98" s="130"/>
      <c r="GO98" s="130"/>
      <c r="GP98" s="130"/>
      <c r="GQ98" s="130"/>
      <c r="GR98" s="130"/>
      <c r="GS98" s="130"/>
      <c r="GT98" s="130"/>
      <c r="GU98" s="130"/>
      <c r="GV98" s="130"/>
      <c r="GW98" s="130"/>
      <c r="GX98" s="130"/>
      <c r="GY98" s="130"/>
      <c r="GZ98" s="130"/>
      <c r="HA98" s="130"/>
      <c r="HB98" s="130"/>
      <c r="HC98" s="130"/>
      <c r="HD98" s="130"/>
      <c r="HE98" s="130"/>
      <c r="HF98" s="130"/>
      <c r="HG98" s="130"/>
      <c r="HH98" s="130"/>
      <c r="HI98" s="130"/>
      <c r="HJ98" s="130"/>
      <c r="HK98" s="130"/>
      <c r="HL98" s="130"/>
      <c r="HM98" s="130"/>
      <c r="HN98" s="130"/>
      <c r="HO98" s="130"/>
      <c r="HP98" s="130"/>
      <c r="HQ98" s="130"/>
      <c r="HR98" s="130"/>
      <c r="HS98" s="130"/>
      <c r="HT98" s="130"/>
      <c r="HU98" s="130"/>
      <c r="HV98" s="130"/>
      <c r="HW98" s="130"/>
      <c r="HX98" s="130"/>
      <c r="HY98" s="130"/>
      <c r="HZ98" s="130"/>
      <c r="IA98" s="130"/>
      <c r="IB98" s="130"/>
      <c r="IC98" s="130"/>
      <c r="ID98" s="130"/>
      <c r="IE98" s="130"/>
      <c r="IF98" s="130"/>
      <c r="IG98" s="130"/>
      <c r="IH98" s="130"/>
      <c r="II98" s="130"/>
      <c r="IJ98" s="130"/>
      <c r="IK98" s="130"/>
      <c r="IL98" s="130"/>
      <c r="IM98" s="130"/>
      <c r="IN98" s="130"/>
      <c r="IO98" s="130"/>
      <c r="IP98" s="130"/>
      <c r="IQ98" s="130"/>
      <c r="IR98" s="130"/>
      <c r="IS98" s="130"/>
      <c r="IT98" s="130"/>
      <c r="IU98" s="130"/>
      <c r="IV98" s="130"/>
      <c r="IW98" s="130"/>
    </row>
    <row r="99" customFormat="false" ht="12.75" hidden="false" customHeight="false" outlineLevel="0" collapsed="false">
      <c r="A99" s="696"/>
      <c r="B99" s="130" t="s">
        <v>794</v>
      </c>
      <c r="C99" s="130"/>
      <c r="D99" s="570" t="n">
        <f aca="false">Assum!E198</f>
        <v>0.3955</v>
      </c>
      <c r="E99" s="130" t="n">
        <f aca="false">$D$99*-E98</f>
        <v>-2329.39936690426</v>
      </c>
      <c r="F99" s="130" t="n">
        <f aca="false">$D$99*-F98</f>
        <v>-4065.42554418993</v>
      </c>
      <c r="G99" s="130" t="n">
        <f aca="false">$D$99*-G98</f>
        <v>-2214.9155317607</v>
      </c>
      <c r="H99" s="130" t="n">
        <f aca="false">$D$99*-H98</f>
        <v>-1104.85601626818</v>
      </c>
      <c r="I99" s="130" t="n">
        <f aca="false">$D$99*-I98</f>
        <v>-1105.46967911879</v>
      </c>
      <c r="J99" s="130" t="n">
        <f aca="false">$D$99*-J98</f>
        <v>-137.978277151288</v>
      </c>
      <c r="K99" s="130" t="n">
        <f aca="false">$D$99*-K98</f>
        <v>694.426479856599</v>
      </c>
      <c r="L99" s="130" t="n">
        <f aca="false">$D$99*-L98</f>
        <v>693.827077968472</v>
      </c>
      <c r="M99" s="130" t="n">
        <f aca="false">$D$99*-M98</f>
        <v>693.222692436543</v>
      </c>
      <c r="N99" s="130" t="n">
        <f aca="false">$D$99*-N98</f>
        <v>692.519398357765</v>
      </c>
      <c r="O99" s="130" t="n">
        <f aca="false">$D$99*-O98</f>
        <v>691.901544564019</v>
      </c>
      <c r="P99" s="130" t="n">
        <f aca="false">$D$99*-P98</f>
        <v>691.275275643558</v>
      </c>
      <c r="Q99" s="130" t="n">
        <f aca="false">$D$99*-Q98</f>
        <v>690.627580488756</v>
      </c>
      <c r="R99" s="130" t="n">
        <f aca="false">$D$99*-R98</f>
        <v>689.954918695296</v>
      </c>
      <c r="S99" s="130" t="n">
        <f aca="false">$D$99*-S98</f>
        <v>689.256188385537</v>
      </c>
      <c r="T99" s="130" t="n">
        <f aca="false">$D$99*-T98</f>
        <v>688.761021260429</v>
      </c>
      <c r="U99" s="130" t="n">
        <f aca="false">$D$99*-U98</f>
        <v>692.029489930628</v>
      </c>
      <c r="V99" s="130" t="n">
        <f aca="false">$D$99*-V98</f>
        <v>691.176482518734</v>
      </c>
      <c r="W99" s="130" t="n">
        <f aca="false">$D$99*-W98</f>
        <v>690.273652168875</v>
      </c>
      <c r="X99" s="130" t="n">
        <f aca="false">$D$99*-X98</f>
        <v>690.629520844818</v>
      </c>
      <c r="Y99" s="130" t="n">
        <f aca="false">$D$99*-Y98</f>
        <v>-0</v>
      </c>
      <c r="Z99" s="130" t="n">
        <f aca="false">$D$99*-Z98</f>
        <v>-0</v>
      </c>
      <c r="AA99" s="130" t="n">
        <f aca="false">$D$99*-AA98</f>
        <v>-0</v>
      </c>
      <c r="AB99" s="130" t="n">
        <f aca="false">$D$99*-AB98</f>
        <v>-0</v>
      </c>
      <c r="AC99" s="130" t="n">
        <f aca="false">$D$99*-AC98</f>
        <v>-0</v>
      </c>
      <c r="AD99" s="130" t="n">
        <f aca="false">$D$99*-AD98</f>
        <v>-0</v>
      </c>
      <c r="AE99" s="130" t="n">
        <f aca="false">$D$99*-AE98</f>
        <v>-0</v>
      </c>
      <c r="AF99" s="130" t="n">
        <f aca="false">$D$99*-AF98</f>
        <v>-0</v>
      </c>
      <c r="AG99" s="130" t="n">
        <f aca="false">$D$99*-AG98</f>
        <v>-0</v>
      </c>
      <c r="AH99" s="130" t="n">
        <f aca="false">$D$99*-AH98</f>
        <v>-0</v>
      </c>
      <c r="AI99" s="130"/>
      <c r="AJ99" s="130"/>
      <c r="AK99" s="130"/>
      <c r="AL99" s="130"/>
      <c r="AM99" s="130"/>
      <c r="AN99" s="130"/>
      <c r="AO99" s="130"/>
      <c r="AP99" s="130"/>
      <c r="AQ99" s="130"/>
      <c r="AR99" s="130"/>
      <c r="AS99" s="130"/>
      <c r="AT99" s="130"/>
      <c r="AU99" s="130"/>
      <c r="AV99" s="130"/>
      <c r="AW99" s="130"/>
      <c r="AX99" s="130"/>
      <c r="AY99" s="130"/>
      <c r="AZ99" s="130"/>
      <c r="BA99" s="130"/>
      <c r="BB99" s="130"/>
      <c r="BC99" s="130"/>
      <c r="BD99" s="130"/>
      <c r="BE99" s="130"/>
      <c r="BF99" s="130"/>
      <c r="BG99" s="130"/>
      <c r="BH99" s="130"/>
      <c r="BI99" s="130"/>
      <c r="BJ99" s="130"/>
      <c r="BK99" s="130"/>
      <c r="BL99" s="130"/>
      <c r="BM99" s="130"/>
      <c r="BN99" s="130"/>
      <c r="BO99" s="130"/>
      <c r="BP99" s="130"/>
      <c r="BQ99" s="130"/>
      <c r="BR99" s="130"/>
      <c r="BS99" s="130"/>
      <c r="BT99" s="130"/>
      <c r="BU99" s="130"/>
      <c r="BV99" s="130"/>
      <c r="BW99" s="130"/>
      <c r="BX99" s="130"/>
      <c r="BY99" s="130"/>
      <c r="BZ99" s="130"/>
      <c r="CA99" s="130"/>
      <c r="CB99" s="130"/>
      <c r="CC99" s="130"/>
      <c r="CD99" s="130"/>
      <c r="CE99" s="130"/>
      <c r="CF99" s="130"/>
      <c r="CG99" s="130"/>
      <c r="CH99" s="130"/>
      <c r="CI99" s="130"/>
      <c r="CJ99" s="130"/>
      <c r="CK99" s="130"/>
      <c r="CL99" s="130"/>
      <c r="CM99" s="130"/>
      <c r="CN99" s="130"/>
      <c r="CO99" s="130"/>
      <c r="CP99" s="130"/>
      <c r="CQ99" s="130"/>
      <c r="CR99" s="130"/>
      <c r="CS99" s="130"/>
      <c r="CT99" s="130"/>
      <c r="CU99" s="130"/>
      <c r="CV99" s="130"/>
      <c r="CW99" s="130"/>
      <c r="CX99" s="130"/>
      <c r="CY99" s="130"/>
      <c r="CZ99" s="130"/>
      <c r="DA99" s="130"/>
      <c r="DB99" s="130"/>
      <c r="DC99" s="130"/>
      <c r="DD99" s="130"/>
      <c r="DE99" s="130"/>
      <c r="DF99" s="130"/>
      <c r="DG99" s="130"/>
      <c r="DH99" s="130"/>
      <c r="DI99" s="130"/>
      <c r="DJ99" s="130"/>
      <c r="DK99" s="130"/>
      <c r="DL99" s="130"/>
      <c r="DM99" s="130"/>
      <c r="DN99" s="130"/>
      <c r="DO99" s="130"/>
      <c r="DP99" s="130"/>
      <c r="DQ99" s="130"/>
      <c r="DR99" s="130"/>
      <c r="DS99" s="130"/>
      <c r="DT99" s="130"/>
      <c r="DU99" s="130"/>
      <c r="DV99" s="130"/>
      <c r="DW99" s="130"/>
      <c r="DX99" s="130"/>
      <c r="DY99" s="130"/>
      <c r="DZ99" s="130"/>
      <c r="EA99" s="130"/>
      <c r="EB99" s="130"/>
      <c r="EC99" s="130"/>
      <c r="ED99" s="130"/>
      <c r="EE99" s="130"/>
      <c r="EF99" s="130"/>
      <c r="EG99" s="130"/>
      <c r="EH99" s="130"/>
      <c r="EI99" s="130"/>
      <c r="EJ99" s="130"/>
      <c r="EK99" s="130"/>
      <c r="EL99" s="130"/>
      <c r="EM99" s="130"/>
      <c r="EN99" s="130"/>
      <c r="EO99" s="130"/>
      <c r="EP99" s="130"/>
      <c r="EQ99" s="130"/>
      <c r="ER99" s="130"/>
      <c r="ES99" s="130"/>
      <c r="ET99" s="130"/>
      <c r="EU99" s="130"/>
      <c r="EV99" s="130"/>
      <c r="EW99" s="130"/>
      <c r="EX99" s="130"/>
      <c r="EY99" s="130"/>
      <c r="EZ99" s="130"/>
      <c r="FA99" s="130"/>
      <c r="FB99" s="130"/>
      <c r="FC99" s="130"/>
      <c r="FD99" s="130"/>
      <c r="FE99" s="130"/>
      <c r="FF99" s="130"/>
      <c r="FG99" s="130"/>
      <c r="FH99" s="130"/>
      <c r="FI99" s="130"/>
      <c r="FJ99" s="130"/>
      <c r="FK99" s="130"/>
      <c r="FL99" s="130"/>
      <c r="FM99" s="130"/>
      <c r="FN99" s="130"/>
      <c r="FO99" s="130"/>
      <c r="FP99" s="130"/>
      <c r="FQ99" s="130"/>
      <c r="FR99" s="130"/>
      <c r="FS99" s="130"/>
      <c r="FT99" s="130"/>
      <c r="FU99" s="130"/>
      <c r="FV99" s="130"/>
      <c r="FW99" s="130"/>
      <c r="FX99" s="130"/>
      <c r="FY99" s="130"/>
      <c r="FZ99" s="130"/>
      <c r="GA99" s="130"/>
      <c r="GB99" s="130"/>
      <c r="GC99" s="130"/>
      <c r="GD99" s="130"/>
      <c r="GE99" s="130"/>
      <c r="GF99" s="130"/>
      <c r="GG99" s="130"/>
      <c r="GH99" s="130"/>
      <c r="GI99" s="130"/>
      <c r="GJ99" s="130"/>
      <c r="GK99" s="130"/>
      <c r="GL99" s="130"/>
      <c r="GM99" s="130"/>
      <c r="GN99" s="130"/>
      <c r="GO99" s="130"/>
      <c r="GP99" s="130"/>
      <c r="GQ99" s="130"/>
      <c r="GR99" s="130"/>
      <c r="GS99" s="130"/>
      <c r="GT99" s="130"/>
      <c r="GU99" s="130"/>
      <c r="GV99" s="130"/>
      <c r="GW99" s="130"/>
      <c r="GX99" s="130"/>
      <c r="GY99" s="130"/>
      <c r="GZ99" s="130"/>
      <c r="HA99" s="130"/>
      <c r="HB99" s="130"/>
      <c r="HC99" s="130"/>
      <c r="HD99" s="130"/>
      <c r="HE99" s="130"/>
      <c r="HF99" s="130"/>
      <c r="HG99" s="130"/>
      <c r="HH99" s="130"/>
      <c r="HI99" s="130"/>
      <c r="HJ99" s="130"/>
      <c r="HK99" s="130"/>
      <c r="HL99" s="130"/>
      <c r="HM99" s="130"/>
      <c r="HN99" s="130"/>
      <c r="HO99" s="130"/>
      <c r="HP99" s="130"/>
      <c r="HQ99" s="130"/>
      <c r="HR99" s="130"/>
      <c r="HS99" s="130"/>
      <c r="HT99" s="130"/>
      <c r="HU99" s="130"/>
      <c r="HV99" s="130"/>
      <c r="HW99" s="130"/>
      <c r="HX99" s="130"/>
      <c r="HY99" s="130"/>
      <c r="HZ99" s="130"/>
      <c r="IA99" s="130"/>
      <c r="IB99" s="130"/>
      <c r="IC99" s="130"/>
      <c r="ID99" s="130"/>
      <c r="IE99" s="130"/>
      <c r="IF99" s="130"/>
      <c r="IG99" s="130"/>
      <c r="IH99" s="130"/>
      <c r="II99" s="130"/>
      <c r="IJ99" s="130"/>
      <c r="IK99" s="130"/>
      <c r="IL99" s="130"/>
      <c r="IM99" s="130"/>
      <c r="IN99" s="130"/>
      <c r="IO99" s="130"/>
      <c r="IP99" s="130"/>
      <c r="IQ99" s="130"/>
      <c r="IR99" s="130"/>
      <c r="IS99" s="130"/>
      <c r="IT99" s="130"/>
      <c r="IU99" s="130"/>
      <c r="IV99" s="130"/>
      <c r="IW99" s="130"/>
    </row>
    <row r="100" customFormat="false" ht="12.75" hidden="false" customHeight="false" outlineLevel="0" collapsed="false">
      <c r="A100" s="696"/>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0"/>
      <c r="BA100" s="130"/>
      <c r="BB100" s="130"/>
      <c r="BC100" s="130"/>
      <c r="BD100" s="130"/>
      <c r="BE100" s="130"/>
      <c r="BF100" s="130"/>
      <c r="BG100" s="130"/>
      <c r="BH100" s="130"/>
      <c r="BI100" s="130"/>
      <c r="BJ100" s="130"/>
      <c r="BK100" s="130"/>
      <c r="BL100" s="130"/>
      <c r="BM100" s="130"/>
      <c r="BN100" s="130"/>
      <c r="BO100" s="130"/>
      <c r="BP100" s="130"/>
      <c r="BQ100" s="130"/>
      <c r="BR100" s="130"/>
      <c r="BS100" s="130"/>
      <c r="BT100" s="130"/>
      <c r="BU100" s="130"/>
      <c r="BV100" s="130"/>
      <c r="BW100" s="130"/>
      <c r="BX100" s="130"/>
      <c r="BY100" s="130"/>
      <c r="BZ100" s="130"/>
      <c r="CA100" s="130"/>
      <c r="CB100" s="130"/>
      <c r="CC100" s="130"/>
      <c r="CD100" s="130"/>
      <c r="CE100" s="130"/>
      <c r="CF100" s="130"/>
      <c r="CG100" s="130"/>
      <c r="CH100" s="130"/>
      <c r="CI100" s="130"/>
      <c r="CJ100" s="130"/>
      <c r="CK100" s="130"/>
      <c r="CL100" s="130"/>
      <c r="CM100" s="130"/>
      <c r="CN100" s="130"/>
      <c r="CO100" s="130"/>
      <c r="CP100" s="130"/>
      <c r="CQ100" s="130"/>
      <c r="CR100" s="130"/>
      <c r="CS100" s="130"/>
      <c r="CT100" s="130"/>
      <c r="CU100" s="130"/>
      <c r="CV100" s="130"/>
      <c r="CW100" s="130"/>
      <c r="CX100" s="130"/>
      <c r="CY100" s="130"/>
      <c r="CZ100" s="130"/>
      <c r="DA100" s="130"/>
      <c r="DB100" s="130"/>
      <c r="DC100" s="130"/>
      <c r="DD100" s="130"/>
      <c r="DE100" s="130"/>
      <c r="DF100" s="130"/>
      <c r="DG100" s="130"/>
      <c r="DH100" s="130"/>
      <c r="DI100" s="130"/>
      <c r="DJ100" s="130"/>
      <c r="DK100" s="130"/>
      <c r="DL100" s="130"/>
      <c r="DM100" s="130"/>
      <c r="DN100" s="130"/>
      <c r="DO100" s="130"/>
      <c r="DP100" s="130"/>
      <c r="DQ100" s="130"/>
      <c r="DR100" s="130"/>
      <c r="DS100" s="130"/>
      <c r="DT100" s="130"/>
      <c r="DU100" s="130"/>
      <c r="DV100" s="130"/>
      <c r="DW100" s="130"/>
      <c r="DX100" s="130"/>
      <c r="DY100" s="130"/>
      <c r="DZ100" s="130"/>
      <c r="EA100" s="130"/>
      <c r="EB100" s="130"/>
      <c r="EC100" s="130"/>
      <c r="ED100" s="130"/>
      <c r="EE100" s="130"/>
      <c r="EF100" s="130"/>
      <c r="EG100" s="130"/>
      <c r="EH100" s="130"/>
      <c r="EI100" s="130"/>
      <c r="EJ100" s="130"/>
      <c r="EK100" s="130"/>
      <c r="EL100" s="130"/>
      <c r="EM100" s="130"/>
      <c r="EN100" s="130"/>
      <c r="EO100" s="130"/>
      <c r="EP100" s="130"/>
      <c r="EQ100" s="130"/>
      <c r="ER100" s="130"/>
      <c r="ES100" s="130"/>
      <c r="ET100" s="130"/>
      <c r="EU100" s="130"/>
      <c r="EV100" s="130"/>
      <c r="EW100" s="130"/>
      <c r="EX100" s="130"/>
      <c r="EY100" s="130"/>
      <c r="EZ100" s="130"/>
      <c r="FA100" s="130"/>
      <c r="FB100" s="130"/>
      <c r="FC100" s="130"/>
      <c r="FD100" s="130"/>
      <c r="FE100" s="130"/>
      <c r="FF100" s="130"/>
      <c r="FG100" s="130"/>
      <c r="FH100" s="130"/>
      <c r="FI100" s="130"/>
      <c r="FJ100" s="130"/>
      <c r="FK100" s="130"/>
      <c r="FL100" s="130"/>
      <c r="FM100" s="130"/>
      <c r="FN100" s="130"/>
      <c r="FO100" s="130"/>
      <c r="FP100" s="130"/>
      <c r="FQ100" s="130"/>
      <c r="FR100" s="130"/>
      <c r="FS100" s="130"/>
      <c r="FT100" s="130"/>
      <c r="FU100" s="130"/>
      <c r="FV100" s="130"/>
      <c r="FW100" s="130"/>
      <c r="FX100" s="130"/>
      <c r="FY100" s="130"/>
      <c r="FZ100" s="130"/>
      <c r="GA100" s="130"/>
      <c r="GB100" s="130"/>
      <c r="GC100" s="130"/>
      <c r="GD100" s="130"/>
      <c r="GE100" s="130"/>
      <c r="GF100" s="130"/>
      <c r="GG100" s="130"/>
      <c r="GH100" s="130"/>
      <c r="GI100" s="130"/>
      <c r="GJ100" s="130"/>
      <c r="GK100" s="130"/>
      <c r="GL100" s="130"/>
      <c r="GM100" s="130"/>
      <c r="GN100" s="130"/>
      <c r="GO100" s="130"/>
      <c r="GP100" s="130"/>
      <c r="GQ100" s="130"/>
      <c r="GR100" s="130"/>
      <c r="GS100" s="130"/>
      <c r="GT100" s="130"/>
      <c r="GU100" s="130"/>
      <c r="GV100" s="130"/>
      <c r="GW100" s="130"/>
      <c r="GX100" s="130"/>
      <c r="GY100" s="130"/>
      <c r="GZ100" s="130"/>
      <c r="HA100" s="130"/>
      <c r="HB100" s="130"/>
      <c r="HC100" s="130"/>
      <c r="HD100" s="130"/>
      <c r="HE100" s="130"/>
      <c r="HF100" s="130"/>
      <c r="HG100" s="130"/>
      <c r="HH100" s="130"/>
      <c r="HI100" s="130"/>
      <c r="HJ100" s="130"/>
      <c r="HK100" s="130"/>
      <c r="HL100" s="130"/>
      <c r="HM100" s="130"/>
      <c r="HN100" s="130"/>
      <c r="HO100" s="130"/>
      <c r="HP100" s="130"/>
      <c r="HQ100" s="130"/>
      <c r="HR100" s="130"/>
      <c r="HS100" s="130"/>
      <c r="HT100" s="130"/>
      <c r="HU100" s="130"/>
      <c r="HV100" s="130"/>
      <c r="HW100" s="130"/>
      <c r="HX100" s="130"/>
      <c r="HY100" s="130"/>
      <c r="HZ100" s="130"/>
      <c r="IA100" s="130"/>
      <c r="IB100" s="130"/>
      <c r="IC100" s="130"/>
      <c r="ID100" s="130"/>
      <c r="IE100" s="130"/>
      <c r="IF100" s="130"/>
      <c r="IG100" s="130"/>
      <c r="IH100" s="130"/>
      <c r="II100" s="130"/>
      <c r="IJ100" s="130"/>
      <c r="IK100" s="130"/>
      <c r="IL100" s="130"/>
      <c r="IM100" s="130"/>
      <c r="IN100" s="130"/>
      <c r="IO100" s="130"/>
      <c r="IP100" s="130"/>
      <c r="IQ100" s="130"/>
      <c r="IR100" s="130"/>
      <c r="IS100" s="130"/>
      <c r="IT100" s="130"/>
      <c r="IU100" s="130"/>
      <c r="IV100" s="130"/>
      <c r="IW100" s="130"/>
    </row>
    <row r="101" customFormat="false" ht="12.75" hidden="false" customHeight="false" outlineLevel="0" collapsed="false">
      <c r="A101" s="1029"/>
      <c r="B101" s="1228"/>
      <c r="C101" s="1228"/>
      <c r="D101" s="1228"/>
      <c r="E101" s="1228"/>
      <c r="F101" s="1228"/>
      <c r="G101" s="1228"/>
      <c r="H101" s="1228"/>
      <c r="I101" s="1228"/>
      <c r="J101" s="1228"/>
      <c r="K101" s="1228"/>
      <c r="L101" s="1228"/>
      <c r="M101" s="1228"/>
      <c r="N101" s="1228"/>
      <c r="O101" s="1228"/>
      <c r="P101" s="1228"/>
      <c r="Q101" s="1228"/>
      <c r="R101" s="1228"/>
      <c r="S101" s="1228"/>
      <c r="T101" s="1228"/>
      <c r="U101" s="1228"/>
      <c r="V101" s="1228"/>
      <c r="W101" s="1228"/>
      <c r="X101" s="1228"/>
      <c r="Y101" s="1228"/>
      <c r="Z101" s="1228"/>
      <c r="AA101" s="1228"/>
      <c r="AB101" s="1228"/>
      <c r="AC101" s="1228"/>
      <c r="AD101" s="1228"/>
      <c r="AE101" s="1228"/>
      <c r="AF101" s="1228"/>
      <c r="AG101" s="1228"/>
      <c r="AH101" s="1228"/>
      <c r="AI101" s="1228"/>
      <c r="AJ101" s="1228"/>
      <c r="AK101" s="1228"/>
      <c r="AL101" s="1228"/>
      <c r="AM101" s="1228"/>
      <c r="AN101" s="1228"/>
      <c r="AO101" s="1228"/>
      <c r="AP101" s="1228"/>
      <c r="AQ101" s="1228"/>
      <c r="AR101" s="1228"/>
      <c r="AS101" s="1228"/>
      <c r="AT101" s="1228"/>
      <c r="AU101" s="1228"/>
      <c r="AV101" s="1228"/>
      <c r="AW101" s="1228"/>
      <c r="AX101" s="1228"/>
      <c r="AY101" s="1228"/>
      <c r="AZ101" s="1228"/>
      <c r="BA101" s="1228"/>
      <c r="BB101" s="1228"/>
      <c r="BC101" s="1228"/>
      <c r="BD101" s="1228"/>
      <c r="BE101" s="1228"/>
      <c r="BF101" s="1228"/>
      <c r="BG101" s="1228"/>
      <c r="BH101" s="1228"/>
      <c r="BI101" s="1228"/>
      <c r="BJ101" s="1228"/>
      <c r="BK101" s="1228"/>
      <c r="BL101" s="1228"/>
      <c r="BM101" s="1228"/>
      <c r="BN101" s="1228"/>
      <c r="BO101" s="1228"/>
      <c r="BP101" s="1228"/>
      <c r="BQ101" s="1228"/>
      <c r="BR101" s="1228"/>
      <c r="BS101" s="1228"/>
      <c r="BT101" s="1228"/>
      <c r="BU101" s="1228"/>
      <c r="BV101" s="1228"/>
      <c r="BW101" s="1228"/>
      <c r="BX101" s="1228"/>
      <c r="BY101" s="1228"/>
      <c r="BZ101" s="1228"/>
      <c r="CA101" s="1228"/>
      <c r="CB101" s="1228"/>
      <c r="CC101" s="1228"/>
      <c r="CD101" s="1228"/>
      <c r="CE101" s="1228"/>
      <c r="CF101" s="1228"/>
      <c r="CG101" s="1228"/>
      <c r="CH101" s="1228"/>
      <c r="CI101" s="1228"/>
      <c r="CJ101" s="1228"/>
      <c r="CK101" s="1228"/>
      <c r="CL101" s="1228"/>
      <c r="CM101" s="1228"/>
      <c r="CN101" s="1228"/>
      <c r="CO101" s="1228"/>
      <c r="CP101" s="1228"/>
      <c r="CQ101" s="1228"/>
      <c r="CR101" s="1228"/>
      <c r="CS101" s="1228"/>
      <c r="CT101" s="1228"/>
      <c r="CU101" s="1228"/>
      <c r="CV101" s="1228"/>
      <c r="CW101" s="1228"/>
      <c r="CX101" s="1228"/>
      <c r="CY101" s="1228"/>
      <c r="CZ101" s="1228"/>
      <c r="DA101" s="1228"/>
      <c r="DB101" s="1228"/>
      <c r="DC101" s="1228"/>
      <c r="DD101" s="1228"/>
      <c r="DE101" s="1228"/>
      <c r="DF101" s="1228"/>
      <c r="DG101" s="1228"/>
      <c r="DH101" s="1228"/>
      <c r="DI101" s="1228"/>
      <c r="DJ101" s="1228"/>
      <c r="DK101" s="1228"/>
      <c r="DL101" s="1228"/>
      <c r="DM101" s="1228"/>
      <c r="DN101" s="1228"/>
      <c r="DO101" s="1228"/>
      <c r="DP101" s="1228"/>
      <c r="DQ101" s="1228"/>
      <c r="DR101" s="1228"/>
      <c r="DS101" s="1228"/>
      <c r="DT101" s="1228"/>
      <c r="DU101" s="1228"/>
      <c r="DV101" s="1228"/>
      <c r="DW101" s="1228"/>
      <c r="DX101" s="1228"/>
      <c r="DY101" s="1228"/>
      <c r="DZ101" s="1228"/>
      <c r="EA101" s="1228"/>
      <c r="EB101" s="1228"/>
      <c r="EC101" s="1228"/>
      <c r="ED101" s="1228"/>
      <c r="EE101" s="1228"/>
      <c r="EF101" s="1228"/>
      <c r="EG101" s="1228"/>
      <c r="EH101" s="1228"/>
      <c r="EI101" s="1228"/>
      <c r="EJ101" s="1228"/>
      <c r="EK101" s="1228"/>
      <c r="EL101" s="1228"/>
      <c r="EM101" s="102"/>
      <c r="EN101" s="102"/>
      <c r="EO101" s="102"/>
      <c r="EP101" s="102"/>
      <c r="EQ101" s="102"/>
      <c r="ER101" s="102"/>
      <c r="ES101" s="102"/>
      <c r="ET101" s="102"/>
      <c r="EU101" s="102"/>
      <c r="EV101" s="102"/>
      <c r="EW101" s="102"/>
      <c r="EX101" s="102"/>
      <c r="EY101" s="102"/>
      <c r="EZ101" s="102"/>
      <c r="FA101" s="102"/>
      <c r="FB101" s="102"/>
      <c r="FC101" s="102"/>
      <c r="FD101" s="102"/>
      <c r="FE101" s="102"/>
      <c r="FF101" s="102"/>
      <c r="FG101" s="102"/>
      <c r="FH101" s="102"/>
      <c r="FI101" s="102"/>
      <c r="FJ101" s="102"/>
      <c r="FK101" s="102"/>
      <c r="FL101" s="102"/>
      <c r="FM101" s="102"/>
      <c r="FN101" s="102"/>
      <c r="FO101" s="102"/>
      <c r="FP101" s="102"/>
      <c r="FQ101" s="102"/>
      <c r="FR101" s="102"/>
      <c r="FS101" s="102"/>
      <c r="FT101" s="102"/>
      <c r="FU101" s="102"/>
      <c r="FV101" s="102"/>
      <c r="FW101" s="102"/>
      <c r="FX101" s="102"/>
      <c r="FY101" s="102"/>
      <c r="FZ101" s="102"/>
      <c r="GA101" s="102"/>
      <c r="GB101" s="102"/>
      <c r="GC101" s="102"/>
      <c r="GD101" s="102"/>
      <c r="GE101" s="102"/>
      <c r="GF101" s="102"/>
      <c r="GG101" s="102"/>
      <c r="GH101" s="102"/>
      <c r="GI101" s="102"/>
      <c r="GJ101" s="102"/>
      <c r="GK101" s="102"/>
      <c r="GL101" s="102"/>
      <c r="GM101" s="102"/>
      <c r="GN101" s="102"/>
      <c r="GO101" s="102"/>
      <c r="GP101" s="102"/>
      <c r="GQ101" s="102"/>
      <c r="GR101" s="102"/>
      <c r="GS101" s="102"/>
      <c r="GT101" s="102"/>
      <c r="GU101" s="102"/>
      <c r="GV101" s="102"/>
      <c r="GW101" s="102"/>
      <c r="GX101" s="102"/>
      <c r="GY101" s="102"/>
      <c r="GZ101" s="102"/>
      <c r="HA101" s="102"/>
      <c r="HB101" s="102"/>
      <c r="HC101" s="102"/>
      <c r="HD101" s="102"/>
      <c r="HE101" s="102"/>
      <c r="HF101" s="102"/>
      <c r="HG101" s="102"/>
      <c r="HH101" s="102"/>
      <c r="HI101" s="102"/>
      <c r="HJ101" s="102"/>
      <c r="HK101" s="102"/>
      <c r="HL101" s="102"/>
      <c r="HM101" s="102"/>
      <c r="HN101" s="102"/>
      <c r="HO101" s="102"/>
      <c r="HP101" s="102"/>
      <c r="HQ101" s="102"/>
      <c r="HR101" s="102"/>
      <c r="HS101" s="102"/>
      <c r="HT101" s="102"/>
      <c r="HU101" s="102"/>
      <c r="HV101" s="102"/>
      <c r="HW101" s="102"/>
      <c r="HX101" s="102"/>
      <c r="HY101" s="102"/>
      <c r="HZ101" s="102"/>
      <c r="IA101" s="102"/>
      <c r="IB101" s="102"/>
      <c r="IC101" s="102"/>
      <c r="ID101" s="102"/>
      <c r="IE101" s="102"/>
      <c r="IF101" s="102"/>
      <c r="IG101" s="102"/>
      <c r="IH101" s="102"/>
      <c r="II101" s="102"/>
      <c r="IJ101" s="102"/>
      <c r="IK101" s="102"/>
      <c r="IL101" s="102"/>
      <c r="IM101" s="102"/>
      <c r="IN101" s="102"/>
      <c r="IO101" s="102"/>
      <c r="IP101" s="102"/>
      <c r="IQ101" s="102"/>
      <c r="IR101" s="102"/>
      <c r="IS101" s="102"/>
      <c r="IT101" s="102"/>
      <c r="IU101" s="102"/>
      <c r="IV101" s="102"/>
      <c r="IW101" s="102"/>
    </row>
  </sheetData>
  <mergeCells count="4">
    <mergeCell ref="D32:E32"/>
    <mergeCell ref="D39:E39"/>
    <mergeCell ref="D62:F62"/>
    <mergeCell ref="D69:F69"/>
  </mergeCells>
  <printOptions headings="true" gridLines="false" gridLinesSet="true" horizontalCentered="false" verticalCentered="false"/>
  <pageMargins left="0.270138888888889" right="0.270138888888889" top="0.6" bottom="0.609722222222222"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&amp;R&amp;F</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35"/>
  <sheetViews>
    <sheetView showFormulas="false" showGridLines="true" showRowColHeaders="true" showZeros="true" rightToLeft="false" tabSelected="false" showOutlineSymbols="true" defaultGridColor="true" view="normal" topLeftCell="A1" colorId="64" zoomScale="70" zoomScaleNormal="70" zoomScalePageLayoutView="100" workbookViewId="0">
      <selection pane="topLeft" activeCell="A1" activeCellId="0" sqref="A1:X74"/>
    </sheetView>
  </sheetViews>
  <sheetFormatPr defaultColWidth="8.70703125" defaultRowHeight="12.75" customHeight="true" zeroHeight="false" outlineLevelRow="0" outlineLevelCol="0"/>
  <cols>
    <col collapsed="false" customWidth="true" hidden="false" outlineLevel="0" max="1" min="1" style="0" width="4.7"/>
    <col collapsed="false" customWidth="true" hidden="false" outlineLevel="0" max="2" min="2" style="0" width="47.7"/>
    <col collapsed="false" customWidth="true" hidden="false" outlineLevel="0" max="3" min="3" style="0" width="11.42"/>
    <col collapsed="false" customWidth="true" hidden="false" outlineLevel="0" max="4" min="4" style="0" width="11.99"/>
    <col collapsed="false" customWidth="true" hidden="false" outlineLevel="0" max="5" min="5" style="0" width="11.13"/>
    <col collapsed="false" customWidth="true" hidden="false" outlineLevel="0" max="6" min="6" style="0" width="12.42"/>
    <col collapsed="false" customWidth="true" hidden="false" outlineLevel="0" max="35" min="7" style="0" width="10.28"/>
  </cols>
  <sheetData>
    <row r="1" customFormat="false" ht="15.75" hidden="false" customHeight="false" outlineLevel="0" collapsed="false">
      <c r="A1" s="1229"/>
      <c r="B1" s="2" t="str">
        <f aca="false">ExecSum!$E$4</f>
        <v>SMUD - Solano 34.50MW Project</v>
      </c>
      <c r="C1" s="2"/>
      <c r="D1" s="1230"/>
      <c r="E1" s="4" t="n">
        <v>1</v>
      </c>
      <c r="F1" s="5" t="n">
        <v>2</v>
      </c>
      <c r="G1" s="5" t="n">
        <v>3</v>
      </c>
      <c r="H1" s="5" t="n">
        <v>4</v>
      </c>
      <c r="I1" s="5" t="n">
        <v>5</v>
      </c>
      <c r="J1" s="5" t="n">
        <v>6</v>
      </c>
      <c r="K1" s="5" t="n">
        <v>7</v>
      </c>
      <c r="L1" s="5" t="n">
        <v>8</v>
      </c>
      <c r="M1" s="5" t="n">
        <v>9</v>
      </c>
      <c r="N1" s="5" t="n">
        <v>10</v>
      </c>
      <c r="O1" s="5" t="n">
        <v>11</v>
      </c>
      <c r="P1" s="5" t="n">
        <v>12</v>
      </c>
      <c r="Q1" s="5" t="n">
        <v>13</v>
      </c>
      <c r="R1" s="5" t="n">
        <v>14</v>
      </c>
      <c r="S1" s="5" t="n">
        <v>15</v>
      </c>
      <c r="T1" s="5" t="n">
        <v>16</v>
      </c>
      <c r="U1" s="5" t="n">
        <v>17</v>
      </c>
      <c r="V1" s="5" t="n">
        <v>18</v>
      </c>
      <c r="W1" s="5" t="n">
        <v>19</v>
      </c>
      <c r="X1" s="5" t="n">
        <v>20</v>
      </c>
      <c r="Y1" s="5" t="n">
        <v>21</v>
      </c>
      <c r="Z1" s="5" t="n">
        <v>22</v>
      </c>
      <c r="AA1" s="5" t="n">
        <v>23</v>
      </c>
      <c r="AB1" s="5" t="n">
        <v>24</v>
      </c>
      <c r="AC1" s="5" t="n">
        <v>25</v>
      </c>
      <c r="AD1" s="5" t="n">
        <v>26</v>
      </c>
      <c r="AE1" s="5" t="n">
        <v>27</v>
      </c>
      <c r="AF1" s="5" t="n">
        <v>28</v>
      </c>
      <c r="AG1" s="5" t="n">
        <v>29</v>
      </c>
      <c r="AH1" s="5" t="n">
        <v>30</v>
      </c>
      <c r="AI1" s="6" t="n">
        <v>31</v>
      </c>
      <c r="AJ1" s="1230"/>
      <c r="AK1" s="1230"/>
      <c r="AL1" s="1230"/>
      <c r="AM1" s="1230"/>
      <c r="AN1" s="1230"/>
      <c r="AO1" s="1230"/>
      <c r="AP1" s="1230"/>
      <c r="AQ1" s="1230"/>
      <c r="AR1" s="1230"/>
      <c r="AS1" s="1230"/>
      <c r="AT1" s="1230"/>
      <c r="AU1" s="1230"/>
      <c r="AV1" s="1230"/>
      <c r="AW1" s="1230"/>
      <c r="AX1" s="1230"/>
      <c r="AY1" s="1230"/>
      <c r="AZ1" s="1230"/>
      <c r="BA1" s="1230"/>
      <c r="BB1" s="1230"/>
      <c r="BC1" s="1230"/>
      <c r="BD1" s="1230"/>
      <c r="BE1" s="1230"/>
      <c r="BF1" s="1230"/>
      <c r="BG1" s="1230"/>
      <c r="BH1" s="1230"/>
      <c r="BI1" s="1230"/>
      <c r="BJ1" s="1230"/>
      <c r="BK1" s="1230"/>
      <c r="BL1" s="1230"/>
      <c r="BM1" s="1230"/>
      <c r="BN1" s="1230"/>
      <c r="BO1" s="1230"/>
      <c r="BP1" s="1230"/>
      <c r="BQ1" s="1230"/>
      <c r="BR1" s="1230"/>
      <c r="BS1" s="1230"/>
      <c r="BT1" s="1230"/>
      <c r="BU1" s="1230"/>
      <c r="BV1" s="1230"/>
      <c r="BW1" s="1230"/>
      <c r="BX1" s="1230"/>
      <c r="BY1" s="1230"/>
      <c r="BZ1" s="1230"/>
      <c r="CA1" s="1230"/>
      <c r="CB1" s="1230"/>
      <c r="CC1" s="1230"/>
      <c r="CD1" s="1230"/>
      <c r="CE1" s="1230"/>
      <c r="CF1" s="1230"/>
      <c r="CG1" s="1230"/>
      <c r="CH1" s="1230"/>
      <c r="CI1" s="1230"/>
      <c r="CJ1" s="1230"/>
      <c r="CK1" s="1230"/>
      <c r="CL1" s="1230"/>
      <c r="CM1" s="1230"/>
      <c r="CN1" s="1230"/>
      <c r="CO1" s="1230"/>
      <c r="CP1" s="1230"/>
      <c r="CQ1" s="1230"/>
      <c r="CR1" s="1230"/>
      <c r="CS1" s="1230"/>
      <c r="CT1" s="1230"/>
      <c r="CU1" s="1230"/>
      <c r="CV1" s="1230"/>
      <c r="CW1" s="1230"/>
      <c r="CX1" s="1230"/>
      <c r="CY1" s="1230"/>
      <c r="CZ1" s="1230"/>
      <c r="DA1" s="1230"/>
      <c r="DB1" s="1230"/>
      <c r="DC1" s="1230"/>
      <c r="DD1" s="1230"/>
      <c r="DE1" s="1230"/>
      <c r="DF1" s="1230"/>
      <c r="DG1" s="1230"/>
      <c r="DH1" s="1230"/>
      <c r="DI1" s="1230"/>
      <c r="DJ1" s="1230"/>
      <c r="DK1" s="1230"/>
      <c r="DL1" s="1230"/>
      <c r="DM1" s="1230"/>
      <c r="DN1" s="1230"/>
      <c r="DO1" s="1230"/>
      <c r="DP1" s="1230"/>
      <c r="DQ1" s="1230"/>
      <c r="DR1" s="1230"/>
      <c r="DS1" s="1230"/>
      <c r="DT1" s="1230"/>
      <c r="DU1" s="1230"/>
      <c r="DV1" s="1230"/>
      <c r="DW1" s="1230"/>
      <c r="DX1" s="1230"/>
      <c r="DY1" s="1231"/>
      <c r="DZ1" s="1231"/>
      <c r="EA1" s="1231"/>
      <c r="EB1" s="1231"/>
      <c r="EC1" s="1231"/>
      <c r="ED1" s="1231"/>
      <c r="EE1" s="1231"/>
      <c r="EF1" s="1231"/>
      <c r="EG1" s="1231"/>
      <c r="EH1" s="1231"/>
      <c r="EI1" s="1231"/>
      <c r="EJ1" s="1231"/>
      <c r="EK1" s="1231"/>
      <c r="EL1" s="1231"/>
      <c r="EM1" s="1231"/>
      <c r="EN1" s="1231"/>
    </row>
    <row r="2" customFormat="false" ht="15.75" hidden="false" customHeight="false" outlineLevel="0" collapsed="false">
      <c r="A2" s="1229"/>
      <c r="B2" s="1232" t="s">
        <v>797</v>
      </c>
      <c r="C2" s="1232"/>
      <c r="D2" s="1230"/>
      <c r="E2" s="7" t="n">
        <f aca="false">Assum!$H$25</f>
        <v>2002</v>
      </c>
      <c r="F2" s="8" t="n">
        <f aca="false">E2+1</f>
        <v>2003</v>
      </c>
      <c r="G2" s="8" t="n">
        <f aca="false">F2+1</f>
        <v>2004</v>
      </c>
      <c r="H2" s="8" t="n">
        <f aca="false">G2+1</f>
        <v>2005</v>
      </c>
      <c r="I2" s="8" t="n">
        <f aca="false">H2+1</f>
        <v>2006</v>
      </c>
      <c r="J2" s="8" t="n">
        <f aca="false">I2+1</f>
        <v>2007</v>
      </c>
      <c r="K2" s="8" t="n">
        <f aca="false">J2+1</f>
        <v>2008</v>
      </c>
      <c r="L2" s="8" t="n">
        <f aca="false">K2+1</f>
        <v>2009</v>
      </c>
      <c r="M2" s="8" t="n">
        <f aca="false">L2+1</f>
        <v>2010</v>
      </c>
      <c r="N2" s="8" t="n">
        <f aca="false">M2+1</f>
        <v>2011</v>
      </c>
      <c r="O2" s="8" t="n">
        <f aca="false">N2+1</f>
        <v>2012</v>
      </c>
      <c r="P2" s="8" t="n">
        <f aca="false">O2+1</f>
        <v>2013</v>
      </c>
      <c r="Q2" s="8" t="n">
        <f aca="false">P2+1</f>
        <v>2014</v>
      </c>
      <c r="R2" s="8" t="n">
        <f aca="false">Q2+1</f>
        <v>2015</v>
      </c>
      <c r="S2" s="8" t="n">
        <f aca="false">R2+1</f>
        <v>2016</v>
      </c>
      <c r="T2" s="8" t="n">
        <f aca="false">S2+1</f>
        <v>2017</v>
      </c>
      <c r="U2" s="8" t="n">
        <f aca="false">T2+1</f>
        <v>2018</v>
      </c>
      <c r="V2" s="8" t="n">
        <f aca="false">U2+1</f>
        <v>2019</v>
      </c>
      <c r="W2" s="8" t="n">
        <f aca="false">V2+1</f>
        <v>2020</v>
      </c>
      <c r="X2" s="8" t="n">
        <f aca="false">W2+1</f>
        <v>2021</v>
      </c>
      <c r="Y2" s="8" t="n">
        <f aca="false">X2+1</f>
        <v>2022</v>
      </c>
      <c r="Z2" s="8" t="n">
        <f aca="false">Y2+1</f>
        <v>2023</v>
      </c>
      <c r="AA2" s="8" t="n">
        <f aca="false">Z2+1</f>
        <v>2024</v>
      </c>
      <c r="AB2" s="8" t="n">
        <f aca="false">AA2+1</f>
        <v>2025</v>
      </c>
      <c r="AC2" s="8" t="n">
        <f aca="false">AB2+1</f>
        <v>2026</v>
      </c>
      <c r="AD2" s="8" t="n">
        <f aca="false">AC2+1</f>
        <v>2027</v>
      </c>
      <c r="AE2" s="8" t="n">
        <f aca="false">AD2+1</f>
        <v>2028</v>
      </c>
      <c r="AF2" s="8" t="n">
        <f aca="false">AE2+1</f>
        <v>2029</v>
      </c>
      <c r="AG2" s="8" t="n">
        <f aca="false">AF2+1</f>
        <v>2030</v>
      </c>
      <c r="AH2" s="8" t="n">
        <f aca="false">AG2+1</f>
        <v>2031</v>
      </c>
      <c r="AI2" s="9" t="n">
        <f aca="false">AH2+1</f>
        <v>2032</v>
      </c>
      <c r="AJ2" s="1230"/>
      <c r="AK2" s="1230"/>
      <c r="AL2" s="1230"/>
      <c r="AM2" s="1230"/>
      <c r="AN2" s="1230"/>
      <c r="AO2" s="1230"/>
      <c r="AP2" s="1230"/>
      <c r="AQ2" s="1230"/>
      <c r="AR2" s="1230"/>
      <c r="AS2" s="1230"/>
      <c r="AT2" s="1230"/>
      <c r="AU2" s="1230"/>
      <c r="AV2" s="1230"/>
      <c r="AW2" s="1230"/>
      <c r="AX2" s="1230"/>
      <c r="AY2" s="1230"/>
      <c r="AZ2" s="1230"/>
      <c r="BA2" s="1230"/>
      <c r="BB2" s="1230"/>
      <c r="BC2" s="1230"/>
      <c r="BD2" s="1230"/>
      <c r="BE2" s="1230"/>
      <c r="BF2" s="1230"/>
      <c r="BG2" s="1230"/>
      <c r="BH2" s="1230"/>
      <c r="BI2" s="1230"/>
      <c r="BJ2" s="1230"/>
      <c r="BK2" s="1230"/>
      <c r="BL2" s="1230"/>
      <c r="BM2" s="1230"/>
      <c r="BN2" s="1230"/>
      <c r="BO2" s="1230"/>
      <c r="BP2" s="1230"/>
      <c r="BQ2" s="1230"/>
      <c r="BR2" s="1230"/>
      <c r="BS2" s="1230"/>
      <c r="BT2" s="1230"/>
      <c r="BU2" s="1230"/>
      <c r="BV2" s="1230"/>
      <c r="BW2" s="1230"/>
      <c r="BX2" s="1230"/>
      <c r="BY2" s="1230"/>
      <c r="BZ2" s="1230"/>
      <c r="CA2" s="1230"/>
      <c r="CB2" s="1230"/>
      <c r="CC2" s="1230"/>
      <c r="CD2" s="1230"/>
      <c r="CE2" s="1230"/>
      <c r="CF2" s="1230"/>
      <c r="CG2" s="1230"/>
      <c r="CH2" s="1230"/>
      <c r="CI2" s="1230"/>
      <c r="CJ2" s="1230"/>
      <c r="CK2" s="1230"/>
      <c r="CL2" s="1230"/>
      <c r="CM2" s="1230"/>
      <c r="CN2" s="1230"/>
      <c r="CO2" s="1230"/>
      <c r="CP2" s="1230"/>
      <c r="CQ2" s="1230"/>
      <c r="CR2" s="1230"/>
      <c r="CS2" s="1230"/>
      <c r="CT2" s="1230"/>
      <c r="CU2" s="1230"/>
      <c r="CV2" s="1230"/>
      <c r="CW2" s="1230"/>
      <c r="CX2" s="1230"/>
      <c r="CY2" s="1230"/>
      <c r="CZ2" s="1230"/>
      <c r="DA2" s="1230"/>
      <c r="DB2" s="1230"/>
      <c r="DC2" s="1230"/>
      <c r="DD2" s="1230"/>
      <c r="DE2" s="1230"/>
      <c r="DF2" s="1230"/>
      <c r="DG2" s="1230"/>
      <c r="DH2" s="1230"/>
      <c r="DI2" s="1230"/>
      <c r="DJ2" s="1230"/>
      <c r="DK2" s="1230"/>
      <c r="DL2" s="1230"/>
      <c r="DM2" s="1230"/>
      <c r="DN2" s="1230"/>
      <c r="DO2" s="1230"/>
      <c r="DP2" s="1230"/>
      <c r="DQ2" s="1230"/>
      <c r="DR2" s="1230"/>
      <c r="DS2" s="1230"/>
      <c r="DT2" s="1230"/>
      <c r="DU2" s="1230"/>
      <c r="DV2" s="1230"/>
      <c r="DW2" s="1230"/>
      <c r="DX2" s="1230"/>
      <c r="DY2" s="1231"/>
      <c r="DZ2" s="1231"/>
      <c r="EA2" s="1231"/>
      <c r="EB2" s="1231"/>
      <c r="EC2" s="1231"/>
      <c r="ED2" s="1231"/>
      <c r="EE2" s="1231"/>
      <c r="EF2" s="1231"/>
      <c r="EG2" s="1231"/>
      <c r="EH2" s="1231"/>
      <c r="EI2" s="1231"/>
      <c r="EJ2" s="1231"/>
      <c r="EK2" s="1231"/>
      <c r="EL2" s="1231"/>
      <c r="EM2" s="1231"/>
      <c r="EN2" s="1231"/>
    </row>
    <row r="3" customFormat="false" ht="12.75" hidden="false" customHeight="false" outlineLevel="0" collapsed="false">
      <c r="A3" s="1229"/>
      <c r="B3" s="1233"/>
      <c r="C3" s="1233"/>
      <c r="D3" s="1230"/>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1230"/>
      <c r="AW3" s="1230"/>
      <c r="AX3" s="1230"/>
      <c r="AY3" s="1230"/>
      <c r="AZ3" s="1230"/>
      <c r="BA3" s="1230"/>
      <c r="BB3" s="1230"/>
      <c r="BC3" s="1230"/>
      <c r="BD3" s="1230"/>
      <c r="BE3" s="1230"/>
      <c r="BF3" s="1230"/>
      <c r="BG3" s="1230"/>
      <c r="BH3" s="1230"/>
      <c r="BI3" s="1230"/>
      <c r="BJ3" s="1230"/>
      <c r="BK3" s="1230"/>
      <c r="BL3" s="1230"/>
      <c r="BM3" s="1230"/>
      <c r="BN3" s="1230"/>
      <c r="BO3" s="1230"/>
      <c r="BP3" s="1230"/>
      <c r="BQ3" s="1230"/>
      <c r="BR3" s="1230"/>
      <c r="BS3" s="1230"/>
      <c r="BT3" s="1230"/>
      <c r="BU3" s="1230"/>
      <c r="BV3" s="1230"/>
      <c r="BW3" s="1230"/>
      <c r="BX3" s="1230"/>
      <c r="BY3" s="1230"/>
      <c r="BZ3" s="1230"/>
      <c r="CA3" s="1230"/>
      <c r="CB3" s="1230"/>
      <c r="CC3" s="1230"/>
      <c r="CD3" s="1230"/>
      <c r="CE3" s="1230"/>
      <c r="CF3" s="1230"/>
      <c r="CG3" s="1230"/>
      <c r="CH3" s="1230"/>
      <c r="CI3" s="1230"/>
      <c r="CJ3" s="1230"/>
      <c r="CK3" s="1230"/>
      <c r="CL3" s="1230"/>
      <c r="CM3" s="1230"/>
      <c r="CN3" s="1230"/>
      <c r="CO3" s="1230"/>
      <c r="CP3" s="1230"/>
      <c r="CQ3" s="1230"/>
      <c r="CR3" s="1230"/>
      <c r="CS3" s="1230"/>
      <c r="CT3" s="1230"/>
      <c r="CU3" s="1230"/>
      <c r="CV3" s="1230"/>
      <c r="CW3" s="1230"/>
      <c r="CX3" s="1230"/>
      <c r="CY3" s="1230"/>
      <c r="CZ3" s="1230"/>
      <c r="DA3" s="1230"/>
      <c r="DB3" s="1230"/>
      <c r="DC3" s="1230"/>
      <c r="DD3" s="1230"/>
      <c r="DE3" s="1230"/>
      <c r="DF3" s="1230"/>
      <c r="DG3" s="1230"/>
      <c r="DH3" s="1230"/>
      <c r="DI3" s="1230"/>
      <c r="DJ3" s="1230"/>
      <c r="DK3" s="1230"/>
      <c r="DL3" s="1230"/>
      <c r="DM3" s="1230"/>
      <c r="DN3" s="1230"/>
      <c r="DO3" s="1230"/>
      <c r="DP3" s="1230"/>
      <c r="DQ3" s="1230"/>
      <c r="DR3" s="1230"/>
      <c r="DS3" s="1230"/>
      <c r="DT3" s="1230"/>
      <c r="DU3" s="1230"/>
      <c r="DV3" s="1230"/>
      <c r="DW3" s="1230"/>
      <c r="DX3" s="1230"/>
      <c r="DY3" s="1231"/>
      <c r="DZ3" s="1231"/>
      <c r="EA3" s="1231"/>
      <c r="EB3" s="1231"/>
      <c r="EC3" s="1231"/>
      <c r="ED3" s="1231"/>
      <c r="EE3" s="1231"/>
      <c r="EF3" s="1231"/>
      <c r="EG3" s="1231"/>
      <c r="EH3" s="1231"/>
      <c r="EI3" s="1231"/>
      <c r="EJ3" s="1231"/>
      <c r="EK3" s="1231"/>
      <c r="EL3" s="1231"/>
      <c r="EM3" s="1231"/>
      <c r="EN3" s="1231"/>
    </row>
    <row r="4" customFormat="false" ht="12.75" hidden="false" customHeight="false" outlineLevel="0" collapsed="false">
      <c r="A4" s="1229"/>
      <c r="B4" s="437" t="s">
        <v>757</v>
      </c>
      <c r="C4" s="437"/>
      <c r="D4" s="1234"/>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235"/>
      <c r="AW4" s="1235"/>
      <c r="AX4" s="1235"/>
      <c r="AY4" s="1235"/>
      <c r="AZ4" s="1235"/>
      <c r="BA4" s="1235"/>
      <c r="BB4" s="1235"/>
      <c r="BC4" s="1235"/>
      <c r="BD4" s="1235"/>
      <c r="BE4" s="1235"/>
      <c r="BF4" s="1235"/>
      <c r="BG4" s="1235"/>
      <c r="BH4" s="1235"/>
      <c r="BI4" s="1235"/>
      <c r="BJ4" s="1235"/>
      <c r="BK4" s="1235"/>
      <c r="BL4" s="1235"/>
      <c r="BM4" s="1235"/>
      <c r="BN4" s="1235"/>
      <c r="BO4" s="1235"/>
      <c r="BP4" s="1235"/>
      <c r="BQ4" s="1235"/>
      <c r="BR4" s="1235"/>
      <c r="BS4" s="1235"/>
      <c r="BT4" s="1235"/>
      <c r="BU4" s="1235"/>
      <c r="BV4" s="1235"/>
      <c r="BW4" s="1235"/>
      <c r="BX4" s="1235"/>
      <c r="BY4" s="1235"/>
      <c r="BZ4" s="1235"/>
      <c r="CA4" s="1235"/>
      <c r="CB4" s="1235"/>
      <c r="CC4" s="1235"/>
      <c r="CD4" s="1235"/>
      <c r="CE4" s="1235"/>
      <c r="CF4" s="1235"/>
      <c r="CG4" s="1235"/>
      <c r="CH4" s="1235"/>
      <c r="CI4" s="1235"/>
      <c r="CJ4" s="1235"/>
      <c r="CK4" s="1235"/>
      <c r="CL4" s="1235"/>
      <c r="CM4" s="1235"/>
      <c r="CN4" s="1235"/>
      <c r="CO4" s="1235"/>
      <c r="CP4" s="1235"/>
      <c r="CQ4" s="1235"/>
      <c r="CR4" s="1235"/>
      <c r="CS4" s="1235"/>
      <c r="CT4" s="1235"/>
      <c r="CU4" s="1235"/>
      <c r="CV4" s="1235"/>
      <c r="CW4" s="1235"/>
      <c r="CX4" s="1235"/>
      <c r="CY4" s="1235"/>
      <c r="CZ4" s="1235"/>
      <c r="DA4" s="1235"/>
      <c r="DB4" s="1235"/>
      <c r="DC4" s="1235"/>
      <c r="DD4" s="1235"/>
      <c r="DE4" s="1235"/>
      <c r="DF4" s="1235"/>
      <c r="DG4" s="1235"/>
      <c r="DH4" s="1235"/>
      <c r="DI4" s="1235"/>
      <c r="DJ4" s="1235"/>
      <c r="DK4" s="1235"/>
      <c r="DL4" s="1235"/>
      <c r="DM4" s="1235"/>
      <c r="DN4" s="1235"/>
      <c r="DO4" s="1235"/>
      <c r="DP4" s="1235"/>
      <c r="DQ4" s="1235"/>
      <c r="DR4" s="1235"/>
      <c r="DS4" s="1235"/>
      <c r="DT4" s="1235"/>
      <c r="DU4" s="1235"/>
      <c r="DV4" s="1235"/>
      <c r="DW4" s="1235"/>
      <c r="DX4" s="1235"/>
      <c r="DY4" s="1236"/>
      <c r="DZ4" s="1236"/>
      <c r="EA4" s="1236"/>
      <c r="EB4" s="1236"/>
      <c r="EC4" s="1236"/>
      <c r="ED4" s="1236"/>
      <c r="EE4" s="1236"/>
      <c r="EF4" s="1236"/>
      <c r="EG4" s="1236"/>
      <c r="EH4" s="1236"/>
      <c r="EI4" s="1236"/>
      <c r="EJ4" s="1236"/>
      <c r="EK4" s="1236"/>
      <c r="EL4" s="1236"/>
      <c r="EM4" s="1236"/>
      <c r="EN4" s="1236"/>
      <c r="EO4" s="1093"/>
      <c r="EP4" s="1093"/>
      <c r="EQ4" s="1093"/>
      <c r="ER4" s="1093"/>
      <c r="ES4" s="1093"/>
      <c r="ET4" s="1093"/>
      <c r="EU4" s="1093"/>
      <c r="EV4" s="1093"/>
      <c r="EW4" s="1093"/>
      <c r="EX4" s="1093"/>
      <c r="EY4" s="1093"/>
      <c r="EZ4" s="1093"/>
      <c r="FA4" s="1093"/>
      <c r="FB4" s="1093"/>
      <c r="FC4" s="1093"/>
      <c r="FD4" s="1093"/>
      <c r="FE4" s="1093"/>
      <c r="FF4" s="1093"/>
      <c r="FG4" s="1093"/>
      <c r="FH4" s="1093"/>
      <c r="FI4" s="1093"/>
      <c r="FJ4" s="1093"/>
      <c r="FK4" s="1093"/>
      <c r="FL4" s="1093"/>
      <c r="FM4" s="1093"/>
      <c r="FN4" s="1093"/>
      <c r="FO4" s="1093"/>
      <c r="FP4" s="1093"/>
      <c r="FQ4" s="1093"/>
      <c r="FR4" s="1093"/>
      <c r="FS4" s="1093"/>
      <c r="FT4" s="1093"/>
      <c r="FU4" s="1093"/>
      <c r="FV4" s="1093"/>
      <c r="FW4" s="1093"/>
      <c r="FX4" s="1093"/>
      <c r="FY4" s="1093"/>
      <c r="FZ4" s="1093"/>
      <c r="GA4" s="1093"/>
      <c r="GB4" s="1093"/>
      <c r="GC4" s="1093"/>
      <c r="GD4" s="1093"/>
      <c r="GE4" s="1093"/>
      <c r="GF4" s="1093"/>
      <c r="GG4" s="1093"/>
      <c r="GH4" s="1093"/>
      <c r="GI4" s="1093"/>
      <c r="GJ4" s="1093"/>
      <c r="GK4" s="1093"/>
      <c r="GL4" s="1093"/>
      <c r="GM4" s="1093"/>
      <c r="GN4" s="1093"/>
      <c r="GO4" s="1093"/>
      <c r="GP4" s="1093"/>
      <c r="GQ4" s="1093"/>
      <c r="GR4" s="1093"/>
      <c r="GS4" s="1093"/>
      <c r="GT4" s="1093"/>
      <c r="GU4" s="1093"/>
      <c r="GV4" s="1093"/>
      <c r="GW4" s="1093"/>
      <c r="GX4" s="1093"/>
      <c r="GY4" s="1093"/>
      <c r="GZ4" s="1093"/>
      <c r="HA4" s="1093"/>
      <c r="HB4" s="1093"/>
      <c r="HC4" s="1093"/>
      <c r="HD4" s="1093"/>
      <c r="HE4" s="1093"/>
      <c r="HF4" s="1093"/>
      <c r="HG4" s="1093"/>
      <c r="HH4" s="1093"/>
      <c r="HI4" s="1093"/>
      <c r="HJ4" s="1093"/>
      <c r="HK4" s="1093"/>
      <c r="HL4" s="1093"/>
      <c r="HM4" s="1093"/>
      <c r="HN4" s="1093"/>
      <c r="HO4" s="1093"/>
      <c r="HP4" s="1093"/>
      <c r="HQ4" s="1093"/>
      <c r="HR4" s="1093"/>
      <c r="HS4" s="1093"/>
      <c r="HT4" s="1093"/>
      <c r="HU4" s="1093"/>
      <c r="HV4" s="1093"/>
      <c r="HW4" s="1093"/>
      <c r="HX4" s="1093"/>
      <c r="HY4" s="1093"/>
      <c r="HZ4" s="1093"/>
      <c r="IA4" s="1093"/>
      <c r="IB4" s="1093"/>
      <c r="IC4" s="1093"/>
      <c r="ID4" s="1093"/>
      <c r="IE4" s="1093"/>
      <c r="IF4" s="1093"/>
      <c r="IG4" s="1093"/>
      <c r="IH4" s="1093"/>
      <c r="II4" s="1093"/>
      <c r="IJ4" s="1093"/>
      <c r="IK4" s="1093"/>
      <c r="IL4" s="1093"/>
      <c r="IM4" s="1093"/>
      <c r="IN4" s="1093"/>
      <c r="IO4" s="1093"/>
      <c r="IP4" s="1093"/>
      <c r="IQ4" s="1093"/>
      <c r="IR4" s="1093"/>
      <c r="IS4" s="1093"/>
      <c r="IT4" s="1093"/>
      <c r="IU4" s="1093"/>
      <c r="IV4" s="1093"/>
      <c r="IW4" s="1093"/>
    </row>
    <row r="5" customFormat="false" ht="12.75" hidden="false" customHeight="false" outlineLevel="0" collapsed="false">
      <c r="A5" s="1229"/>
      <c r="B5" s="0" t="s">
        <v>703</v>
      </c>
      <c r="D5" s="1234"/>
      <c r="E5" s="130" t="n">
        <f aca="false">Basis!D36</f>
        <v>-65.906937538512</v>
      </c>
      <c r="F5" s="130" t="n">
        <f aca="false">Basis!E36</f>
        <v>-109.979119830166</v>
      </c>
      <c r="G5" s="130" t="n">
        <f aca="false">Basis!F36</f>
        <v>-62.3917186602478</v>
      </c>
      <c r="H5" s="130" t="n">
        <f aca="false">Basis!G36</f>
        <v>-33.6196112135487</v>
      </c>
      <c r="I5" s="130" t="n">
        <f aca="false">Basis!H36</f>
        <v>-33.2111059161527</v>
      </c>
      <c r="J5" s="130" t="n">
        <f aca="false">Basis!I36</f>
        <v>-11.4883501811335</v>
      </c>
      <c r="K5" s="130" t="n">
        <f aca="false">Basis!J36</f>
        <v>10.1552115517834</v>
      </c>
      <c r="L5" s="130" t="n">
        <f aca="false">Basis!K36</f>
        <v>10.6190420265571</v>
      </c>
      <c r="M5" s="130" t="n">
        <f aca="false">Basis!L36</f>
        <v>11.0995228067239</v>
      </c>
      <c r="N5" s="130" t="n">
        <f aca="false">Basis!M36</f>
        <v>11.6246544961821</v>
      </c>
      <c r="O5" s="130" t="n">
        <f aca="false">Basis!N36</f>
        <v>12.6399036879548</v>
      </c>
      <c r="P5" s="130" t="n">
        <f aca="false">Basis!O36</f>
        <v>13.3264073154183</v>
      </c>
      <c r="Q5" s="130" t="n">
        <f aca="false">Basis!P36</f>
        <v>14.052487029033</v>
      </c>
      <c r="R5" s="130" t="n">
        <f aca="false">Basis!Q36</f>
        <v>14.8437740068846</v>
      </c>
      <c r="S5" s="130" t="n">
        <f aca="false">Basis!R36</f>
        <v>15.6947323596597</v>
      </c>
      <c r="T5" s="130" t="n">
        <f aca="false">Basis!S36</f>
        <v>16.6507109837912</v>
      </c>
      <c r="U5" s="130" t="n">
        <f aca="false">Basis!T36</f>
        <v>17.7823764800145</v>
      </c>
      <c r="V5" s="130" t="n">
        <f aca="false">Basis!U36</f>
        <v>19.9195051082942</v>
      </c>
      <c r="W5" s="130" t="n">
        <f aca="false">Basis!V36</f>
        <v>19.6085581609821</v>
      </c>
      <c r="X5" s="130" t="n">
        <f aca="false">Basis!W36</f>
        <v>19.2983790420078</v>
      </c>
      <c r="Y5" s="130" t="n">
        <f aca="false">Basis!X36</f>
        <v>0</v>
      </c>
      <c r="Z5" s="130" t="n">
        <f aca="false">Basis!Y36</f>
        <v>0</v>
      </c>
      <c r="AA5" s="130" t="n">
        <f aca="false">Basis!Z36</f>
        <v>0</v>
      </c>
      <c r="AB5" s="130" t="n">
        <f aca="false">Basis!AA36</f>
        <v>0</v>
      </c>
      <c r="AC5" s="130" t="n">
        <f aca="false">Basis!AB36</f>
        <v>0</v>
      </c>
      <c r="AD5" s="130" t="n">
        <f aca="false">Basis!AC36</f>
        <v>0</v>
      </c>
      <c r="AE5" s="130" t="n">
        <f aca="false">Basis!AD36</f>
        <v>0</v>
      </c>
      <c r="AF5" s="130" t="n">
        <f aca="false">Basis!AE36</f>
        <v>0</v>
      </c>
      <c r="AG5" s="130" t="n">
        <f aca="false">Basis!AF36</f>
        <v>0</v>
      </c>
      <c r="AH5" s="130" t="n">
        <f aca="false">Basis!AG36</f>
        <v>0</v>
      </c>
      <c r="AI5" s="130" t="n">
        <f aca="false">Basis!AH36</f>
        <v>0</v>
      </c>
      <c r="AJ5" s="1053"/>
      <c r="AK5" s="1053"/>
      <c r="AL5" s="1053"/>
      <c r="AM5" s="1053"/>
      <c r="AN5" s="1053"/>
      <c r="AO5" s="1053"/>
      <c r="AP5" s="1053"/>
      <c r="AQ5" s="1053"/>
      <c r="AR5" s="1053"/>
      <c r="AS5" s="1053"/>
      <c r="AT5" s="1053"/>
      <c r="AU5" s="1053"/>
      <c r="AV5" s="1235"/>
      <c r="AW5" s="1235"/>
      <c r="AX5" s="1235"/>
      <c r="AY5" s="1235"/>
      <c r="AZ5" s="1235"/>
      <c r="BA5" s="1235"/>
      <c r="BB5" s="1235"/>
      <c r="BC5" s="1235"/>
      <c r="BD5" s="1235"/>
      <c r="BE5" s="1235"/>
      <c r="BF5" s="1235"/>
      <c r="BG5" s="1235"/>
      <c r="BH5" s="1235"/>
      <c r="BI5" s="1235"/>
      <c r="BJ5" s="1235"/>
      <c r="BK5" s="1235"/>
      <c r="BL5" s="1235"/>
      <c r="BM5" s="1235"/>
      <c r="BN5" s="1235"/>
      <c r="BO5" s="1235"/>
      <c r="BP5" s="1235"/>
      <c r="BQ5" s="1235"/>
      <c r="BR5" s="1235"/>
      <c r="BS5" s="1235"/>
      <c r="BT5" s="1235"/>
      <c r="BU5" s="1235"/>
      <c r="BV5" s="1235"/>
      <c r="BW5" s="1235"/>
      <c r="BX5" s="1235"/>
      <c r="BY5" s="1235"/>
      <c r="BZ5" s="1235"/>
      <c r="CA5" s="1235"/>
      <c r="CB5" s="1235"/>
      <c r="CC5" s="1235"/>
      <c r="CD5" s="1235"/>
      <c r="CE5" s="1235"/>
      <c r="CF5" s="1235"/>
      <c r="CG5" s="1235"/>
      <c r="CH5" s="1235"/>
      <c r="CI5" s="1235"/>
      <c r="CJ5" s="1235"/>
      <c r="CK5" s="1235"/>
      <c r="CL5" s="1235"/>
      <c r="CM5" s="1235"/>
      <c r="CN5" s="1235"/>
      <c r="CO5" s="1235"/>
      <c r="CP5" s="1235"/>
      <c r="CQ5" s="1235"/>
      <c r="CR5" s="1235"/>
      <c r="CS5" s="1235"/>
      <c r="CT5" s="1235"/>
      <c r="CU5" s="1235"/>
      <c r="CV5" s="1235"/>
      <c r="CW5" s="1235"/>
      <c r="CX5" s="1235"/>
      <c r="CY5" s="1235"/>
      <c r="CZ5" s="1235"/>
      <c r="DA5" s="1235"/>
      <c r="DB5" s="1235"/>
      <c r="DC5" s="1235"/>
      <c r="DD5" s="1235"/>
      <c r="DE5" s="1235"/>
      <c r="DF5" s="1235"/>
      <c r="DG5" s="1235"/>
      <c r="DH5" s="1235"/>
      <c r="DI5" s="1235"/>
      <c r="DJ5" s="1235"/>
      <c r="DK5" s="1235"/>
      <c r="DL5" s="1235"/>
      <c r="DM5" s="1235"/>
      <c r="DN5" s="1235"/>
      <c r="DO5" s="1235"/>
      <c r="DP5" s="1235"/>
      <c r="DQ5" s="1235"/>
      <c r="DR5" s="1235"/>
      <c r="DS5" s="1235"/>
      <c r="DT5" s="1235"/>
      <c r="DU5" s="1235"/>
      <c r="DV5" s="1235"/>
      <c r="DW5" s="1235"/>
      <c r="DX5" s="1235"/>
      <c r="DY5" s="1236"/>
      <c r="DZ5" s="1236"/>
      <c r="EA5" s="1236"/>
      <c r="EB5" s="1236"/>
      <c r="EC5" s="1236"/>
      <c r="ED5" s="1236"/>
      <c r="EE5" s="1236"/>
      <c r="EF5" s="1236"/>
      <c r="EG5" s="1236"/>
      <c r="EH5" s="1236"/>
      <c r="EI5" s="1236"/>
      <c r="EJ5" s="1236"/>
      <c r="EK5" s="1236"/>
      <c r="EL5" s="1236"/>
      <c r="EM5" s="1236"/>
      <c r="EN5" s="1236"/>
      <c r="EO5" s="1093"/>
      <c r="EP5" s="1093"/>
      <c r="EQ5" s="1093"/>
      <c r="ER5" s="1093"/>
      <c r="ES5" s="1093"/>
      <c r="ET5" s="1093"/>
      <c r="EU5" s="1093"/>
      <c r="EV5" s="1093"/>
      <c r="EW5" s="1093"/>
      <c r="EX5" s="1093"/>
      <c r="EY5" s="1093"/>
      <c r="EZ5" s="1093"/>
      <c r="FA5" s="1093"/>
      <c r="FB5" s="1093"/>
      <c r="FC5" s="1093"/>
      <c r="FD5" s="1093"/>
      <c r="FE5" s="1093"/>
      <c r="FF5" s="1093"/>
      <c r="FG5" s="1093"/>
      <c r="FH5" s="1093"/>
      <c r="FI5" s="1093"/>
      <c r="FJ5" s="1093"/>
      <c r="FK5" s="1093"/>
      <c r="FL5" s="1093"/>
      <c r="FM5" s="1093"/>
      <c r="FN5" s="1093"/>
      <c r="FO5" s="1093"/>
      <c r="FP5" s="1093"/>
      <c r="FQ5" s="1093"/>
      <c r="FR5" s="1093"/>
      <c r="FS5" s="1093"/>
      <c r="FT5" s="1093"/>
      <c r="FU5" s="1093"/>
      <c r="FV5" s="1093"/>
      <c r="FW5" s="1093"/>
      <c r="FX5" s="1093"/>
      <c r="FY5" s="1093"/>
      <c r="FZ5" s="1093"/>
      <c r="GA5" s="1093"/>
      <c r="GB5" s="1093"/>
      <c r="GC5" s="1093"/>
      <c r="GD5" s="1093"/>
      <c r="GE5" s="1093"/>
      <c r="GF5" s="1093"/>
      <c r="GG5" s="1093"/>
      <c r="GH5" s="1093"/>
      <c r="GI5" s="1093"/>
      <c r="GJ5" s="1093"/>
      <c r="GK5" s="1093"/>
      <c r="GL5" s="1093"/>
      <c r="GM5" s="1093"/>
      <c r="GN5" s="1093"/>
      <c r="GO5" s="1093"/>
      <c r="GP5" s="1093"/>
      <c r="GQ5" s="1093"/>
      <c r="GR5" s="1093"/>
      <c r="GS5" s="1093"/>
      <c r="GT5" s="1093"/>
      <c r="GU5" s="1093"/>
      <c r="GV5" s="1093"/>
      <c r="GW5" s="1093"/>
      <c r="GX5" s="1093"/>
      <c r="GY5" s="1093"/>
      <c r="GZ5" s="1093"/>
      <c r="HA5" s="1093"/>
      <c r="HB5" s="1093"/>
      <c r="HC5" s="1093"/>
      <c r="HD5" s="1093"/>
      <c r="HE5" s="1093"/>
      <c r="HF5" s="1093"/>
      <c r="HG5" s="1093"/>
      <c r="HH5" s="1093"/>
      <c r="HI5" s="1093"/>
      <c r="HJ5" s="1093"/>
      <c r="HK5" s="1093"/>
      <c r="HL5" s="1093"/>
      <c r="HM5" s="1093"/>
      <c r="HN5" s="1093"/>
      <c r="HO5" s="1093"/>
      <c r="HP5" s="1093"/>
      <c r="HQ5" s="1093"/>
      <c r="HR5" s="1093"/>
      <c r="HS5" s="1093"/>
      <c r="HT5" s="1093"/>
      <c r="HU5" s="1093"/>
      <c r="HV5" s="1093"/>
      <c r="HW5" s="1093"/>
      <c r="HX5" s="1093"/>
      <c r="HY5" s="1093"/>
      <c r="HZ5" s="1093"/>
      <c r="IA5" s="1093"/>
      <c r="IB5" s="1093"/>
      <c r="IC5" s="1093"/>
      <c r="ID5" s="1093"/>
      <c r="IE5" s="1093"/>
      <c r="IF5" s="1093"/>
      <c r="IG5" s="1093"/>
      <c r="IH5" s="1093"/>
      <c r="II5" s="1093"/>
      <c r="IJ5" s="1093"/>
      <c r="IK5" s="1093"/>
      <c r="IL5" s="1093"/>
      <c r="IM5" s="1093"/>
      <c r="IN5" s="1093"/>
      <c r="IO5" s="1093"/>
      <c r="IP5" s="1093"/>
      <c r="IQ5" s="1093"/>
      <c r="IR5" s="1093"/>
      <c r="IS5" s="1093"/>
      <c r="IT5" s="1093"/>
      <c r="IU5" s="1093"/>
      <c r="IV5" s="1093"/>
      <c r="IW5" s="1093"/>
    </row>
    <row r="6" customFormat="false" ht="12.75" hidden="false" customHeight="false" outlineLevel="0" collapsed="false">
      <c r="A6" s="1229"/>
      <c r="B6" s="0" t="s">
        <v>736</v>
      </c>
      <c r="D6" s="1234"/>
      <c r="E6" s="130" t="n">
        <f aca="false">Basis!D37</f>
        <v>0</v>
      </c>
      <c r="F6" s="130" t="n">
        <f aca="false">Basis!E37</f>
        <v>-0</v>
      </c>
      <c r="G6" s="130" t="n">
        <f aca="false">Basis!F37</f>
        <v>-0</v>
      </c>
      <c r="H6" s="130" t="n">
        <f aca="false">Basis!G37</f>
        <v>-0</v>
      </c>
      <c r="I6" s="130" t="n">
        <f aca="false">Basis!H37</f>
        <v>-0</v>
      </c>
      <c r="J6" s="130" t="n">
        <f aca="false">Basis!I37</f>
        <v>-0</v>
      </c>
      <c r="K6" s="130" t="n">
        <f aca="false">Basis!J37</f>
        <v>-0</v>
      </c>
      <c r="L6" s="130" t="n">
        <f aca="false">Basis!K37</f>
        <v>-0</v>
      </c>
      <c r="M6" s="130" t="n">
        <f aca="false">Basis!L37</f>
        <v>-0</v>
      </c>
      <c r="N6" s="130" t="n">
        <f aca="false">Basis!M37</f>
        <v>-0</v>
      </c>
      <c r="O6" s="130" t="n">
        <f aca="false">Basis!N37</f>
        <v>-0</v>
      </c>
      <c r="P6" s="130" t="n">
        <f aca="false">Basis!O37</f>
        <v>-0</v>
      </c>
      <c r="Q6" s="130" t="n">
        <f aca="false">Basis!P37</f>
        <v>-0</v>
      </c>
      <c r="R6" s="130" t="n">
        <f aca="false">Basis!Q37</f>
        <v>-0</v>
      </c>
      <c r="S6" s="130" t="n">
        <f aca="false">Basis!R37</f>
        <v>-0</v>
      </c>
      <c r="T6" s="130" t="n">
        <f aca="false">Basis!S37</f>
        <v>-0</v>
      </c>
      <c r="U6" s="130" t="n">
        <f aca="false">Basis!T37</f>
        <v>-0</v>
      </c>
      <c r="V6" s="130" t="n">
        <f aca="false">Basis!U37</f>
        <v>-0</v>
      </c>
      <c r="W6" s="130" t="n">
        <f aca="false">Basis!V37</f>
        <v>-0</v>
      </c>
      <c r="X6" s="130" t="n">
        <f aca="false">Basis!W37</f>
        <v>-0</v>
      </c>
      <c r="Y6" s="130" t="n">
        <f aca="false">Basis!X37</f>
        <v>-0</v>
      </c>
      <c r="Z6" s="130" t="n">
        <f aca="false">Basis!Y37</f>
        <v>-0</v>
      </c>
      <c r="AA6" s="130" t="n">
        <f aca="false">Basis!Z37</f>
        <v>-0</v>
      </c>
      <c r="AB6" s="130" t="n">
        <f aca="false">Basis!AA37</f>
        <v>-0</v>
      </c>
      <c r="AC6" s="130" t="n">
        <f aca="false">Basis!AB37</f>
        <v>-0</v>
      </c>
      <c r="AD6" s="130" t="n">
        <f aca="false">Basis!AC37</f>
        <v>-0</v>
      </c>
      <c r="AE6" s="130" t="n">
        <f aca="false">Basis!AD37</f>
        <v>-0</v>
      </c>
      <c r="AF6" s="130" t="n">
        <f aca="false">Basis!AE37</f>
        <v>-0</v>
      </c>
      <c r="AG6" s="130" t="n">
        <f aca="false">Basis!AF37</f>
        <v>-0</v>
      </c>
      <c r="AH6" s="130" t="n">
        <f aca="false">Basis!AG37</f>
        <v>-0</v>
      </c>
      <c r="AI6" s="130" t="n">
        <f aca="false">Basis!AH37</f>
        <v>-0</v>
      </c>
      <c r="AJ6" s="1053"/>
      <c r="AK6" s="1053"/>
      <c r="AL6" s="1053"/>
      <c r="AM6" s="1053"/>
      <c r="AN6" s="1053"/>
      <c r="AO6" s="1053"/>
      <c r="AP6" s="1053"/>
      <c r="AQ6" s="1053"/>
      <c r="AR6" s="1053"/>
      <c r="AS6" s="1053"/>
      <c r="AT6" s="1053"/>
      <c r="AU6" s="1053"/>
      <c r="AV6" s="1235"/>
      <c r="AW6" s="1235"/>
      <c r="AX6" s="1235"/>
      <c r="AY6" s="1235"/>
      <c r="AZ6" s="1235"/>
      <c r="BA6" s="1235"/>
      <c r="BB6" s="1235"/>
      <c r="BC6" s="1235"/>
      <c r="BD6" s="1235"/>
      <c r="BE6" s="1235"/>
      <c r="BF6" s="1235"/>
      <c r="BG6" s="1235"/>
      <c r="BH6" s="1235"/>
      <c r="BI6" s="1235"/>
      <c r="BJ6" s="1235"/>
      <c r="BK6" s="1235"/>
      <c r="BL6" s="1235"/>
      <c r="BM6" s="1235"/>
      <c r="BN6" s="1235"/>
      <c r="BO6" s="1235"/>
      <c r="BP6" s="1235"/>
      <c r="BQ6" s="1235"/>
      <c r="BR6" s="1235"/>
      <c r="BS6" s="1235"/>
      <c r="BT6" s="1235"/>
      <c r="BU6" s="1235"/>
      <c r="BV6" s="1235"/>
      <c r="BW6" s="1235"/>
      <c r="BX6" s="1235"/>
      <c r="BY6" s="1235"/>
      <c r="BZ6" s="1235"/>
      <c r="CA6" s="1235"/>
      <c r="CB6" s="1235"/>
      <c r="CC6" s="1235"/>
      <c r="CD6" s="1235"/>
      <c r="CE6" s="1235"/>
      <c r="CF6" s="1235"/>
      <c r="CG6" s="1235"/>
      <c r="CH6" s="1235"/>
      <c r="CI6" s="1235"/>
      <c r="CJ6" s="1235"/>
      <c r="CK6" s="1235"/>
      <c r="CL6" s="1235"/>
      <c r="CM6" s="1235"/>
      <c r="CN6" s="1235"/>
      <c r="CO6" s="1235"/>
      <c r="CP6" s="1235"/>
      <c r="CQ6" s="1235"/>
      <c r="CR6" s="1235"/>
      <c r="CS6" s="1235"/>
      <c r="CT6" s="1235"/>
      <c r="CU6" s="1235"/>
      <c r="CV6" s="1235"/>
      <c r="CW6" s="1235"/>
      <c r="CX6" s="1235"/>
      <c r="CY6" s="1235"/>
      <c r="CZ6" s="1235"/>
      <c r="DA6" s="1235"/>
      <c r="DB6" s="1235"/>
      <c r="DC6" s="1235"/>
      <c r="DD6" s="1235"/>
      <c r="DE6" s="1235"/>
      <c r="DF6" s="1235"/>
      <c r="DG6" s="1235"/>
      <c r="DH6" s="1235"/>
      <c r="DI6" s="1235"/>
      <c r="DJ6" s="1235"/>
      <c r="DK6" s="1235"/>
      <c r="DL6" s="1235"/>
      <c r="DM6" s="1235"/>
      <c r="DN6" s="1235"/>
      <c r="DO6" s="1235"/>
      <c r="DP6" s="1235"/>
      <c r="DQ6" s="1235"/>
      <c r="DR6" s="1235"/>
      <c r="DS6" s="1235"/>
      <c r="DT6" s="1235"/>
      <c r="DU6" s="1235"/>
      <c r="DV6" s="1235"/>
      <c r="DW6" s="1235"/>
      <c r="DX6" s="1235"/>
      <c r="DY6" s="1236"/>
      <c r="DZ6" s="1236"/>
      <c r="EA6" s="1236"/>
      <c r="EB6" s="1236"/>
      <c r="EC6" s="1236"/>
      <c r="ED6" s="1236"/>
      <c r="EE6" s="1236"/>
      <c r="EF6" s="1236"/>
      <c r="EG6" s="1236"/>
      <c r="EH6" s="1236"/>
      <c r="EI6" s="1236"/>
      <c r="EJ6" s="1236"/>
      <c r="EK6" s="1236"/>
      <c r="EL6" s="1236"/>
      <c r="EM6" s="1236"/>
      <c r="EN6" s="1236"/>
      <c r="EO6" s="1093"/>
      <c r="EP6" s="1093"/>
      <c r="EQ6" s="1093"/>
      <c r="ER6" s="1093"/>
      <c r="ES6" s="1093"/>
      <c r="ET6" s="1093"/>
      <c r="EU6" s="1093"/>
      <c r="EV6" s="1093"/>
      <c r="EW6" s="1093"/>
      <c r="EX6" s="1093"/>
      <c r="EY6" s="1093"/>
      <c r="EZ6" s="1093"/>
      <c r="FA6" s="1093"/>
      <c r="FB6" s="1093"/>
      <c r="FC6" s="1093"/>
      <c r="FD6" s="1093"/>
      <c r="FE6" s="1093"/>
      <c r="FF6" s="1093"/>
      <c r="FG6" s="1093"/>
      <c r="FH6" s="1093"/>
      <c r="FI6" s="1093"/>
      <c r="FJ6" s="1093"/>
      <c r="FK6" s="1093"/>
      <c r="FL6" s="1093"/>
      <c r="FM6" s="1093"/>
      <c r="FN6" s="1093"/>
      <c r="FO6" s="1093"/>
      <c r="FP6" s="1093"/>
      <c r="FQ6" s="1093"/>
      <c r="FR6" s="1093"/>
      <c r="FS6" s="1093"/>
      <c r="FT6" s="1093"/>
      <c r="FU6" s="1093"/>
      <c r="FV6" s="1093"/>
      <c r="FW6" s="1093"/>
      <c r="FX6" s="1093"/>
      <c r="FY6" s="1093"/>
      <c r="FZ6" s="1093"/>
      <c r="GA6" s="1093"/>
      <c r="GB6" s="1093"/>
      <c r="GC6" s="1093"/>
      <c r="GD6" s="1093"/>
      <c r="GE6" s="1093"/>
      <c r="GF6" s="1093"/>
      <c r="GG6" s="1093"/>
      <c r="GH6" s="1093"/>
      <c r="GI6" s="1093"/>
      <c r="GJ6" s="1093"/>
      <c r="GK6" s="1093"/>
      <c r="GL6" s="1093"/>
      <c r="GM6" s="1093"/>
      <c r="GN6" s="1093"/>
      <c r="GO6" s="1093"/>
      <c r="GP6" s="1093"/>
      <c r="GQ6" s="1093"/>
      <c r="GR6" s="1093"/>
      <c r="GS6" s="1093"/>
      <c r="GT6" s="1093"/>
      <c r="GU6" s="1093"/>
      <c r="GV6" s="1093"/>
      <c r="GW6" s="1093"/>
      <c r="GX6" s="1093"/>
      <c r="GY6" s="1093"/>
      <c r="GZ6" s="1093"/>
      <c r="HA6" s="1093"/>
      <c r="HB6" s="1093"/>
      <c r="HC6" s="1093"/>
      <c r="HD6" s="1093"/>
      <c r="HE6" s="1093"/>
      <c r="HF6" s="1093"/>
      <c r="HG6" s="1093"/>
      <c r="HH6" s="1093"/>
      <c r="HI6" s="1093"/>
      <c r="HJ6" s="1093"/>
      <c r="HK6" s="1093"/>
      <c r="HL6" s="1093"/>
      <c r="HM6" s="1093"/>
      <c r="HN6" s="1093"/>
      <c r="HO6" s="1093"/>
      <c r="HP6" s="1093"/>
      <c r="HQ6" s="1093"/>
      <c r="HR6" s="1093"/>
      <c r="HS6" s="1093"/>
      <c r="HT6" s="1093"/>
      <c r="HU6" s="1093"/>
      <c r="HV6" s="1093"/>
      <c r="HW6" s="1093"/>
      <c r="HX6" s="1093"/>
      <c r="HY6" s="1093"/>
      <c r="HZ6" s="1093"/>
      <c r="IA6" s="1093"/>
      <c r="IB6" s="1093"/>
      <c r="IC6" s="1093"/>
      <c r="ID6" s="1093"/>
      <c r="IE6" s="1093"/>
      <c r="IF6" s="1093"/>
      <c r="IG6" s="1093"/>
      <c r="IH6" s="1093"/>
      <c r="II6" s="1093"/>
      <c r="IJ6" s="1093"/>
      <c r="IK6" s="1093"/>
      <c r="IL6" s="1093"/>
      <c r="IM6" s="1093"/>
      <c r="IN6" s="1093"/>
      <c r="IO6" s="1093"/>
      <c r="IP6" s="1093"/>
      <c r="IQ6" s="1093"/>
      <c r="IR6" s="1093"/>
      <c r="IS6" s="1093"/>
      <c r="IT6" s="1093"/>
      <c r="IU6" s="1093"/>
      <c r="IV6" s="1093"/>
      <c r="IW6" s="1093"/>
    </row>
    <row r="7" customFormat="false" ht="12.75" hidden="false" customHeight="false" outlineLevel="0" collapsed="false">
      <c r="A7" s="1229"/>
      <c r="B7" s="0" t="s">
        <v>758</v>
      </c>
      <c r="D7" s="1237"/>
      <c r="E7" s="130" t="n">
        <f aca="false">SUM(E5:E6)</f>
        <v>-65.906937538512</v>
      </c>
      <c r="F7" s="130" t="n">
        <f aca="false">SUM(F5:F6)</f>
        <v>-109.979119830166</v>
      </c>
      <c r="G7" s="130" t="n">
        <f aca="false">SUM(G5:G6)</f>
        <v>-62.3917186602478</v>
      </c>
      <c r="H7" s="130" t="n">
        <f aca="false">SUM(H5:H6)</f>
        <v>-33.6196112135487</v>
      </c>
      <c r="I7" s="130" t="n">
        <f aca="false">SUM(I5:I6)</f>
        <v>-33.2111059161527</v>
      </c>
      <c r="J7" s="130" t="n">
        <f aca="false">SUM(J5:J6)</f>
        <v>-11.4883501811335</v>
      </c>
      <c r="K7" s="130" t="n">
        <f aca="false">SUM(K5:K6)</f>
        <v>10.1552115517834</v>
      </c>
      <c r="L7" s="130" t="n">
        <f aca="false">SUM(L5:L6)</f>
        <v>10.6190420265571</v>
      </c>
      <c r="M7" s="130" t="n">
        <f aca="false">SUM(M5:M6)</f>
        <v>11.0995228067239</v>
      </c>
      <c r="N7" s="130" t="n">
        <f aca="false">SUM(N5:N6)</f>
        <v>11.6246544961821</v>
      </c>
      <c r="O7" s="130" t="n">
        <f aca="false">SUM(O5:O6)</f>
        <v>12.6399036879548</v>
      </c>
      <c r="P7" s="130" t="n">
        <f aca="false">SUM(P5:P6)</f>
        <v>13.3264073154183</v>
      </c>
      <c r="Q7" s="130" t="n">
        <f aca="false">SUM(Q5:Q6)</f>
        <v>14.052487029033</v>
      </c>
      <c r="R7" s="130" t="n">
        <f aca="false">SUM(R5:R6)</f>
        <v>14.8437740068846</v>
      </c>
      <c r="S7" s="130" t="n">
        <f aca="false">SUM(S5:S6)</f>
        <v>15.6947323596597</v>
      </c>
      <c r="T7" s="130" t="n">
        <f aca="false">SUM(T5:T6)</f>
        <v>16.6507109837912</v>
      </c>
      <c r="U7" s="130" t="n">
        <f aca="false">SUM(U5:U6)</f>
        <v>17.7823764800145</v>
      </c>
      <c r="V7" s="130" t="n">
        <f aca="false">SUM(V5:V6)</f>
        <v>19.9195051082942</v>
      </c>
      <c r="W7" s="130" t="n">
        <f aca="false">SUM(W5:W6)</f>
        <v>19.6085581609821</v>
      </c>
      <c r="X7" s="130" t="n">
        <f aca="false">SUM(X5:X6)</f>
        <v>19.2983790420078</v>
      </c>
      <c r="Y7" s="130" t="n">
        <f aca="false">SUM(Y5:Y6)</f>
        <v>0</v>
      </c>
      <c r="Z7" s="130" t="n">
        <f aca="false">SUM(Z5:Z6)</f>
        <v>0</v>
      </c>
      <c r="AA7" s="130" t="n">
        <f aca="false">SUM(AA5:AA6)</f>
        <v>0</v>
      </c>
      <c r="AB7" s="130" t="n">
        <f aca="false">SUM(AB5:AB6)</f>
        <v>0</v>
      </c>
      <c r="AC7" s="130" t="n">
        <f aca="false">SUM(AC5:AC6)</f>
        <v>0</v>
      </c>
      <c r="AD7" s="130" t="n">
        <f aca="false">SUM(AD5:AD6)</f>
        <v>0</v>
      </c>
      <c r="AE7" s="130" t="n">
        <f aca="false">SUM(AE5:AE6)</f>
        <v>0</v>
      </c>
      <c r="AF7" s="130" t="n">
        <f aca="false">SUM(AF5:AF6)</f>
        <v>0</v>
      </c>
      <c r="AG7" s="130" t="n">
        <f aca="false">SUM(AG5:AG6)</f>
        <v>0</v>
      </c>
      <c r="AH7" s="130" t="n">
        <f aca="false">SUM(AH5:AH6)</f>
        <v>0</v>
      </c>
      <c r="AI7" s="130" t="n">
        <f aca="false">SUM(AI5:AI6)</f>
        <v>0</v>
      </c>
      <c r="AJ7" s="1053"/>
      <c r="AK7" s="1053"/>
      <c r="AL7" s="1053"/>
      <c r="AM7" s="1053"/>
      <c r="AN7" s="1053"/>
      <c r="AO7" s="1053"/>
      <c r="AP7" s="1053"/>
      <c r="AQ7" s="1053"/>
      <c r="AR7" s="1053"/>
      <c r="AS7" s="1053"/>
      <c r="AT7" s="1053"/>
      <c r="AU7" s="1053"/>
      <c r="AV7" s="1238"/>
      <c r="AW7" s="1238"/>
      <c r="AX7" s="1238"/>
      <c r="AY7" s="1238"/>
      <c r="AZ7" s="1238"/>
      <c r="BA7" s="1238"/>
      <c r="BB7" s="1238"/>
      <c r="BC7" s="1238"/>
      <c r="BD7" s="1238"/>
      <c r="BE7" s="1238"/>
      <c r="BF7" s="1238"/>
      <c r="BG7" s="1238"/>
      <c r="BH7" s="1238"/>
      <c r="BI7" s="1238"/>
      <c r="BJ7" s="1238"/>
      <c r="BK7" s="1238"/>
      <c r="BL7" s="1238"/>
      <c r="BM7" s="1238"/>
      <c r="BN7" s="1238"/>
      <c r="BO7" s="1238"/>
      <c r="BP7" s="1238"/>
      <c r="BQ7" s="1238"/>
      <c r="BR7" s="1238"/>
      <c r="BS7" s="1238"/>
      <c r="BT7" s="1238"/>
      <c r="BU7" s="1238"/>
      <c r="BV7" s="1238"/>
      <c r="BW7" s="1238"/>
      <c r="BX7" s="1238"/>
      <c r="BY7" s="1238"/>
      <c r="BZ7" s="1238"/>
      <c r="CA7" s="1238"/>
      <c r="CB7" s="1238"/>
      <c r="CC7" s="1238"/>
      <c r="CD7" s="1238"/>
      <c r="CE7" s="1238"/>
      <c r="CF7" s="1238"/>
      <c r="CG7" s="1238"/>
      <c r="CH7" s="1238"/>
      <c r="CI7" s="1238"/>
      <c r="CJ7" s="1238"/>
      <c r="CK7" s="1238"/>
      <c r="CL7" s="1238"/>
      <c r="CM7" s="1238"/>
      <c r="CN7" s="1238"/>
      <c r="CO7" s="1238"/>
      <c r="CP7" s="1238"/>
      <c r="CQ7" s="1238"/>
      <c r="CR7" s="1238"/>
      <c r="CS7" s="1238"/>
      <c r="CT7" s="1238"/>
      <c r="CU7" s="1238"/>
      <c r="CV7" s="1238"/>
      <c r="CW7" s="1238"/>
      <c r="CX7" s="1238"/>
      <c r="CY7" s="1238"/>
      <c r="CZ7" s="1238"/>
      <c r="DA7" s="1238"/>
      <c r="DB7" s="1238"/>
      <c r="DC7" s="1238"/>
      <c r="DD7" s="1238"/>
      <c r="DE7" s="1238"/>
      <c r="DF7" s="1238"/>
      <c r="DG7" s="1238"/>
      <c r="DH7" s="1238"/>
      <c r="DI7" s="1238"/>
      <c r="DJ7" s="1238"/>
      <c r="DK7" s="1238"/>
      <c r="DL7" s="1238"/>
      <c r="DM7" s="1238"/>
      <c r="DN7" s="1238"/>
      <c r="DO7" s="1238"/>
      <c r="DP7" s="1238"/>
      <c r="DQ7" s="1238"/>
      <c r="DR7" s="1238"/>
      <c r="DS7" s="1238"/>
      <c r="DT7" s="1238"/>
      <c r="DU7" s="1238"/>
      <c r="DV7" s="1238"/>
      <c r="DW7" s="1238"/>
      <c r="DX7" s="1238"/>
      <c r="DY7" s="1238"/>
      <c r="DZ7" s="1238"/>
      <c r="EA7" s="1238"/>
      <c r="EB7" s="1238"/>
      <c r="EC7" s="1238"/>
      <c r="ED7" s="1238"/>
      <c r="EE7" s="1238"/>
      <c r="EF7" s="1238"/>
      <c r="EG7" s="1238"/>
      <c r="EH7" s="1238"/>
      <c r="EI7" s="1238"/>
      <c r="EJ7" s="1238"/>
      <c r="EK7" s="1238"/>
      <c r="EL7" s="1238"/>
      <c r="EM7" s="1238"/>
      <c r="EN7" s="1238"/>
      <c r="EO7" s="1239"/>
      <c r="EP7" s="1239"/>
      <c r="EQ7" s="1239"/>
      <c r="ER7" s="1239"/>
      <c r="ES7" s="1239"/>
      <c r="ET7" s="1239"/>
      <c r="EU7" s="1239"/>
      <c r="EV7" s="1239"/>
      <c r="EW7" s="1239"/>
      <c r="EX7" s="1239"/>
      <c r="EY7" s="1239"/>
      <c r="EZ7" s="1239"/>
      <c r="FA7" s="1239"/>
      <c r="FB7" s="1239"/>
      <c r="FC7" s="1239"/>
      <c r="FD7" s="1239"/>
      <c r="FE7" s="1239"/>
      <c r="FF7" s="1239"/>
      <c r="FG7" s="1239"/>
      <c r="FH7" s="1239"/>
      <c r="FI7" s="1239"/>
      <c r="FJ7" s="1239"/>
      <c r="FK7" s="1239"/>
      <c r="FL7" s="1239"/>
      <c r="FM7" s="1239"/>
      <c r="FN7" s="1239"/>
      <c r="FO7" s="1239"/>
      <c r="FP7" s="1239"/>
      <c r="FQ7" s="1239"/>
      <c r="FR7" s="1239"/>
      <c r="FS7" s="1239"/>
      <c r="FT7" s="1239"/>
      <c r="FU7" s="1239"/>
      <c r="FV7" s="1239"/>
      <c r="FW7" s="1239"/>
      <c r="FX7" s="1239"/>
      <c r="FY7" s="1239"/>
      <c r="FZ7" s="1239"/>
      <c r="GA7" s="1239"/>
      <c r="GB7" s="1239"/>
      <c r="GC7" s="1239"/>
      <c r="GD7" s="1239"/>
      <c r="GE7" s="1239"/>
      <c r="GF7" s="1239"/>
      <c r="GG7" s="1239"/>
      <c r="GH7" s="1239"/>
      <c r="GI7" s="1239"/>
      <c r="GJ7" s="1239"/>
      <c r="GK7" s="1239"/>
      <c r="GL7" s="1239"/>
      <c r="GM7" s="1239"/>
      <c r="GN7" s="1239"/>
      <c r="GO7" s="1239"/>
      <c r="GP7" s="1239"/>
      <c r="GQ7" s="1239"/>
      <c r="GR7" s="1239"/>
      <c r="GS7" s="1239"/>
      <c r="GT7" s="1239"/>
      <c r="GU7" s="1239"/>
      <c r="GV7" s="1239"/>
      <c r="GW7" s="1239"/>
      <c r="GX7" s="1239"/>
      <c r="GY7" s="1239"/>
      <c r="GZ7" s="1239"/>
      <c r="HA7" s="1239"/>
      <c r="HB7" s="1239"/>
      <c r="HC7" s="1239"/>
      <c r="HD7" s="1239"/>
      <c r="HE7" s="1239"/>
      <c r="HF7" s="1239"/>
      <c r="HG7" s="1239"/>
      <c r="HH7" s="1239"/>
      <c r="HI7" s="1239"/>
      <c r="HJ7" s="1239"/>
      <c r="HK7" s="1239"/>
      <c r="HL7" s="1239"/>
      <c r="HM7" s="1239"/>
      <c r="HN7" s="1239"/>
      <c r="HO7" s="1239"/>
      <c r="HP7" s="1239"/>
      <c r="HQ7" s="1239"/>
      <c r="HR7" s="1239"/>
      <c r="HS7" s="1239"/>
      <c r="HT7" s="1239"/>
      <c r="HU7" s="1239"/>
      <c r="HV7" s="1239"/>
      <c r="HW7" s="1239"/>
      <c r="HX7" s="1239"/>
      <c r="HY7" s="1239"/>
      <c r="HZ7" s="1239"/>
      <c r="IA7" s="1239"/>
      <c r="IB7" s="1239"/>
      <c r="IC7" s="1239"/>
      <c r="ID7" s="1239"/>
      <c r="IE7" s="1239"/>
      <c r="IF7" s="1239"/>
      <c r="IG7" s="1239"/>
      <c r="IH7" s="1239"/>
      <c r="II7" s="1239"/>
      <c r="IJ7" s="1239"/>
      <c r="IK7" s="1239"/>
      <c r="IL7" s="1239"/>
      <c r="IM7" s="1239"/>
      <c r="IN7" s="1239"/>
      <c r="IO7" s="1239"/>
      <c r="IP7" s="1239"/>
      <c r="IQ7" s="1239"/>
      <c r="IR7" s="1239"/>
      <c r="IS7" s="1239"/>
      <c r="IT7" s="1239"/>
      <c r="IU7" s="1239"/>
      <c r="IV7" s="1239"/>
      <c r="IW7" s="1239"/>
    </row>
    <row r="8" customFormat="false" ht="12.75" hidden="false" customHeight="false" outlineLevel="0" collapsed="false">
      <c r="A8" s="1229"/>
      <c r="B8" s="0" t="s">
        <v>798</v>
      </c>
      <c r="D8" s="1240"/>
      <c r="E8" s="598" t="n">
        <f aca="false">Assum!$E$199</f>
        <v>0.3955</v>
      </c>
      <c r="F8" s="598" t="n">
        <f aca="false">Assum!$E$199</f>
        <v>0.3955</v>
      </c>
      <c r="G8" s="598" t="n">
        <f aca="false">Assum!$E$199</f>
        <v>0.3955</v>
      </c>
      <c r="H8" s="598" t="n">
        <f aca="false">Assum!$E$199</f>
        <v>0.3955</v>
      </c>
      <c r="I8" s="598" t="n">
        <f aca="false">Assum!$E$199</f>
        <v>0.3955</v>
      </c>
      <c r="J8" s="598" t="n">
        <f aca="false">Assum!$E$199</f>
        <v>0.3955</v>
      </c>
      <c r="K8" s="598" t="n">
        <f aca="false">Assum!$E$199</f>
        <v>0.3955</v>
      </c>
      <c r="L8" s="598" t="n">
        <f aca="false">Assum!$E$199</f>
        <v>0.3955</v>
      </c>
      <c r="M8" s="598" t="n">
        <f aca="false">Assum!$E$199</f>
        <v>0.3955</v>
      </c>
      <c r="N8" s="598" t="n">
        <f aca="false">Assum!$E$199</f>
        <v>0.3955</v>
      </c>
      <c r="O8" s="598" t="n">
        <f aca="false">Assum!$E$199</f>
        <v>0.3955</v>
      </c>
      <c r="P8" s="598" t="n">
        <f aca="false">Assum!$E$199</f>
        <v>0.3955</v>
      </c>
      <c r="Q8" s="598" t="n">
        <f aca="false">Assum!$E$199</f>
        <v>0.3955</v>
      </c>
      <c r="R8" s="598" t="n">
        <f aca="false">Assum!$E$199</f>
        <v>0.3955</v>
      </c>
      <c r="S8" s="598" t="n">
        <f aca="false">Assum!$E$199</f>
        <v>0.3955</v>
      </c>
      <c r="T8" s="598" t="n">
        <f aca="false">Assum!$E$199</f>
        <v>0.3955</v>
      </c>
      <c r="U8" s="598" t="n">
        <f aca="false">Assum!$E$199</f>
        <v>0.3955</v>
      </c>
      <c r="V8" s="598" t="n">
        <f aca="false">Assum!$E$199</f>
        <v>0.3955</v>
      </c>
      <c r="W8" s="598" t="n">
        <f aca="false">Assum!$E$199</f>
        <v>0.3955</v>
      </c>
      <c r="X8" s="598" t="n">
        <f aca="false">Assum!$E$199</f>
        <v>0.3955</v>
      </c>
      <c r="Y8" s="598" t="n">
        <f aca="false">Assum!$E$199</f>
        <v>0.3955</v>
      </c>
      <c r="Z8" s="598" t="n">
        <f aca="false">Assum!$E$199</f>
        <v>0.3955</v>
      </c>
      <c r="AA8" s="598" t="n">
        <f aca="false">Assum!$E$199</f>
        <v>0.3955</v>
      </c>
      <c r="AB8" s="598" t="n">
        <f aca="false">Assum!$E$199</f>
        <v>0.3955</v>
      </c>
      <c r="AC8" s="598" t="n">
        <f aca="false">Assum!$E$199</f>
        <v>0.3955</v>
      </c>
      <c r="AD8" s="598" t="n">
        <f aca="false">Assum!$E$199</f>
        <v>0.3955</v>
      </c>
      <c r="AE8" s="598" t="n">
        <f aca="false">Assum!$E$199</f>
        <v>0.3955</v>
      </c>
      <c r="AF8" s="598" t="n">
        <f aca="false">Assum!$E$199</f>
        <v>0.3955</v>
      </c>
      <c r="AG8" s="598" t="n">
        <f aca="false">Assum!$E$199</f>
        <v>0.3955</v>
      </c>
      <c r="AH8" s="598" t="n">
        <f aca="false">Assum!$E$199</f>
        <v>0.3955</v>
      </c>
      <c r="AI8" s="598" t="n">
        <f aca="false">Assum!$E$199</f>
        <v>0.3955</v>
      </c>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1240"/>
      <c r="DG8" s="1240"/>
      <c r="DH8" s="1240"/>
      <c r="DI8" s="1240"/>
      <c r="DJ8" s="1240"/>
      <c r="DK8" s="1240"/>
      <c r="DL8" s="1240"/>
      <c r="DM8" s="1240"/>
      <c r="DN8" s="1240"/>
      <c r="DO8" s="1240"/>
      <c r="DP8" s="1240"/>
      <c r="DQ8" s="1240"/>
      <c r="DR8" s="1240"/>
      <c r="DS8" s="1240"/>
      <c r="DT8" s="1240"/>
      <c r="DU8" s="1240"/>
      <c r="DV8" s="1240"/>
      <c r="DW8" s="1240"/>
      <c r="DX8" s="1240"/>
      <c r="DY8" s="1240"/>
      <c r="DZ8" s="1240"/>
      <c r="EA8" s="1240"/>
      <c r="EB8" s="1240"/>
      <c r="EC8" s="1240"/>
      <c r="ED8" s="1240"/>
      <c r="EE8" s="1240"/>
      <c r="EF8" s="1240"/>
      <c r="EG8" s="1240"/>
      <c r="EH8" s="1240"/>
      <c r="EI8" s="1240"/>
      <c r="EJ8" s="1240"/>
      <c r="EK8" s="1240"/>
      <c r="EL8" s="1240"/>
      <c r="EM8" s="1240"/>
      <c r="EN8" s="1240"/>
      <c r="EO8" s="1240"/>
      <c r="EP8" s="1240"/>
      <c r="EQ8" s="1240"/>
      <c r="ER8" s="1240"/>
      <c r="ES8" s="1240"/>
      <c r="ET8" s="1240"/>
      <c r="EU8" s="1240"/>
      <c r="EV8" s="1240"/>
      <c r="EW8" s="1240"/>
      <c r="EX8" s="1240"/>
      <c r="EY8" s="1240"/>
      <c r="EZ8" s="1240"/>
      <c r="FA8" s="1240"/>
      <c r="FB8" s="1240"/>
      <c r="FC8" s="1240"/>
      <c r="FD8" s="1240"/>
      <c r="FE8" s="1240"/>
      <c r="FF8" s="1240"/>
      <c r="FG8" s="1240"/>
      <c r="FH8" s="1240"/>
      <c r="FI8" s="1240"/>
      <c r="FJ8" s="1240"/>
      <c r="FK8" s="1240"/>
      <c r="FL8" s="1240"/>
      <c r="FM8" s="1240"/>
      <c r="FN8" s="1240"/>
      <c r="FO8" s="1240"/>
      <c r="FP8" s="1240"/>
      <c r="FQ8" s="1240"/>
      <c r="FR8" s="1240"/>
      <c r="FS8" s="1240"/>
      <c r="FT8" s="1240"/>
      <c r="FU8" s="1240"/>
      <c r="FV8" s="1240"/>
      <c r="FW8" s="1240"/>
      <c r="FX8" s="1240"/>
      <c r="FY8" s="1240"/>
      <c r="FZ8" s="1240"/>
      <c r="GA8" s="1240"/>
      <c r="GB8" s="1240"/>
      <c r="GC8" s="1240"/>
      <c r="GD8" s="1240"/>
      <c r="GE8" s="1240"/>
      <c r="GF8" s="1240"/>
      <c r="GG8" s="1240"/>
      <c r="GH8" s="1240"/>
      <c r="GI8" s="1240"/>
      <c r="GJ8" s="1240"/>
      <c r="GK8" s="1240"/>
      <c r="GL8" s="1240"/>
      <c r="GM8" s="1240"/>
      <c r="GN8" s="1240"/>
      <c r="GO8" s="1240"/>
      <c r="GP8" s="1240"/>
      <c r="GQ8" s="1240"/>
      <c r="GR8" s="1240"/>
      <c r="GS8" s="1240"/>
      <c r="GT8" s="1240"/>
      <c r="GU8" s="1240"/>
      <c r="GV8" s="1240"/>
      <c r="GW8" s="1240"/>
      <c r="GX8" s="1240"/>
      <c r="GY8" s="1240"/>
      <c r="GZ8" s="1240"/>
      <c r="HA8" s="1240"/>
      <c r="HB8" s="1240"/>
      <c r="HC8" s="1240"/>
      <c r="HD8" s="1240"/>
      <c r="HE8" s="1240"/>
      <c r="HF8" s="1240"/>
      <c r="HG8" s="1240"/>
      <c r="HH8" s="1240"/>
      <c r="HI8" s="1240"/>
      <c r="HJ8" s="1240"/>
      <c r="HK8" s="1240"/>
      <c r="HL8" s="1240"/>
      <c r="HM8" s="1240"/>
      <c r="HN8" s="1240"/>
      <c r="HO8" s="1240"/>
      <c r="HP8" s="1240"/>
      <c r="HQ8" s="1240"/>
      <c r="HR8" s="1240"/>
      <c r="HS8" s="1240"/>
      <c r="HT8" s="1240"/>
      <c r="HU8" s="1240"/>
      <c r="HV8" s="1240"/>
      <c r="HW8" s="1240"/>
      <c r="HX8" s="1240"/>
      <c r="HY8" s="1240"/>
      <c r="HZ8" s="1240"/>
      <c r="IA8" s="1240"/>
      <c r="IB8" s="1240"/>
      <c r="IC8" s="1240"/>
      <c r="ID8" s="1240"/>
      <c r="IE8" s="1240"/>
      <c r="IF8" s="1240"/>
      <c r="IG8" s="1240"/>
      <c r="IH8" s="1240"/>
      <c r="II8" s="1240"/>
      <c r="IJ8" s="1240"/>
      <c r="IK8" s="1240"/>
      <c r="IL8" s="1240"/>
      <c r="IM8" s="1240"/>
      <c r="IN8" s="1240"/>
      <c r="IO8" s="1240"/>
      <c r="IP8" s="1240"/>
      <c r="IQ8" s="1240"/>
      <c r="IR8" s="1240"/>
      <c r="IS8" s="1240"/>
      <c r="IT8" s="1240"/>
      <c r="IU8" s="1240"/>
      <c r="IV8" s="1240"/>
      <c r="IW8" s="1240"/>
    </row>
    <row r="9" customFormat="false" ht="12.75" hidden="false" customHeight="false" outlineLevel="0" collapsed="false">
      <c r="A9" s="1229"/>
      <c r="B9" s="1151" t="s">
        <v>760</v>
      </c>
      <c r="C9" s="1151"/>
      <c r="D9" s="1241"/>
      <c r="E9" s="1055" t="n">
        <f aca="false">-E7*E8</f>
        <v>26.0661937964815</v>
      </c>
      <c r="F9" s="1055" t="n">
        <f aca="false">-F7*F8</f>
        <v>43.4967418928308</v>
      </c>
      <c r="G9" s="1055" t="n">
        <f aca="false">-G7*G8</f>
        <v>24.675924730128</v>
      </c>
      <c r="H9" s="1055" t="n">
        <f aca="false">-H7*H8</f>
        <v>13.2965562349585</v>
      </c>
      <c r="I9" s="1055" t="n">
        <f aca="false">-I7*I8</f>
        <v>13.1349923898384</v>
      </c>
      <c r="J9" s="1055" t="n">
        <f aca="false">-J7*J8</f>
        <v>4.54364249663832</v>
      </c>
      <c r="K9" s="1055" t="n">
        <f aca="false">-K7*K8</f>
        <v>-4.01638616873035</v>
      </c>
      <c r="L9" s="1055" t="n">
        <f aca="false">-L7*L8</f>
        <v>-4.19983112150335</v>
      </c>
      <c r="M9" s="1055" t="n">
        <f aca="false">-M7*M8</f>
        <v>-4.38986127005931</v>
      </c>
      <c r="N9" s="1055" t="n">
        <f aca="false">-N7*N8</f>
        <v>-4.59755085324002</v>
      </c>
      <c r="O9" s="1055" t="n">
        <f aca="false">-O7*O8</f>
        <v>-4.99908190858611</v>
      </c>
      <c r="P9" s="1055" t="n">
        <f aca="false">-P7*P8</f>
        <v>-5.27059409324793</v>
      </c>
      <c r="Q9" s="1055" t="n">
        <f aca="false">-Q7*Q8</f>
        <v>-5.55775861998256</v>
      </c>
      <c r="R9" s="1055" t="n">
        <f aca="false">-R7*R8</f>
        <v>-5.87071261972285</v>
      </c>
      <c r="S9" s="1055" t="n">
        <f aca="false">-S7*S8</f>
        <v>-6.20726664824541</v>
      </c>
      <c r="T9" s="1055" t="n">
        <f aca="false">-T7*T8</f>
        <v>-6.58535619408943</v>
      </c>
      <c r="U9" s="1055" t="n">
        <f aca="false">-U7*U8</f>
        <v>-7.03292989784575</v>
      </c>
      <c r="V9" s="1055" t="n">
        <f aca="false">-V7*V8</f>
        <v>-7.87816427033034</v>
      </c>
      <c r="W9" s="1055" t="n">
        <f aca="false">-W7*W8</f>
        <v>-7.75518475266843</v>
      </c>
      <c r="X9" s="1055" t="n">
        <f aca="false">-X7*X8</f>
        <v>-7.63250891111409</v>
      </c>
      <c r="Y9" s="1055" t="n">
        <f aca="false">-Y7*Y8</f>
        <v>-0</v>
      </c>
      <c r="Z9" s="1055" t="n">
        <f aca="false">-Z7*Z8</f>
        <v>-0</v>
      </c>
      <c r="AA9" s="1055" t="n">
        <f aca="false">-AA7*AA8</f>
        <v>-0</v>
      </c>
      <c r="AB9" s="1055" t="n">
        <f aca="false">-AB7*AB8</f>
        <v>-0</v>
      </c>
      <c r="AC9" s="1055" t="n">
        <f aca="false">-AC7*AC8</f>
        <v>-0</v>
      </c>
      <c r="AD9" s="1055" t="n">
        <f aca="false">-AD7*AD8</f>
        <v>-0</v>
      </c>
      <c r="AE9" s="1055" t="n">
        <f aca="false">-AE7*AE8</f>
        <v>-0</v>
      </c>
      <c r="AF9" s="1055" t="n">
        <f aca="false">-AF7*AF8</f>
        <v>-0</v>
      </c>
      <c r="AG9" s="1055" t="n">
        <f aca="false">-AG7*AG8</f>
        <v>-0</v>
      </c>
      <c r="AH9" s="1055" t="n">
        <f aca="false">-AH7*AH8</f>
        <v>-0</v>
      </c>
      <c r="AI9" s="1055" t="n">
        <f aca="false">-AI7*AI8</f>
        <v>-0</v>
      </c>
      <c r="AJ9" s="1055"/>
      <c r="AK9" s="1055"/>
      <c r="AL9" s="1055"/>
      <c r="AM9" s="1055"/>
      <c r="AN9" s="1055"/>
      <c r="AO9" s="1055"/>
      <c r="AP9" s="1055"/>
      <c r="AQ9" s="1055"/>
      <c r="AR9" s="1055"/>
      <c r="AS9" s="1055"/>
      <c r="AT9" s="1055"/>
      <c r="AU9" s="1055"/>
      <c r="AV9" s="1242"/>
      <c r="AW9" s="1242"/>
      <c r="AX9" s="1242"/>
      <c r="AY9" s="1242"/>
      <c r="AZ9" s="1242"/>
      <c r="BA9" s="1242"/>
      <c r="BB9" s="1242"/>
      <c r="BC9" s="1242"/>
      <c r="BD9" s="1242"/>
      <c r="BE9" s="1242"/>
      <c r="BF9" s="1242"/>
      <c r="BG9" s="1242"/>
      <c r="BH9" s="1242"/>
      <c r="BI9" s="1242"/>
      <c r="BJ9" s="1242"/>
      <c r="BK9" s="1242"/>
      <c r="BL9" s="1242"/>
      <c r="BM9" s="1242"/>
      <c r="BN9" s="1242"/>
      <c r="BO9" s="1242"/>
      <c r="BP9" s="1242"/>
      <c r="BQ9" s="1242"/>
      <c r="BR9" s="1242"/>
      <c r="BS9" s="1242"/>
      <c r="BT9" s="1242"/>
      <c r="BU9" s="1242"/>
      <c r="BV9" s="1242"/>
      <c r="BW9" s="1242"/>
      <c r="BX9" s="1242"/>
      <c r="BY9" s="1242"/>
      <c r="BZ9" s="1242"/>
      <c r="CA9" s="1242"/>
      <c r="CB9" s="1242"/>
      <c r="CC9" s="1242"/>
      <c r="CD9" s="1242"/>
      <c r="CE9" s="1242"/>
      <c r="CF9" s="1242"/>
      <c r="CG9" s="1242"/>
      <c r="CH9" s="1242"/>
      <c r="CI9" s="1242"/>
      <c r="CJ9" s="1242"/>
      <c r="CK9" s="1242"/>
      <c r="CL9" s="1242"/>
      <c r="CM9" s="1242"/>
      <c r="CN9" s="1242"/>
      <c r="CO9" s="1242"/>
      <c r="CP9" s="1242"/>
      <c r="CQ9" s="1242"/>
      <c r="CR9" s="1242"/>
      <c r="CS9" s="1242"/>
      <c r="CT9" s="1242"/>
      <c r="CU9" s="1242"/>
      <c r="CV9" s="1242"/>
      <c r="CW9" s="1242"/>
      <c r="CX9" s="1242"/>
      <c r="CY9" s="1242"/>
      <c r="CZ9" s="1242"/>
      <c r="DA9" s="1242"/>
      <c r="DB9" s="1242"/>
      <c r="DC9" s="1242"/>
      <c r="DD9" s="1242"/>
      <c r="DE9" s="1242"/>
      <c r="DF9" s="1242"/>
      <c r="DG9" s="1242"/>
      <c r="DH9" s="1242"/>
      <c r="DI9" s="1242"/>
      <c r="DJ9" s="1242"/>
      <c r="DK9" s="1242"/>
      <c r="DL9" s="1242"/>
      <c r="DM9" s="1242"/>
      <c r="DN9" s="1242"/>
      <c r="DO9" s="1242"/>
      <c r="DP9" s="1242"/>
      <c r="DQ9" s="1242"/>
      <c r="DR9" s="1242"/>
      <c r="DS9" s="1242"/>
      <c r="DT9" s="1242"/>
      <c r="DU9" s="1242"/>
      <c r="DV9" s="1242"/>
      <c r="DW9" s="1242"/>
      <c r="DX9" s="1242"/>
      <c r="DY9" s="1242"/>
      <c r="DZ9" s="1242"/>
      <c r="EA9" s="1242"/>
      <c r="EB9" s="1242"/>
      <c r="EC9" s="1242"/>
      <c r="ED9" s="1242"/>
      <c r="EE9" s="1242"/>
      <c r="EF9" s="1242"/>
      <c r="EG9" s="1242"/>
      <c r="EH9" s="1242"/>
      <c r="EI9" s="1242"/>
      <c r="EJ9" s="1242"/>
      <c r="EK9" s="1242"/>
      <c r="EL9" s="1242"/>
      <c r="EM9" s="1242"/>
      <c r="EN9" s="1242"/>
      <c r="EO9" s="1243"/>
      <c r="EP9" s="1243"/>
      <c r="EQ9" s="1243"/>
      <c r="ER9" s="1243"/>
      <c r="ES9" s="1243"/>
      <c r="ET9" s="1243"/>
      <c r="EU9" s="1243"/>
      <c r="EV9" s="1243"/>
      <c r="EW9" s="1243"/>
      <c r="EX9" s="1243"/>
      <c r="EY9" s="1243"/>
      <c r="EZ9" s="1243"/>
      <c r="FA9" s="1243"/>
      <c r="FB9" s="1243"/>
      <c r="FC9" s="1243"/>
      <c r="FD9" s="1243"/>
      <c r="FE9" s="1243"/>
      <c r="FF9" s="1243"/>
      <c r="FG9" s="1243"/>
      <c r="FH9" s="1243"/>
      <c r="FI9" s="1243"/>
      <c r="FJ9" s="1243"/>
      <c r="FK9" s="1243"/>
      <c r="FL9" s="1243"/>
      <c r="FM9" s="1243"/>
      <c r="FN9" s="1243"/>
      <c r="FO9" s="1243"/>
      <c r="FP9" s="1243"/>
      <c r="FQ9" s="1243"/>
      <c r="FR9" s="1243"/>
      <c r="FS9" s="1243"/>
      <c r="FT9" s="1243"/>
      <c r="FU9" s="1243"/>
      <c r="FV9" s="1243"/>
      <c r="FW9" s="1243"/>
      <c r="FX9" s="1243"/>
      <c r="FY9" s="1243"/>
      <c r="FZ9" s="1243"/>
      <c r="GA9" s="1243"/>
      <c r="GB9" s="1243"/>
      <c r="GC9" s="1243"/>
      <c r="GD9" s="1243"/>
      <c r="GE9" s="1243"/>
      <c r="GF9" s="1243"/>
      <c r="GG9" s="1243"/>
      <c r="GH9" s="1243"/>
      <c r="GI9" s="1243"/>
      <c r="GJ9" s="1243"/>
      <c r="GK9" s="1243"/>
      <c r="GL9" s="1243"/>
      <c r="GM9" s="1243"/>
      <c r="GN9" s="1243"/>
      <c r="GO9" s="1243"/>
      <c r="GP9" s="1243"/>
      <c r="GQ9" s="1243"/>
      <c r="GR9" s="1243"/>
      <c r="GS9" s="1243"/>
      <c r="GT9" s="1243"/>
      <c r="GU9" s="1243"/>
      <c r="GV9" s="1243"/>
      <c r="GW9" s="1243"/>
      <c r="GX9" s="1243"/>
      <c r="GY9" s="1243"/>
      <c r="GZ9" s="1243"/>
      <c r="HA9" s="1243"/>
      <c r="HB9" s="1243"/>
      <c r="HC9" s="1243"/>
      <c r="HD9" s="1243"/>
      <c r="HE9" s="1243"/>
      <c r="HF9" s="1243"/>
      <c r="HG9" s="1243"/>
      <c r="HH9" s="1243"/>
      <c r="HI9" s="1243"/>
      <c r="HJ9" s="1243"/>
      <c r="HK9" s="1243"/>
      <c r="HL9" s="1243"/>
      <c r="HM9" s="1243"/>
      <c r="HN9" s="1243"/>
      <c r="HO9" s="1243"/>
      <c r="HP9" s="1243"/>
      <c r="HQ9" s="1243"/>
      <c r="HR9" s="1243"/>
      <c r="HS9" s="1243"/>
      <c r="HT9" s="1243"/>
      <c r="HU9" s="1243"/>
      <c r="HV9" s="1243"/>
      <c r="HW9" s="1243"/>
      <c r="HX9" s="1243"/>
      <c r="HY9" s="1243"/>
      <c r="HZ9" s="1243"/>
      <c r="IA9" s="1243"/>
      <c r="IB9" s="1243"/>
      <c r="IC9" s="1243"/>
      <c r="ID9" s="1243"/>
      <c r="IE9" s="1243"/>
      <c r="IF9" s="1243"/>
      <c r="IG9" s="1243"/>
      <c r="IH9" s="1243"/>
      <c r="II9" s="1243"/>
      <c r="IJ9" s="1243"/>
      <c r="IK9" s="1243"/>
      <c r="IL9" s="1243"/>
      <c r="IM9" s="1243"/>
      <c r="IN9" s="1243"/>
      <c r="IO9" s="1243"/>
      <c r="IP9" s="1243"/>
      <c r="IQ9" s="1243"/>
      <c r="IR9" s="1243"/>
      <c r="IS9" s="1243"/>
      <c r="IT9" s="1243"/>
      <c r="IU9" s="1243"/>
      <c r="IV9" s="1243"/>
      <c r="IW9" s="1243"/>
    </row>
    <row r="10" customFormat="false" ht="12.75" hidden="false" customHeight="false" outlineLevel="0" collapsed="false">
      <c r="A10" s="1229"/>
      <c r="B10" s="1151"/>
      <c r="C10" s="1151"/>
      <c r="D10" s="1237"/>
      <c r="E10" s="1053"/>
      <c r="F10" s="1053"/>
      <c r="G10" s="1053"/>
      <c r="H10" s="1053"/>
      <c r="I10" s="1053"/>
      <c r="J10" s="1053"/>
      <c r="K10" s="1053"/>
      <c r="L10" s="1053"/>
      <c r="M10" s="1053"/>
      <c r="N10" s="1053"/>
      <c r="O10" s="1053"/>
      <c r="P10" s="1053"/>
      <c r="Q10" s="1053"/>
      <c r="R10" s="1053"/>
      <c r="S10" s="1053"/>
      <c r="T10" s="1053"/>
      <c r="U10" s="1053"/>
      <c r="V10" s="1053"/>
      <c r="W10" s="1053"/>
      <c r="X10" s="1053"/>
      <c r="Y10" s="1053"/>
      <c r="Z10" s="1053"/>
      <c r="AA10" s="1053"/>
      <c r="AB10" s="1053"/>
      <c r="AC10" s="1053"/>
      <c r="AD10" s="1053"/>
      <c r="AE10" s="1053"/>
      <c r="AF10" s="1053"/>
      <c r="AG10" s="1053"/>
      <c r="AH10" s="1053"/>
      <c r="AI10" s="1053"/>
      <c r="AJ10" s="1053"/>
      <c r="AK10" s="1053"/>
      <c r="AL10" s="1053"/>
      <c r="AM10" s="1053"/>
      <c r="AN10" s="1053"/>
      <c r="AO10" s="1053"/>
      <c r="AP10" s="1053"/>
      <c r="AQ10" s="1053"/>
      <c r="AR10" s="1053"/>
      <c r="AS10" s="1053"/>
      <c r="AT10" s="1053"/>
      <c r="AU10" s="1053"/>
      <c r="AV10" s="1238"/>
      <c r="AW10" s="1238"/>
      <c r="AX10" s="1238"/>
      <c r="AY10" s="1238"/>
      <c r="AZ10" s="1238"/>
      <c r="BA10" s="1238"/>
      <c r="BB10" s="1238"/>
      <c r="BC10" s="1238"/>
      <c r="BD10" s="1238"/>
      <c r="BE10" s="1238"/>
      <c r="BF10" s="1238"/>
      <c r="BG10" s="1238"/>
      <c r="BH10" s="1238"/>
      <c r="BI10" s="1238"/>
      <c r="BJ10" s="1238"/>
      <c r="BK10" s="1238"/>
      <c r="BL10" s="1238"/>
      <c r="BM10" s="1238"/>
      <c r="BN10" s="1238"/>
      <c r="BO10" s="1238"/>
      <c r="BP10" s="1238"/>
      <c r="BQ10" s="1238"/>
      <c r="BR10" s="1238"/>
      <c r="BS10" s="1238"/>
      <c r="BT10" s="1238"/>
      <c r="BU10" s="1238"/>
      <c r="BV10" s="1238"/>
      <c r="BW10" s="1238"/>
      <c r="BX10" s="1238"/>
      <c r="BY10" s="1238"/>
      <c r="BZ10" s="1238"/>
      <c r="CA10" s="1238"/>
      <c r="CB10" s="1238"/>
      <c r="CC10" s="1238"/>
      <c r="CD10" s="1238"/>
      <c r="CE10" s="1238"/>
      <c r="CF10" s="1238"/>
      <c r="CG10" s="1238"/>
      <c r="CH10" s="1238"/>
      <c r="CI10" s="1238"/>
      <c r="CJ10" s="1238"/>
      <c r="CK10" s="1238"/>
      <c r="CL10" s="1238"/>
      <c r="CM10" s="1238"/>
      <c r="CN10" s="1238"/>
      <c r="CO10" s="1238"/>
      <c r="CP10" s="1238"/>
      <c r="CQ10" s="1238"/>
      <c r="CR10" s="1238"/>
      <c r="CS10" s="1238"/>
      <c r="CT10" s="1238"/>
      <c r="CU10" s="1238"/>
      <c r="CV10" s="1238"/>
      <c r="CW10" s="1238"/>
      <c r="CX10" s="1238"/>
      <c r="CY10" s="1238"/>
      <c r="CZ10" s="1238"/>
      <c r="DA10" s="1238"/>
      <c r="DB10" s="1238"/>
      <c r="DC10" s="1238"/>
      <c r="DD10" s="1238"/>
      <c r="DE10" s="1238"/>
      <c r="DF10" s="1238"/>
      <c r="DG10" s="1238"/>
      <c r="DH10" s="1238"/>
      <c r="DI10" s="1238"/>
      <c r="DJ10" s="1238"/>
      <c r="DK10" s="1238"/>
      <c r="DL10" s="1238"/>
      <c r="DM10" s="1238"/>
      <c r="DN10" s="1238"/>
      <c r="DO10" s="1238"/>
      <c r="DP10" s="1238"/>
      <c r="DQ10" s="1238"/>
      <c r="DR10" s="1238"/>
      <c r="DS10" s="1238"/>
      <c r="DT10" s="1238"/>
      <c r="DU10" s="1238"/>
      <c r="DV10" s="1238"/>
      <c r="DW10" s="1238"/>
      <c r="DX10" s="1238"/>
      <c r="DY10" s="1238"/>
      <c r="DZ10" s="1238"/>
      <c r="EA10" s="1238"/>
      <c r="EB10" s="1238"/>
      <c r="EC10" s="1238"/>
      <c r="ED10" s="1238"/>
      <c r="EE10" s="1238"/>
      <c r="EF10" s="1238"/>
      <c r="EG10" s="1238"/>
      <c r="EH10" s="1238"/>
      <c r="EI10" s="1238"/>
      <c r="EJ10" s="1238"/>
      <c r="EK10" s="1238"/>
      <c r="EL10" s="1238"/>
      <c r="EM10" s="1238"/>
      <c r="EN10" s="1238"/>
      <c r="EO10" s="1239"/>
      <c r="EP10" s="1239"/>
      <c r="EQ10" s="1239"/>
      <c r="ER10" s="1239"/>
      <c r="ES10" s="1239"/>
      <c r="ET10" s="1239"/>
      <c r="EU10" s="1239"/>
      <c r="EV10" s="1239"/>
      <c r="EW10" s="1239"/>
      <c r="EX10" s="1239"/>
      <c r="EY10" s="1239"/>
      <c r="EZ10" s="1239"/>
      <c r="FA10" s="1239"/>
      <c r="FB10" s="1239"/>
      <c r="FC10" s="1239"/>
      <c r="FD10" s="1239"/>
      <c r="FE10" s="1239"/>
      <c r="FF10" s="1239"/>
      <c r="FG10" s="1239"/>
      <c r="FH10" s="1239"/>
      <c r="FI10" s="1239"/>
      <c r="FJ10" s="1239"/>
      <c r="FK10" s="1239"/>
      <c r="FL10" s="1239"/>
      <c r="FM10" s="1239"/>
      <c r="FN10" s="1239"/>
      <c r="FO10" s="1239"/>
      <c r="FP10" s="1239"/>
      <c r="FQ10" s="1239"/>
      <c r="FR10" s="1239"/>
      <c r="FS10" s="1239"/>
      <c r="FT10" s="1239"/>
      <c r="FU10" s="1239"/>
      <c r="FV10" s="1239"/>
      <c r="FW10" s="1239"/>
      <c r="FX10" s="1239"/>
      <c r="FY10" s="1239"/>
      <c r="FZ10" s="1239"/>
      <c r="GA10" s="1239"/>
      <c r="GB10" s="1239"/>
      <c r="GC10" s="1239"/>
      <c r="GD10" s="1239"/>
      <c r="GE10" s="1239"/>
      <c r="GF10" s="1239"/>
      <c r="GG10" s="1239"/>
      <c r="GH10" s="1239"/>
      <c r="GI10" s="1239"/>
      <c r="GJ10" s="1239"/>
      <c r="GK10" s="1239"/>
      <c r="GL10" s="1239"/>
      <c r="GM10" s="1239"/>
      <c r="GN10" s="1239"/>
      <c r="GO10" s="1239"/>
      <c r="GP10" s="1239"/>
      <c r="GQ10" s="1239"/>
      <c r="GR10" s="1239"/>
      <c r="GS10" s="1239"/>
      <c r="GT10" s="1239"/>
      <c r="GU10" s="1239"/>
      <c r="GV10" s="1239"/>
      <c r="GW10" s="1239"/>
      <c r="GX10" s="1239"/>
      <c r="GY10" s="1239"/>
      <c r="GZ10" s="1239"/>
      <c r="HA10" s="1239"/>
      <c r="HB10" s="1239"/>
      <c r="HC10" s="1239"/>
      <c r="HD10" s="1239"/>
      <c r="HE10" s="1239"/>
      <c r="HF10" s="1239"/>
      <c r="HG10" s="1239"/>
      <c r="HH10" s="1239"/>
      <c r="HI10" s="1239"/>
      <c r="HJ10" s="1239"/>
      <c r="HK10" s="1239"/>
      <c r="HL10" s="1239"/>
      <c r="HM10" s="1239"/>
      <c r="HN10" s="1239"/>
      <c r="HO10" s="1239"/>
      <c r="HP10" s="1239"/>
      <c r="HQ10" s="1239"/>
      <c r="HR10" s="1239"/>
      <c r="HS10" s="1239"/>
      <c r="HT10" s="1239"/>
      <c r="HU10" s="1239"/>
      <c r="HV10" s="1239"/>
      <c r="HW10" s="1239"/>
      <c r="HX10" s="1239"/>
      <c r="HY10" s="1239"/>
      <c r="HZ10" s="1239"/>
      <c r="IA10" s="1239"/>
      <c r="IB10" s="1239"/>
      <c r="IC10" s="1239"/>
      <c r="ID10" s="1239"/>
      <c r="IE10" s="1239"/>
      <c r="IF10" s="1239"/>
      <c r="IG10" s="1239"/>
      <c r="IH10" s="1239"/>
      <c r="II10" s="1239"/>
      <c r="IJ10" s="1239"/>
      <c r="IK10" s="1239"/>
      <c r="IL10" s="1239"/>
      <c r="IM10" s="1239"/>
      <c r="IN10" s="1239"/>
      <c r="IO10" s="1239"/>
      <c r="IP10" s="1239"/>
      <c r="IQ10" s="1239"/>
      <c r="IR10" s="1239"/>
      <c r="IS10" s="1239"/>
      <c r="IT10" s="1239"/>
      <c r="IU10" s="1239"/>
      <c r="IV10" s="1239"/>
      <c r="IW10" s="1239"/>
    </row>
    <row r="11" customFormat="false" ht="12.75" hidden="false" customHeight="false" outlineLevel="0" collapsed="false">
      <c r="A11" s="1229"/>
      <c r="B11" s="1152" t="s">
        <v>761</v>
      </c>
      <c r="C11" s="1152"/>
      <c r="D11" s="1244"/>
      <c r="E11" s="1172"/>
      <c r="F11" s="1172"/>
      <c r="G11" s="1172"/>
      <c r="H11" s="1172"/>
      <c r="I11" s="1172"/>
      <c r="J11" s="1172"/>
      <c r="K11" s="1172"/>
      <c r="L11" s="1172"/>
      <c r="M11" s="1172"/>
      <c r="N11" s="1172"/>
      <c r="O11" s="1172"/>
      <c r="P11" s="1172"/>
      <c r="Q11" s="1172"/>
      <c r="R11" s="1172"/>
      <c r="S11" s="1172"/>
      <c r="T11" s="1172"/>
      <c r="U11" s="1172"/>
      <c r="V11" s="1172"/>
      <c r="W11" s="1172"/>
      <c r="X11" s="1172"/>
      <c r="Y11" s="1172"/>
      <c r="Z11" s="1172"/>
      <c r="AA11" s="1172"/>
      <c r="AB11" s="1172"/>
      <c r="AC11" s="1172"/>
      <c r="AD11" s="1172"/>
      <c r="AE11" s="1172"/>
      <c r="AF11" s="1172"/>
      <c r="AG11" s="1172"/>
      <c r="AH11" s="1172"/>
      <c r="AI11" s="1172"/>
      <c r="AJ11" s="1172"/>
      <c r="AK11" s="1172"/>
      <c r="AL11" s="1172"/>
      <c r="AM11" s="1172"/>
      <c r="AN11" s="1172"/>
      <c r="AO11" s="1172"/>
      <c r="AP11" s="1172"/>
      <c r="AQ11" s="1172"/>
      <c r="AR11" s="1172"/>
      <c r="AS11" s="1172"/>
      <c r="AT11" s="1172"/>
      <c r="AU11" s="1172"/>
      <c r="AV11" s="1245"/>
      <c r="AW11" s="1245"/>
      <c r="AX11" s="1245"/>
      <c r="AY11" s="1245"/>
      <c r="AZ11" s="1245"/>
      <c r="BA11" s="1245"/>
      <c r="BB11" s="1245"/>
      <c r="BC11" s="1245"/>
      <c r="BD11" s="1245"/>
      <c r="BE11" s="1245"/>
      <c r="BF11" s="1245"/>
      <c r="BG11" s="1245"/>
      <c r="BH11" s="1245"/>
      <c r="BI11" s="1245"/>
      <c r="BJ11" s="1245"/>
      <c r="BK11" s="1245"/>
      <c r="BL11" s="1245"/>
      <c r="BM11" s="1245"/>
      <c r="BN11" s="1245"/>
      <c r="BO11" s="1245"/>
      <c r="BP11" s="1245"/>
      <c r="BQ11" s="1245"/>
      <c r="BR11" s="1245"/>
      <c r="BS11" s="1245"/>
      <c r="BT11" s="1245"/>
      <c r="BU11" s="1245"/>
      <c r="BV11" s="1245"/>
      <c r="BW11" s="1245"/>
      <c r="BX11" s="1245"/>
      <c r="BY11" s="1245"/>
      <c r="BZ11" s="1245"/>
      <c r="CA11" s="1245"/>
      <c r="CB11" s="1245"/>
      <c r="CC11" s="1245"/>
      <c r="CD11" s="1245"/>
      <c r="CE11" s="1245"/>
      <c r="CF11" s="1245"/>
      <c r="CG11" s="1245"/>
      <c r="CH11" s="1245"/>
      <c r="CI11" s="1245"/>
      <c r="CJ11" s="1245"/>
      <c r="CK11" s="1245"/>
      <c r="CL11" s="1245"/>
      <c r="CM11" s="1245"/>
      <c r="CN11" s="1245"/>
      <c r="CO11" s="1245"/>
      <c r="CP11" s="1245"/>
      <c r="CQ11" s="1245"/>
      <c r="CR11" s="1245"/>
      <c r="CS11" s="1245"/>
      <c r="CT11" s="1245"/>
      <c r="CU11" s="1245"/>
      <c r="CV11" s="1245"/>
      <c r="CW11" s="1245"/>
      <c r="CX11" s="1245"/>
      <c r="CY11" s="1245"/>
      <c r="CZ11" s="1245"/>
      <c r="DA11" s="1245"/>
      <c r="DB11" s="1245"/>
      <c r="DC11" s="1245"/>
      <c r="DD11" s="1245"/>
      <c r="DE11" s="1245"/>
      <c r="DF11" s="1245"/>
      <c r="DG11" s="1245"/>
      <c r="DH11" s="1245"/>
      <c r="DI11" s="1245"/>
      <c r="DJ11" s="1245"/>
      <c r="DK11" s="1245"/>
      <c r="DL11" s="1245"/>
      <c r="DM11" s="1245"/>
      <c r="DN11" s="1245"/>
      <c r="DO11" s="1245"/>
      <c r="DP11" s="1245"/>
      <c r="DQ11" s="1245"/>
      <c r="DR11" s="1245"/>
      <c r="DS11" s="1245"/>
      <c r="DT11" s="1245"/>
      <c r="DU11" s="1245"/>
      <c r="DV11" s="1245"/>
      <c r="DW11" s="1245"/>
      <c r="DX11" s="1245"/>
      <c r="DY11" s="1246"/>
      <c r="DZ11" s="1246"/>
      <c r="EA11" s="1246"/>
      <c r="EB11" s="1246"/>
      <c r="EC11" s="1246"/>
      <c r="ED11" s="1246"/>
      <c r="EE11" s="1246"/>
      <c r="EF11" s="1246"/>
      <c r="EG11" s="1246"/>
      <c r="EH11" s="1246"/>
      <c r="EI11" s="1246"/>
      <c r="EJ11" s="1246"/>
      <c r="EK11" s="1246"/>
      <c r="EL11" s="1246"/>
      <c r="EM11" s="1246"/>
      <c r="EN11" s="1246"/>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row>
    <row r="12" customFormat="false" ht="12.75" hidden="false" customHeight="false" outlineLevel="0" collapsed="false">
      <c r="A12" s="1229"/>
      <c r="B12" s="1226" t="s">
        <v>762</v>
      </c>
      <c r="C12" s="1226"/>
      <c r="D12" s="1247"/>
      <c r="E12" s="130" t="n">
        <f aca="false">CashFlow!E66</f>
        <v>2291.11065638161</v>
      </c>
      <c r="F12" s="130" t="n">
        <f aca="false">CashFlow!F66</f>
        <v>2418.39458173614</v>
      </c>
      <c r="G12" s="130" t="n">
        <f aca="false">CashFlow!G66</f>
        <v>2418.39458173614</v>
      </c>
      <c r="H12" s="130" t="n">
        <f aca="false">CashFlow!H66</f>
        <v>2418.39458173614</v>
      </c>
      <c r="I12" s="130" t="n">
        <f aca="false">CashFlow!I66</f>
        <v>2545.67850709067</v>
      </c>
      <c r="J12" s="130" t="n">
        <f aca="false">CashFlow!J66</f>
        <v>2545.67850709067</v>
      </c>
      <c r="K12" s="130" t="n">
        <f aca="false">CashFlow!K66</f>
        <v>2672.96243244521</v>
      </c>
      <c r="L12" s="130" t="n">
        <f aca="false">CashFlow!L66</f>
        <v>2672.96243244521</v>
      </c>
      <c r="M12" s="130" t="n">
        <f aca="false">CashFlow!M66</f>
        <v>2672.96243244521</v>
      </c>
      <c r="N12" s="130" t="n">
        <f aca="false">CashFlow!N66</f>
        <v>2800.24635779974</v>
      </c>
      <c r="O12" s="130" t="n">
        <f aca="false">CashFlow!O66</f>
        <v>0</v>
      </c>
      <c r="P12" s="130" t="n">
        <f aca="false">CashFlow!P66</f>
        <v>0</v>
      </c>
      <c r="Q12" s="130" t="n">
        <f aca="false">CashFlow!Q66</f>
        <v>0</v>
      </c>
      <c r="R12" s="130" t="n">
        <f aca="false">CashFlow!R66</f>
        <v>0</v>
      </c>
      <c r="S12" s="130" t="n">
        <f aca="false">CashFlow!S66</f>
        <v>0</v>
      </c>
      <c r="T12" s="130" t="n">
        <f aca="false">CashFlow!T66</f>
        <v>0</v>
      </c>
      <c r="U12" s="130" t="n">
        <f aca="false">CashFlow!U66</f>
        <v>0</v>
      </c>
      <c r="V12" s="130" t="n">
        <f aca="false">CashFlow!V66</f>
        <v>0</v>
      </c>
      <c r="W12" s="130" t="n">
        <f aca="false">CashFlow!W66</f>
        <v>0</v>
      </c>
      <c r="X12" s="130" t="n">
        <f aca="false">CashFlow!X66</f>
        <v>0</v>
      </c>
      <c r="Y12" s="130" t="n">
        <f aca="false">CashFlow!Y66</f>
        <v>0</v>
      </c>
      <c r="Z12" s="130" t="n">
        <f aca="false">CashFlow!Z66</f>
        <v>0</v>
      </c>
      <c r="AA12" s="130" t="n">
        <f aca="false">CashFlow!AA66</f>
        <v>0</v>
      </c>
      <c r="AB12" s="130" t="n">
        <f aca="false">CashFlow!AB66</f>
        <v>0</v>
      </c>
      <c r="AC12" s="130" t="n">
        <f aca="false">CashFlow!AC66</f>
        <v>0</v>
      </c>
      <c r="AD12" s="130" t="n">
        <f aca="false">CashFlow!AD66</f>
        <v>0</v>
      </c>
      <c r="AE12" s="130" t="n">
        <f aca="false">CashFlow!AE66</f>
        <v>0</v>
      </c>
      <c r="AF12" s="130" t="n">
        <f aca="false">CashFlow!AF66</f>
        <v>0</v>
      </c>
      <c r="AG12" s="130" t="n">
        <f aca="false">CashFlow!AG66</f>
        <v>0</v>
      </c>
      <c r="AH12" s="130" t="n">
        <f aca="false">CashFlow!AH66</f>
        <v>0</v>
      </c>
      <c r="AI12" s="130" t="n">
        <f aca="false">CashFlow!AI66</f>
        <v>0</v>
      </c>
      <c r="AJ12" s="130"/>
      <c r="AK12" s="130"/>
      <c r="AL12" s="130"/>
      <c r="AM12" s="130"/>
      <c r="AN12" s="130"/>
      <c r="AO12" s="130"/>
      <c r="AP12" s="130"/>
      <c r="AQ12" s="130"/>
      <c r="AR12" s="130"/>
      <c r="AS12" s="130"/>
      <c r="AT12" s="130"/>
      <c r="AU12" s="130"/>
      <c r="AV12" s="1248"/>
      <c r="AW12" s="1248"/>
      <c r="AX12" s="1248"/>
      <c r="AY12" s="1248"/>
      <c r="AZ12" s="1248"/>
      <c r="BA12" s="1248"/>
      <c r="BB12" s="1248"/>
      <c r="BC12" s="1248"/>
      <c r="BD12" s="1248"/>
      <c r="BE12" s="1248"/>
      <c r="BF12" s="1248"/>
      <c r="BG12" s="1248"/>
      <c r="BH12" s="1248"/>
      <c r="BI12" s="1248"/>
      <c r="BJ12" s="1248"/>
      <c r="BK12" s="1248"/>
      <c r="BL12" s="1248"/>
      <c r="BM12" s="1248"/>
      <c r="BN12" s="1248"/>
      <c r="BO12" s="1248"/>
      <c r="BP12" s="1248"/>
      <c r="BQ12" s="1248"/>
      <c r="BR12" s="1248"/>
      <c r="BS12" s="1248"/>
      <c r="BT12" s="1248"/>
      <c r="BU12" s="1248"/>
      <c r="BV12" s="1248"/>
      <c r="BW12" s="1248"/>
      <c r="BX12" s="1248"/>
      <c r="BY12" s="1248"/>
      <c r="BZ12" s="1248"/>
      <c r="CA12" s="1248"/>
      <c r="CB12" s="1248"/>
      <c r="CC12" s="1248"/>
      <c r="CD12" s="1248"/>
      <c r="CE12" s="1248"/>
      <c r="CF12" s="1248"/>
      <c r="CG12" s="1248"/>
      <c r="CH12" s="1248"/>
      <c r="CI12" s="1248"/>
      <c r="CJ12" s="1248"/>
      <c r="CK12" s="1248"/>
      <c r="CL12" s="1248"/>
      <c r="CM12" s="1248"/>
      <c r="CN12" s="1248"/>
      <c r="CO12" s="1248"/>
      <c r="CP12" s="1248"/>
      <c r="CQ12" s="1248"/>
      <c r="CR12" s="1248"/>
      <c r="CS12" s="1248"/>
      <c r="CT12" s="1248"/>
      <c r="CU12" s="1248"/>
      <c r="CV12" s="1248"/>
      <c r="CW12" s="1248"/>
      <c r="CX12" s="1248"/>
      <c r="CY12" s="1248"/>
      <c r="CZ12" s="1248"/>
      <c r="DA12" s="1248"/>
      <c r="DB12" s="1248"/>
      <c r="DC12" s="1248"/>
      <c r="DD12" s="1248"/>
      <c r="DE12" s="1248"/>
      <c r="DF12" s="1248"/>
      <c r="DG12" s="1248"/>
      <c r="DH12" s="1248"/>
      <c r="DI12" s="1248"/>
      <c r="DJ12" s="1248"/>
      <c r="DK12" s="1248"/>
      <c r="DL12" s="1248"/>
      <c r="DM12" s="1248"/>
      <c r="DN12" s="1248"/>
      <c r="DO12" s="1248"/>
      <c r="DP12" s="1248"/>
      <c r="DQ12" s="1248"/>
      <c r="DR12" s="1248"/>
      <c r="DS12" s="1248"/>
      <c r="DT12" s="1248"/>
      <c r="DU12" s="1248"/>
      <c r="DV12" s="1248"/>
      <c r="DW12" s="1248"/>
      <c r="DX12" s="1248"/>
      <c r="DY12" s="1248"/>
      <c r="DZ12" s="1248"/>
      <c r="EA12" s="1248"/>
      <c r="EB12" s="1248"/>
      <c r="EC12" s="1248"/>
      <c r="ED12" s="1248"/>
      <c r="EE12" s="1248"/>
      <c r="EF12" s="1248"/>
      <c r="EG12" s="1248"/>
      <c r="EH12" s="1248"/>
      <c r="EI12" s="1248"/>
      <c r="EJ12" s="1248"/>
      <c r="EK12" s="1248"/>
      <c r="EL12" s="1248"/>
      <c r="EM12" s="1248"/>
      <c r="EN12" s="1248"/>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c r="HS12" s="30"/>
      <c r="HT12" s="30"/>
      <c r="HU12" s="30"/>
      <c r="HV12" s="30"/>
      <c r="HW12" s="30"/>
      <c r="HX12" s="30"/>
      <c r="HY12" s="30"/>
      <c r="HZ12" s="30"/>
      <c r="IA12" s="30"/>
      <c r="IB12" s="30"/>
      <c r="IC12" s="30"/>
      <c r="ID12" s="30"/>
      <c r="IE12" s="30"/>
      <c r="IF12" s="30"/>
      <c r="IG12" s="30"/>
      <c r="IH12" s="30"/>
      <c r="II12" s="30"/>
      <c r="IJ12" s="30"/>
      <c r="IK12" s="30"/>
      <c r="IL12" s="30"/>
      <c r="IM12" s="30"/>
      <c r="IN12" s="30"/>
      <c r="IO12" s="30"/>
      <c r="IP12" s="30"/>
      <c r="IQ12" s="30"/>
      <c r="IR12" s="30"/>
      <c r="IS12" s="30"/>
      <c r="IT12" s="30"/>
      <c r="IU12" s="30"/>
      <c r="IV12" s="30"/>
      <c r="IW12" s="30"/>
    </row>
    <row r="13" customFormat="false" ht="12.75" hidden="false" customHeight="false" outlineLevel="0" collapsed="false">
      <c r="A13" s="1229"/>
      <c r="B13" s="0" t="s">
        <v>687</v>
      </c>
      <c r="D13" s="1230"/>
      <c r="E13" s="325" t="n">
        <f aca="false">Assum!E342</f>
        <v>0.01</v>
      </c>
      <c r="F13" s="325" t="n">
        <f aca="false">Assum!F342</f>
        <v>0.01</v>
      </c>
      <c r="G13" s="325" t="n">
        <f aca="false">Assum!G342</f>
        <v>0.01</v>
      </c>
      <c r="H13" s="325" t="n">
        <f aca="false">Assum!H342</f>
        <v>0.01</v>
      </c>
      <c r="I13" s="325" t="n">
        <f aca="false">Assum!I342</f>
        <v>0.01</v>
      </c>
      <c r="J13" s="325" t="n">
        <f aca="false">Assum!J342</f>
        <v>0.01</v>
      </c>
      <c r="K13" s="325" t="n">
        <f aca="false">Assum!K342</f>
        <v>0.01</v>
      </c>
      <c r="L13" s="325" t="n">
        <f aca="false">Assum!L342</f>
        <v>0.01</v>
      </c>
      <c r="M13" s="325" t="n">
        <f aca="false">Assum!M342</f>
        <v>0.01</v>
      </c>
      <c r="N13" s="325" t="n">
        <f aca="false">Assum!N342</f>
        <v>0.01</v>
      </c>
      <c r="O13" s="325" t="n">
        <f aca="false">Assum!O342</f>
        <v>0.01</v>
      </c>
      <c r="P13" s="325" t="n">
        <f aca="false">Assum!P342</f>
        <v>0.01</v>
      </c>
      <c r="Q13" s="325" t="n">
        <f aca="false">Assum!Q342</f>
        <v>0.01</v>
      </c>
      <c r="R13" s="325" t="n">
        <f aca="false">Assum!R342</f>
        <v>0.01</v>
      </c>
      <c r="S13" s="325" t="n">
        <f aca="false">Assum!S342</f>
        <v>0.01</v>
      </c>
      <c r="T13" s="325" t="n">
        <f aca="false">Assum!T342</f>
        <v>0.01</v>
      </c>
      <c r="U13" s="325" t="n">
        <f aca="false">Assum!U342</f>
        <v>0.01</v>
      </c>
      <c r="V13" s="325" t="n">
        <f aca="false">Assum!V342</f>
        <v>0.01</v>
      </c>
      <c r="W13" s="325" t="n">
        <f aca="false">Assum!W342</f>
        <v>0.01</v>
      </c>
      <c r="X13" s="325" t="n">
        <f aca="false">Assum!X342</f>
        <v>0.01</v>
      </c>
      <c r="Y13" s="325" t="n">
        <f aca="false">Assum!Y342</f>
        <v>0.01</v>
      </c>
      <c r="Z13" s="325" t="n">
        <f aca="false">Assum!Z342</f>
        <v>0.01</v>
      </c>
      <c r="AA13" s="325" t="n">
        <f aca="false">Assum!AA342</f>
        <v>0.01</v>
      </c>
      <c r="AB13" s="325" t="n">
        <f aca="false">Assum!AB342</f>
        <v>0.01</v>
      </c>
      <c r="AC13" s="325" t="n">
        <f aca="false">Assum!AC342</f>
        <v>0.01</v>
      </c>
      <c r="AD13" s="325" t="n">
        <f aca="false">Assum!AD342</f>
        <v>0.01</v>
      </c>
      <c r="AE13" s="325" t="n">
        <f aca="false">Assum!AE342</f>
        <v>0.01</v>
      </c>
      <c r="AF13" s="325" t="n">
        <f aca="false">Assum!AF342</f>
        <v>0.01</v>
      </c>
      <c r="AG13" s="325" t="n">
        <f aca="false">Assum!AG342</f>
        <v>0.01</v>
      </c>
      <c r="AH13" s="325" t="n">
        <f aca="false">Assum!AH342</f>
        <v>0.01</v>
      </c>
      <c r="AI13" s="325" t="n">
        <f aca="false">Assum!AI342</f>
        <v>0</v>
      </c>
      <c r="AJ13" s="1230"/>
      <c r="AK13" s="1230"/>
      <c r="AL13" s="1230"/>
      <c r="AM13" s="1230"/>
      <c r="AN13" s="1230"/>
      <c r="AO13" s="1230"/>
      <c r="AP13" s="1230"/>
      <c r="AQ13" s="1230"/>
      <c r="AR13" s="1230"/>
      <c r="AS13" s="1230"/>
      <c r="AT13" s="1230"/>
      <c r="AU13" s="1230"/>
      <c r="AV13" s="1230"/>
      <c r="AW13" s="1230"/>
      <c r="AX13" s="1230"/>
      <c r="AY13" s="1230"/>
      <c r="AZ13" s="1230"/>
      <c r="BA13" s="1230"/>
      <c r="BB13" s="1230"/>
      <c r="BC13" s="1230"/>
      <c r="BD13" s="1230"/>
      <c r="BE13" s="1230"/>
      <c r="BF13" s="1230"/>
      <c r="BG13" s="1230"/>
      <c r="BH13" s="1230"/>
      <c r="BI13" s="1230"/>
      <c r="BJ13" s="1230"/>
      <c r="BK13" s="1230"/>
      <c r="BL13" s="1230"/>
      <c r="BM13" s="1230"/>
      <c r="BN13" s="1230"/>
      <c r="BO13" s="1230"/>
      <c r="BP13" s="1230"/>
      <c r="BQ13" s="1230"/>
      <c r="BR13" s="1230"/>
      <c r="BS13" s="1230"/>
      <c r="BT13" s="1230"/>
      <c r="BU13" s="1230"/>
      <c r="BV13" s="1230"/>
      <c r="BW13" s="1230"/>
      <c r="BX13" s="1230"/>
      <c r="BY13" s="1230"/>
      <c r="BZ13" s="1230"/>
      <c r="CA13" s="1230"/>
      <c r="CB13" s="1230"/>
      <c r="CC13" s="1230"/>
      <c r="CD13" s="1230"/>
      <c r="CE13" s="1230"/>
      <c r="CF13" s="1230"/>
      <c r="CG13" s="1230"/>
      <c r="CH13" s="1230"/>
      <c r="CI13" s="1230"/>
      <c r="CJ13" s="1230"/>
      <c r="CK13" s="1230"/>
      <c r="CL13" s="1230"/>
      <c r="CM13" s="1230"/>
      <c r="CN13" s="1230"/>
      <c r="CO13" s="1230"/>
      <c r="CP13" s="1230"/>
      <c r="CQ13" s="1230"/>
      <c r="CR13" s="1230"/>
      <c r="CS13" s="1230"/>
      <c r="CT13" s="1230"/>
      <c r="CU13" s="1230"/>
      <c r="CV13" s="1230"/>
      <c r="CW13" s="1230"/>
      <c r="CX13" s="1230"/>
      <c r="CY13" s="1230"/>
      <c r="CZ13" s="1230"/>
      <c r="DA13" s="1230"/>
      <c r="DB13" s="1230"/>
      <c r="DC13" s="1230"/>
      <c r="DD13" s="1230"/>
      <c r="DE13" s="1230"/>
      <c r="DF13" s="1230"/>
      <c r="DG13" s="1230"/>
      <c r="DH13" s="1230"/>
      <c r="DI13" s="1230"/>
      <c r="DJ13" s="1230"/>
      <c r="DK13" s="1230"/>
      <c r="DL13" s="1230"/>
      <c r="DM13" s="1230"/>
      <c r="DN13" s="1230"/>
      <c r="DO13" s="1230"/>
      <c r="DP13" s="1230"/>
      <c r="DQ13" s="1230"/>
      <c r="DR13" s="1230"/>
      <c r="DS13" s="1230"/>
      <c r="DT13" s="1230"/>
      <c r="DU13" s="1230"/>
      <c r="DV13" s="1230"/>
      <c r="DW13" s="1230"/>
      <c r="DX13" s="1230"/>
      <c r="DY13" s="1231"/>
      <c r="DZ13" s="1231"/>
      <c r="EA13" s="1231"/>
      <c r="EB13" s="1231"/>
      <c r="EC13" s="1231"/>
      <c r="ED13" s="1231"/>
      <c r="EE13" s="1231"/>
      <c r="EF13" s="1231"/>
      <c r="EG13" s="1231"/>
      <c r="EH13" s="1231"/>
      <c r="EI13" s="1231"/>
      <c r="EJ13" s="1231"/>
      <c r="EK13" s="1231"/>
      <c r="EL13" s="1231"/>
      <c r="EM13" s="1231"/>
      <c r="EN13" s="1231"/>
    </row>
    <row r="14" customFormat="false" ht="12.75" hidden="false" customHeight="false" outlineLevel="0" collapsed="false">
      <c r="A14" s="1229"/>
      <c r="B14" s="1155" t="s">
        <v>763</v>
      </c>
      <c r="C14" s="1155"/>
      <c r="D14" s="1249"/>
      <c r="E14" s="1157" t="n">
        <f aca="false">E12*E13</f>
        <v>22.9111065638161</v>
      </c>
      <c r="F14" s="1157" t="n">
        <f aca="false">F12*F13</f>
        <v>24.1839458173614</v>
      </c>
      <c r="G14" s="1157" t="n">
        <f aca="false">G12*G13</f>
        <v>24.1839458173614</v>
      </c>
      <c r="H14" s="1157" t="n">
        <f aca="false">H12*H13</f>
        <v>24.1839458173614</v>
      </c>
      <c r="I14" s="1157" t="n">
        <f aca="false">I12*I13</f>
        <v>25.4567850709067</v>
      </c>
      <c r="J14" s="1157" t="n">
        <f aca="false">J12*J13</f>
        <v>25.4567850709067</v>
      </c>
      <c r="K14" s="1157" t="n">
        <f aca="false">K12*K13</f>
        <v>26.7296243244521</v>
      </c>
      <c r="L14" s="1157" t="n">
        <f aca="false">L12*L13</f>
        <v>26.7296243244521</v>
      </c>
      <c r="M14" s="1157" t="n">
        <f aca="false">M12*M13</f>
        <v>26.7296243244521</v>
      </c>
      <c r="N14" s="1157" t="n">
        <f aca="false">N12*N13</f>
        <v>28.0024635779974</v>
      </c>
      <c r="O14" s="1157" t="n">
        <f aca="false">O12*O13</f>
        <v>0</v>
      </c>
      <c r="P14" s="1157" t="n">
        <f aca="false">P12*P13</f>
        <v>0</v>
      </c>
      <c r="Q14" s="1157" t="n">
        <f aca="false">Q12*Q13</f>
        <v>0</v>
      </c>
      <c r="R14" s="1157" t="n">
        <f aca="false">R12*R13</f>
        <v>0</v>
      </c>
      <c r="S14" s="1157" t="n">
        <f aca="false">S12*S13</f>
        <v>0</v>
      </c>
      <c r="T14" s="1157" t="n">
        <f aca="false">T12*T13</f>
        <v>0</v>
      </c>
      <c r="U14" s="1157" t="n">
        <f aca="false">U12*U13</f>
        <v>0</v>
      </c>
      <c r="V14" s="1157" t="n">
        <f aca="false">V12*V13</f>
        <v>0</v>
      </c>
      <c r="W14" s="1157" t="n">
        <f aca="false">W12*W13</f>
        <v>0</v>
      </c>
      <c r="X14" s="1157" t="n">
        <f aca="false">X12*X13</f>
        <v>0</v>
      </c>
      <c r="Y14" s="1157" t="n">
        <f aca="false">Y12*Y13</f>
        <v>0</v>
      </c>
      <c r="Z14" s="1157" t="n">
        <f aca="false">Z12*Z13</f>
        <v>0</v>
      </c>
      <c r="AA14" s="1157" t="n">
        <f aca="false">AA12*AA13</f>
        <v>0</v>
      </c>
      <c r="AB14" s="1157" t="n">
        <f aca="false">AB12*AB13</f>
        <v>0</v>
      </c>
      <c r="AC14" s="1157" t="n">
        <f aca="false">AC12*AC13</f>
        <v>0</v>
      </c>
      <c r="AD14" s="1157" t="n">
        <f aca="false">AD12*AD13</f>
        <v>0</v>
      </c>
      <c r="AE14" s="1157" t="n">
        <f aca="false">AE12*AE13</f>
        <v>0</v>
      </c>
      <c r="AF14" s="1157" t="n">
        <f aca="false">AF12*AF13</f>
        <v>0</v>
      </c>
      <c r="AG14" s="1157" t="n">
        <f aca="false">AG12*AG13</f>
        <v>0</v>
      </c>
      <c r="AH14" s="1157" t="n">
        <f aca="false">AH12*AH13</f>
        <v>0</v>
      </c>
      <c r="AI14" s="1157" t="n">
        <f aca="false">AI12*AI13</f>
        <v>0</v>
      </c>
      <c r="AJ14" s="366"/>
      <c r="AK14" s="366"/>
      <c r="AL14" s="366"/>
      <c r="AM14" s="366"/>
      <c r="AN14" s="366"/>
      <c r="AO14" s="1249"/>
      <c r="AP14" s="1249"/>
      <c r="AQ14" s="1249"/>
      <c r="AR14" s="1249"/>
      <c r="AS14" s="1249"/>
      <c r="AT14" s="1249"/>
      <c r="AU14" s="1249"/>
      <c r="AV14" s="1249"/>
      <c r="AW14" s="1249"/>
      <c r="AX14" s="1249"/>
      <c r="AY14" s="1249"/>
      <c r="AZ14" s="1249"/>
      <c r="BA14" s="1249"/>
      <c r="BB14" s="1249"/>
      <c r="BC14" s="1249"/>
      <c r="BD14" s="1249"/>
      <c r="BE14" s="1249"/>
      <c r="BF14" s="1249"/>
      <c r="BG14" s="1249"/>
      <c r="BH14" s="1249"/>
      <c r="BI14" s="1249"/>
      <c r="BJ14" s="1249"/>
      <c r="BK14" s="1249"/>
      <c r="BL14" s="1249"/>
      <c r="BM14" s="1249"/>
      <c r="BN14" s="1249"/>
      <c r="BO14" s="1249"/>
      <c r="BP14" s="1249"/>
      <c r="BQ14" s="1249"/>
      <c r="BR14" s="1249"/>
      <c r="BS14" s="1249"/>
      <c r="BT14" s="1249"/>
      <c r="BU14" s="1249"/>
      <c r="BV14" s="1249"/>
      <c r="BW14" s="1249"/>
      <c r="BX14" s="1249"/>
      <c r="BY14" s="1249"/>
      <c r="BZ14" s="1249"/>
      <c r="CA14" s="1249"/>
      <c r="CB14" s="1249"/>
      <c r="CC14" s="1249"/>
      <c r="CD14" s="1249"/>
      <c r="CE14" s="1249"/>
      <c r="CF14" s="1249"/>
      <c r="CG14" s="1249"/>
      <c r="CH14" s="1249"/>
      <c r="CI14" s="1249"/>
      <c r="CJ14" s="1249"/>
      <c r="CK14" s="1249"/>
      <c r="CL14" s="1249"/>
      <c r="CM14" s="1249"/>
      <c r="CN14" s="1249"/>
      <c r="CO14" s="1249"/>
      <c r="CP14" s="1249"/>
      <c r="CQ14" s="1249"/>
      <c r="CR14" s="1249"/>
      <c r="CS14" s="1249"/>
      <c r="CT14" s="1249"/>
      <c r="CU14" s="1249"/>
      <c r="CV14" s="1249"/>
      <c r="CW14" s="1249"/>
      <c r="CX14" s="1249"/>
      <c r="CY14" s="1249"/>
      <c r="CZ14" s="1249"/>
      <c r="DA14" s="1249"/>
      <c r="DB14" s="1249"/>
      <c r="DC14" s="1249"/>
      <c r="DD14" s="1249"/>
      <c r="DE14" s="1249"/>
      <c r="DF14" s="1249"/>
      <c r="DG14" s="1249"/>
      <c r="DH14" s="1249"/>
      <c r="DI14" s="1249"/>
      <c r="DJ14" s="1249"/>
      <c r="DK14" s="1249"/>
      <c r="DL14" s="1249"/>
      <c r="DM14" s="1249"/>
      <c r="DN14" s="1249"/>
      <c r="DO14" s="1249"/>
      <c r="DP14" s="1249"/>
      <c r="DQ14" s="1249"/>
      <c r="DR14" s="1249"/>
      <c r="DS14" s="1249"/>
      <c r="DT14" s="1249"/>
      <c r="DU14" s="1249"/>
      <c r="DV14" s="1249"/>
      <c r="DW14" s="1249"/>
      <c r="DX14" s="1249"/>
      <c r="DY14" s="1250"/>
      <c r="DZ14" s="1250"/>
      <c r="EA14" s="1250"/>
      <c r="EB14" s="1250"/>
      <c r="EC14" s="1250"/>
      <c r="ED14" s="1250"/>
      <c r="EE14" s="1250"/>
      <c r="EF14" s="1250"/>
      <c r="EG14" s="1250"/>
      <c r="EH14" s="1250"/>
      <c r="EI14" s="1250"/>
      <c r="EJ14" s="1250"/>
      <c r="EK14" s="1250"/>
      <c r="EL14" s="1250"/>
      <c r="EM14" s="1250"/>
      <c r="EN14" s="1250"/>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5"/>
      <c r="IT14" s="15"/>
      <c r="IU14" s="15"/>
      <c r="IV14" s="15"/>
      <c r="IW14" s="15"/>
    </row>
    <row r="15" customFormat="false" ht="12.75" hidden="false" customHeight="false" outlineLevel="0" collapsed="false">
      <c r="A15" s="1229"/>
      <c r="B15" s="1233"/>
      <c r="C15" s="1233"/>
      <c r="D15" s="1230"/>
      <c r="E15" s="1230"/>
      <c r="F15" s="1230"/>
      <c r="G15" s="1230"/>
      <c r="H15" s="1230"/>
      <c r="I15" s="1230"/>
      <c r="J15" s="1230"/>
      <c r="K15" s="1230"/>
      <c r="L15" s="1230"/>
      <c r="M15" s="1230"/>
      <c r="N15" s="1230"/>
      <c r="O15" s="1230"/>
      <c r="P15" s="1230"/>
      <c r="Q15" s="1230"/>
      <c r="R15" s="1230"/>
      <c r="S15" s="1230"/>
      <c r="T15" s="1230"/>
      <c r="U15" s="1230"/>
      <c r="V15" s="1230"/>
      <c r="W15" s="1230"/>
      <c r="X15" s="1230"/>
      <c r="Y15" s="1230"/>
      <c r="Z15" s="1230"/>
      <c r="AA15" s="1230"/>
      <c r="AB15" s="1230"/>
      <c r="AC15" s="1230"/>
      <c r="AD15" s="1230"/>
      <c r="AE15" s="1230"/>
      <c r="AF15" s="1230"/>
      <c r="AG15" s="1230"/>
      <c r="AH15" s="1230"/>
      <c r="AI15" s="1230"/>
      <c r="AJ15" s="1230"/>
      <c r="AK15" s="1230"/>
      <c r="AL15" s="1230"/>
      <c r="AM15" s="1230"/>
      <c r="AN15" s="1230"/>
      <c r="AO15" s="1230"/>
      <c r="AP15" s="1230"/>
      <c r="AQ15" s="1230"/>
      <c r="AR15" s="1230"/>
      <c r="AS15" s="1230"/>
      <c r="AT15" s="1230"/>
      <c r="AU15" s="1230"/>
      <c r="AV15" s="1230"/>
      <c r="AW15" s="1230"/>
      <c r="AX15" s="1230"/>
      <c r="AY15" s="1230"/>
      <c r="AZ15" s="1230"/>
      <c r="BA15" s="1230"/>
      <c r="BB15" s="1230"/>
      <c r="BC15" s="1230"/>
      <c r="BD15" s="1230"/>
      <c r="BE15" s="1230"/>
      <c r="BF15" s="1230"/>
      <c r="BG15" s="1230"/>
      <c r="BH15" s="1230"/>
      <c r="BI15" s="1230"/>
      <c r="BJ15" s="1230"/>
      <c r="BK15" s="1230"/>
      <c r="BL15" s="1230"/>
      <c r="BM15" s="1230"/>
      <c r="BN15" s="1230"/>
      <c r="BO15" s="1230"/>
      <c r="BP15" s="1230"/>
      <c r="BQ15" s="1230"/>
      <c r="BR15" s="1230"/>
      <c r="BS15" s="1230"/>
      <c r="BT15" s="1230"/>
      <c r="BU15" s="1230"/>
      <c r="BV15" s="1230"/>
      <c r="BW15" s="1230"/>
      <c r="BX15" s="1230"/>
      <c r="BY15" s="1230"/>
      <c r="BZ15" s="1230"/>
      <c r="CA15" s="1230"/>
      <c r="CB15" s="1230"/>
      <c r="CC15" s="1230"/>
      <c r="CD15" s="1230"/>
      <c r="CE15" s="1230"/>
      <c r="CF15" s="1230"/>
      <c r="CG15" s="1230"/>
      <c r="CH15" s="1230"/>
      <c r="CI15" s="1230"/>
      <c r="CJ15" s="1230"/>
      <c r="CK15" s="1230"/>
      <c r="CL15" s="1230"/>
      <c r="CM15" s="1230"/>
      <c r="CN15" s="1230"/>
      <c r="CO15" s="1230"/>
      <c r="CP15" s="1230"/>
      <c r="CQ15" s="1230"/>
      <c r="CR15" s="1230"/>
      <c r="CS15" s="1230"/>
      <c r="CT15" s="1230"/>
      <c r="CU15" s="1230"/>
      <c r="CV15" s="1230"/>
      <c r="CW15" s="1230"/>
      <c r="CX15" s="1230"/>
      <c r="CY15" s="1230"/>
      <c r="CZ15" s="1230"/>
      <c r="DA15" s="1230"/>
      <c r="DB15" s="1230"/>
      <c r="DC15" s="1230"/>
      <c r="DD15" s="1230"/>
      <c r="DE15" s="1230"/>
      <c r="DF15" s="1230"/>
      <c r="DG15" s="1230"/>
      <c r="DH15" s="1230"/>
      <c r="DI15" s="1230"/>
      <c r="DJ15" s="1230"/>
      <c r="DK15" s="1230"/>
      <c r="DL15" s="1230"/>
      <c r="DM15" s="1230"/>
      <c r="DN15" s="1230"/>
      <c r="DO15" s="1230"/>
      <c r="DP15" s="1230"/>
      <c r="DQ15" s="1230"/>
      <c r="DR15" s="1230"/>
      <c r="DS15" s="1230"/>
      <c r="DT15" s="1230"/>
      <c r="DU15" s="1230"/>
      <c r="DV15" s="1230"/>
      <c r="DW15" s="1230"/>
      <c r="DX15" s="1230"/>
      <c r="DY15" s="1231"/>
      <c r="DZ15" s="1231"/>
      <c r="EA15" s="1231"/>
      <c r="EB15" s="1231"/>
      <c r="EC15" s="1231"/>
      <c r="ED15" s="1231"/>
      <c r="EE15" s="1231"/>
      <c r="EF15" s="1231"/>
      <c r="EG15" s="1231"/>
      <c r="EH15" s="1231"/>
      <c r="EI15" s="1231"/>
      <c r="EJ15" s="1231"/>
      <c r="EK15" s="1231"/>
      <c r="EL15" s="1231"/>
      <c r="EM15" s="1231"/>
      <c r="EN15" s="1231"/>
    </row>
    <row r="16" customFormat="false" ht="12.75" hidden="false" customHeight="false" outlineLevel="0" collapsed="false">
      <c r="A16" s="1229"/>
      <c r="B16" s="1233"/>
      <c r="C16" s="1233"/>
      <c r="D16" s="1230"/>
      <c r="E16" s="1230"/>
      <c r="F16" s="1230"/>
      <c r="G16" s="1230"/>
      <c r="H16" s="1230"/>
      <c r="I16" s="1230"/>
      <c r="J16" s="1230"/>
      <c r="K16" s="1230"/>
      <c r="L16" s="1230"/>
      <c r="M16" s="1230"/>
      <c r="N16" s="1230"/>
      <c r="O16" s="1230"/>
      <c r="P16" s="1230"/>
      <c r="Q16" s="1230"/>
      <c r="R16" s="1230"/>
      <c r="S16" s="1230"/>
      <c r="T16" s="1230"/>
      <c r="U16" s="1230"/>
      <c r="V16" s="1230"/>
      <c r="W16" s="1230"/>
      <c r="X16" s="1230"/>
      <c r="Y16" s="1230"/>
      <c r="Z16" s="1230"/>
      <c r="AA16" s="1230"/>
      <c r="AB16" s="1230"/>
      <c r="AC16" s="1230"/>
      <c r="AD16" s="1230"/>
      <c r="AE16" s="1230"/>
      <c r="AF16" s="1230"/>
      <c r="AG16" s="1230"/>
      <c r="AH16" s="1230"/>
      <c r="AI16" s="1230"/>
      <c r="AJ16" s="1230"/>
      <c r="AK16" s="1230"/>
      <c r="AL16" s="1230"/>
      <c r="AM16" s="1230"/>
      <c r="AN16" s="1230"/>
      <c r="AO16" s="1230"/>
      <c r="AP16" s="1230"/>
      <c r="AQ16" s="1230"/>
      <c r="AR16" s="1230"/>
      <c r="AS16" s="1230"/>
      <c r="AT16" s="1230"/>
      <c r="AU16" s="1230"/>
      <c r="AV16" s="1230"/>
      <c r="AW16" s="1230"/>
      <c r="AX16" s="1230"/>
      <c r="AY16" s="1230"/>
      <c r="AZ16" s="1230"/>
      <c r="BA16" s="1230"/>
      <c r="BB16" s="1230"/>
      <c r="BC16" s="1230"/>
      <c r="BD16" s="1230"/>
      <c r="BE16" s="1230"/>
      <c r="BF16" s="1230"/>
      <c r="BG16" s="1230"/>
      <c r="BH16" s="1230"/>
      <c r="BI16" s="1230"/>
      <c r="BJ16" s="1230"/>
      <c r="BK16" s="1230"/>
      <c r="BL16" s="1230"/>
      <c r="BM16" s="1230"/>
      <c r="BN16" s="1230"/>
      <c r="BO16" s="1230"/>
      <c r="BP16" s="1230"/>
      <c r="BQ16" s="1230"/>
      <c r="BR16" s="1230"/>
      <c r="BS16" s="1230"/>
      <c r="BT16" s="1230"/>
      <c r="BU16" s="1230"/>
      <c r="BV16" s="1230"/>
      <c r="BW16" s="1230"/>
      <c r="BX16" s="1230"/>
      <c r="BY16" s="1230"/>
      <c r="BZ16" s="1230"/>
      <c r="CA16" s="1230"/>
      <c r="CB16" s="1230"/>
      <c r="CC16" s="1230"/>
      <c r="CD16" s="1230"/>
      <c r="CE16" s="1230"/>
      <c r="CF16" s="1230"/>
      <c r="CG16" s="1230"/>
      <c r="CH16" s="1230"/>
      <c r="CI16" s="1230"/>
      <c r="CJ16" s="1230"/>
      <c r="CK16" s="1230"/>
      <c r="CL16" s="1230"/>
      <c r="CM16" s="1230"/>
      <c r="CN16" s="1230"/>
      <c r="CO16" s="1230"/>
      <c r="CP16" s="1230"/>
      <c r="CQ16" s="1230"/>
      <c r="CR16" s="1230"/>
      <c r="CS16" s="1230"/>
      <c r="CT16" s="1230"/>
      <c r="CU16" s="1230"/>
      <c r="CV16" s="1230"/>
      <c r="CW16" s="1230"/>
      <c r="CX16" s="1230"/>
      <c r="CY16" s="1230"/>
      <c r="CZ16" s="1230"/>
      <c r="DA16" s="1230"/>
      <c r="DB16" s="1230"/>
      <c r="DC16" s="1230"/>
      <c r="DD16" s="1230"/>
      <c r="DE16" s="1230"/>
      <c r="DF16" s="1230"/>
      <c r="DG16" s="1230"/>
      <c r="DH16" s="1230"/>
      <c r="DI16" s="1230"/>
      <c r="DJ16" s="1230"/>
      <c r="DK16" s="1230"/>
      <c r="DL16" s="1230"/>
      <c r="DM16" s="1230"/>
      <c r="DN16" s="1230"/>
      <c r="DO16" s="1230"/>
      <c r="DP16" s="1230"/>
      <c r="DQ16" s="1230"/>
      <c r="DR16" s="1230"/>
      <c r="DS16" s="1230"/>
      <c r="DT16" s="1230"/>
      <c r="DU16" s="1230"/>
      <c r="DV16" s="1230"/>
      <c r="DW16" s="1230"/>
      <c r="DX16" s="1230"/>
      <c r="DY16" s="1231"/>
      <c r="DZ16" s="1231"/>
      <c r="EA16" s="1231"/>
      <c r="EB16" s="1231"/>
      <c r="EC16" s="1231"/>
      <c r="ED16" s="1231"/>
      <c r="EE16" s="1231"/>
      <c r="EF16" s="1231"/>
      <c r="EG16" s="1231"/>
      <c r="EH16" s="1231"/>
      <c r="EI16" s="1231"/>
      <c r="EJ16" s="1231"/>
      <c r="EK16" s="1231"/>
      <c r="EL16" s="1231"/>
      <c r="EM16" s="1231"/>
      <c r="EN16" s="1231"/>
    </row>
    <row r="17" customFormat="false" ht="13.5" hidden="false" customHeight="false" outlineLevel="0" collapsed="false">
      <c r="A17" s="1229"/>
      <c r="B17" s="1158" t="s">
        <v>764</v>
      </c>
      <c r="C17" s="1158"/>
      <c r="D17" s="1230"/>
      <c r="E17" s="1230"/>
      <c r="F17" s="1230"/>
      <c r="G17" s="1230"/>
      <c r="H17" s="1230"/>
      <c r="I17" s="1230"/>
      <c r="J17" s="1230"/>
      <c r="K17" s="1230"/>
      <c r="L17" s="1230"/>
      <c r="M17" s="1230"/>
      <c r="N17" s="1230"/>
      <c r="O17" s="1230"/>
      <c r="P17" s="1230"/>
      <c r="Q17" s="1230"/>
      <c r="R17" s="1230"/>
      <c r="S17" s="1230"/>
      <c r="T17" s="1230"/>
      <c r="U17" s="1230"/>
      <c r="V17" s="1230"/>
      <c r="W17" s="1230"/>
      <c r="X17" s="1230"/>
      <c r="Y17" s="1230"/>
      <c r="Z17" s="1230"/>
      <c r="AA17" s="1230"/>
      <c r="AB17" s="1230"/>
      <c r="AC17" s="1230"/>
      <c r="AD17" s="1230"/>
      <c r="AE17" s="1230"/>
      <c r="AF17" s="1230"/>
      <c r="AG17" s="1230"/>
      <c r="AH17" s="1230"/>
      <c r="AI17" s="1230"/>
      <c r="AJ17" s="1230"/>
      <c r="AK17" s="1230"/>
      <c r="AL17" s="1230"/>
      <c r="AM17" s="1230"/>
      <c r="AN17" s="1230"/>
      <c r="AO17" s="1230"/>
      <c r="AP17" s="1230"/>
      <c r="AQ17" s="1230"/>
      <c r="AR17" s="1230"/>
      <c r="AS17" s="1230"/>
      <c r="AT17" s="1230"/>
      <c r="AU17" s="1230"/>
      <c r="AV17" s="1230"/>
      <c r="AW17" s="1230"/>
      <c r="AX17" s="1230"/>
      <c r="AY17" s="1230"/>
      <c r="AZ17" s="1230"/>
      <c r="BA17" s="1230"/>
      <c r="BB17" s="1230"/>
      <c r="BC17" s="1230"/>
      <c r="BD17" s="1230"/>
      <c r="BE17" s="1230"/>
      <c r="BF17" s="1230"/>
      <c r="BG17" s="1230"/>
      <c r="BH17" s="1230"/>
      <c r="BI17" s="1230"/>
      <c r="BJ17" s="1230"/>
      <c r="BK17" s="1230"/>
      <c r="BL17" s="1230"/>
      <c r="BM17" s="1230"/>
      <c r="BN17" s="1230"/>
      <c r="BO17" s="1230"/>
      <c r="BP17" s="1230"/>
      <c r="BQ17" s="1230"/>
      <c r="BR17" s="1230"/>
      <c r="BS17" s="1230"/>
      <c r="BT17" s="1230"/>
      <c r="BU17" s="1230"/>
      <c r="BV17" s="1230"/>
      <c r="BW17" s="1230"/>
      <c r="BX17" s="1230"/>
      <c r="BY17" s="1230"/>
      <c r="BZ17" s="1230"/>
      <c r="CA17" s="1230"/>
      <c r="CB17" s="1230"/>
      <c r="CC17" s="1230"/>
      <c r="CD17" s="1230"/>
      <c r="CE17" s="1230"/>
      <c r="CF17" s="1230"/>
      <c r="CG17" s="1230"/>
      <c r="CH17" s="1230"/>
      <c r="CI17" s="1230"/>
      <c r="CJ17" s="1230"/>
      <c r="CK17" s="1230"/>
      <c r="CL17" s="1230"/>
      <c r="CM17" s="1230"/>
      <c r="CN17" s="1230"/>
      <c r="CO17" s="1230"/>
      <c r="CP17" s="1230"/>
      <c r="CQ17" s="1230"/>
      <c r="CR17" s="1230"/>
      <c r="CS17" s="1230"/>
      <c r="CT17" s="1230"/>
      <c r="CU17" s="1230"/>
      <c r="CV17" s="1230"/>
      <c r="CW17" s="1230"/>
      <c r="CX17" s="1230"/>
      <c r="CY17" s="1230"/>
      <c r="CZ17" s="1230"/>
      <c r="DA17" s="1230"/>
      <c r="DB17" s="1230"/>
      <c r="DC17" s="1230"/>
      <c r="DD17" s="1230"/>
      <c r="DE17" s="1230"/>
      <c r="DF17" s="1230"/>
      <c r="DG17" s="1230"/>
      <c r="DH17" s="1230"/>
      <c r="DI17" s="1230"/>
      <c r="DJ17" s="1230"/>
      <c r="DK17" s="1230"/>
      <c r="DL17" s="1230"/>
      <c r="DM17" s="1230"/>
      <c r="DN17" s="1230"/>
      <c r="DO17" s="1230"/>
      <c r="DP17" s="1230"/>
      <c r="DQ17" s="1230"/>
      <c r="DR17" s="1230"/>
      <c r="DS17" s="1230"/>
      <c r="DT17" s="1230"/>
      <c r="DU17" s="1230"/>
      <c r="DV17" s="1230"/>
      <c r="DW17" s="1230"/>
      <c r="DX17" s="1230"/>
      <c r="DY17" s="1231"/>
      <c r="DZ17" s="1231"/>
      <c r="EA17" s="1231"/>
      <c r="EB17" s="1231"/>
      <c r="EC17" s="1231"/>
      <c r="ED17" s="1231"/>
      <c r="EE17" s="1231"/>
      <c r="EF17" s="1231"/>
      <c r="EG17" s="1231"/>
      <c r="EH17" s="1231"/>
      <c r="EI17" s="1231"/>
      <c r="EJ17" s="1231"/>
      <c r="EK17" s="1231"/>
      <c r="EL17" s="1231"/>
      <c r="EM17" s="1231"/>
      <c r="EN17" s="1231"/>
    </row>
    <row r="18" customFormat="false" ht="12.75" hidden="false" customHeight="false" outlineLevel="0" collapsed="false">
      <c r="A18" s="1229"/>
      <c r="B18" s="1160"/>
      <c r="C18" s="1251"/>
      <c r="D18" s="1161"/>
      <c r="E18" s="1161"/>
      <c r="F18" s="1161"/>
      <c r="G18" s="1161"/>
      <c r="H18" s="1161"/>
      <c r="I18" s="1161"/>
      <c r="J18" s="1161"/>
      <c r="K18" s="1161"/>
      <c r="L18" s="1161"/>
      <c r="M18" s="1161"/>
      <c r="N18" s="1161"/>
      <c r="O18" s="1161"/>
      <c r="P18" s="1161"/>
      <c r="Q18" s="1161"/>
      <c r="R18" s="1161"/>
      <c r="S18" s="1161"/>
      <c r="T18" s="1161"/>
      <c r="U18" s="1161"/>
      <c r="V18" s="1161"/>
      <c r="W18" s="1161"/>
      <c r="X18" s="1161"/>
      <c r="Y18" s="1161"/>
      <c r="Z18" s="1161"/>
      <c r="AA18" s="1161"/>
      <c r="AB18" s="1161"/>
      <c r="AC18" s="1161"/>
      <c r="AD18" s="1161"/>
      <c r="AE18" s="1161"/>
      <c r="AF18" s="1161"/>
      <c r="AG18" s="1161"/>
      <c r="AH18" s="1161"/>
      <c r="AI18" s="1162"/>
      <c r="AJ18" s="21"/>
      <c r="AK18" s="1252"/>
      <c r="AL18" s="1252"/>
      <c r="AM18" s="1252"/>
      <c r="AN18" s="1252"/>
      <c r="AO18" s="1252"/>
      <c r="AP18" s="1252"/>
      <c r="AQ18" s="1252"/>
      <c r="AR18" s="1252"/>
      <c r="AS18" s="1252"/>
      <c r="AT18" s="1252"/>
      <c r="AU18" s="1252"/>
      <c r="AV18" s="1252"/>
      <c r="AW18" s="1252"/>
      <c r="AX18" s="1252"/>
      <c r="AY18" s="1252"/>
      <c r="AZ18" s="1252"/>
      <c r="BA18" s="1252"/>
      <c r="BB18" s="1252"/>
      <c r="BC18" s="1252"/>
      <c r="BD18" s="1252"/>
      <c r="BE18" s="1252"/>
      <c r="BF18" s="1252"/>
      <c r="BG18" s="1252"/>
      <c r="BH18" s="1252"/>
      <c r="BI18" s="1252"/>
      <c r="BJ18" s="1252"/>
      <c r="BK18" s="1252"/>
      <c r="BL18" s="1252"/>
      <c r="BM18" s="1252"/>
      <c r="BN18" s="1252"/>
      <c r="BO18" s="1252"/>
      <c r="BP18" s="1252"/>
      <c r="BQ18" s="1252"/>
      <c r="BR18" s="1252"/>
      <c r="BS18" s="1252"/>
      <c r="BT18" s="1252"/>
      <c r="BU18" s="1252"/>
      <c r="BV18" s="1252"/>
      <c r="BW18" s="1252"/>
      <c r="BX18" s="1252"/>
      <c r="BY18" s="1252"/>
      <c r="BZ18" s="1252"/>
      <c r="CA18" s="1252"/>
      <c r="CB18" s="1252"/>
      <c r="CC18" s="1252"/>
      <c r="CD18" s="1252"/>
      <c r="CE18" s="1252"/>
      <c r="CF18" s="1252"/>
      <c r="CG18" s="1252"/>
      <c r="CH18" s="1252"/>
      <c r="CI18" s="1252"/>
      <c r="CJ18" s="1252"/>
      <c r="CK18" s="1252"/>
      <c r="CL18" s="1252"/>
      <c r="CM18" s="1252"/>
      <c r="CN18" s="1252"/>
      <c r="CO18" s="1252"/>
      <c r="CP18" s="1252"/>
      <c r="CQ18" s="1252"/>
      <c r="CR18" s="1252"/>
      <c r="CS18" s="1252"/>
      <c r="CT18" s="1252"/>
      <c r="CU18" s="1252"/>
      <c r="CV18" s="1252"/>
      <c r="CW18" s="1252"/>
      <c r="CX18" s="1252"/>
      <c r="CY18" s="1252"/>
      <c r="CZ18" s="1252"/>
      <c r="DA18" s="1252"/>
      <c r="DB18" s="1252"/>
      <c r="DC18" s="1252"/>
      <c r="DD18" s="1252"/>
      <c r="DE18" s="1252"/>
      <c r="DF18" s="1252"/>
      <c r="DG18" s="1252"/>
      <c r="DH18" s="1252"/>
      <c r="DI18" s="1252"/>
      <c r="DJ18" s="1252"/>
      <c r="DK18" s="1252"/>
      <c r="DL18" s="1252"/>
      <c r="DM18" s="1252"/>
      <c r="DN18" s="1252"/>
      <c r="DO18" s="1252"/>
      <c r="DP18" s="1252"/>
      <c r="DQ18" s="1252"/>
      <c r="DR18" s="1252"/>
      <c r="DS18" s="1252"/>
      <c r="DT18" s="1252"/>
      <c r="DU18" s="1252"/>
      <c r="DV18" s="1252"/>
      <c r="DW18" s="1252"/>
      <c r="DX18" s="1252"/>
      <c r="DY18" s="1246"/>
      <c r="DZ18" s="1246"/>
      <c r="EA18" s="1246"/>
      <c r="EB18" s="1246"/>
      <c r="EC18" s="1246"/>
      <c r="ED18" s="1246"/>
      <c r="EE18" s="1246"/>
      <c r="EF18" s="1246"/>
      <c r="EG18" s="1246"/>
      <c r="EH18" s="1246"/>
      <c r="EI18" s="1246"/>
      <c r="EJ18" s="1246"/>
      <c r="EK18" s="1246"/>
      <c r="EL18" s="1246"/>
      <c r="EM18" s="1246"/>
      <c r="EN18" s="1246"/>
      <c r="EO18" s="21"/>
      <c r="EP18" s="21"/>
      <c r="EQ18" s="21"/>
      <c r="ER18" s="21"/>
      <c r="ES18" s="21"/>
      <c r="ET18" s="21"/>
      <c r="EU18" s="21"/>
      <c r="EV18" s="21"/>
      <c r="EW18" s="21"/>
      <c r="EX18" s="21"/>
      <c r="EY18" s="21"/>
      <c r="EZ18" s="21"/>
      <c r="FA18" s="21"/>
      <c r="FB18" s="21"/>
      <c r="FC18" s="21"/>
      <c r="FD18" s="21"/>
      <c r="FE18" s="21"/>
      <c r="FF18" s="21"/>
      <c r="FG18" s="21"/>
      <c r="FH18" s="21"/>
      <c r="FI18" s="21"/>
      <c r="FJ18" s="21"/>
      <c r="FK18" s="21"/>
      <c r="FL18" s="21"/>
      <c r="FM18" s="21"/>
      <c r="FN18" s="21"/>
      <c r="FO18" s="21"/>
      <c r="FP18" s="21"/>
      <c r="FQ18" s="21"/>
      <c r="FR18" s="21"/>
      <c r="FS18" s="21"/>
      <c r="FT18" s="21"/>
      <c r="FU18" s="21"/>
      <c r="FV18" s="21"/>
      <c r="FW18" s="21"/>
      <c r="FX18" s="21"/>
      <c r="FY18" s="21"/>
      <c r="FZ18" s="21"/>
      <c r="GA18" s="21"/>
      <c r="GB18" s="21"/>
      <c r="GC18" s="21"/>
      <c r="GD18" s="21"/>
      <c r="GE18" s="21"/>
      <c r="GF18" s="21"/>
      <c r="GG18" s="21"/>
      <c r="GH18" s="21"/>
      <c r="GI18" s="21"/>
      <c r="GJ18" s="21"/>
      <c r="GK18" s="21"/>
      <c r="GL18" s="21"/>
      <c r="GM18" s="21"/>
      <c r="GN18" s="21"/>
      <c r="GO18" s="21"/>
      <c r="GP18" s="21"/>
      <c r="GQ18" s="21"/>
      <c r="GR18" s="21"/>
      <c r="GS18" s="21"/>
      <c r="GT18" s="21"/>
      <c r="GU18" s="21"/>
      <c r="GV18" s="21"/>
      <c r="GW18" s="21"/>
      <c r="GX18" s="21"/>
      <c r="GY18" s="21"/>
      <c r="GZ18" s="21"/>
      <c r="HA18" s="21"/>
      <c r="HB18" s="21"/>
      <c r="HC18" s="21"/>
      <c r="HD18" s="21"/>
      <c r="HE18" s="21"/>
      <c r="HF18" s="21"/>
      <c r="HG18" s="21"/>
      <c r="HH18" s="21"/>
      <c r="HI18" s="21"/>
      <c r="HJ18" s="21"/>
      <c r="HK18" s="21"/>
      <c r="HL18" s="21"/>
      <c r="HM18" s="21"/>
      <c r="HN18" s="21"/>
      <c r="HO18" s="21"/>
      <c r="HP18" s="21"/>
      <c r="HQ18" s="21"/>
      <c r="HR18" s="21"/>
      <c r="HS18" s="21"/>
      <c r="HT18" s="21"/>
      <c r="HU18" s="21"/>
      <c r="HV18" s="21"/>
      <c r="HW18" s="21"/>
      <c r="HX18" s="21"/>
      <c r="HY18" s="21"/>
      <c r="HZ18" s="21"/>
      <c r="IA18" s="21"/>
      <c r="IB18" s="21"/>
      <c r="IC18" s="21"/>
      <c r="ID18" s="21"/>
      <c r="IE18" s="21"/>
      <c r="IF18" s="21"/>
      <c r="IG18" s="21"/>
      <c r="IH18" s="21"/>
      <c r="II18" s="21"/>
      <c r="IJ18" s="21"/>
      <c r="IK18" s="21"/>
      <c r="IL18" s="21"/>
      <c r="IM18" s="21"/>
      <c r="IN18" s="21"/>
      <c r="IO18" s="21"/>
      <c r="IP18" s="21"/>
      <c r="IQ18" s="21"/>
      <c r="IR18" s="21"/>
      <c r="IS18" s="21"/>
      <c r="IT18" s="21"/>
      <c r="IU18" s="21"/>
      <c r="IV18" s="21"/>
      <c r="IW18" s="21"/>
    </row>
    <row r="19" customFormat="false" ht="12.75" hidden="false" customHeight="true" outlineLevel="0" collapsed="false">
      <c r="A19" s="1229"/>
      <c r="B19" s="1135" t="s">
        <v>673</v>
      </c>
      <c r="C19" s="100"/>
      <c r="D19" s="100" t="n">
        <f aca="false">-Srcs_Uses!E7</f>
        <v>-264.958086355692</v>
      </c>
      <c r="E19" s="59"/>
      <c r="F19" s="1163"/>
      <c r="G19" s="705"/>
      <c r="H19" s="705"/>
      <c r="I19" s="705"/>
      <c r="J19" s="705"/>
      <c r="K19" s="705"/>
      <c r="L19" s="705"/>
      <c r="M19" s="705"/>
      <c r="N19" s="705"/>
      <c r="O19" s="705"/>
      <c r="P19" s="705"/>
      <c r="Q19" s="705"/>
      <c r="R19" s="705"/>
      <c r="S19" s="705"/>
      <c r="T19" s="705"/>
      <c r="U19" s="705"/>
      <c r="V19" s="705"/>
      <c r="W19" s="705"/>
      <c r="X19" s="705"/>
      <c r="Y19" s="705"/>
      <c r="Z19" s="705"/>
      <c r="AA19" s="705"/>
      <c r="AB19" s="705"/>
      <c r="AC19" s="705"/>
      <c r="AD19" s="705"/>
      <c r="AE19" s="705"/>
      <c r="AF19" s="705"/>
      <c r="AG19" s="705"/>
      <c r="AH19" s="705"/>
      <c r="AI19" s="1164"/>
      <c r="AJ19" s="100"/>
      <c r="AK19" s="59"/>
      <c r="AL19" s="59"/>
      <c r="AM19" s="59"/>
      <c r="AN19" s="59"/>
      <c r="AO19" s="59"/>
      <c r="AP19" s="59"/>
      <c r="AQ19" s="59"/>
      <c r="AR19" s="59"/>
      <c r="AS19" s="59"/>
      <c r="AT19" s="59"/>
      <c r="AU19" s="59"/>
      <c r="AV19" s="59"/>
      <c r="AW19" s="59"/>
      <c r="AX19" s="59"/>
      <c r="AY19" s="59"/>
      <c r="AZ19" s="59"/>
      <c r="BA19" s="59"/>
      <c r="BB19" s="59"/>
      <c r="BC19" s="59"/>
      <c r="BD19" s="59"/>
      <c r="BE19" s="59"/>
      <c r="BF19" s="59"/>
      <c r="BG19" s="59"/>
      <c r="BH19" s="59"/>
      <c r="BI19" s="59"/>
      <c r="BJ19" s="59"/>
      <c r="BK19" s="59"/>
      <c r="BL19" s="59"/>
      <c r="BM19" s="59"/>
      <c r="BN19" s="59"/>
      <c r="BO19" s="59"/>
      <c r="BP19" s="59"/>
      <c r="BQ19" s="59"/>
      <c r="BR19" s="59"/>
      <c r="BS19" s="59"/>
      <c r="BT19" s="59"/>
      <c r="BU19" s="59"/>
      <c r="BV19" s="59"/>
      <c r="BW19" s="59"/>
      <c r="BX19" s="59"/>
      <c r="BY19" s="59"/>
      <c r="BZ19" s="59"/>
      <c r="CA19" s="59"/>
      <c r="CB19" s="59"/>
      <c r="CC19" s="59"/>
      <c r="CD19" s="59"/>
      <c r="CE19" s="59"/>
      <c r="CF19" s="59"/>
      <c r="CG19" s="59"/>
      <c r="CH19" s="59"/>
      <c r="CI19" s="59"/>
      <c r="CJ19" s="59"/>
      <c r="CK19" s="59"/>
      <c r="CL19" s="59"/>
      <c r="CM19" s="59"/>
      <c r="CN19" s="59"/>
      <c r="CO19" s="59"/>
      <c r="CP19" s="59"/>
      <c r="CQ19" s="59"/>
      <c r="CR19" s="59"/>
      <c r="CS19" s="59"/>
      <c r="CT19" s="59"/>
      <c r="CU19" s="59"/>
      <c r="CV19" s="59"/>
      <c r="CW19" s="59"/>
      <c r="CX19" s="59"/>
      <c r="CY19" s="59"/>
      <c r="CZ19" s="59"/>
      <c r="DA19" s="59"/>
      <c r="DB19" s="59"/>
      <c r="DC19" s="59"/>
      <c r="DD19" s="59"/>
      <c r="DE19" s="59"/>
      <c r="DF19" s="59"/>
      <c r="DG19" s="59"/>
      <c r="DH19" s="59"/>
      <c r="DI19" s="59"/>
      <c r="DJ19" s="59"/>
      <c r="DK19" s="59"/>
      <c r="DL19" s="59"/>
      <c r="DM19" s="59"/>
      <c r="DN19" s="59"/>
      <c r="DO19" s="59"/>
      <c r="DP19" s="59"/>
      <c r="DQ19" s="59"/>
      <c r="DR19" s="59"/>
      <c r="DS19" s="59"/>
      <c r="DT19" s="59"/>
      <c r="DU19" s="59"/>
      <c r="DV19" s="59"/>
      <c r="DW19" s="59"/>
      <c r="DX19" s="59"/>
      <c r="DY19" s="59"/>
      <c r="DZ19" s="59"/>
      <c r="EA19" s="59"/>
      <c r="EB19" s="59"/>
      <c r="EC19" s="59"/>
      <c r="ED19" s="59"/>
      <c r="EE19" s="59"/>
      <c r="EF19" s="59"/>
      <c r="EG19" s="59"/>
      <c r="EH19" s="59"/>
      <c r="EI19" s="59"/>
      <c r="EJ19" s="59"/>
      <c r="EK19" s="59"/>
      <c r="EL19" s="59"/>
      <c r="EM19" s="59"/>
      <c r="EN19" s="59"/>
      <c r="EO19" s="100"/>
      <c r="EP19" s="100"/>
      <c r="EQ19" s="100"/>
      <c r="ER19" s="100"/>
      <c r="ES19" s="100"/>
      <c r="ET19" s="100"/>
      <c r="EU19" s="100"/>
      <c r="EV19" s="100"/>
      <c r="EW19" s="100"/>
      <c r="EX19" s="100"/>
      <c r="EY19" s="100"/>
      <c r="EZ19" s="100"/>
      <c r="FA19" s="100"/>
      <c r="FB19" s="100"/>
      <c r="FC19" s="100"/>
      <c r="FD19" s="100"/>
      <c r="FE19" s="100"/>
      <c r="FF19" s="100"/>
      <c r="FG19" s="100"/>
      <c r="FH19" s="100"/>
      <c r="FI19" s="100"/>
      <c r="FJ19" s="100"/>
      <c r="FK19" s="100"/>
      <c r="FL19" s="100"/>
      <c r="FM19" s="100"/>
      <c r="FN19" s="100"/>
      <c r="FO19" s="100"/>
      <c r="FP19" s="100"/>
      <c r="FQ19" s="100"/>
      <c r="FR19" s="100"/>
      <c r="FS19" s="100"/>
      <c r="FT19" s="100"/>
      <c r="FU19" s="100"/>
      <c r="FV19" s="100"/>
      <c r="FW19" s="100"/>
      <c r="FX19" s="100"/>
      <c r="FY19" s="100"/>
      <c r="FZ19" s="100"/>
      <c r="GA19" s="100"/>
      <c r="GB19" s="100"/>
      <c r="GC19" s="100"/>
      <c r="GD19" s="100"/>
      <c r="GE19" s="100"/>
      <c r="GF19" s="100"/>
      <c r="GG19" s="100"/>
      <c r="GH19" s="100"/>
      <c r="GI19" s="100"/>
      <c r="GJ19" s="100"/>
      <c r="GK19" s="100"/>
      <c r="GL19" s="100"/>
      <c r="GM19" s="100"/>
      <c r="GN19" s="100"/>
      <c r="GO19" s="100"/>
      <c r="GP19" s="100"/>
      <c r="GQ19" s="100"/>
      <c r="GR19" s="100"/>
      <c r="GS19" s="100"/>
      <c r="GT19" s="100"/>
      <c r="GU19" s="100"/>
      <c r="GV19" s="100"/>
      <c r="GW19" s="100"/>
      <c r="GX19" s="100"/>
      <c r="GY19" s="100"/>
      <c r="GZ19" s="100"/>
      <c r="HA19" s="100"/>
      <c r="HB19" s="100"/>
      <c r="HC19" s="100"/>
      <c r="HD19" s="100"/>
      <c r="HE19" s="100"/>
      <c r="HF19" s="100"/>
      <c r="HG19" s="100"/>
      <c r="HH19" s="100"/>
      <c r="HI19" s="100"/>
      <c r="HJ19" s="100"/>
      <c r="HK19" s="100"/>
      <c r="HL19" s="100"/>
      <c r="HM19" s="100"/>
      <c r="HN19" s="100"/>
      <c r="HO19" s="100"/>
      <c r="HP19" s="100"/>
      <c r="HQ19" s="100"/>
      <c r="HR19" s="100"/>
      <c r="HS19" s="100"/>
      <c r="HT19" s="100"/>
      <c r="HU19" s="100"/>
      <c r="HV19" s="100"/>
      <c r="HW19" s="100"/>
      <c r="HX19" s="100"/>
      <c r="HY19" s="100"/>
      <c r="HZ19" s="100"/>
      <c r="IA19" s="100"/>
      <c r="IB19" s="100"/>
      <c r="IC19" s="100"/>
      <c r="ID19" s="100"/>
      <c r="IE19" s="100"/>
      <c r="IF19" s="100"/>
      <c r="IG19" s="100"/>
      <c r="IH19" s="100"/>
      <c r="II19" s="100"/>
      <c r="IJ19" s="100"/>
      <c r="IK19" s="100"/>
      <c r="IL19" s="100"/>
      <c r="IM19" s="100"/>
      <c r="IN19" s="100"/>
      <c r="IO19" s="100"/>
      <c r="IP19" s="100"/>
      <c r="IQ19" s="100"/>
      <c r="IR19" s="100"/>
      <c r="IS19" s="100"/>
      <c r="IT19" s="100"/>
      <c r="IU19" s="100"/>
      <c r="IV19" s="100"/>
      <c r="IW19" s="100"/>
    </row>
    <row r="20" customFormat="false" ht="12.75" hidden="false" customHeight="true" outlineLevel="0" collapsed="false">
      <c r="A20" s="1229"/>
      <c r="B20" s="1165" t="s">
        <v>674</v>
      </c>
      <c r="C20" s="1073"/>
      <c r="D20" s="100"/>
      <c r="E20" s="100" t="n">
        <f aca="false">-CashFlow!E43</f>
        <v>-0</v>
      </c>
      <c r="F20" s="59" t="n">
        <f aca="false">-CashFlow!F43</f>
        <v>-0</v>
      </c>
      <c r="G20" s="59" t="n">
        <f aca="false">-CashFlow!G43</f>
        <v>-0</v>
      </c>
      <c r="H20" s="59" t="n">
        <f aca="false">-CashFlow!H43</f>
        <v>-0</v>
      </c>
      <c r="I20" s="59" t="n">
        <f aca="false">-CashFlow!I43</f>
        <v>-0</v>
      </c>
      <c r="J20" s="59" t="n">
        <f aca="false">-CashFlow!J43</f>
        <v>-0</v>
      </c>
      <c r="K20" s="59" t="n">
        <f aca="false">-CashFlow!K43</f>
        <v>-0</v>
      </c>
      <c r="L20" s="59" t="n">
        <f aca="false">-CashFlow!L43</f>
        <v>-0</v>
      </c>
      <c r="M20" s="59" t="n">
        <f aca="false">-CashFlow!M43</f>
        <v>-0</v>
      </c>
      <c r="N20" s="59" t="n">
        <f aca="false">-CashFlow!N43</f>
        <v>-0</v>
      </c>
      <c r="O20" s="59" t="n">
        <f aca="false">-CashFlow!O43</f>
        <v>-0</v>
      </c>
      <c r="P20" s="59" t="n">
        <f aca="false">-CashFlow!P43</f>
        <v>-0</v>
      </c>
      <c r="Q20" s="59" t="n">
        <f aca="false">-CashFlow!Q43</f>
        <v>-0</v>
      </c>
      <c r="R20" s="59" t="n">
        <f aca="false">-CashFlow!R43</f>
        <v>-0</v>
      </c>
      <c r="S20" s="59" t="n">
        <f aca="false">-CashFlow!S43</f>
        <v>-0</v>
      </c>
      <c r="T20" s="59" t="n">
        <f aca="false">-CashFlow!T43</f>
        <v>-0</v>
      </c>
      <c r="U20" s="59" t="n">
        <f aca="false">-CashFlow!U43</f>
        <v>-0</v>
      </c>
      <c r="V20" s="59" t="n">
        <f aca="false">-CashFlow!V43</f>
        <v>-0</v>
      </c>
      <c r="W20" s="59" t="n">
        <f aca="false">-CashFlow!W43</f>
        <v>-0</v>
      </c>
      <c r="X20" s="59" t="n">
        <f aca="false">-CashFlow!X43</f>
        <v>-0</v>
      </c>
      <c r="Y20" s="59" t="n">
        <f aca="false">-CashFlow!Y43</f>
        <v>-0</v>
      </c>
      <c r="Z20" s="59" t="n">
        <f aca="false">-CashFlow!Z43</f>
        <v>-0</v>
      </c>
      <c r="AA20" s="59" t="n">
        <f aca="false">-CashFlow!AA43</f>
        <v>-0</v>
      </c>
      <c r="AB20" s="59" t="n">
        <f aca="false">-CashFlow!AB43</f>
        <v>-0</v>
      </c>
      <c r="AC20" s="59" t="n">
        <f aca="false">-CashFlow!AC43</f>
        <v>-0</v>
      </c>
      <c r="AD20" s="59" t="n">
        <f aca="false">-CashFlow!AD43</f>
        <v>-0</v>
      </c>
      <c r="AE20" s="59" t="n">
        <f aca="false">-CashFlow!AE43</f>
        <v>-0</v>
      </c>
      <c r="AF20" s="59" t="n">
        <f aca="false">-CashFlow!AF43</f>
        <v>-0</v>
      </c>
      <c r="AG20" s="59" t="n">
        <f aca="false">-CashFlow!AG43</f>
        <v>-0</v>
      </c>
      <c r="AH20" s="59" t="n">
        <f aca="false">-CashFlow!AH43</f>
        <v>-0</v>
      </c>
      <c r="AI20" s="1166" t="n">
        <f aca="false">-CashFlow!AI43</f>
        <v>-0</v>
      </c>
      <c r="AJ20" s="100"/>
      <c r="AK20" s="59"/>
      <c r="AL20" s="59"/>
      <c r="AM20" s="59"/>
      <c r="AN20" s="59"/>
      <c r="AO20" s="59"/>
      <c r="AP20" s="59"/>
      <c r="AQ20" s="59"/>
      <c r="AR20" s="59"/>
      <c r="AS20" s="59"/>
      <c r="AT20" s="59"/>
      <c r="AU20" s="59"/>
      <c r="AV20" s="59"/>
      <c r="AW20" s="59"/>
      <c r="AX20" s="59"/>
      <c r="AY20" s="59"/>
      <c r="AZ20" s="59"/>
      <c r="BA20" s="59"/>
      <c r="BB20" s="59"/>
      <c r="BC20" s="59"/>
      <c r="BD20" s="59"/>
      <c r="BE20" s="59"/>
      <c r="BF20" s="59"/>
      <c r="BG20" s="59"/>
      <c r="BH20" s="59"/>
      <c r="BI20" s="59"/>
      <c r="BJ20" s="59"/>
      <c r="BK20" s="59"/>
      <c r="BL20" s="59"/>
      <c r="BM20" s="59"/>
      <c r="BN20" s="59"/>
      <c r="BO20" s="59"/>
      <c r="BP20" s="59"/>
      <c r="BQ20" s="59"/>
      <c r="BR20" s="59"/>
      <c r="BS20" s="59"/>
      <c r="BT20" s="59"/>
      <c r="BU20" s="59"/>
      <c r="BV20" s="59"/>
      <c r="BW20" s="59"/>
      <c r="BX20" s="59"/>
      <c r="BY20" s="59"/>
      <c r="BZ20" s="59"/>
      <c r="CA20" s="59"/>
      <c r="CB20" s="59"/>
      <c r="CC20" s="59"/>
      <c r="CD20" s="59"/>
      <c r="CE20" s="59"/>
      <c r="CF20" s="59"/>
      <c r="CG20" s="59"/>
      <c r="CH20" s="59"/>
      <c r="CI20" s="59"/>
      <c r="CJ20" s="59"/>
      <c r="CK20" s="59"/>
      <c r="CL20" s="59"/>
      <c r="CM20" s="59"/>
      <c r="CN20" s="59"/>
      <c r="CO20" s="59"/>
      <c r="CP20" s="59"/>
      <c r="CQ20" s="59"/>
      <c r="CR20" s="59"/>
      <c r="CS20" s="59"/>
      <c r="CT20" s="59"/>
      <c r="CU20" s="59"/>
      <c r="CV20" s="59"/>
      <c r="CW20" s="59"/>
      <c r="CX20" s="59"/>
      <c r="CY20" s="59"/>
      <c r="CZ20" s="59"/>
      <c r="DA20" s="59"/>
      <c r="DB20" s="59"/>
      <c r="DC20" s="59"/>
      <c r="DD20" s="59"/>
      <c r="DE20" s="59"/>
      <c r="DF20" s="59"/>
      <c r="DG20" s="59"/>
      <c r="DH20" s="59"/>
      <c r="DI20" s="59"/>
      <c r="DJ20" s="59"/>
      <c r="DK20" s="59"/>
      <c r="DL20" s="59"/>
      <c r="DM20" s="59"/>
      <c r="DN20" s="59"/>
      <c r="DO20" s="59"/>
      <c r="DP20" s="59"/>
      <c r="DQ20" s="59"/>
      <c r="DR20" s="59"/>
      <c r="DS20" s="59"/>
      <c r="DT20" s="59"/>
      <c r="DU20" s="59"/>
      <c r="DV20" s="59"/>
      <c r="DW20" s="59"/>
      <c r="DX20" s="59"/>
      <c r="DY20" s="59"/>
      <c r="DZ20" s="59"/>
      <c r="EA20" s="59"/>
      <c r="EB20" s="59"/>
      <c r="EC20" s="59"/>
      <c r="ED20" s="59"/>
      <c r="EE20" s="59"/>
      <c r="EF20" s="59"/>
      <c r="EG20" s="59"/>
      <c r="EH20" s="59"/>
      <c r="EI20" s="59"/>
      <c r="EJ20" s="59"/>
      <c r="EK20" s="59"/>
      <c r="EL20" s="59"/>
      <c r="EM20" s="59"/>
      <c r="EN20" s="59"/>
      <c r="EO20" s="100"/>
      <c r="EP20" s="100"/>
      <c r="EQ20" s="100"/>
      <c r="ER20" s="100"/>
      <c r="ES20" s="100"/>
      <c r="ET20" s="100"/>
      <c r="EU20" s="100"/>
      <c r="EV20" s="100"/>
      <c r="EW20" s="100"/>
      <c r="EX20" s="100"/>
      <c r="EY20" s="100"/>
      <c r="EZ20" s="100"/>
      <c r="FA20" s="100"/>
      <c r="FB20" s="100"/>
      <c r="FC20" s="100"/>
      <c r="FD20" s="100"/>
      <c r="FE20" s="100"/>
      <c r="FF20" s="100"/>
      <c r="FG20" s="100"/>
      <c r="FH20" s="100"/>
      <c r="FI20" s="100"/>
      <c r="FJ20" s="100"/>
      <c r="FK20" s="100"/>
      <c r="FL20" s="100"/>
      <c r="FM20" s="100"/>
      <c r="FN20" s="100"/>
      <c r="FO20" s="100"/>
      <c r="FP20" s="100"/>
      <c r="FQ20" s="100"/>
      <c r="FR20" s="100"/>
      <c r="FS20" s="100"/>
      <c r="FT20" s="100"/>
      <c r="FU20" s="100"/>
      <c r="FV20" s="100"/>
      <c r="FW20" s="100"/>
      <c r="FX20" s="100"/>
      <c r="FY20" s="100"/>
      <c r="FZ20" s="100"/>
      <c r="GA20" s="100"/>
      <c r="GB20" s="100"/>
      <c r="GC20" s="100"/>
      <c r="GD20" s="100"/>
      <c r="GE20" s="100"/>
      <c r="GF20" s="100"/>
      <c r="GG20" s="100"/>
      <c r="GH20" s="100"/>
      <c r="GI20" s="100"/>
      <c r="GJ20" s="100"/>
      <c r="GK20" s="100"/>
      <c r="GL20" s="100"/>
      <c r="GM20" s="100"/>
      <c r="GN20" s="100"/>
      <c r="GO20" s="100"/>
      <c r="GP20" s="100"/>
      <c r="GQ20" s="100"/>
      <c r="GR20" s="100"/>
      <c r="GS20" s="100"/>
      <c r="GT20" s="100"/>
      <c r="GU20" s="100"/>
      <c r="GV20" s="100"/>
      <c r="GW20" s="100"/>
      <c r="GX20" s="100"/>
      <c r="GY20" s="100"/>
      <c r="GZ20" s="100"/>
      <c r="HA20" s="100"/>
      <c r="HB20" s="100"/>
      <c r="HC20" s="100"/>
      <c r="HD20" s="100"/>
      <c r="HE20" s="100"/>
      <c r="HF20" s="100"/>
      <c r="HG20" s="100"/>
      <c r="HH20" s="100"/>
      <c r="HI20" s="100"/>
      <c r="HJ20" s="100"/>
      <c r="HK20" s="100"/>
      <c r="HL20" s="100"/>
      <c r="HM20" s="100"/>
      <c r="HN20" s="100"/>
      <c r="HO20" s="100"/>
      <c r="HP20" s="100"/>
      <c r="HQ20" s="100"/>
      <c r="HR20" s="100"/>
      <c r="HS20" s="100"/>
      <c r="HT20" s="100"/>
      <c r="HU20" s="100"/>
      <c r="HV20" s="100"/>
      <c r="HW20" s="100"/>
      <c r="HX20" s="100"/>
      <c r="HY20" s="100"/>
      <c r="HZ20" s="100"/>
      <c r="IA20" s="100"/>
      <c r="IB20" s="100"/>
      <c r="IC20" s="100"/>
      <c r="ID20" s="100"/>
      <c r="IE20" s="100"/>
      <c r="IF20" s="100"/>
      <c r="IG20" s="100"/>
      <c r="IH20" s="100"/>
      <c r="II20" s="100"/>
      <c r="IJ20" s="100"/>
      <c r="IK20" s="100"/>
      <c r="IL20" s="100"/>
      <c r="IM20" s="100"/>
      <c r="IN20" s="100"/>
      <c r="IO20" s="100"/>
      <c r="IP20" s="100"/>
      <c r="IQ20" s="100"/>
      <c r="IR20" s="100"/>
      <c r="IS20" s="100"/>
      <c r="IT20" s="100"/>
      <c r="IU20" s="100"/>
      <c r="IV20" s="100"/>
      <c r="IW20" s="100"/>
    </row>
    <row r="21" customFormat="false" ht="12.75" hidden="false" customHeight="true" outlineLevel="0" collapsed="false">
      <c r="A21" s="1229"/>
      <c r="B21" s="1165" t="s">
        <v>765</v>
      </c>
      <c r="C21" s="1073"/>
      <c r="D21" s="100"/>
      <c r="E21" s="100" t="n">
        <f aca="false">CashFlow!E62</f>
        <v>5.73300936572961</v>
      </c>
      <c r="F21" s="59" t="n">
        <f aca="false">CashFlow!F62</f>
        <v>5.71607553384322</v>
      </c>
      <c r="G21" s="59" t="n">
        <f aca="false">CashFlow!G62</f>
        <v>5.69738018319113</v>
      </c>
      <c r="H21" s="59" t="n">
        <f aca="false">CashFlow!H62</f>
        <v>5.67626944867061</v>
      </c>
      <c r="I21" s="59" t="n">
        <f aca="false">CashFlow!I62</f>
        <v>5.65310185632573</v>
      </c>
      <c r="J21" s="59" t="n">
        <f aca="false">CashFlow!J62</f>
        <v>5.62879487597114</v>
      </c>
      <c r="K21" s="59" t="n">
        <f aca="false">CashFlow!K62</f>
        <v>5.57665789727338</v>
      </c>
      <c r="L21" s="59" t="n">
        <f aca="false">CashFlow!L62</f>
        <v>5.5222807750722</v>
      </c>
      <c r="M21" s="59" t="n">
        <f aca="false">CashFlow!M62</f>
        <v>5.46560279836952</v>
      </c>
      <c r="N21" s="59" t="n">
        <f aca="false">CashFlow!N62</f>
        <v>5.40393558379574</v>
      </c>
      <c r="O21" s="59" t="n">
        <f aca="false">CashFlow!O62</f>
        <v>5.47036344776272</v>
      </c>
      <c r="P21" s="59" t="n">
        <f aca="false">CashFlow!P62</f>
        <v>5.40436096296459</v>
      </c>
      <c r="Q21" s="59" t="n">
        <f aca="false">CashFlow!Q62</f>
        <v>5.33321999723709</v>
      </c>
      <c r="R21" s="59" t="n">
        <f aca="false">CashFlow!R62</f>
        <v>5.25661489031909</v>
      </c>
      <c r="S21" s="59" t="n">
        <f aca="false">CashFlow!S62</f>
        <v>5.17395799501174</v>
      </c>
      <c r="T21" s="59" t="n">
        <f aca="false">CashFlow!T62</f>
        <v>5.09111721360887</v>
      </c>
      <c r="U21" s="59" t="n">
        <f aca="false">CashFlow!U62</f>
        <v>5.90594573693744</v>
      </c>
      <c r="V21" s="59" t="n">
        <f aca="false">CashFlow!V62</f>
        <v>20.3082975075773</v>
      </c>
      <c r="W21" s="59" t="n">
        <f aca="false">CashFlow!W62</f>
        <v>19.9973505602653</v>
      </c>
      <c r="X21" s="59" t="n">
        <f aca="false">CashFlow!X62</f>
        <v>21.662171441291</v>
      </c>
      <c r="Y21" s="59" t="n">
        <f aca="false">CashFlow!Y62</f>
        <v>0</v>
      </c>
      <c r="Z21" s="59" t="n">
        <f aca="false">CashFlow!Z62</f>
        <v>0</v>
      </c>
      <c r="AA21" s="59" t="n">
        <f aca="false">CashFlow!AA62</f>
        <v>0</v>
      </c>
      <c r="AB21" s="59" t="n">
        <f aca="false">CashFlow!AB62</f>
        <v>0</v>
      </c>
      <c r="AC21" s="59" t="n">
        <f aca="false">CashFlow!AC62</f>
        <v>0</v>
      </c>
      <c r="AD21" s="59" t="n">
        <f aca="false">CashFlow!AD62</f>
        <v>0</v>
      </c>
      <c r="AE21" s="59" t="n">
        <f aca="false">CashFlow!AE62</f>
        <v>0</v>
      </c>
      <c r="AF21" s="59" t="n">
        <f aca="false">CashFlow!AF62</f>
        <v>0</v>
      </c>
      <c r="AG21" s="59" t="n">
        <f aca="false">CashFlow!AG62</f>
        <v>0</v>
      </c>
      <c r="AH21" s="59" t="n">
        <f aca="false">CashFlow!AH62</f>
        <v>0</v>
      </c>
      <c r="AI21" s="1166" t="n">
        <f aca="false">CashFlow!AI62</f>
        <v>0</v>
      </c>
      <c r="AJ21" s="100"/>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c r="BM21" s="59"/>
      <c r="BN21" s="59"/>
      <c r="BO21" s="59"/>
      <c r="BP21" s="59"/>
      <c r="BQ21" s="59"/>
      <c r="BR21" s="59"/>
      <c r="BS21" s="59"/>
      <c r="BT21" s="59"/>
      <c r="BU21" s="59"/>
      <c r="BV21" s="59"/>
      <c r="BW21" s="59"/>
      <c r="BX21" s="59"/>
      <c r="BY21" s="59"/>
      <c r="BZ21" s="59"/>
      <c r="CA21" s="59"/>
      <c r="CB21" s="59"/>
      <c r="CC21" s="59"/>
      <c r="CD21" s="59"/>
      <c r="CE21" s="59"/>
      <c r="CF21" s="59"/>
      <c r="CG21" s="59"/>
      <c r="CH21" s="59"/>
      <c r="CI21" s="59"/>
      <c r="CJ21" s="59"/>
      <c r="CK21" s="59"/>
      <c r="CL21" s="59"/>
      <c r="CM21" s="59"/>
      <c r="CN21" s="59"/>
      <c r="CO21" s="59"/>
      <c r="CP21" s="59"/>
      <c r="CQ21" s="59"/>
      <c r="CR21" s="59"/>
      <c r="CS21" s="59"/>
      <c r="CT21" s="59"/>
      <c r="CU21" s="59"/>
      <c r="CV21" s="59"/>
      <c r="CW21" s="59"/>
      <c r="CX21" s="59"/>
      <c r="CY21" s="59"/>
      <c r="CZ21" s="59"/>
      <c r="DA21" s="59"/>
      <c r="DB21" s="59"/>
      <c r="DC21" s="59"/>
      <c r="DD21" s="59"/>
      <c r="DE21" s="59"/>
      <c r="DF21" s="59"/>
      <c r="DG21" s="59"/>
      <c r="DH21" s="59"/>
      <c r="DI21" s="59"/>
      <c r="DJ21" s="59"/>
      <c r="DK21" s="59"/>
      <c r="DL21" s="59"/>
      <c r="DM21" s="59"/>
      <c r="DN21" s="59"/>
      <c r="DO21" s="59"/>
      <c r="DP21" s="59"/>
      <c r="DQ21" s="59"/>
      <c r="DR21" s="59"/>
      <c r="DS21" s="59"/>
      <c r="DT21" s="59"/>
      <c r="DU21" s="59"/>
      <c r="DV21" s="59"/>
      <c r="DW21" s="59"/>
      <c r="DX21" s="59"/>
      <c r="DY21" s="59"/>
      <c r="DZ21" s="59"/>
      <c r="EA21" s="59"/>
      <c r="EB21" s="59"/>
      <c r="EC21" s="59"/>
      <c r="ED21" s="59"/>
      <c r="EE21" s="59"/>
      <c r="EF21" s="59"/>
      <c r="EG21" s="59"/>
      <c r="EH21" s="59"/>
      <c r="EI21" s="59"/>
      <c r="EJ21" s="59"/>
      <c r="EK21" s="59"/>
      <c r="EL21" s="59"/>
      <c r="EM21" s="59"/>
      <c r="EN21" s="59"/>
      <c r="EO21" s="100"/>
      <c r="EP21" s="100"/>
      <c r="EQ21" s="100"/>
      <c r="ER21" s="100"/>
      <c r="ES21" s="100"/>
      <c r="ET21" s="100"/>
      <c r="EU21" s="100"/>
      <c r="EV21" s="100"/>
      <c r="EW21" s="100"/>
      <c r="EX21" s="100"/>
      <c r="EY21" s="100"/>
      <c r="EZ21" s="100"/>
      <c r="FA21" s="100"/>
      <c r="FB21" s="100"/>
      <c r="FC21" s="100"/>
      <c r="FD21" s="100"/>
      <c r="FE21" s="100"/>
      <c r="FF21" s="100"/>
      <c r="FG21" s="100"/>
      <c r="FH21" s="100"/>
      <c r="FI21" s="100"/>
      <c r="FJ21" s="100"/>
      <c r="FK21" s="100"/>
      <c r="FL21" s="100"/>
      <c r="FM21" s="100"/>
      <c r="FN21" s="100"/>
      <c r="FO21" s="100"/>
      <c r="FP21" s="100"/>
      <c r="FQ21" s="100"/>
      <c r="FR21" s="100"/>
      <c r="FS21" s="100"/>
      <c r="FT21" s="100"/>
      <c r="FU21" s="100"/>
      <c r="FV21" s="100"/>
      <c r="FW21" s="100"/>
      <c r="FX21" s="100"/>
      <c r="FY21" s="100"/>
      <c r="FZ21" s="100"/>
      <c r="GA21" s="100"/>
      <c r="GB21" s="100"/>
      <c r="GC21" s="100"/>
      <c r="GD21" s="100"/>
      <c r="GE21" s="100"/>
      <c r="GF21" s="100"/>
      <c r="GG21" s="100"/>
      <c r="GH21" s="100"/>
      <c r="GI21" s="100"/>
      <c r="GJ21" s="100"/>
      <c r="GK21" s="100"/>
      <c r="GL21" s="100"/>
      <c r="GM21" s="100"/>
      <c r="GN21" s="100"/>
      <c r="GO21" s="100"/>
      <c r="GP21" s="100"/>
      <c r="GQ21" s="100"/>
      <c r="GR21" s="100"/>
      <c r="GS21" s="100"/>
      <c r="GT21" s="100"/>
      <c r="GU21" s="100"/>
      <c r="GV21" s="100"/>
      <c r="GW21" s="100"/>
      <c r="GX21" s="100"/>
      <c r="GY21" s="100"/>
      <c r="GZ21" s="100"/>
      <c r="HA21" s="100"/>
      <c r="HB21" s="100"/>
      <c r="HC21" s="100"/>
      <c r="HD21" s="100"/>
      <c r="HE21" s="100"/>
      <c r="HF21" s="100"/>
      <c r="HG21" s="100"/>
      <c r="HH21" s="100"/>
      <c r="HI21" s="100"/>
      <c r="HJ21" s="100"/>
      <c r="HK21" s="100"/>
      <c r="HL21" s="100"/>
      <c r="HM21" s="100"/>
      <c r="HN21" s="100"/>
      <c r="HO21" s="100"/>
      <c r="HP21" s="100"/>
      <c r="HQ21" s="100"/>
      <c r="HR21" s="100"/>
      <c r="HS21" s="100"/>
      <c r="HT21" s="100"/>
      <c r="HU21" s="100"/>
      <c r="HV21" s="100"/>
      <c r="HW21" s="100"/>
      <c r="HX21" s="100"/>
      <c r="HY21" s="100"/>
      <c r="HZ21" s="100"/>
      <c r="IA21" s="100"/>
      <c r="IB21" s="100"/>
      <c r="IC21" s="100"/>
      <c r="ID21" s="100"/>
      <c r="IE21" s="100"/>
      <c r="IF21" s="100"/>
      <c r="IG21" s="100"/>
      <c r="IH21" s="100"/>
      <c r="II21" s="100"/>
      <c r="IJ21" s="100"/>
      <c r="IK21" s="100"/>
      <c r="IL21" s="100"/>
      <c r="IM21" s="100"/>
      <c r="IN21" s="100"/>
      <c r="IO21" s="100"/>
      <c r="IP21" s="100"/>
      <c r="IQ21" s="100"/>
      <c r="IR21" s="100"/>
      <c r="IS21" s="100"/>
      <c r="IT21" s="100"/>
      <c r="IU21" s="100"/>
      <c r="IV21" s="100"/>
      <c r="IW21" s="100"/>
    </row>
    <row r="22" customFormat="false" ht="12.75" hidden="false" customHeight="true" outlineLevel="0" collapsed="false">
      <c r="A22" s="1229"/>
      <c r="B22" s="1167" t="s">
        <v>766</v>
      </c>
      <c r="C22" s="1109"/>
      <c r="D22" s="100"/>
      <c r="E22" s="1053" t="n">
        <f aca="false">E9</f>
        <v>26.0661937964815</v>
      </c>
      <c r="F22" s="1053" t="n">
        <f aca="false">F9</f>
        <v>43.4967418928308</v>
      </c>
      <c r="G22" s="1053" t="n">
        <f aca="false">G9</f>
        <v>24.675924730128</v>
      </c>
      <c r="H22" s="1053" t="n">
        <f aca="false">H9</f>
        <v>13.2965562349585</v>
      </c>
      <c r="I22" s="1053" t="n">
        <f aca="false">I9</f>
        <v>13.1349923898384</v>
      </c>
      <c r="J22" s="1053" t="n">
        <f aca="false">J9</f>
        <v>4.54364249663832</v>
      </c>
      <c r="K22" s="1053" t="n">
        <f aca="false">K9</f>
        <v>-4.01638616873035</v>
      </c>
      <c r="L22" s="1053" t="n">
        <f aca="false">L9</f>
        <v>-4.19983112150335</v>
      </c>
      <c r="M22" s="1053" t="n">
        <f aca="false">M9</f>
        <v>-4.38986127005931</v>
      </c>
      <c r="N22" s="1053" t="n">
        <f aca="false">N9</f>
        <v>-4.59755085324002</v>
      </c>
      <c r="O22" s="1053" t="n">
        <f aca="false">O9</f>
        <v>-4.99908190858611</v>
      </c>
      <c r="P22" s="1053" t="n">
        <f aca="false">P9</f>
        <v>-5.27059409324793</v>
      </c>
      <c r="Q22" s="1053" t="n">
        <f aca="false">Q9</f>
        <v>-5.55775861998256</v>
      </c>
      <c r="R22" s="1053" t="n">
        <f aca="false">R9</f>
        <v>-5.87071261972285</v>
      </c>
      <c r="S22" s="1053" t="n">
        <f aca="false">S9</f>
        <v>-6.20726664824541</v>
      </c>
      <c r="T22" s="1053" t="n">
        <f aca="false">T9</f>
        <v>-6.58535619408943</v>
      </c>
      <c r="U22" s="1053" t="n">
        <f aca="false">U9</f>
        <v>-7.03292989784575</v>
      </c>
      <c r="V22" s="1053" t="n">
        <f aca="false">V9</f>
        <v>-7.87816427033034</v>
      </c>
      <c r="W22" s="1053" t="n">
        <f aca="false">W9</f>
        <v>-7.75518475266843</v>
      </c>
      <c r="X22" s="1053" t="n">
        <f aca="false">X9</f>
        <v>-7.63250891111409</v>
      </c>
      <c r="Y22" s="1053" t="n">
        <f aca="false">Y9</f>
        <v>-0</v>
      </c>
      <c r="Z22" s="1053" t="n">
        <f aca="false">Z9</f>
        <v>-0</v>
      </c>
      <c r="AA22" s="1053" t="n">
        <f aca="false">AA9</f>
        <v>-0</v>
      </c>
      <c r="AB22" s="1053" t="n">
        <f aca="false">AB9</f>
        <v>-0</v>
      </c>
      <c r="AC22" s="1053" t="n">
        <f aca="false">AC9</f>
        <v>-0</v>
      </c>
      <c r="AD22" s="1053" t="n">
        <f aca="false">AD9</f>
        <v>-0</v>
      </c>
      <c r="AE22" s="1053" t="n">
        <f aca="false">AE9</f>
        <v>-0</v>
      </c>
      <c r="AF22" s="1053" t="n">
        <f aca="false">AF9</f>
        <v>-0</v>
      </c>
      <c r="AG22" s="1053" t="n">
        <f aca="false">AG9</f>
        <v>-0</v>
      </c>
      <c r="AH22" s="1053" t="n">
        <f aca="false">AH9</f>
        <v>-0</v>
      </c>
      <c r="AI22" s="1168" t="n">
        <f aca="false">AI9</f>
        <v>-0</v>
      </c>
      <c r="AJ22" s="100"/>
      <c r="AK22" s="59"/>
      <c r="AL22" s="59"/>
      <c r="AM22" s="59"/>
      <c r="AN22" s="59"/>
      <c r="AO22" s="59"/>
      <c r="AP22" s="59"/>
      <c r="AQ22" s="59"/>
      <c r="AR22" s="59"/>
      <c r="AS22" s="59"/>
      <c r="AT22" s="59"/>
      <c r="AU22" s="59"/>
      <c r="AV22" s="59"/>
      <c r="AW22" s="59"/>
      <c r="AX22" s="59"/>
      <c r="AY22" s="59"/>
      <c r="AZ22" s="59"/>
      <c r="BA22" s="59"/>
      <c r="BB22" s="59"/>
      <c r="BC22" s="59"/>
      <c r="BD22" s="59"/>
      <c r="BE22" s="59"/>
      <c r="BF22" s="59"/>
      <c r="BG22" s="59"/>
      <c r="BH22" s="59"/>
      <c r="BI22" s="59"/>
      <c r="BJ22" s="59"/>
      <c r="BK22" s="59"/>
      <c r="BL22" s="59"/>
      <c r="BM22" s="59"/>
      <c r="BN22" s="59"/>
      <c r="BO22" s="59"/>
      <c r="BP22" s="59"/>
      <c r="BQ22" s="59"/>
      <c r="BR22" s="59"/>
      <c r="BS22" s="59"/>
      <c r="BT22" s="59"/>
      <c r="BU22" s="59"/>
      <c r="BV22" s="59"/>
      <c r="BW22" s="59"/>
      <c r="BX22" s="59"/>
      <c r="BY22" s="59"/>
      <c r="BZ22" s="59"/>
      <c r="CA22" s="59"/>
      <c r="CB22" s="59"/>
      <c r="CC22" s="59"/>
      <c r="CD22" s="59"/>
      <c r="CE22" s="59"/>
      <c r="CF22" s="59"/>
      <c r="CG22" s="59"/>
      <c r="CH22" s="59"/>
      <c r="CI22" s="59"/>
      <c r="CJ22" s="59"/>
      <c r="CK22" s="59"/>
      <c r="CL22" s="59"/>
      <c r="CM22" s="59"/>
      <c r="CN22" s="59"/>
      <c r="CO22" s="59"/>
      <c r="CP22" s="59"/>
      <c r="CQ22" s="59"/>
      <c r="CR22" s="59"/>
      <c r="CS22" s="59"/>
      <c r="CT22" s="59"/>
      <c r="CU22" s="59"/>
      <c r="CV22" s="59"/>
      <c r="CW22" s="59"/>
      <c r="CX22" s="59"/>
      <c r="CY22" s="59"/>
      <c r="CZ22" s="59"/>
      <c r="DA22" s="59"/>
      <c r="DB22" s="59"/>
      <c r="DC22" s="59"/>
      <c r="DD22" s="59"/>
      <c r="DE22" s="59"/>
      <c r="DF22" s="59"/>
      <c r="DG22" s="59"/>
      <c r="DH22" s="59"/>
      <c r="DI22" s="59"/>
      <c r="DJ22" s="59"/>
      <c r="DK22" s="59"/>
      <c r="DL22" s="59"/>
      <c r="DM22" s="59"/>
      <c r="DN22" s="59"/>
      <c r="DO22" s="59"/>
      <c r="DP22" s="59"/>
      <c r="DQ22" s="59"/>
      <c r="DR22" s="59"/>
      <c r="DS22" s="59"/>
      <c r="DT22" s="59"/>
      <c r="DU22" s="59"/>
      <c r="DV22" s="59"/>
      <c r="DW22" s="59"/>
      <c r="DX22" s="59"/>
      <c r="DY22" s="59"/>
      <c r="DZ22" s="59"/>
      <c r="EA22" s="59"/>
      <c r="EB22" s="59"/>
      <c r="EC22" s="59"/>
      <c r="ED22" s="59"/>
      <c r="EE22" s="59"/>
      <c r="EF22" s="59"/>
      <c r="EG22" s="59"/>
      <c r="EH22" s="59"/>
      <c r="EI22" s="59"/>
      <c r="EJ22" s="59"/>
      <c r="EK22" s="59"/>
      <c r="EL22" s="59"/>
      <c r="EM22" s="59"/>
      <c r="EN22" s="59"/>
      <c r="EO22" s="100"/>
      <c r="EP22" s="100"/>
      <c r="EQ22" s="100"/>
      <c r="ER22" s="100"/>
      <c r="ES22" s="100"/>
      <c r="ET22" s="100"/>
      <c r="EU22" s="100"/>
      <c r="EV22" s="100"/>
      <c r="EW22" s="100"/>
      <c r="EX22" s="100"/>
      <c r="EY22" s="100"/>
      <c r="EZ22" s="100"/>
      <c r="FA22" s="100"/>
      <c r="FB22" s="100"/>
      <c r="FC22" s="100"/>
      <c r="FD22" s="100"/>
      <c r="FE22" s="100"/>
      <c r="FF22" s="100"/>
      <c r="FG22" s="100"/>
      <c r="FH22" s="100"/>
      <c r="FI22" s="100"/>
      <c r="FJ22" s="100"/>
      <c r="FK22" s="100"/>
      <c r="FL22" s="100"/>
      <c r="FM22" s="100"/>
      <c r="FN22" s="100"/>
      <c r="FO22" s="100"/>
      <c r="FP22" s="100"/>
      <c r="FQ22" s="100"/>
      <c r="FR22" s="100"/>
      <c r="FS22" s="100"/>
      <c r="FT22" s="100"/>
      <c r="FU22" s="100"/>
      <c r="FV22" s="100"/>
      <c r="FW22" s="100"/>
      <c r="FX22" s="100"/>
      <c r="FY22" s="100"/>
      <c r="FZ22" s="100"/>
      <c r="GA22" s="100"/>
      <c r="GB22" s="100"/>
      <c r="GC22" s="100"/>
      <c r="GD22" s="100"/>
      <c r="GE22" s="100"/>
      <c r="GF22" s="100"/>
      <c r="GG22" s="100"/>
      <c r="GH22" s="100"/>
      <c r="GI22" s="100"/>
      <c r="GJ22" s="100"/>
      <c r="GK22" s="100"/>
      <c r="GL22" s="100"/>
      <c r="GM22" s="100"/>
      <c r="GN22" s="100"/>
      <c r="GO22" s="100"/>
      <c r="GP22" s="100"/>
      <c r="GQ22" s="100"/>
      <c r="GR22" s="100"/>
      <c r="GS22" s="100"/>
      <c r="GT22" s="100"/>
      <c r="GU22" s="100"/>
      <c r="GV22" s="100"/>
      <c r="GW22" s="100"/>
      <c r="GX22" s="100"/>
      <c r="GY22" s="100"/>
      <c r="GZ22" s="100"/>
      <c r="HA22" s="100"/>
      <c r="HB22" s="100"/>
      <c r="HC22" s="100"/>
      <c r="HD22" s="100"/>
      <c r="HE22" s="100"/>
      <c r="HF22" s="100"/>
      <c r="HG22" s="100"/>
      <c r="HH22" s="100"/>
      <c r="HI22" s="100"/>
      <c r="HJ22" s="100"/>
      <c r="HK22" s="100"/>
      <c r="HL22" s="100"/>
      <c r="HM22" s="100"/>
      <c r="HN22" s="100"/>
      <c r="HO22" s="100"/>
      <c r="HP22" s="100"/>
      <c r="HQ22" s="100"/>
      <c r="HR22" s="100"/>
      <c r="HS22" s="100"/>
      <c r="HT22" s="100"/>
      <c r="HU22" s="100"/>
      <c r="HV22" s="100"/>
      <c r="HW22" s="100"/>
      <c r="HX22" s="100"/>
      <c r="HY22" s="100"/>
      <c r="HZ22" s="100"/>
      <c r="IA22" s="100"/>
      <c r="IB22" s="100"/>
      <c r="IC22" s="100"/>
      <c r="ID22" s="100"/>
      <c r="IE22" s="100"/>
      <c r="IF22" s="100"/>
      <c r="IG22" s="100"/>
      <c r="IH22" s="100"/>
      <c r="II22" s="100"/>
      <c r="IJ22" s="100"/>
      <c r="IK22" s="100"/>
      <c r="IL22" s="100"/>
      <c r="IM22" s="100"/>
      <c r="IN22" s="100"/>
      <c r="IO22" s="100"/>
      <c r="IP22" s="100"/>
      <c r="IQ22" s="100"/>
      <c r="IR22" s="100"/>
      <c r="IS22" s="100"/>
      <c r="IT22" s="100"/>
      <c r="IU22" s="100"/>
      <c r="IV22" s="100"/>
      <c r="IW22" s="100"/>
    </row>
    <row r="23" customFormat="false" ht="12.75" hidden="false" customHeight="true" outlineLevel="0" collapsed="false">
      <c r="A23" s="1229"/>
      <c r="B23" s="1253" t="s">
        <v>767</v>
      </c>
      <c r="C23" s="734"/>
      <c r="D23" s="100"/>
      <c r="E23" s="1172" t="n">
        <f aca="false">E14</f>
        <v>22.9111065638161</v>
      </c>
      <c r="F23" s="1172" t="n">
        <f aca="false">F14</f>
        <v>24.1839458173614</v>
      </c>
      <c r="G23" s="1172" t="n">
        <f aca="false">G14</f>
        <v>24.1839458173614</v>
      </c>
      <c r="H23" s="1172" t="n">
        <f aca="false">H14</f>
        <v>24.1839458173614</v>
      </c>
      <c r="I23" s="1172" t="n">
        <f aca="false">I14</f>
        <v>25.4567850709067</v>
      </c>
      <c r="J23" s="1172" t="n">
        <f aca="false">J14</f>
        <v>25.4567850709067</v>
      </c>
      <c r="K23" s="1172" t="n">
        <f aca="false">K14</f>
        <v>26.7296243244521</v>
      </c>
      <c r="L23" s="1172" t="n">
        <f aca="false">L14</f>
        <v>26.7296243244521</v>
      </c>
      <c r="M23" s="1172" t="n">
        <f aca="false">M14</f>
        <v>26.7296243244521</v>
      </c>
      <c r="N23" s="1172" t="n">
        <f aca="false">N14</f>
        <v>28.0024635779974</v>
      </c>
      <c r="O23" s="1172" t="n">
        <f aca="false">O14</f>
        <v>0</v>
      </c>
      <c r="P23" s="1172" t="n">
        <f aca="false">P14</f>
        <v>0</v>
      </c>
      <c r="Q23" s="1172" t="n">
        <f aca="false">Q14</f>
        <v>0</v>
      </c>
      <c r="R23" s="1172" t="n">
        <f aca="false">R14</f>
        <v>0</v>
      </c>
      <c r="S23" s="1172" t="n">
        <f aca="false">S14</f>
        <v>0</v>
      </c>
      <c r="T23" s="1172" t="n">
        <f aca="false">T14</f>
        <v>0</v>
      </c>
      <c r="U23" s="1172" t="n">
        <f aca="false">U14</f>
        <v>0</v>
      </c>
      <c r="V23" s="1172" t="n">
        <f aca="false">V14</f>
        <v>0</v>
      </c>
      <c r="W23" s="1172" t="n">
        <f aca="false">W14</f>
        <v>0</v>
      </c>
      <c r="X23" s="1172" t="n">
        <f aca="false">X14</f>
        <v>0</v>
      </c>
      <c r="Y23" s="1172" t="n">
        <f aca="false">Y14</f>
        <v>0</v>
      </c>
      <c r="Z23" s="1172" t="n">
        <f aca="false">Z14</f>
        <v>0</v>
      </c>
      <c r="AA23" s="1172" t="n">
        <f aca="false">AA14</f>
        <v>0</v>
      </c>
      <c r="AB23" s="1172" t="n">
        <f aca="false">AB14</f>
        <v>0</v>
      </c>
      <c r="AC23" s="1172" t="n">
        <f aca="false">AC14</f>
        <v>0</v>
      </c>
      <c r="AD23" s="1172" t="n">
        <f aca="false">AD14</f>
        <v>0</v>
      </c>
      <c r="AE23" s="1172" t="n">
        <f aca="false">AE14</f>
        <v>0</v>
      </c>
      <c r="AF23" s="1172" t="n">
        <f aca="false">AF14</f>
        <v>0</v>
      </c>
      <c r="AG23" s="1172" t="n">
        <f aca="false">AG14</f>
        <v>0</v>
      </c>
      <c r="AH23" s="1172" t="n">
        <f aca="false">AH14</f>
        <v>0</v>
      </c>
      <c r="AI23" s="1254" t="n">
        <f aca="false">AI14</f>
        <v>0</v>
      </c>
      <c r="AJ23" s="100"/>
      <c r="AK23" s="59"/>
      <c r="AL23" s="59"/>
      <c r="AM23" s="59"/>
      <c r="AN23" s="59"/>
      <c r="AO23" s="59"/>
      <c r="AP23" s="59"/>
      <c r="AQ23" s="59"/>
      <c r="AR23" s="59"/>
      <c r="AS23" s="59"/>
      <c r="AT23" s="59"/>
      <c r="AU23" s="59"/>
      <c r="AV23" s="59"/>
      <c r="AW23" s="59"/>
      <c r="AX23" s="59"/>
      <c r="AY23" s="59"/>
      <c r="AZ23" s="59"/>
      <c r="BA23" s="59"/>
      <c r="BB23" s="59"/>
      <c r="BC23" s="59"/>
      <c r="BD23" s="59"/>
      <c r="BE23" s="59"/>
      <c r="BF23" s="59"/>
      <c r="BG23" s="59"/>
      <c r="BH23" s="59"/>
      <c r="BI23" s="59"/>
      <c r="BJ23" s="59"/>
      <c r="BK23" s="59"/>
      <c r="BL23" s="59"/>
      <c r="BM23" s="59"/>
      <c r="BN23" s="59"/>
      <c r="BO23" s="59"/>
      <c r="BP23" s="59"/>
      <c r="BQ23" s="59"/>
      <c r="BR23" s="59"/>
      <c r="BS23" s="59"/>
      <c r="BT23" s="59"/>
      <c r="BU23" s="59"/>
      <c r="BV23" s="59"/>
      <c r="BW23" s="59"/>
      <c r="BX23" s="59"/>
      <c r="BY23" s="59"/>
      <c r="BZ23" s="59"/>
      <c r="CA23" s="59"/>
      <c r="CB23" s="59"/>
      <c r="CC23" s="59"/>
      <c r="CD23" s="59"/>
      <c r="CE23" s="59"/>
      <c r="CF23" s="59"/>
      <c r="CG23" s="59"/>
      <c r="CH23" s="59"/>
      <c r="CI23" s="59"/>
      <c r="CJ23" s="59"/>
      <c r="CK23" s="59"/>
      <c r="CL23" s="59"/>
      <c r="CM23" s="59"/>
      <c r="CN23" s="59"/>
      <c r="CO23" s="59"/>
      <c r="CP23" s="59"/>
      <c r="CQ23" s="59"/>
      <c r="CR23" s="59"/>
      <c r="CS23" s="59"/>
      <c r="CT23" s="59"/>
      <c r="CU23" s="59"/>
      <c r="CV23" s="59"/>
      <c r="CW23" s="59"/>
      <c r="CX23" s="59"/>
      <c r="CY23" s="59"/>
      <c r="CZ23" s="59"/>
      <c r="DA23" s="59"/>
      <c r="DB23" s="59"/>
      <c r="DC23" s="59"/>
      <c r="DD23" s="59"/>
      <c r="DE23" s="59"/>
      <c r="DF23" s="59"/>
      <c r="DG23" s="59"/>
      <c r="DH23" s="59"/>
      <c r="DI23" s="59"/>
      <c r="DJ23" s="59"/>
      <c r="DK23" s="59"/>
      <c r="DL23" s="59"/>
      <c r="DM23" s="59"/>
      <c r="DN23" s="59"/>
      <c r="DO23" s="59"/>
      <c r="DP23" s="59"/>
      <c r="DQ23" s="59"/>
      <c r="DR23" s="59"/>
      <c r="DS23" s="59"/>
      <c r="DT23" s="59"/>
      <c r="DU23" s="59"/>
      <c r="DV23" s="59"/>
      <c r="DW23" s="59"/>
      <c r="DX23" s="59"/>
      <c r="DY23" s="59"/>
      <c r="DZ23" s="59"/>
      <c r="EA23" s="59"/>
      <c r="EB23" s="59"/>
      <c r="EC23" s="59"/>
      <c r="ED23" s="59"/>
      <c r="EE23" s="59"/>
      <c r="EF23" s="59"/>
      <c r="EG23" s="59"/>
      <c r="EH23" s="59"/>
      <c r="EI23" s="59"/>
      <c r="EJ23" s="59"/>
      <c r="EK23" s="59"/>
      <c r="EL23" s="59"/>
      <c r="EM23" s="59"/>
      <c r="EN23" s="59"/>
      <c r="EO23" s="100"/>
      <c r="EP23" s="100"/>
      <c r="EQ23" s="100"/>
      <c r="ER23" s="100"/>
      <c r="ES23" s="100"/>
      <c r="ET23" s="100"/>
      <c r="EU23" s="100"/>
      <c r="EV23" s="100"/>
      <c r="EW23" s="100"/>
      <c r="EX23" s="100"/>
      <c r="EY23" s="100"/>
      <c r="EZ23" s="100"/>
      <c r="FA23" s="100"/>
      <c r="FB23" s="100"/>
      <c r="FC23" s="100"/>
      <c r="FD23" s="100"/>
      <c r="FE23" s="100"/>
      <c r="FF23" s="100"/>
      <c r="FG23" s="100"/>
      <c r="FH23" s="100"/>
      <c r="FI23" s="100"/>
      <c r="FJ23" s="100"/>
      <c r="FK23" s="100"/>
      <c r="FL23" s="100"/>
      <c r="FM23" s="100"/>
      <c r="FN23" s="100"/>
      <c r="FO23" s="100"/>
      <c r="FP23" s="100"/>
      <c r="FQ23" s="100"/>
      <c r="FR23" s="100"/>
      <c r="FS23" s="100"/>
      <c r="FT23" s="100"/>
      <c r="FU23" s="100"/>
      <c r="FV23" s="100"/>
      <c r="FW23" s="100"/>
      <c r="FX23" s="100"/>
      <c r="FY23" s="100"/>
      <c r="FZ23" s="100"/>
      <c r="GA23" s="100"/>
      <c r="GB23" s="100"/>
      <c r="GC23" s="100"/>
      <c r="GD23" s="100"/>
      <c r="GE23" s="100"/>
      <c r="GF23" s="100"/>
      <c r="GG23" s="100"/>
      <c r="GH23" s="100"/>
      <c r="GI23" s="100"/>
      <c r="GJ23" s="100"/>
      <c r="GK23" s="100"/>
      <c r="GL23" s="100"/>
      <c r="GM23" s="100"/>
      <c r="GN23" s="100"/>
      <c r="GO23" s="100"/>
      <c r="GP23" s="100"/>
      <c r="GQ23" s="100"/>
      <c r="GR23" s="100"/>
      <c r="GS23" s="100"/>
      <c r="GT23" s="100"/>
      <c r="GU23" s="100"/>
      <c r="GV23" s="100"/>
      <c r="GW23" s="100"/>
      <c r="GX23" s="100"/>
      <c r="GY23" s="100"/>
      <c r="GZ23" s="100"/>
      <c r="HA23" s="100"/>
      <c r="HB23" s="100"/>
      <c r="HC23" s="100"/>
      <c r="HD23" s="100"/>
      <c r="HE23" s="100"/>
      <c r="HF23" s="100"/>
      <c r="HG23" s="100"/>
      <c r="HH23" s="100"/>
      <c r="HI23" s="100"/>
      <c r="HJ23" s="100"/>
      <c r="HK23" s="100"/>
      <c r="HL23" s="100"/>
      <c r="HM23" s="100"/>
      <c r="HN23" s="100"/>
      <c r="HO23" s="100"/>
      <c r="HP23" s="100"/>
      <c r="HQ23" s="100"/>
      <c r="HR23" s="100"/>
      <c r="HS23" s="100"/>
      <c r="HT23" s="100"/>
      <c r="HU23" s="100"/>
      <c r="HV23" s="100"/>
      <c r="HW23" s="100"/>
      <c r="HX23" s="100"/>
      <c r="HY23" s="100"/>
      <c r="HZ23" s="100"/>
      <c r="IA23" s="100"/>
      <c r="IB23" s="100"/>
      <c r="IC23" s="100"/>
      <c r="ID23" s="100"/>
      <c r="IE23" s="100"/>
      <c r="IF23" s="100"/>
      <c r="IG23" s="100"/>
      <c r="IH23" s="100"/>
      <c r="II23" s="100"/>
      <c r="IJ23" s="100"/>
      <c r="IK23" s="100"/>
      <c r="IL23" s="100"/>
      <c r="IM23" s="100"/>
      <c r="IN23" s="100"/>
      <c r="IO23" s="100"/>
      <c r="IP23" s="100"/>
      <c r="IQ23" s="100"/>
      <c r="IR23" s="100"/>
      <c r="IS23" s="100"/>
      <c r="IT23" s="100"/>
      <c r="IU23" s="100"/>
      <c r="IV23" s="100"/>
      <c r="IW23" s="100"/>
    </row>
    <row r="24" customFormat="false" ht="12.75" hidden="false" customHeight="true" outlineLevel="0" collapsed="false">
      <c r="A24" s="1229"/>
      <c r="B24" s="1165"/>
      <c r="C24" s="1073"/>
      <c r="D24" s="100"/>
      <c r="E24" s="100"/>
      <c r="F24" s="100"/>
      <c r="G24" s="100"/>
      <c r="H24" s="100"/>
      <c r="I24" s="100"/>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638"/>
      <c r="AJ24" s="100"/>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c r="BQ24" s="59"/>
      <c r="BR24" s="59"/>
      <c r="BS24" s="59"/>
      <c r="BT24" s="59"/>
      <c r="BU24" s="59"/>
      <c r="BV24" s="59"/>
      <c r="BW24" s="59"/>
      <c r="BX24" s="59"/>
      <c r="BY24" s="59"/>
      <c r="BZ24" s="59"/>
      <c r="CA24" s="59"/>
      <c r="CB24" s="59"/>
      <c r="CC24" s="59"/>
      <c r="CD24" s="59"/>
      <c r="CE24" s="59"/>
      <c r="CF24" s="59"/>
      <c r="CG24" s="59"/>
      <c r="CH24" s="59"/>
      <c r="CI24" s="59"/>
      <c r="CJ24" s="59"/>
      <c r="CK24" s="59"/>
      <c r="CL24" s="59"/>
      <c r="CM24" s="59"/>
      <c r="CN24" s="59"/>
      <c r="CO24" s="59"/>
      <c r="CP24" s="59"/>
      <c r="CQ24" s="59"/>
      <c r="CR24" s="59"/>
      <c r="CS24" s="59"/>
      <c r="CT24" s="59"/>
      <c r="CU24" s="59"/>
      <c r="CV24" s="59"/>
      <c r="CW24" s="59"/>
      <c r="CX24" s="59"/>
      <c r="CY24" s="59"/>
      <c r="CZ24" s="59"/>
      <c r="DA24" s="59"/>
      <c r="DB24" s="59"/>
      <c r="DC24" s="59"/>
      <c r="DD24" s="59"/>
      <c r="DE24" s="59"/>
      <c r="DF24" s="59"/>
      <c r="DG24" s="59"/>
      <c r="DH24" s="59"/>
      <c r="DI24" s="59"/>
      <c r="DJ24" s="59"/>
      <c r="DK24" s="59"/>
      <c r="DL24" s="59"/>
      <c r="DM24" s="59"/>
      <c r="DN24" s="59"/>
      <c r="DO24" s="59"/>
      <c r="DP24" s="59"/>
      <c r="DQ24" s="59"/>
      <c r="DR24" s="59"/>
      <c r="DS24" s="59"/>
      <c r="DT24" s="59"/>
      <c r="DU24" s="59"/>
      <c r="DV24" s="59"/>
      <c r="DW24" s="59"/>
      <c r="DX24" s="59"/>
      <c r="DY24" s="59"/>
      <c r="DZ24" s="59"/>
      <c r="EA24" s="59"/>
      <c r="EB24" s="59"/>
      <c r="EC24" s="59"/>
      <c r="ED24" s="59"/>
      <c r="EE24" s="59"/>
      <c r="EF24" s="59"/>
      <c r="EG24" s="59"/>
      <c r="EH24" s="59"/>
      <c r="EI24" s="59"/>
      <c r="EJ24" s="59"/>
      <c r="EK24" s="59"/>
      <c r="EL24" s="59"/>
      <c r="EM24" s="59"/>
      <c r="EN24" s="59"/>
      <c r="EO24" s="100"/>
      <c r="EP24" s="100"/>
      <c r="EQ24" s="100"/>
      <c r="ER24" s="100"/>
      <c r="ES24" s="100"/>
      <c r="ET24" s="100"/>
      <c r="EU24" s="100"/>
      <c r="EV24" s="100"/>
      <c r="EW24" s="100"/>
      <c r="EX24" s="100"/>
      <c r="EY24" s="100"/>
      <c r="EZ24" s="100"/>
      <c r="FA24" s="100"/>
      <c r="FB24" s="100"/>
      <c r="FC24" s="100"/>
      <c r="FD24" s="100"/>
      <c r="FE24" s="100"/>
      <c r="FF24" s="100"/>
      <c r="FG24" s="100"/>
      <c r="FH24" s="100"/>
      <c r="FI24" s="100"/>
      <c r="FJ24" s="100"/>
      <c r="FK24" s="100"/>
      <c r="FL24" s="100"/>
      <c r="FM24" s="100"/>
      <c r="FN24" s="100"/>
      <c r="FO24" s="100"/>
      <c r="FP24" s="100"/>
      <c r="FQ24" s="100"/>
      <c r="FR24" s="100"/>
      <c r="FS24" s="100"/>
      <c r="FT24" s="100"/>
      <c r="FU24" s="100"/>
      <c r="FV24" s="100"/>
      <c r="FW24" s="100"/>
      <c r="FX24" s="100"/>
      <c r="FY24" s="100"/>
      <c r="FZ24" s="100"/>
      <c r="GA24" s="100"/>
      <c r="GB24" s="100"/>
      <c r="GC24" s="100"/>
      <c r="GD24" s="100"/>
      <c r="GE24" s="100"/>
      <c r="GF24" s="100"/>
      <c r="GG24" s="100"/>
      <c r="GH24" s="100"/>
      <c r="GI24" s="100"/>
      <c r="GJ24" s="100"/>
      <c r="GK24" s="100"/>
      <c r="GL24" s="100"/>
      <c r="GM24" s="100"/>
      <c r="GN24" s="100"/>
      <c r="GO24" s="100"/>
      <c r="GP24" s="100"/>
      <c r="GQ24" s="100"/>
      <c r="GR24" s="100"/>
      <c r="GS24" s="100"/>
      <c r="GT24" s="100"/>
      <c r="GU24" s="100"/>
      <c r="GV24" s="100"/>
      <c r="GW24" s="100"/>
      <c r="GX24" s="100"/>
      <c r="GY24" s="100"/>
      <c r="GZ24" s="100"/>
      <c r="HA24" s="100"/>
      <c r="HB24" s="100"/>
      <c r="HC24" s="100"/>
      <c r="HD24" s="100"/>
      <c r="HE24" s="100"/>
      <c r="HF24" s="100"/>
      <c r="HG24" s="100"/>
      <c r="HH24" s="100"/>
      <c r="HI24" s="100"/>
      <c r="HJ24" s="100"/>
      <c r="HK24" s="100"/>
      <c r="HL24" s="100"/>
      <c r="HM24" s="100"/>
      <c r="HN24" s="100"/>
      <c r="HO24" s="100"/>
      <c r="HP24" s="100"/>
      <c r="HQ24" s="100"/>
      <c r="HR24" s="100"/>
      <c r="HS24" s="100"/>
      <c r="HT24" s="100"/>
      <c r="HU24" s="100"/>
      <c r="HV24" s="100"/>
      <c r="HW24" s="100"/>
      <c r="HX24" s="100"/>
      <c r="HY24" s="100"/>
      <c r="HZ24" s="100"/>
      <c r="IA24" s="100"/>
      <c r="IB24" s="100"/>
      <c r="IC24" s="100"/>
      <c r="ID24" s="100"/>
      <c r="IE24" s="100"/>
      <c r="IF24" s="100"/>
      <c r="IG24" s="100"/>
      <c r="IH24" s="100"/>
      <c r="II24" s="100"/>
      <c r="IJ24" s="100"/>
      <c r="IK24" s="100"/>
      <c r="IL24" s="100"/>
      <c r="IM24" s="100"/>
      <c r="IN24" s="100"/>
      <c r="IO24" s="100"/>
      <c r="IP24" s="100"/>
      <c r="IQ24" s="100"/>
      <c r="IR24" s="100"/>
      <c r="IS24" s="100"/>
      <c r="IT24" s="100"/>
      <c r="IU24" s="100"/>
      <c r="IV24" s="100"/>
      <c r="IW24" s="100"/>
    </row>
    <row r="25" customFormat="false" ht="12.75" hidden="false" customHeight="true" outlineLevel="0" collapsed="false">
      <c r="A25" s="1229"/>
      <c r="B25" s="1173" t="s">
        <v>768</v>
      </c>
      <c r="C25" s="1056"/>
      <c r="D25" s="313" t="n">
        <f aca="false">SUM(D19:D21)</f>
        <v>-264.958086355692</v>
      </c>
      <c r="E25" s="366" t="n">
        <f aca="false">E21</f>
        <v>5.73300936572961</v>
      </c>
      <c r="F25" s="366" t="n">
        <f aca="false">F21</f>
        <v>5.71607553384322</v>
      </c>
      <c r="G25" s="366" t="n">
        <f aca="false">G21</f>
        <v>5.69738018319113</v>
      </c>
      <c r="H25" s="366" t="n">
        <f aca="false">H21</f>
        <v>5.67626944867061</v>
      </c>
      <c r="I25" s="366" t="n">
        <f aca="false">I21</f>
        <v>5.65310185632573</v>
      </c>
      <c r="J25" s="366" t="n">
        <f aca="false">J21</f>
        <v>5.62879487597114</v>
      </c>
      <c r="K25" s="366" t="n">
        <f aca="false">K21</f>
        <v>5.57665789727338</v>
      </c>
      <c r="L25" s="366" t="n">
        <f aca="false">L21</f>
        <v>5.5222807750722</v>
      </c>
      <c r="M25" s="366" t="n">
        <f aca="false">M21</f>
        <v>5.46560279836952</v>
      </c>
      <c r="N25" s="366" t="n">
        <f aca="false">N21</f>
        <v>5.40393558379574</v>
      </c>
      <c r="O25" s="366" t="n">
        <f aca="false">O21</f>
        <v>5.47036344776272</v>
      </c>
      <c r="P25" s="366" t="n">
        <f aca="false">P21</f>
        <v>5.40436096296459</v>
      </c>
      <c r="Q25" s="366" t="n">
        <f aca="false">Q21</f>
        <v>5.33321999723709</v>
      </c>
      <c r="R25" s="366" t="n">
        <f aca="false">R21</f>
        <v>5.25661489031909</v>
      </c>
      <c r="S25" s="366" t="n">
        <f aca="false">S21</f>
        <v>5.17395799501174</v>
      </c>
      <c r="T25" s="366" t="n">
        <f aca="false">T21</f>
        <v>5.09111721360887</v>
      </c>
      <c r="U25" s="366" t="n">
        <f aca="false">U21</f>
        <v>5.90594573693744</v>
      </c>
      <c r="V25" s="366" t="n">
        <f aca="false">V21</f>
        <v>20.3082975075773</v>
      </c>
      <c r="W25" s="366" t="n">
        <f aca="false">W21</f>
        <v>19.9973505602653</v>
      </c>
      <c r="X25" s="366" t="n">
        <f aca="false">X21</f>
        <v>21.662171441291</v>
      </c>
      <c r="Y25" s="366" t="n">
        <f aca="false">Y21</f>
        <v>0</v>
      </c>
      <c r="Z25" s="366" t="n">
        <f aca="false">Z21</f>
        <v>0</v>
      </c>
      <c r="AA25" s="366" t="n">
        <f aca="false">AA21</f>
        <v>0</v>
      </c>
      <c r="AB25" s="366" t="n">
        <f aca="false">AB21</f>
        <v>0</v>
      </c>
      <c r="AC25" s="366" t="n">
        <f aca="false">AC21</f>
        <v>0</v>
      </c>
      <c r="AD25" s="366" t="n">
        <f aca="false">AD21</f>
        <v>0</v>
      </c>
      <c r="AE25" s="366" t="n">
        <f aca="false">AE21</f>
        <v>0</v>
      </c>
      <c r="AF25" s="366" t="n">
        <f aca="false">AF21</f>
        <v>0</v>
      </c>
      <c r="AG25" s="366" t="n">
        <f aca="false">AG21</f>
        <v>0</v>
      </c>
      <c r="AH25" s="366" t="n">
        <f aca="false">AH21</f>
        <v>0</v>
      </c>
      <c r="AI25" s="1255" t="n">
        <f aca="false">AI21</f>
        <v>0</v>
      </c>
      <c r="AJ25" s="100"/>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c r="BM25" s="59"/>
      <c r="BN25" s="59"/>
      <c r="BO25" s="59"/>
      <c r="BP25" s="59"/>
      <c r="BQ25" s="59"/>
      <c r="BR25" s="59"/>
      <c r="BS25" s="59"/>
      <c r="BT25" s="59"/>
      <c r="BU25" s="59"/>
      <c r="BV25" s="59"/>
      <c r="BW25" s="59"/>
      <c r="BX25" s="59"/>
      <c r="BY25" s="59"/>
      <c r="BZ25" s="59"/>
      <c r="CA25" s="59"/>
      <c r="CB25" s="59"/>
      <c r="CC25" s="59"/>
      <c r="CD25" s="59"/>
      <c r="CE25" s="59"/>
      <c r="CF25" s="59"/>
      <c r="CG25" s="59"/>
      <c r="CH25" s="59"/>
      <c r="CI25" s="59"/>
      <c r="CJ25" s="59"/>
      <c r="CK25" s="59"/>
      <c r="CL25" s="59"/>
      <c r="CM25" s="59"/>
      <c r="CN25" s="59"/>
      <c r="CO25" s="59"/>
      <c r="CP25" s="59"/>
      <c r="CQ25" s="59"/>
      <c r="CR25" s="59"/>
      <c r="CS25" s="59"/>
      <c r="CT25" s="59"/>
      <c r="CU25" s="59"/>
      <c r="CV25" s="59"/>
      <c r="CW25" s="59"/>
      <c r="CX25" s="59"/>
      <c r="CY25" s="59"/>
      <c r="CZ25" s="59"/>
      <c r="DA25" s="59"/>
      <c r="DB25" s="59"/>
      <c r="DC25" s="59"/>
      <c r="DD25" s="59"/>
      <c r="DE25" s="59"/>
      <c r="DF25" s="59"/>
      <c r="DG25" s="59"/>
      <c r="DH25" s="59"/>
      <c r="DI25" s="59"/>
      <c r="DJ25" s="59"/>
      <c r="DK25" s="59"/>
      <c r="DL25" s="59"/>
      <c r="DM25" s="59"/>
      <c r="DN25" s="59"/>
      <c r="DO25" s="59"/>
      <c r="DP25" s="59"/>
      <c r="DQ25" s="59"/>
      <c r="DR25" s="59"/>
      <c r="DS25" s="59"/>
      <c r="DT25" s="59"/>
      <c r="DU25" s="59"/>
      <c r="DV25" s="59"/>
      <c r="DW25" s="59"/>
      <c r="DX25" s="59"/>
      <c r="DY25" s="59"/>
      <c r="DZ25" s="59"/>
      <c r="EA25" s="59"/>
      <c r="EB25" s="59"/>
      <c r="EC25" s="59"/>
      <c r="ED25" s="59"/>
      <c r="EE25" s="59"/>
      <c r="EF25" s="59"/>
      <c r="EG25" s="59"/>
      <c r="EH25" s="59"/>
      <c r="EI25" s="59"/>
      <c r="EJ25" s="59"/>
      <c r="EK25" s="59"/>
      <c r="EL25" s="59"/>
      <c r="EM25" s="59"/>
      <c r="EN25" s="59"/>
      <c r="EO25" s="100"/>
      <c r="EP25" s="100"/>
      <c r="EQ25" s="100"/>
      <c r="ER25" s="100"/>
      <c r="ES25" s="100"/>
      <c r="ET25" s="100"/>
      <c r="EU25" s="100"/>
      <c r="EV25" s="100"/>
      <c r="EW25" s="100"/>
      <c r="EX25" s="100"/>
      <c r="EY25" s="100"/>
      <c r="EZ25" s="100"/>
      <c r="FA25" s="100"/>
      <c r="FB25" s="100"/>
      <c r="FC25" s="100"/>
      <c r="FD25" s="100"/>
      <c r="FE25" s="100"/>
      <c r="FF25" s="100"/>
      <c r="FG25" s="100"/>
      <c r="FH25" s="100"/>
      <c r="FI25" s="100"/>
      <c r="FJ25" s="100"/>
      <c r="FK25" s="100"/>
      <c r="FL25" s="100"/>
      <c r="FM25" s="100"/>
      <c r="FN25" s="100"/>
      <c r="FO25" s="100"/>
      <c r="FP25" s="100"/>
      <c r="FQ25" s="100"/>
      <c r="FR25" s="100"/>
      <c r="FS25" s="100"/>
      <c r="FT25" s="100"/>
      <c r="FU25" s="100"/>
      <c r="FV25" s="100"/>
      <c r="FW25" s="100"/>
      <c r="FX25" s="100"/>
      <c r="FY25" s="100"/>
      <c r="FZ25" s="100"/>
      <c r="GA25" s="100"/>
      <c r="GB25" s="100"/>
      <c r="GC25" s="100"/>
      <c r="GD25" s="100"/>
      <c r="GE25" s="100"/>
      <c r="GF25" s="100"/>
      <c r="GG25" s="100"/>
      <c r="GH25" s="100"/>
      <c r="GI25" s="100"/>
      <c r="GJ25" s="100"/>
      <c r="GK25" s="100"/>
      <c r="GL25" s="100"/>
      <c r="GM25" s="100"/>
      <c r="GN25" s="100"/>
      <c r="GO25" s="100"/>
      <c r="GP25" s="100"/>
      <c r="GQ25" s="100"/>
      <c r="GR25" s="100"/>
      <c r="GS25" s="100"/>
      <c r="GT25" s="100"/>
      <c r="GU25" s="100"/>
      <c r="GV25" s="100"/>
      <c r="GW25" s="100"/>
      <c r="GX25" s="100"/>
      <c r="GY25" s="100"/>
      <c r="GZ25" s="100"/>
      <c r="HA25" s="100"/>
      <c r="HB25" s="100"/>
      <c r="HC25" s="100"/>
      <c r="HD25" s="100"/>
      <c r="HE25" s="100"/>
      <c r="HF25" s="100"/>
      <c r="HG25" s="100"/>
      <c r="HH25" s="100"/>
      <c r="HI25" s="100"/>
      <c r="HJ25" s="100"/>
      <c r="HK25" s="100"/>
      <c r="HL25" s="100"/>
      <c r="HM25" s="100"/>
      <c r="HN25" s="100"/>
      <c r="HO25" s="100"/>
      <c r="HP25" s="100"/>
      <c r="HQ25" s="100"/>
      <c r="HR25" s="100"/>
      <c r="HS25" s="100"/>
      <c r="HT25" s="100"/>
      <c r="HU25" s="100"/>
      <c r="HV25" s="100"/>
      <c r="HW25" s="100"/>
      <c r="HX25" s="100"/>
      <c r="HY25" s="100"/>
      <c r="HZ25" s="100"/>
      <c r="IA25" s="100"/>
      <c r="IB25" s="100"/>
      <c r="IC25" s="100"/>
      <c r="ID25" s="100"/>
      <c r="IE25" s="100"/>
      <c r="IF25" s="100"/>
      <c r="IG25" s="100"/>
      <c r="IH25" s="100"/>
      <c r="II25" s="100"/>
      <c r="IJ25" s="100"/>
      <c r="IK25" s="100"/>
      <c r="IL25" s="100"/>
      <c r="IM25" s="100"/>
      <c r="IN25" s="100"/>
      <c r="IO25" s="100"/>
      <c r="IP25" s="100"/>
      <c r="IQ25" s="100"/>
      <c r="IR25" s="100"/>
      <c r="IS25" s="100"/>
      <c r="IT25" s="100"/>
      <c r="IU25" s="100"/>
      <c r="IV25" s="100"/>
      <c r="IW25" s="100"/>
    </row>
    <row r="26" customFormat="false" ht="12.75" hidden="false" customHeight="true" outlineLevel="0" collapsed="false">
      <c r="A26" s="1229"/>
      <c r="B26" s="1174" t="s">
        <v>769</v>
      </c>
      <c r="C26" s="1256"/>
      <c r="D26" s="100" t="n">
        <f aca="false">D25</f>
        <v>-264.958086355692</v>
      </c>
      <c r="E26" s="100" t="n">
        <f aca="false">D26+E25</f>
        <v>-259.225076989962</v>
      </c>
      <c r="F26" s="100" t="n">
        <f aca="false">E26+F25</f>
        <v>-253.509001456119</v>
      </c>
      <c r="G26" s="100" t="n">
        <f aca="false">F26+G25</f>
        <v>-247.811621272928</v>
      </c>
      <c r="H26" s="100" t="n">
        <f aca="false">G26+H25</f>
        <v>-242.135351824257</v>
      </c>
      <c r="I26" s="100" t="n">
        <f aca="false">H26+I25</f>
        <v>-236.482249967932</v>
      </c>
      <c r="J26" s="100" t="n">
        <f aca="false">I26+J25</f>
        <v>-230.853455091961</v>
      </c>
      <c r="K26" s="100" t="n">
        <f aca="false">J26+K25</f>
        <v>-225.276797194687</v>
      </c>
      <c r="L26" s="100" t="n">
        <f aca="false">K26+L25</f>
        <v>-219.754516419615</v>
      </c>
      <c r="M26" s="100" t="n">
        <f aca="false">L26+M25</f>
        <v>-214.288913621246</v>
      </c>
      <c r="N26" s="100" t="n">
        <f aca="false">M26+N25</f>
        <v>-208.88497803745</v>
      </c>
      <c r="O26" s="100" t="n">
        <f aca="false">N26+O25</f>
        <v>-203.414614589687</v>
      </c>
      <c r="P26" s="100" t="n">
        <f aca="false">O26+P25</f>
        <v>-198.010253626722</v>
      </c>
      <c r="Q26" s="100" t="n">
        <f aca="false">P26+Q25</f>
        <v>-192.677033629485</v>
      </c>
      <c r="R26" s="100" t="n">
        <f aca="false">Q26+R25</f>
        <v>-187.420418739166</v>
      </c>
      <c r="S26" s="100" t="n">
        <f aca="false">R26+S25</f>
        <v>-182.246460744155</v>
      </c>
      <c r="T26" s="100" t="n">
        <f aca="false">S26+T25</f>
        <v>-177.155343530546</v>
      </c>
      <c r="U26" s="100" t="n">
        <f aca="false">T26+U25</f>
        <v>-171.249397793608</v>
      </c>
      <c r="V26" s="100" t="n">
        <f aca="false">U26+V25</f>
        <v>-150.941100286031</v>
      </c>
      <c r="W26" s="100" t="n">
        <f aca="false">V26+W25</f>
        <v>-130.943749725766</v>
      </c>
      <c r="X26" s="100" t="n">
        <f aca="false">W26+X25</f>
        <v>-109.281578284475</v>
      </c>
      <c r="Y26" s="100" t="n">
        <f aca="false">X26+Y25</f>
        <v>-109.281578284475</v>
      </c>
      <c r="Z26" s="100" t="n">
        <f aca="false">Y26+Z25</f>
        <v>-109.281578284475</v>
      </c>
      <c r="AA26" s="100" t="n">
        <f aca="false">Z26+AA25</f>
        <v>-109.281578284475</v>
      </c>
      <c r="AB26" s="100" t="n">
        <f aca="false">AA26+AB25</f>
        <v>-109.281578284475</v>
      </c>
      <c r="AC26" s="100" t="n">
        <f aca="false">AB26+AC25</f>
        <v>-109.281578284475</v>
      </c>
      <c r="AD26" s="100" t="n">
        <f aca="false">AC26+AD25</f>
        <v>-109.281578284475</v>
      </c>
      <c r="AE26" s="100" t="n">
        <f aca="false">AD26+AE25</f>
        <v>-109.281578284475</v>
      </c>
      <c r="AF26" s="100" t="n">
        <f aca="false">AE26+AF25</f>
        <v>-109.281578284475</v>
      </c>
      <c r="AG26" s="100" t="n">
        <f aca="false">AF26+AG25</f>
        <v>-109.281578284475</v>
      </c>
      <c r="AH26" s="100" t="n">
        <f aca="false">AG26+AH25</f>
        <v>-109.281578284475</v>
      </c>
      <c r="AI26" s="638" t="n">
        <f aca="false">AH26+AI25</f>
        <v>-109.281578284475</v>
      </c>
      <c r="AJ26" s="100"/>
      <c r="AK26" s="59"/>
      <c r="AL26" s="59"/>
      <c r="AM26" s="59"/>
      <c r="AN26" s="59"/>
      <c r="AO26" s="59"/>
      <c r="AP26" s="59"/>
      <c r="AQ26" s="59"/>
      <c r="AR26" s="59"/>
      <c r="AS26" s="59"/>
      <c r="AT26" s="59"/>
      <c r="AU26" s="59"/>
      <c r="AV26" s="59"/>
      <c r="AW26" s="59"/>
      <c r="AX26" s="59"/>
      <c r="AY26" s="59"/>
      <c r="AZ26" s="59"/>
      <c r="BA26" s="59"/>
      <c r="BB26" s="59"/>
      <c r="BC26" s="59"/>
      <c r="BD26" s="59"/>
      <c r="BE26" s="59"/>
      <c r="BF26" s="59"/>
      <c r="BG26" s="59"/>
      <c r="BH26" s="59"/>
      <c r="BI26" s="59"/>
      <c r="BJ26" s="59"/>
      <c r="BK26" s="59"/>
      <c r="BL26" s="59"/>
      <c r="BM26" s="59"/>
      <c r="BN26" s="59"/>
      <c r="BO26" s="59"/>
      <c r="BP26" s="59"/>
      <c r="BQ26" s="59"/>
      <c r="BR26" s="59"/>
      <c r="BS26" s="59"/>
      <c r="BT26" s="59"/>
      <c r="BU26" s="59"/>
      <c r="BV26" s="59"/>
      <c r="BW26" s="59"/>
      <c r="BX26" s="59"/>
      <c r="BY26" s="59"/>
      <c r="BZ26" s="59"/>
      <c r="CA26" s="59"/>
      <c r="CB26" s="59"/>
      <c r="CC26" s="59"/>
      <c r="CD26" s="59"/>
      <c r="CE26" s="59"/>
      <c r="CF26" s="59"/>
      <c r="CG26" s="59"/>
      <c r="CH26" s="59"/>
      <c r="CI26" s="59"/>
      <c r="CJ26" s="59"/>
      <c r="CK26" s="59"/>
      <c r="CL26" s="59"/>
      <c r="CM26" s="59"/>
      <c r="CN26" s="59"/>
      <c r="CO26" s="59"/>
      <c r="CP26" s="59"/>
      <c r="CQ26" s="59"/>
      <c r="CR26" s="59"/>
      <c r="CS26" s="59"/>
      <c r="CT26" s="59"/>
      <c r="CU26" s="59"/>
      <c r="CV26" s="59"/>
      <c r="CW26" s="59"/>
      <c r="CX26" s="59"/>
      <c r="CY26" s="59"/>
      <c r="CZ26" s="59"/>
      <c r="DA26" s="59"/>
      <c r="DB26" s="59"/>
      <c r="DC26" s="59"/>
      <c r="DD26" s="59"/>
      <c r="DE26" s="59"/>
      <c r="DF26" s="59"/>
      <c r="DG26" s="59"/>
      <c r="DH26" s="59"/>
      <c r="DI26" s="59"/>
      <c r="DJ26" s="59"/>
      <c r="DK26" s="59"/>
      <c r="DL26" s="59"/>
      <c r="DM26" s="59"/>
      <c r="DN26" s="59"/>
      <c r="DO26" s="59"/>
      <c r="DP26" s="59"/>
      <c r="DQ26" s="59"/>
      <c r="DR26" s="59"/>
      <c r="DS26" s="59"/>
      <c r="DT26" s="59"/>
      <c r="DU26" s="59"/>
      <c r="DV26" s="59"/>
      <c r="DW26" s="59"/>
      <c r="DX26" s="59"/>
      <c r="DY26" s="59"/>
      <c r="DZ26" s="59"/>
      <c r="EA26" s="59"/>
      <c r="EB26" s="59"/>
      <c r="EC26" s="59"/>
      <c r="ED26" s="59"/>
      <c r="EE26" s="59"/>
      <c r="EF26" s="59"/>
      <c r="EG26" s="59"/>
      <c r="EH26" s="59"/>
      <c r="EI26" s="59"/>
      <c r="EJ26" s="59"/>
      <c r="EK26" s="59"/>
      <c r="EL26" s="59"/>
      <c r="EM26" s="59"/>
      <c r="EN26" s="59"/>
      <c r="EO26" s="100"/>
      <c r="EP26" s="100"/>
      <c r="EQ26" s="100"/>
      <c r="ER26" s="100"/>
      <c r="ES26" s="100"/>
      <c r="ET26" s="100"/>
      <c r="EU26" s="100"/>
      <c r="EV26" s="100"/>
      <c r="EW26" s="100"/>
      <c r="EX26" s="100"/>
      <c r="EY26" s="100"/>
      <c r="EZ26" s="100"/>
      <c r="FA26" s="100"/>
      <c r="FB26" s="100"/>
      <c r="FC26" s="100"/>
      <c r="FD26" s="100"/>
      <c r="FE26" s="100"/>
      <c r="FF26" s="100"/>
      <c r="FG26" s="100"/>
      <c r="FH26" s="100"/>
      <c r="FI26" s="100"/>
      <c r="FJ26" s="100"/>
      <c r="FK26" s="100"/>
      <c r="FL26" s="100"/>
      <c r="FM26" s="100"/>
      <c r="FN26" s="100"/>
      <c r="FO26" s="100"/>
      <c r="FP26" s="100"/>
      <c r="FQ26" s="100"/>
      <c r="FR26" s="100"/>
      <c r="FS26" s="100"/>
      <c r="FT26" s="100"/>
      <c r="FU26" s="100"/>
      <c r="FV26" s="100"/>
      <c r="FW26" s="100"/>
      <c r="FX26" s="100"/>
      <c r="FY26" s="100"/>
      <c r="FZ26" s="100"/>
      <c r="GA26" s="100"/>
      <c r="GB26" s="100"/>
      <c r="GC26" s="100"/>
      <c r="GD26" s="100"/>
      <c r="GE26" s="100"/>
      <c r="GF26" s="100"/>
      <c r="GG26" s="100"/>
      <c r="GH26" s="100"/>
      <c r="GI26" s="100"/>
      <c r="GJ26" s="100"/>
      <c r="GK26" s="100"/>
      <c r="GL26" s="100"/>
      <c r="GM26" s="100"/>
      <c r="GN26" s="100"/>
      <c r="GO26" s="100"/>
      <c r="GP26" s="100"/>
      <c r="GQ26" s="100"/>
      <c r="GR26" s="100"/>
      <c r="GS26" s="100"/>
      <c r="GT26" s="100"/>
      <c r="GU26" s="100"/>
      <c r="GV26" s="100"/>
      <c r="GW26" s="100"/>
      <c r="GX26" s="100"/>
      <c r="GY26" s="100"/>
      <c r="GZ26" s="100"/>
      <c r="HA26" s="100"/>
      <c r="HB26" s="100"/>
      <c r="HC26" s="100"/>
      <c r="HD26" s="100"/>
      <c r="HE26" s="100"/>
      <c r="HF26" s="100"/>
      <c r="HG26" s="100"/>
      <c r="HH26" s="100"/>
      <c r="HI26" s="100"/>
      <c r="HJ26" s="100"/>
      <c r="HK26" s="100"/>
      <c r="HL26" s="100"/>
      <c r="HM26" s="100"/>
      <c r="HN26" s="100"/>
      <c r="HO26" s="100"/>
      <c r="HP26" s="100"/>
      <c r="HQ26" s="100"/>
      <c r="HR26" s="100"/>
      <c r="HS26" s="100"/>
      <c r="HT26" s="100"/>
      <c r="HU26" s="100"/>
      <c r="HV26" s="100"/>
      <c r="HW26" s="100"/>
      <c r="HX26" s="100"/>
      <c r="HY26" s="100"/>
      <c r="HZ26" s="100"/>
      <c r="IA26" s="100"/>
      <c r="IB26" s="100"/>
      <c r="IC26" s="100"/>
      <c r="ID26" s="100"/>
      <c r="IE26" s="100"/>
      <c r="IF26" s="100"/>
      <c r="IG26" s="100"/>
      <c r="IH26" s="100"/>
      <c r="II26" s="100"/>
      <c r="IJ26" s="100"/>
      <c r="IK26" s="100"/>
      <c r="IL26" s="100"/>
      <c r="IM26" s="100"/>
      <c r="IN26" s="100"/>
      <c r="IO26" s="100"/>
      <c r="IP26" s="100"/>
      <c r="IQ26" s="100"/>
      <c r="IR26" s="100"/>
      <c r="IS26" s="100"/>
      <c r="IT26" s="100"/>
      <c r="IU26" s="100"/>
      <c r="IV26" s="100"/>
      <c r="IW26" s="100"/>
    </row>
    <row r="27" customFormat="false" ht="12.75" hidden="false" customHeight="true" outlineLevel="0" collapsed="false">
      <c r="A27" s="1229"/>
      <c r="B27" s="1165"/>
      <c r="C27" s="1073"/>
      <c r="D27" s="100"/>
      <c r="E27" s="100"/>
      <c r="F27" s="100"/>
      <c r="G27" s="100"/>
      <c r="H27" s="100"/>
      <c r="I27" s="100"/>
      <c r="J27" s="100"/>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638"/>
      <c r="AJ27" s="100"/>
      <c r="AK27" s="59"/>
      <c r="AL27" s="59"/>
      <c r="AM27" s="59"/>
      <c r="AN27" s="59"/>
      <c r="AO27" s="59"/>
      <c r="AP27" s="59"/>
      <c r="AQ27" s="59"/>
      <c r="AR27" s="59"/>
      <c r="AS27" s="59"/>
      <c r="AT27" s="59"/>
      <c r="AU27" s="59"/>
      <c r="AV27" s="59"/>
      <c r="AW27" s="59"/>
      <c r="AX27" s="59"/>
      <c r="AY27" s="59"/>
      <c r="AZ27" s="59"/>
      <c r="BA27" s="59"/>
      <c r="BB27" s="59"/>
      <c r="BC27" s="59"/>
      <c r="BD27" s="59"/>
      <c r="BE27" s="59"/>
      <c r="BF27" s="59"/>
      <c r="BG27" s="59"/>
      <c r="BH27" s="59"/>
      <c r="BI27" s="59"/>
      <c r="BJ27" s="59"/>
      <c r="BK27" s="59"/>
      <c r="BL27" s="59"/>
      <c r="BM27" s="59"/>
      <c r="BN27" s="59"/>
      <c r="BO27" s="59"/>
      <c r="BP27" s="59"/>
      <c r="BQ27" s="59"/>
      <c r="BR27" s="59"/>
      <c r="BS27" s="59"/>
      <c r="BT27" s="59"/>
      <c r="BU27" s="59"/>
      <c r="BV27" s="59"/>
      <c r="BW27" s="59"/>
      <c r="BX27" s="59"/>
      <c r="BY27" s="59"/>
      <c r="BZ27" s="59"/>
      <c r="CA27" s="59"/>
      <c r="CB27" s="59"/>
      <c r="CC27" s="59"/>
      <c r="CD27" s="59"/>
      <c r="CE27" s="59"/>
      <c r="CF27" s="59"/>
      <c r="CG27" s="59"/>
      <c r="CH27" s="59"/>
      <c r="CI27" s="59"/>
      <c r="CJ27" s="59"/>
      <c r="CK27" s="59"/>
      <c r="CL27" s="59"/>
      <c r="CM27" s="59"/>
      <c r="CN27" s="59"/>
      <c r="CO27" s="59"/>
      <c r="CP27" s="59"/>
      <c r="CQ27" s="59"/>
      <c r="CR27" s="59"/>
      <c r="CS27" s="59"/>
      <c r="CT27" s="59"/>
      <c r="CU27" s="59"/>
      <c r="CV27" s="59"/>
      <c r="CW27" s="59"/>
      <c r="CX27" s="59"/>
      <c r="CY27" s="59"/>
      <c r="CZ27" s="59"/>
      <c r="DA27" s="59"/>
      <c r="DB27" s="59"/>
      <c r="DC27" s="59"/>
      <c r="DD27" s="59"/>
      <c r="DE27" s="59"/>
      <c r="DF27" s="59"/>
      <c r="DG27" s="59"/>
      <c r="DH27" s="59"/>
      <c r="DI27" s="59"/>
      <c r="DJ27" s="59"/>
      <c r="DK27" s="59"/>
      <c r="DL27" s="59"/>
      <c r="DM27" s="59"/>
      <c r="DN27" s="59"/>
      <c r="DO27" s="59"/>
      <c r="DP27" s="59"/>
      <c r="DQ27" s="59"/>
      <c r="DR27" s="59"/>
      <c r="DS27" s="59"/>
      <c r="DT27" s="59"/>
      <c r="DU27" s="59"/>
      <c r="DV27" s="59"/>
      <c r="DW27" s="59"/>
      <c r="DX27" s="59"/>
      <c r="DY27" s="59"/>
      <c r="DZ27" s="59"/>
      <c r="EA27" s="59"/>
      <c r="EB27" s="59"/>
      <c r="EC27" s="59"/>
      <c r="ED27" s="59"/>
      <c r="EE27" s="59"/>
      <c r="EF27" s="59"/>
      <c r="EG27" s="59"/>
      <c r="EH27" s="59"/>
      <c r="EI27" s="59"/>
      <c r="EJ27" s="59"/>
      <c r="EK27" s="59"/>
      <c r="EL27" s="59"/>
      <c r="EM27" s="59"/>
      <c r="EN27" s="59"/>
      <c r="EO27" s="100"/>
      <c r="EP27" s="100"/>
      <c r="EQ27" s="100"/>
      <c r="ER27" s="100"/>
      <c r="ES27" s="100"/>
      <c r="ET27" s="100"/>
      <c r="EU27" s="100"/>
      <c r="EV27" s="100"/>
      <c r="EW27" s="100"/>
      <c r="EX27" s="100"/>
      <c r="EY27" s="100"/>
      <c r="EZ27" s="100"/>
      <c r="FA27" s="100"/>
      <c r="FB27" s="100"/>
      <c r="FC27" s="100"/>
      <c r="FD27" s="100"/>
      <c r="FE27" s="100"/>
      <c r="FF27" s="100"/>
      <c r="FG27" s="100"/>
      <c r="FH27" s="100"/>
      <c r="FI27" s="100"/>
      <c r="FJ27" s="100"/>
      <c r="FK27" s="100"/>
      <c r="FL27" s="100"/>
      <c r="FM27" s="100"/>
      <c r="FN27" s="100"/>
      <c r="FO27" s="100"/>
      <c r="FP27" s="100"/>
      <c r="FQ27" s="100"/>
      <c r="FR27" s="100"/>
      <c r="FS27" s="100"/>
      <c r="FT27" s="100"/>
      <c r="FU27" s="100"/>
      <c r="FV27" s="100"/>
      <c r="FW27" s="100"/>
      <c r="FX27" s="100"/>
      <c r="FY27" s="100"/>
      <c r="FZ27" s="100"/>
      <c r="GA27" s="100"/>
      <c r="GB27" s="100"/>
      <c r="GC27" s="100"/>
      <c r="GD27" s="100"/>
      <c r="GE27" s="100"/>
      <c r="GF27" s="100"/>
      <c r="GG27" s="100"/>
      <c r="GH27" s="100"/>
      <c r="GI27" s="100"/>
      <c r="GJ27" s="100"/>
      <c r="GK27" s="100"/>
      <c r="GL27" s="100"/>
      <c r="GM27" s="100"/>
      <c r="GN27" s="100"/>
      <c r="GO27" s="100"/>
      <c r="GP27" s="100"/>
      <c r="GQ27" s="100"/>
      <c r="GR27" s="100"/>
      <c r="GS27" s="100"/>
      <c r="GT27" s="100"/>
      <c r="GU27" s="100"/>
      <c r="GV27" s="100"/>
      <c r="GW27" s="100"/>
      <c r="GX27" s="100"/>
      <c r="GY27" s="100"/>
      <c r="GZ27" s="100"/>
      <c r="HA27" s="100"/>
      <c r="HB27" s="100"/>
      <c r="HC27" s="100"/>
      <c r="HD27" s="100"/>
      <c r="HE27" s="100"/>
      <c r="HF27" s="100"/>
      <c r="HG27" s="100"/>
      <c r="HH27" s="100"/>
      <c r="HI27" s="100"/>
      <c r="HJ27" s="100"/>
      <c r="HK27" s="100"/>
      <c r="HL27" s="100"/>
      <c r="HM27" s="100"/>
      <c r="HN27" s="100"/>
      <c r="HO27" s="100"/>
      <c r="HP27" s="100"/>
      <c r="HQ27" s="100"/>
      <c r="HR27" s="100"/>
      <c r="HS27" s="100"/>
      <c r="HT27" s="100"/>
      <c r="HU27" s="100"/>
      <c r="HV27" s="100"/>
      <c r="HW27" s="100"/>
      <c r="HX27" s="100"/>
      <c r="HY27" s="100"/>
      <c r="HZ27" s="100"/>
      <c r="IA27" s="100"/>
      <c r="IB27" s="100"/>
      <c r="IC27" s="100"/>
      <c r="ID27" s="100"/>
      <c r="IE27" s="100"/>
      <c r="IF27" s="100"/>
      <c r="IG27" s="100"/>
      <c r="IH27" s="100"/>
      <c r="II27" s="100"/>
      <c r="IJ27" s="100"/>
      <c r="IK27" s="100"/>
      <c r="IL27" s="100"/>
      <c r="IM27" s="100"/>
      <c r="IN27" s="100"/>
      <c r="IO27" s="100"/>
      <c r="IP27" s="100"/>
      <c r="IQ27" s="100"/>
      <c r="IR27" s="100"/>
      <c r="IS27" s="100"/>
      <c r="IT27" s="100"/>
      <c r="IU27" s="100"/>
      <c r="IV27" s="100"/>
      <c r="IW27" s="100"/>
    </row>
    <row r="28" customFormat="false" ht="12.75" hidden="false" customHeight="true" outlineLevel="0" collapsed="false">
      <c r="A28" s="1229"/>
      <c r="B28" s="1173" t="s">
        <v>770</v>
      </c>
      <c r="C28" s="1056"/>
      <c r="D28" s="313" t="n">
        <f aca="false">SUM(D19:D23)</f>
        <v>-264.958086355692</v>
      </c>
      <c r="E28" s="366" t="n">
        <f aca="false">SUM(E19:E23)</f>
        <v>54.7103097260272</v>
      </c>
      <c r="F28" s="366" t="n">
        <f aca="false">SUM(F19:F23)</f>
        <v>73.3967632440354</v>
      </c>
      <c r="G28" s="366" t="n">
        <f aca="false">SUM(G19:G23)</f>
        <v>54.5572507306805</v>
      </c>
      <c r="H28" s="366" t="n">
        <f aca="false">SUM(H19:H23)</f>
        <v>43.1567715009905</v>
      </c>
      <c r="I28" s="366" t="n">
        <f aca="false">SUM(I19:I23)</f>
        <v>44.2448793170709</v>
      </c>
      <c r="J28" s="366" t="n">
        <f aca="false">SUM(J19:J23)</f>
        <v>35.6292224435162</v>
      </c>
      <c r="K28" s="366" t="n">
        <f aca="false">SUM(K19:K23)</f>
        <v>28.2898960529951</v>
      </c>
      <c r="L28" s="366" t="n">
        <f aca="false">SUM(L19:L23)</f>
        <v>28.0520739780209</v>
      </c>
      <c r="M28" s="366" t="n">
        <f aca="false">SUM(M19:M23)</f>
        <v>27.8053658527623</v>
      </c>
      <c r="N28" s="366" t="n">
        <f aca="false">SUM(N19:N23)</f>
        <v>28.8088483085531</v>
      </c>
      <c r="O28" s="366" t="n">
        <f aca="false">SUM(O19:O23)</f>
        <v>0.471281539176617</v>
      </c>
      <c r="P28" s="366" t="n">
        <f aca="false">SUM(P19:P23)</f>
        <v>0.133766869716659</v>
      </c>
      <c r="Q28" s="366" t="n">
        <f aca="false">SUM(Q19:Q23)</f>
        <v>-0.224538622745464</v>
      </c>
      <c r="R28" s="366" t="n">
        <f aca="false">SUM(R19:R23)</f>
        <v>-0.614097729403763</v>
      </c>
      <c r="S28" s="366" t="n">
        <f aca="false">SUM(S19:S23)</f>
        <v>-1.03330865323368</v>
      </c>
      <c r="T28" s="366" t="n">
        <f aca="false">SUM(T19:T23)</f>
        <v>-1.49423898048056</v>
      </c>
      <c r="U28" s="366" t="n">
        <f aca="false">SUM(U19:U23)</f>
        <v>-1.12698416090831</v>
      </c>
      <c r="V28" s="366" t="n">
        <f aca="false">SUM(V19:V23)</f>
        <v>12.430133237247</v>
      </c>
      <c r="W28" s="366" t="n">
        <f aca="false">SUM(W19:W23)</f>
        <v>12.2421658075968</v>
      </c>
      <c r="X28" s="366" t="n">
        <f aca="false">SUM(X19:X23)</f>
        <v>14.0296625301769</v>
      </c>
      <c r="Y28" s="366" t="n">
        <f aca="false">SUM(Y19:Y23)</f>
        <v>0</v>
      </c>
      <c r="Z28" s="366" t="n">
        <f aca="false">SUM(Z19:Z23)</f>
        <v>0</v>
      </c>
      <c r="AA28" s="366" t="n">
        <f aca="false">SUM(AA19:AA23)</f>
        <v>0</v>
      </c>
      <c r="AB28" s="366" t="n">
        <f aca="false">SUM(AB19:AB23)</f>
        <v>0</v>
      </c>
      <c r="AC28" s="366" t="n">
        <f aca="false">SUM(AC19:AC23)</f>
        <v>0</v>
      </c>
      <c r="AD28" s="366" t="n">
        <f aca="false">SUM(AD19:AD23)</f>
        <v>0</v>
      </c>
      <c r="AE28" s="366" t="n">
        <f aca="false">SUM(AE19:AE23)</f>
        <v>0</v>
      </c>
      <c r="AF28" s="366" t="n">
        <f aca="false">SUM(AF19:AF23)</f>
        <v>0</v>
      </c>
      <c r="AG28" s="366" t="n">
        <f aca="false">SUM(AG19:AG23)</f>
        <v>0</v>
      </c>
      <c r="AH28" s="366" t="n">
        <f aca="false">SUM(AH19:AH23)</f>
        <v>0</v>
      </c>
      <c r="AI28" s="1255" t="n">
        <f aca="false">SUM(AI19:AI23)</f>
        <v>0</v>
      </c>
      <c r="AJ28" s="100"/>
      <c r="AK28" s="59"/>
      <c r="AL28" s="59"/>
      <c r="AM28" s="59"/>
      <c r="AN28" s="59"/>
      <c r="AO28" s="59"/>
      <c r="AP28" s="59"/>
      <c r="AQ28" s="59"/>
      <c r="AR28" s="59"/>
      <c r="AS28" s="59"/>
      <c r="AT28" s="59"/>
      <c r="AU28" s="59"/>
      <c r="AV28" s="59"/>
      <c r="AW28" s="59"/>
      <c r="AX28" s="59"/>
      <c r="AY28" s="59"/>
      <c r="AZ28" s="59"/>
      <c r="BA28" s="59"/>
      <c r="BB28" s="59"/>
      <c r="BC28" s="59"/>
      <c r="BD28" s="59"/>
      <c r="BE28" s="59"/>
      <c r="BF28" s="59"/>
      <c r="BG28" s="59"/>
      <c r="BH28" s="59"/>
      <c r="BI28" s="59"/>
      <c r="BJ28" s="59"/>
      <c r="BK28" s="59"/>
      <c r="BL28" s="59"/>
      <c r="BM28" s="59"/>
      <c r="BN28" s="59"/>
      <c r="BO28" s="59"/>
      <c r="BP28" s="59"/>
      <c r="BQ28" s="59"/>
      <c r="BR28" s="59"/>
      <c r="BS28" s="59"/>
      <c r="BT28" s="59"/>
      <c r="BU28" s="59"/>
      <c r="BV28" s="59"/>
      <c r="BW28" s="59"/>
      <c r="BX28" s="59"/>
      <c r="BY28" s="59"/>
      <c r="BZ28" s="59"/>
      <c r="CA28" s="59"/>
      <c r="CB28" s="59"/>
      <c r="CC28" s="59"/>
      <c r="CD28" s="59"/>
      <c r="CE28" s="59"/>
      <c r="CF28" s="59"/>
      <c r="CG28" s="59"/>
      <c r="CH28" s="59"/>
      <c r="CI28" s="59"/>
      <c r="CJ28" s="59"/>
      <c r="CK28" s="59"/>
      <c r="CL28" s="59"/>
      <c r="CM28" s="59"/>
      <c r="CN28" s="59"/>
      <c r="CO28" s="59"/>
      <c r="CP28" s="59"/>
      <c r="CQ28" s="59"/>
      <c r="CR28" s="59"/>
      <c r="CS28" s="59"/>
      <c r="CT28" s="59"/>
      <c r="CU28" s="59"/>
      <c r="CV28" s="59"/>
      <c r="CW28" s="59"/>
      <c r="CX28" s="59"/>
      <c r="CY28" s="59"/>
      <c r="CZ28" s="59"/>
      <c r="DA28" s="59"/>
      <c r="DB28" s="59"/>
      <c r="DC28" s="59"/>
      <c r="DD28" s="59"/>
      <c r="DE28" s="59"/>
      <c r="DF28" s="59"/>
      <c r="DG28" s="59"/>
      <c r="DH28" s="59"/>
      <c r="DI28" s="59"/>
      <c r="DJ28" s="59"/>
      <c r="DK28" s="59"/>
      <c r="DL28" s="59"/>
      <c r="DM28" s="59"/>
      <c r="DN28" s="59"/>
      <c r="DO28" s="59"/>
      <c r="DP28" s="59"/>
      <c r="DQ28" s="59"/>
      <c r="DR28" s="59"/>
      <c r="DS28" s="59"/>
      <c r="DT28" s="59"/>
      <c r="DU28" s="59"/>
      <c r="DV28" s="59"/>
      <c r="DW28" s="59"/>
      <c r="DX28" s="59"/>
      <c r="DY28" s="59"/>
      <c r="DZ28" s="59"/>
      <c r="EA28" s="59"/>
      <c r="EB28" s="59"/>
      <c r="EC28" s="59"/>
      <c r="ED28" s="59"/>
      <c r="EE28" s="59"/>
      <c r="EF28" s="59"/>
      <c r="EG28" s="59"/>
      <c r="EH28" s="59"/>
      <c r="EI28" s="59"/>
      <c r="EJ28" s="59"/>
      <c r="EK28" s="59"/>
      <c r="EL28" s="59"/>
      <c r="EM28" s="59"/>
      <c r="EN28" s="59"/>
      <c r="EO28" s="100"/>
      <c r="EP28" s="100"/>
      <c r="EQ28" s="100"/>
      <c r="ER28" s="100"/>
      <c r="ES28" s="100"/>
      <c r="ET28" s="100"/>
      <c r="EU28" s="100"/>
      <c r="EV28" s="100"/>
      <c r="EW28" s="100"/>
      <c r="EX28" s="100"/>
      <c r="EY28" s="100"/>
      <c r="EZ28" s="100"/>
      <c r="FA28" s="100"/>
      <c r="FB28" s="100"/>
      <c r="FC28" s="100"/>
      <c r="FD28" s="100"/>
      <c r="FE28" s="100"/>
      <c r="FF28" s="100"/>
      <c r="FG28" s="100"/>
      <c r="FH28" s="100"/>
      <c r="FI28" s="100"/>
      <c r="FJ28" s="100"/>
      <c r="FK28" s="100"/>
      <c r="FL28" s="100"/>
      <c r="FM28" s="100"/>
      <c r="FN28" s="100"/>
      <c r="FO28" s="100"/>
      <c r="FP28" s="100"/>
      <c r="FQ28" s="100"/>
      <c r="FR28" s="100"/>
      <c r="FS28" s="100"/>
      <c r="FT28" s="100"/>
      <c r="FU28" s="100"/>
      <c r="FV28" s="100"/>
      <c r="FW28" s="100"/>
      <c r="FX28" s="100"/>
      <c r="FY28" s="100"/>
      <c r="FZ28" s="100"/>
      <c r="GA28" s="100"/>
      <c r="GB28" s="100"/>
      <c r="GC28" s="100"/>
      <c r="GD28" s="100"/>
      <c r="GE28" s="100"/>
      <c r="GF28" s="100"/>
      <c r="GG28" s="100"/>
      <c r="GH28" s="100"/>
      <c r="GI28" s="100"/>
      <c r="GJ28" s="100"/>
      <c r="GK28" s="100"/>
      <c r="GL28" s="100"/>
      <c r="GM28" s="100"/>
      <c r="GN28" s="100"/>
      <c r="GO28" s="100"/>
      <c r="GP28" s="100"/>
      <c r="GQ28" s="100"/>
      <c r="GR28" s="100"/>
      <c r="GS28" s="100"/>
      <c r="GT28" s="100"/>
      <c r="GU28" s="100"/>
      <c r="GV28" s="100"/>
      <c r="GW28" s="100"/>
      <c r="GX28" s="100"/>
      <c r="GY28" s="100"/>
      <c r="GZ28" s="100"/>
      <c r="HA28" s="100"/>
      <c r="HB28" s="100"/>
      <c r="HC28" s="100"/>
      <c r="HD28" s="100"/>
      <c r="HE28" s="100"/>
      <c r="HF28" s="100"/>
      <c r="HG28" s="100"/>
      <c r="HH28" s="100"/>
      <c r="HI28" s="100"/>
      <c r="HJ28" s="100"/>
      <c r="HK28" s="100"/>
      <c r="HL28" s="100"/>
      <c r="HM28" s="100"/>
      <c r="HN28" s="100"/>
      <c r="HO28" s="100"/>
      <c r="HP28" s="100"/>
      <c r="HQ28" s="100"/>
      <c r="HR28" s="100"/>
      <c r="HS28" s="100"/>
      <c r="HT28" s="100"/>
      <c r="HU28" s="100"/>
      <c r="HV28" s="100"/>
      <c r="HW28" s="100"/>
      <c r="HX28" s="100"/>
      <c r="HY28" s="100"/>
      <c r="HZ28" s="100"/>
      <c r="IA28" s="100"/>
      <c r="IB28" s="100"/>
      <c r="IC28" s="100"/>
      <c r="ID28" s="100"/>
      <c r="IE28" s="100"/>
      <c r="IF28" s="100"/>
      <c r="IG28" s="100"/>
      <c r="IH28" s="100"/>
      <c r="II28" s="100"/>
      <c r="IJ28" s="100"/>
      <c r="IK28" s="100"/>
      <c r="IL28" s="100"/>
      <c r="IM28" s="100"/>
      <c r="IN28" s="100"/>
      <c r="IO28" s="100"/>
      <c r="IP28" s="100"/>
      <c r="IQ28" s="100"/>
      <c r="IR28" s="100"/>
      <c r="IS28" s="100"/>
      <c r="IT28" s="100"/>
      <c r="IU28" s="100"/>
      <c r="IV28" s="100"/>
      <c r="IW28" s="100"/>
    </row>
    <row r="29" customFormat="false" ht="12.75" hidden="false" customHeight="false" outlineLevel="0" collapsed="false">
      <c r="A29" s="1229"/>
      <c r="B29" s="1174" t="s">
        <v>771</v>
      </c>
      <c r="C29" s="1256"/>
      <c r="D29" s="100" t="n">
        <f aca="false">D28</f>
        <v>-264.958086355692</v>
      </c>
      <c r="E29" s="100" t="n">
        <f aca="false">D29+E28</f>
        <v>-210.247776629665</v>
      </c>
      <c r="F29" s="100" t="n">
        <f aca="false">E29+F28</f>
        <v>-136.851013385629</v>
      </c>
      <c r="G29" s="100" t="n">
        <f aca="false">F29+G28</f>
        <v>-82.2937626549489</v>
      </c>
      <c r="H29" s="100" t="n">
        <f aca="false">G29+H28</f>
        <v>-39.1369911539584</v>
      </c>
      <c r="I29" s="100" t="n">
        <f aca="false">H29+I28</f>
        <v>5.10788816311248</v>
      </c>
      <c r="J29" s="100" t="n">
        <f aca="false">I29+J28</f>
        <v>40.7371106066287</v>
      </c>
      <c r="K29" s="100" t="n">
        <f aca="false">J29+K28</f>
        <v>69.0270066596238</v>
      </c>
      <c r="L29" s="100" t="n">
        <f aca="false">K29+L28</f>
        <v>97.0790806376447</v>
      </c>
      <c r="M29" s="100" t="n">
        <f aca="false">L29+M28</f>
        <v>124.884446490407</v>
      </c>
      <c r="N29" s="100" t="n">
        <f aca="false">M29+N28</f>
        <v>153.69329479896</v>
      </c>
      <c r="O29" s="100" t="n">
        <f aca="false">N29+O28</f>
        <v>154.164576338137</v>
      </c>
      <c r="P29" s="100" t="n">
        <f aca="false">O29+P28</f>
        <v>154.298343207853</v>
      </c>
      <c r="Q29" s="100" t="n">
        <f aca="false">P29+Q28</f>
        <v>154.073804585108</v>
      </c>
      <c r="R29" s="100" t="n">
        <f aca="false">Q29+R28</f>
        <v>153.459706855704</v>
      </c>
      <c r="S29" s="100" t="n">
        <f aca="false">R29+S28</f>
        <v>152.42639820247</v>
      </c>
      <c r="T29" s="100" t="n">
        <f aca="false">S29+T28</f>
        <v>150.93215922199</v>
      </c>
      <c r="U29" s="100" t="n">
        <f aca="false">T29+U28</f>
        <v>149.805175061082</v>
      </c>
      <c r="V29" s="100" t="n">
        <f aca="false">U29+V28</f>
        <v>162.235308298329</v>
      </c>
      <c r="W29" s="100" t="n">
        <f aca="false">V29+W28</f>
        <v>174.477474105925</v>
      </c>
      <c r="X29" s="100" t="n">
        <f aca="false">W29+X28</f>
        <v>188.507136636102</v>
      </c>
      <c r="Y29" s="100" t="n">
        <f aca="false">X29+Y28</f>
        <v>188.507136636102</v>
      </c>
      <c r="Z29" s="100" t="n">
        <f aca="false">Y29+Z28</f>
        <v>188.507136636102</v>
      </c>
      <c r="AA29" s="100" t="n">
        <f aca="false">Z29+AA28</f>
        <v>188.507136636102</v>
      </c>
      <c r="AB29" s="100" t="n">
        <f aca="false">AA29+AB28</f>
        <v>188.507136636102</v>
      </c>
      <c r="AC29" s="100" t="n">
        <f aca="false">AB29+AC28</f>
        <v>188.507136636102</v>
      </c>
      <c r="AD29" s="100" t="n">
        <f aca="false">AC29+AD28</f>
        <v>188.507136636102</v>
      </c>
      <c r="AE29" s="100" t="n">
        <f aca="false">AD29+AE28</f>
        <v>188.507136636102</v>
      </c>
      <c r="AF29" s="100" t="n">
        <f aca="false">AE29+AF28</f>
        <v>188.507136636102</v>
      </c>
      <c r="AG29" s="100" t="n">
        <f aca="false">AF29+AG28</f>
        <v>188.507136636102</v>
      </c>
      <c r="AH29" s="100" t="n">
        <f aca="false">AG29+AH28</f>
        <v>188.507136636102</v>
      </c>
      <c r="AI29" s="638" t="n">
        <f aca="false">AH29+AI28</f>
        <v>188.507136636102</v>
      </c>
      <c r="AJ29" s="100"/>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59"/>
      <c r="BI29" s="59"/>
      <c r="BJ29" s="59"/>
      <c r="BK29" s="59"/>
      <c r="BL29" s="59"/>
      <c r="BM29" s="59"/>
      <c r="BN29" s="59"/>
      <c r="BO29" s="59"/>
      <c r="BP29" s="59"/>
      <c r="BQ29" s="59"/>
      <c r="BR29" s="59"/>
      <c r="BS29" s="59"/>
      <c r="BT29" s="59"/>
      <c r="BU29" s="59"/>
      <c r="BV29" s="59"/>
      <c r="BW29" s="59"/>
      <c r="BX29" s="59"/>
      <c r="BY29" s="59"/>
      <c r="BZ29" s="59"/>
      <c r="CA29" s="59"/>
      <c r="CB29" s="59"/>
      <c r="CC29" s="59"/>
      <c r="CD29" s="59"/>
      <c r="CE29" s="59"/>
      <c r="CF29" s="59"/>
      <c r="CG29" s="59"/>
      <c r="CH29" s="59"/>
      <c r="CI29" s="59"/>
      <c r="CJ29" s="59"/>
      <c r="CK29" s="59"/>
      <c r="CL29" s="59"/>
      <c r="CM29" s="59"/>
      <c r="CN29" s="59"/>
      <c r="CO29" s="59"/>
      <c r="CP29" s="59"/>
      <c r="CQ29" s="59"/>
      <c r="CR29" s="59"/>
      <c r="CS29" s="59"/>
      <c r="CT29" s="59"/>
      <c r="CU29" s="59"/>
      <c r="CV29" s="59"/>
      <c r="CW29" s="59"/>
      <c r="CX29" s="59"/>
      <c r="CY29" s="59"/>
      <c r="CZ29" s="59"/>
      <c r="DA29" s="59"/>
      <c r="DB29" s="59"/>
      <c r="DC29" s="59"/>
      <c r="DD29" s="59"/>
      <c r="DE29" s="59"/>
      <c r="DF29" s="59"/>
      <c r="DG29" s="59"/>
      <c r="DH29" s="59"/>
      <c r="DI29" s="59"/>
      <c r="DJ29" s="59"/>
      <c r="DK29" s="59"/>
      <c r="DL29" s="59"/>
      <c r="DM29" s="59"/>
      <c r="DN29" s="59"/>
      <c r="DO29" s="59"/>
      <c r="DP29" s="59"/>
      <c r="DQ29" s="59"/>
      <c r="DR29" s="59"/>
      <c r="DS29" s="59"/>
      <c r="DT29" s="59"/>
      <c r="DU29" s="59"/>
      <c r="DV29" s="59"/>
      <c r="DW29" s="59"/>
      <c r="DX29" s="59"/>
      <c r="DY29" s="59"/>
      <c r="DZ29" s="59"/>
      <c r="EA29" s="59"/>
      <c r="EB29" s="59"/>
      <c r="EC29" s="59"/>
      <c r="ED29" s="59"/>
      <c r="EE29" s="59"/>
      <c r="EF29" s="59"/>
      <c r="EG29" s="59"/>
      <c r="EH29" s="59"/>
      <c r="EI29" s="59"/>
      <c r="EJ29" s="59"/>
      <c r="EK29" s="59"/>
      <c r="EL29" s="59"/>
      <c r="EM29" s="59"/>
      <c r="EN29" s="59"/>
      <c r="EO29" s="100"/>
      <c r="EP29" s="100"/>
      <c r="EQ29" s="100"/>
      <c r="ER29" s="100"/>
      <c r="ES29" s="100"/>
      <c r="ET29" s="100"/>
      <c r="EU29" s="100"/>
      <c r="EV29" s="100"/>
      <c r="EW29" s="100"/>
      <c r="EX29" s="100"/>
      <c r="EY29" s="100"/>
      <c r="EZ29" s="100"/>
      <c r="FA29" s="100"/>
      <c r="FB29" s="100"/>
      <c r="FC29" s="100"/>
      <c r="FD29" s="100"/>
      <c r="FE29" s="100"/>
      <c r="FF29" s="100"/>
      <c r="FG29" s="100"/>
      <c r="FH29" s="100"/>
      <c r="FI29" s="100"/>
      <c r="FJ29" s="100"/>
      <c r="FK29" s="100"/>
      <c r="FL29" s="100"/>
      <c r="FM29" s="100"/>
      <c r="FN29" s="100"/>
      <c r="FO29" s="100"/>
      <c r="FP29" s="100"/>
      <c r="FQ29" s="100"/>
      <c r="FR29" s="100"/>
      <c r="FS29" s="100"/>
      <c r="FT29" s="100"/>
      <c r="FU29" s="100"/>
      <c r="FV29" s="100"/>
      <c r="FW29" s="100"/>
      <c r="FX29" s="100"/>
      <c r="FY29" s="100"/>
      <c r="FZ29" s="100"/>
      <c r="GA29" s="100"/>
      <c r="GB29" s="100"/>
      <c r="GC29" s="100"/>
      <c r="GD29" s="100"/>
      <c r="GE29" s="100"/>
      <c r="GF29" s="100"/>
      <c r="GG29" s="100"/>
      <c r="GH29" s="100"/>
      <c r="GI29" s="100"/>
      <c r="GJ29" s="100"/>
      <c r="GK29" s="100"/>
      <c r="GL29" s="100"/>
      <c r="GM29" s="100"/>
      <c r="GN29" s="100"/>
      <c r="GO29" s="100"/>
      <c r="GP29" s="100"/>
      <c r="GQ29" s="100"/>
      <c r="GR29" s="100"/>
      <c r="GS29" s="100"/>
      <c r="GT29" s="100"/>
      <c r="GU29" s="100"/>
      <c r="GV29" s="100"/>
      <c r="GW29" s="100"/>
      <c r="GX29" s="100"/>
      <c r="GY29" s="100"/>
      <c r="GZ29" s="100"/>
      <c r="HA29" s="100"/>
      <c r="HB29" s="100"/>
      <c r="HC29" s="100"/>
      <c r="HD29" s="100"/>
      <c r="HE29" s="100"/>
      <c r="HF29" s="100"/>
      <c r="HG29" s="100"/>
      <c r="HH29" s="100"/>
      <c r="HI29" s="100"/>
      <c r="HJ29" s="100"/>
      <c r="HK29" s="100"/>
      <c r="HL29" s="100"/>
      <c r="HM29" s="100"/>
      <c r="HN29" s="100"/>
      <c r="HO29" s="100"/>
      <c r="HP29" s="100"/>
      <c r="HQ29" s="100"/>
      <c r="HR29" s="100"/>
      <c r="HS29" s="100"/>
      <c r="HT29" s="100"/>
      <c r="HU29" s="100"/>
      <c r="HV29" s="100"/>
      <c r="HW29" s="100"/>
      <c r="HX29" s="100"/>
      <c r="HY29" s="100"/>
      <c r="HZ29" s="100"/>
      <c r="IA29" s="100"/>
      <c r="IB29" s="100"/>
      <c r="IC29" s="100"/>
      <c r="ID29" s="100"/>
      <c r="IE29" s="100"/>
      <c r="IF29" s="100"/>
      <c r="IG29" s="100"/>
      <c r="IH29" s="100"/>
      <c r="II29" s="100"/>
      <c r="IJ29" s="100"/>
      <c r="IK29" s="100"/>
      <c r="IL29" s="100"/>
      <c r="IM29" s="100"/>
      <c r="IN29" s="100"/>
      <c r="IO29" s="100"/>
      <c r="IP29" s="100"/>
      <c r="IQ29" s="100"/>
      <c r="IR29" s="100"/>
      <c r="IS29" s="100"/>
      <c r="IT29" s="100"/>
      <c r="IU29" s="100"/>
      <c r="IV29" s="100"/>
      <c r="IW29" s="100"/>
    </row>
    <row r="30" customFormat="false" ht="13.5" hidden="false" customHeight="false" outlineLevel="0" collapsed="false">
      <c r="A30" s="1229"/>
      <c r="B30" s="1257"/>
      <c r="C30" s="1258"/>
      <c r="D30" s="1144"/>
      <c r="E30" s="1144"/>
      <c r="F30" s="1144"/>
      <c r="G30" s="1144"/>
      <c r="H30" s="1144"/>
      <c r="I30" s="1144"/>
      <c r="J30" s="1144"/>
      <c r="K30" s="1144"/>
      <c r="L30" s="1144"/>
      <c r="M30" s="1144"/>
      <c r="N30" s="1144"/>
      <c r="O30" s="1144"/>
      <c r="P30" s="1144"/>
      <c r="Q30" s="1144"/>
      <c r="R30" s="1144"/>
      <c r="S30" s="1144"/>
      <c r="T30" s="1144"/>
      <c r="U30" s="1144"/>
      <c r="V30" s="1144"/>
      <c r="W30" s="1144"/>
      <c r="X30" s="1144"/>
      <c r="Y30" s="1144"/>
      <c r="Z30" s="1144"/>
      <c r="AA30" s="1144"/>
      <c r="AB30" s="1144"/>
      <c r="AC30" s="1144"/>
      <c r="AD30" s="1144"/>
      <c r="AE30" s="1144"/>
      <c r="AF30" s="1144"/>
      <c r="AG30" s="1144"/>
      <c r="AH30" s="1144"/>
      <c r="AI30" s="1176"/>
      <c r="AJ30" s="130"/>
      <c r="AK30" s="130"/>
      <c r="AL30" s="130"/>
      <c r="AM30" s="130"/>
      <c r="AN30" s="130"/>
      <c r="AO30" s="130"/>
      <c r="AP30" s="130"/>
      <c r="AQ30" s="130"/>
      <c r="AR30" s="130"/>
      <c r="AS30" s="130"/>
      <c r="AT30" s="130"/>
      <c r="AU30" s="130"/>
      <c r="AV30" s="130"/>
      <c r="AW30" s="130"/>
      <c r="AX30" s="130"/>
      <c r="AY30" s="130"/>
      <c r="AZ30" s="130"/>
      <c r="BA30" s="130"/>
      <c r="BB30" s="130"/>
      <c r="BC30" s="130"/>
      <c r="BD30" s="130"/>
      <c r="BE30" s="130"/>
      <c r="BF30" s="130"/>
      <c r="BG30" s="130"/>
      <c r="BH30" s="130"/>
      <c r="BI30" s="130"/>
      <c r="BJ30" s="130"/>
      <c r="BK30" s="130"/>
      <c r="BL30" s="130"/>
      <c r="BM30" s="130"/>
      <c r="BN30" s="130"/>
      <c r="BO30" s="130"/>
      <c r="BP30" s="130"/>
      <c r="BQ30" s="130"/>
      <c r="BR30" s="130"/>
      <c r="BS30" s="130"/>
      <c r="BT30" s="130"/>
      <c r="BU30" s="130"/>
      <c r="BV30" s="130"/>
      <c r="BW30" s="130"/>
      <c r="BX30" s="130"/>
      <c r="BY30" s="130"/>
      <c r="BZ30" s="130"/>
      <c r="CA30" s="130"/>
      <c r="CB30" s="130"/>
      <c r="CC30" s="130"/>
      <c r="CD30" s="130"/>
      <c r="CE30" s="130"/>
      <c r="CF30" s="130"/>
      <c r="CG30" s="130"/>
      <c r="CH30" s="130"/>
      <c r="CI30" s="130"/>
      <c r="CJ30" s="130"/>
      <c r="CK30" s="130"/>
      <c r="CL30" s="130"/>
      <c r="CM30" s="130"/>
      <c r="CN30" s="130"/>
      <c r="CO30" s="130"/>
      <c r="CP30" s="130"/>
      <c r="CQ30" s="130"/>
      <c r="CR30" s="130"/>
      <c r="CS30" s="130"/>
      <c r="CT30" s="130"/>
      <c r="CU30" s="130"/>
      <c r="CV30" s="130"/>
      <c r="CW30" s="130"/>
      <c r="CX30" s="130"/>
      <c r="CY30" s="130"/>
      <c r="CZ30" s="130"/>
      <c r="DA30" s="130"/>
      <c r="DB30" s="130"/>
      <c r="DC30" s="130"/>
      <c r="DD30" s="130"/>
      <c r="DE30" s="130"/>
      <c r="DF30" s="130"/>
      <c r="DG30" s="130"/>
      <c r="DH30" s="130"/>
      <c r="DI30" s="130"/>
      <c r="DJ30" s="130"/>
      <c r="DK30" s="130"/>
      <c r="DL30" s="130"/>
      <c r="DM30" s="130"/>
      <c r="DN30" s="130"/>
      <c r="DO30" s="130"/>
      <c r="DP30" s="130"/>
      <c r="DQ30" s="130"/>
      <c r="DR30" s="130"/>
      <c r="DS30" s="130"/>
      <c r="DT30" s="130"/>
      <c r="DU30" s="130"/>
      <c r="DV30" s="130"/>
      <c r="DW30" s="130"/>
      <c r="DX30" s="130"/>
      <c r="DY30" s="130"/>
      <c r="DZ30" s="130"/>
      <c r="EA30" s="130"/>
      <c r="EB30" s="130"/>
      <c r="EC30" s="130"/>
      <c r="ED30" s="130"/>
      <c r="EE30" s="130"/>
      <c r="EF30" s="130"/>
      <c r="EG30" s="130"/>
      <c r="EH30" s="130"/>
      <c r="EI30" s="130"/>
      <c r="EJ30" s="130"/>
      <c r="EK30" s="130"/>
      <c r="EL30" s="130"/>
      <c r="EM30" s="130"/>
      <c r="EN30" s="130"/>
      <c r="EO30" s="130"/>
      <c r="EP30" s="130"/>
      <c r="EQ30" s="130"/>
      <c r="ER30" s="130"/>
      <c r="ES30" s="130"/>
      <c r="ET30" s="130"/>
      <c r="EU30" s="130"/>
      <c r="EV30" s="130"/>
      <c r="EW30" s="130"/>
      <c r="EX30" s="130"/>
      <c r="EY30" s="130"/>
      <c r="EZ30" s="130"/>
      <c r="FA30" s="130"/>
      <c r="FB30" s="130"/>
      <c r="FC30" s="130"/>
      <c r="FD30" s="130"/>
      <c r="FE30" s="130"/>
      <c r="FF30" s="130"/>
      <c r="FG30" s="130"/>
      <c r="FH30" s="130"/>
      <c r="FI30" s="130"/>
      <c r="FJ30" s="130"/>
      <c r="FK30" s="130"/>
      <c r="FL30" s="130"/>
      <c r="FM30" s="130"/>
      <c r="FN30" s="130"/>
      <c r="FO30" s="130"/>
      <c r="FP30" s="130"/>
      <c r="FQ30" s="130"/>
      <c r="FR30" s="130"/>
      <c r="FS30" s="130"/>
      <c r="FT30" s="130"/>
      <c r="FU30" s="130"/>
      <c r="FV30" s="130"/>
      <c r="FW30" s="130"/>
      <c r="FX30" s="130"/>
      <c r="FY30" s="130"/>
      <c r="FZ30" s="130"/>
      <c r="GA30" s="130"/>
      <c r="GB30" s="130"/>
      <c r="GC30" s="130"/>
      <c r="GD30" s="130"/>
      <c r="GE30" s="130"/>
      <c r="GF30" s="130"/>
      <c r="GG30" s="130"/>
      <c r="GH30" s="130"/>
      <c r="GI30" s="130"/>
      <c r="GJ30" s="130"/>
      <c r="GK30" s="130"/>
      <c r="GL30" s="130"/>
      <c r="GM30" s="130"/>
      <c r="GN30" s="130"/>
      <c r="GO30" s="130"/>
      <c r="GP30" s="130"/>
      <c r="GQ30" s="130"/>
      <c r="GR30" s="130"/>
      <c r="GS30" s="130"/>
      <c r="GT30" s="130"/>
      <c r="GU30" s="130"/>
      <c r="GV30" s="130"/>
      <c r="GW30" s="130"/>
      <c r="GX30" s="130"/>
      <c r="GY30" s="130"/>
      <c r="GZ30" s="130"/>
      <c r="HA30" s="130"/>
      <c r="HB30" s="130"/>
      <c r="HC30" s="130"/>
      <c r="HD30" s="130"/>
      <c r="HE30" s="130"/>
      <c r="HF30" s="130"/>
      <c r="HG30" s="130"/>
      <c r="HH30" s="130"/>
      <c r="HI30" s="130"/>
      <c r="HJ30" s="130"/>
      <c r="HK30" s="130"/>
      <c r="HL30" s="130"/>
      <c r="HM30" s="130"/>
      <c r="HN30" s="130"/>
      <c r="HO30" s="130"/>
      <c r="HP30" s="130"/>
      <c r="HQ30" s="130"/>
      <c r="HR30" s="130"/>
      <c r="HS30" s="130"/>
      <c r="HT30" s="130"/>
      <c r="HU30" s="130"/>
      <c r="HV30" s="130"/>
      <c r="HW30" s="130"/>
      <c r="HX30" s="130"/>
      <c r="HY30" s="130"/>
      <c r="HZ30" s="130"/>
      <c r="IA30" s="130"/>
      <c r="IB30" s="130"/>
      <c r="IC30" s="130"/>
      <c r="ID30" s="130"/>
      <c r="IE30" s="130"/>
      <c r="IF30" s="130"/>
      <c r="IG30" s="130"/>
      <c r="IH30" s="130"/>
      <c r="II30" s="130"/>
      <c r="IJ30" s="130"/>
      <c r="IK30" s="130"/>
      <c r="IL30" s="130"/>
      <c r="IM30" s="130"/>
      <c r="IN30" s="130"/>
      <c r="IO30" s="130"/>
      <c r="IP30" s="130"/>
      <c r="IQ30" s="130"/>
      <c r="IR30" s="130"/>
      <c r="IS30" s="130"/>
      <c r="IT30" s="130"/>
      <c r="IU30" s="130"/>
      <c r="IV30" s="130"/>
      <c r="IW30" s="130"/>
    </row>
    <row r="31" customFormat="false" ht="13.5" hidden="false" customHeight="false" outlineLevel="0" collapsed="false">
      <c r="A31" s="1229"/>
      <c r="B31" s="1259"/>
      <c r="C31" s="1259"/>
      <c r="D31" s="59"/>
      <c r="E31" s="59"/>
      <c r="F31" s="59"/>
      <c r="G31" s="59"/>
      <c r="H31" s="59"/>
      <c r="I31" s="59"/>
      <c r="J31" s="59"/>
      <c r="K31" s="59"/>
      <c r="L31" s="59"/>
      <c r="M31" s="59"/>
      <c r="N31" s="59"/>
      <c r="O31" s="59"/>
      <c r="P31" s="59"/>
      <c r="Q31" s="59"/>
      <c r="R31" s="59"/>
      <c r="S31" s="59"/>
      <c r="T31" s="59"/>
      <c r="U31" s="59"/>
      <c r="V31" s="59"/>
      <c r="W31" s="59"/>
      <c r="X31" s="59"/>
      <c r="Y31" s="59"/>
      <c r="Z31" s="59"/>
      <c r="AA31" s="59"/>
      <c r="AB31" s="59"/>
      <c r="AC31" s="59"/>
      <c r="AD31" s="59"/>
      <c r="AE31" s="59"/>
      <c r="AF31" s="59"/>
      <c r="AG31" s="59"/>
      <c r="AH31" s="59"/>
      <c r="AI31" s="1246"/>
      <c r="AJ31" s="1246"/>
      <c r="AK31" s="1246"/>
      <c r="AL31" s="1246"/>
      <c r="AM31" s="1246"/>
      <c r="AN31" s="1246"/>
      <c r="AO31" s="1246"/>
      <c r="AP31" s="1246"/>
      <c r="AQ31" s="1246"/>
      <c r="AR31" s="1246"/>
      <c r="AS31" s="1246"/>
      <c r="AT31" s="1246"/>
      <c r="AU31" s="1246"/>
      <c r="AV31" s="1246"/>
      <c r="AW31" s="1246"/>
      <c r="AX31" s="1246"/>
      <c r="AY31" s="1246"/>
      <c r="AZ31" s="1246"/>
      <c r="BA31" s="1246"/>
      <c r="BB31" s="1246"/>
      <c r="BC31" s="1246"/>
      <c r="BD31" s="1246"/>
      <c r="BE31" s="1246"/>
      <c r="BF31" s="1246"/>
      <c r="BG31" s="1246"/>
      <c r="BH31" s="1246"/>
      <c r="BI31" s="1246"/>
      <c r="BJ31" s="1246"/>
      <c r="BK31" s="1246"/>
      <c r="BL31" s="1246"/>
      <c r="BM31" s="1246"/>
      <c r="BN31" s="1246"/>
      <c r="BO31" s="1246"/>
      <c r="BP31" s="1246"/>
      <c r="BQ31" s="1246"/>
      <c r="BR31" s="1246"/>
      <c r="BS31" s="1246"/>
      <c r="BT31" s="1246"/>
      <c r="BU31" s="1246"/>
      <c r="BV31" s="1246"/>
      <c r="BW31" s="1246"/>
      <c r="BX31" s="1246"/>
      <c r="BY31" s="1246"/>
      <c r="BZ31" s="1246"/>
      <c r="CA31" s="1246"/>
      <c r="CB31" s="1246"/>
      <c r="CC31" s="1246"/>
      <c r="CD31" s="1246"/>
      <c r="CE31" s="1246"/>
      <c r="CF31" s="1246"/>
      <c r="CG31" s="1246"/>
      <c r="CH31" s="1246"/>
      <c r="CI31" s="1246"/>
      <c r="CJ31" s="1246"/>
      <c r="CK31" s="1246"/>
      <c r="CL31" s="1246"/>
      <c r="CM31" s="1246"/>
      <c r="CN31" s="1246"/>
      <c r="CO31" s="1246"/>
      <c r="CP31" s="1246"/>
      <c r="CQ31" s="1246"/>
      <c r="CR31" s="1246"/>
      <c r="CS31" s="1246"/>
      <c r="CT31" s="1246"/>
      <c r="CU31" s="1246"/>
      <c r="CV31" s="1246"/>
      <c r="CW31" s="1246"/>
      <c r="CX31" s="1246"/>
      <c r="CY31" s="1246"/>
      <c r="CZ31" s="1246"/>
      <c r="DA31" s="1246"/>
      <c r="DB31" s="1246"/>
      <c r="DC31" s="1246"/>
      <c r="DD31" s="1246"/>
      <c r="DE31" s="1246"/>
      <c r="DF31" s="1246"/>
      <c r="DG31" s="1246"/>
      <c r="DH31" s="1246"/>
      <c r="DI31" s="1246"/>
      <c r="DJ31" s="1246"/>
      <c r="DK31" s="1246"/>
      <c r="DL31" s="1246"/>
      <c r="DM31" s="1246"/>
      <c r="DN31" s="1246"/>
      <c r="DO31" s="1246"/>
      <c r="DP31" s="1246"/>
      <c r="DQ31" s="1246"/>
      <c r="DR31" s="1246"/>
      <c r="DS31" s="1246"/>
      <c r="DT31" s="1246"/>
      <c r="DU31" s="1246"/>
      <c r="DV31" s="1246"/>
      <c r="DW31" s="1246"/>
      <c r="DX31" s="1246"/>
      <c r="DY31" s="1246"/>
      <c r="DZ31" s="1246"/>
      <c r="EA31" s="1246"/>
      <c r="EB31" s="1246"/>
      <c r="EC31" s="1246"/>
      <c r="ED31" s="1246"/>
      <c r="EE31" s="1246"/>
      <c r="EF31" s="1246"/>
      <c r="EG31" s="1246"/>
      <c r="EH31" s="1246"/>
      <c r="EI31" s="1246"/>
      <c r="EJ31" s="1246"/>
      <c r="EK31" s="1246"/>
      <c r="EL31" s="1246"/>
      <c r="EM31" s="1246"/>
      <c r="EN31" s="1246"/>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c r="HH31" s="21"/>
      <c r="HI31" s="21"/>
      <c r="HJ31" s="21"/>
      <c r="HK31" s="21"/>
      <c r="HL31" s="21"/>
      <c r="HM31" s="21"/>
      <c r="HN31" s="21"/>
      <c r="HO31" s="21"/>
      <c r="HP31" s="21"/>
      <c r="HQ31" s="21"/>
      <c r="HR31" s="21"/>
      <c r="HS31" s="21"/>
      <c r="HT31" s="21"/>
      <c r="HU31" s="21"/>
      <c r="HV31" s="21"/>
      <c r="HW31" s="21"/>
      <c r="HX31" s="21"/>
      <c r="HY31" s="21"/>
      <c r="HZ31" s="21"/>
      <c r="IA31" s="21"/>
      <c r="IB31" s="21"/>
      <c r="IC31" s="21"/>
      <c r="ID31" s="21"/>
      <c r="IE31" s="21"/>
      <c r="IF31" s="21"/>
      <c r="IG31" s="21"/>
      <c r="IH31" s="21"/>
      <c r="II31" s="21"/>
      <c r="IJ31" s="21"/>
      <c r="IK31" s="21"/>
      <c r="IL31" s="21"/>
      <c r="IM31" s="21"/>
      <c r="IN31" s="21"/>
      <c r="IO31" s="21"/>
      <c r="IP31" s="21"/>
      <c r="IQ31" s="21"/>
      <c r="IR31" s="21"/>
      <c r="IS31" s="21"/>
      <c r="IT31" s="21"/>
      <c r="IU31" s="21"/>
      <c r="IV31" s="21"/>
      <c r="IW31" s="21"/>
    </row>
    <row r="32" customFormat="false" ht="12.75" hidden="false" customHeight="false" outlineLevel="0" collapsed="false">
      <c r="A32" s="1229"/>
      <c r="B32" s="1178" t="s">
        <v>772</v>
      </c>
      <c r="C32" s="1161"/>
      <c r="D32" s="1179" t="s">
        <v>426</v>
      </c>
      <c r="E32" s="1179"/>
      <c r="F32" s="1260"/>
      <c r="G32" s="21"/>
      <c r="H32" s="1261"/>
      <c r="I32" s="1246"/>
      <c r="J32" s="1261"/>
      <c r="K32" s="1261"/>
      <c r="L32" s="1261"/>
      <c r="M32" s="1261"/>
      <c r="N32" s="1261"/>
      <c r="O32" s="1246"/>
      <c r="P32" s="1246"/>
      <c r="Q32" s="1246"/>
      <c r="R32" s="1246"/>
      <c r="S32" s="1246"/>
      <c r="T32" s="1246"/>
      <c r="U32" s="1246"/>
      <c r="V32" s="1246"/>
      <c r="W32" s="1246"/>
      <c r="X32" s="1246"/>
      <c r="Y32" s="1246"/>
      <c r="Z32" s="1246"/>
      <c r="AA32" s="1246"/>
      <c r="AB32" s="1246"/>
      <c r="AC32" s="1246"/>
      <c r="AD32" s="1246"/>
      <c r="AE32" s="1246"/>
      <c r="AF32" s="1246"/>
      <c r="AG32" s="1246"/>
      <c r="AH32" s="1246"/>
      <c r="AI32" s="1246"/>
      <c r="AJ32" s="1246"/>
      <c r="AK32" s="1246"/>
      <c r="AL32" s="1246"/>
      <c r="AM32" s="1246"/>
      <c r="AN32" s="1246"/>
      <c r="AO32" s="1246"/>
      <c r="AP32" s="1246"/>
      <c r="AQ32" s="1246"/>
      <c r="AR32" s="1246"/>
      <c r="AS32" s="1246"/>
      <c r="AT32" s="1246"/>
      <c r="AU32" s="1246"/>
      <c r="AV32" s="1246"/>
      <c r="AW32" s="1246"/>
      <c r="AX32" s="1246"/>
      <c r="AY32" s="1246"/>
      <c r="AZ32" s="1246"/>
      <c r="BA32" s="1246"/>
      <c r="BB32" s="1246"/>
      <c r="BC32" s="1246"/>
      <c r="BD32" s="1246"/>
      <c r="BE32" s="1246"/>
      <c r="BF32" s="1246"/>
      <c r="BG32" s="1246"/>
      <c r="BH32" s="1246"/>
      <c r="BI32" s="1246"/>
      <c r="BJ32" s="1246"/>
      <c r="BK32" s="1246"/>
      <c r="BL32" s="1246"/>
      <c r="BM32" s="1246"/>
      <c r="BN32" s="1246"/>
      <c r="BO32" s="1246"/>
      <c r="BP32" s="1246"/>
      <c r="BQ32" s="1246"/>
      <c r="BR32" s="1246"/>
      <c r="BS32" s="1246"/>
      <c r="BT32" s="1246"/>
      <c r="BU32" s="1246"/>
      <c r="BV32" s="1246"/>
      <c r="BW32" s="1246"/>
      <c r="BX32" s="1246"/>
      <c r="BY32" s="1246"/>
      <c r="BZ32" s="1246"/>
      <c r="CA32" s="1246"/>
      <c r="CB32" s="1246"/>
      <c r="CC32" s="1246"/>
      <c r="CD32" s="1246"/>
      <c r="CE32" s="1246"/>
      <c r="CF32" s="1246"/>
      <c r="CG32" s="1246"/>
      <c r="CH32" s="1246"/>
      <c r="CI32" s="1246"/>
      <c r="CJ32" s="1246"/>
      <c r="CK32" s="1246"/>
      <c r="CL32" s="1246"/>
      <c r="CM32" s="1246"/>
      <c r="CN32" s="1246"/>
      <c r="CO32" s="1246"/>
      <c r="CP32" s="1246"/>
      <c r="CQ32" s="1246"/>
      <c r="CR32" s="1246"/>
      <c r="CS32" s="1246"/>
      <c r="CT32" s="1246"/>
      <c r="CU32" s="1246"/>
      <c r="CV32" s="1246"/>
      <c r="CW32" s="1246"/>
      <c r="CX32" s="1246"/>
      <c r="CY32" s="1246"/>
      <c r="CZ32" s="1246"/>
      <c r="DA32" s="1246"/>
      <c r="DB32" s="1246"/>
      <c r="DC32" s="1246"/>
      <c r="DD32" s="1246"/>
      <c r="DE32" s="1246"/>
      <c r="DF32" s="1246"/>
      <c r="DG32" s="1246"/>
      <c r="DH32" s="1246"/>
      <c r="DI32" s="1246"/>
      <c r="DJ32" s="1246"/>
      <c r="DK32" s="1246"/>
      <c r="DL32" s="1246"/>
      <c r="DM32" s="1246"/>
      <c r="DN32" s="1246"/>
      <c r="DO32" s="1246"/>
      <c r="DP32" s="1246"/>
      <c r="DQ32" s="1246"/>
      <c r="DR32" s="1246"/>
      <c r="DS32" s="1246"/>
      <c r="DT32" s="1246"/>
      <c r="DU32" s="1246"/>
      <c r="DV32" s="1246"/>
      <c r="DW32" s="1246"/>
      <c r="DX32" s="1246"/>
      <c r="DY32" s="1246"/>
      <c r="DZ32" s="1246"/>
      <c r="EA32" s="1246"/>
      <c r="EB32" s="1246"/>
      <c r="EC32" s="1246"/>
      <c r="ED32" s="1246"/>
      <c r="EE32" s="1246"/>
      <c r="EF32" s="1246"/>
      <c r="EG32" s="1246"/>
      <c r="EH32" s="1246"/>
      <c r="EI32" s="1246"/>
      <c r="EJ32" s="1246"/>
      <c r="EK32" s="1246"/>
      <c r="EL32" s="1246"/>
      <c r="EM32" s="1246"/>
      <c r="EN32" s="1246"/>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21"/>
      <c r="GM32" s="21"/>
      <c r="GN32" s="21"/>
      <c r="GO32" s="21"/>
      <c r="GP32" s="21"/>
      <c r="GQ32" s="21"/>
      <c r="GR32" s="21"/>
      <c r="GS32" s="21"/>
      <c r="GT32" s="21"/>
      <c r="GU32" s="21"/>
      <c r="GV32" s="21"/>
      <c r="GW32" s="21"/>
      <c r="GX32" s="21"/>
      <c r="GY32" s="21"/>
      <c r="GZ32" s="21"/>
      <c r="HA32" s="21"/>
      <c r="HB32" s="21"/>
      <c r="HC32" s="21"/>
      <c r="HD32" s="21"/>
      <c r="HE32" s="21"/>
      <c r="HF32" s="21"/>
      <c r="HG32" s="21"/>
      <c r="HH32" s="21"/>
      <c r="HI32" s="21"/>
      <c r="HJ32" s="21"/>
      <c r="HK32" s="21"/>
      <c r="HL32" s="21"/>
      <c r="HM32" s="21"/>
      <c r="HN32" s="21"/>
      <c r="HO32" s="21"/>
      <c r="HP32" s="21"/>
      <c r="HQ32" s="21"/>
      <c r="HR32" s="21"/>
      <c r="HS32" s="21"/>
      <c r="HT32" s="21"/>
      <c r="HU32" s="21"/>
      <c r="HV32" s="21"/>
      <c r="HW32" s="21"/>
      <c r="HX32" s="21"/>
      <c r="HY32" s="21"/>
      <c r="HZ32" s="21"/>
      <c r="IA32" s="21"/>
      <c r="IB32" s="21"/>
      <c r="IC32" s="21"/>
      <c r="ID32" s="21"/>
      <c r="IE32" s="21"/>
      <c r="IF32" s="21"/>
      <c r="IG32" s="21"/>
      <c r="IH32" s="21"/>
      <c r="II32" s="21"/>
      <c r="IJ32" s="21"/>
      <c r="IK32" s="21"/>
      <c r="IL32" s="21"/>
      <c r="IM32" s="21"/>
      <c r="IN32" s="21"/>
      <c r="IO32" s="21"/>
      <c r="IP32" s="21"/>
      <c r="IQ32" s="21"/>
      <c r="IR32" s="21"/>
      <c r="IS32" s="21"/>
      <c r="IT32" s="21"/>
      <c r="IU32" s="21"/>
      <c r="IV32" s="21"/>
      <c r="IW32" s="21"/>
    </row>
    <row r="33" customFormat="false" ht="12.75" hidden="false" customHeight="false" outlineLevel="0" collapsed="false">
      <c r="A33" s="1229"/>
      <c r="B33" s="1180"/>
      <c r="C33" s="108"/>
      <c r="D33" s="215" t="s">
        <v>773</v>
      </c>
      <c r="E33" s="215" t="s">
        <v>774</v>
      </c>
      <c r="F33" s="1262"/>
      <c r="G33" s="21"/>
      <c r="H33" s="1261"/>
      <c r="I33" s="1246"/>
      <c r="J33" s="1261"/>
      <c r="K33" s="1261"/>
      <c r="L33" s="1261"/>
      <c r="M33" s="1261"/>
      <c r="N33" s="1261"/>
      <c r="O33" s="1246"/>
      <c r="P33" s="1246"/>
      <c r="Q33" s="1246"/>
      <c r="R33" s="1246"/>
      <c r="S33" s="1246"/>
      <c r="T33" s="1246"/>
      <c r="U33" s="1246"/>
      <c r="V33" s="1246"/>
      <c r="W33" s="1246"/>
      <c r="X33" s="1246"/>
      <c r="Y33" s="1246"/>
      <c r="Z33" s="1246"/>
      <c r="AA33" s="1246"/>
      <c r="AB33" s="1246"/>
      <c r="AC33" s="1246"/>
      <c r="AD33" s="1246"/>
      <c r="AE33" s="1246"/>
      <c r="AF33" s="1246"/>
      <c r="AG33" s="1246"/>
      <c r="AH33" s="1246"/>
      <c r="AI33" s="1246"/>
      <c r="AJ33" s="1246"/>
      <c r="AK33" s="1246"/>
      <c r="AL33" s="1246"/>
      <c r="AM33" s="1246"/>
      <c r="AN33" s="1246"/>
      <c r="AO33" s="1246"/>
      <c r="AP33" s="1246"/>
      <c r="AQ33" s="1246"/>
      <c r="AR33" s="1246"/>
      <c r="AS33" s="1246"/>
      <c r="AT33" s="1246"/>
      <c r="AU33" s="1246"/>
      <c r="AV33" s="1246"/>
      <c r="AW33" s="1246"/>
      <c r="AX33" s="1246"/>
      <c r="AY33" s="1246"/>
      <c r="AZ33" s="1246"/>
      <c r="BA33" s="1246"/>
      <c r="BB33" s="1246"/>
      <c r="BC33" s="1246"/>
      <c r="BD33" s="1246"/>
      <c r="BE33" s="1246"/>
      <c r="BF33" s="1246"/>
      <c r="BG33" s="1246"/>
      <c r="BH33" s="1246"/>
      <c r="BI33" s="1246"/>
      <c r="BJ33" s="1246"/>
      <c r="BK33" s="1246"/>
      <c r="BL33" s="1246"/>
      <c r="BM33" s="1246"/>
      <c r="BN33" s="1246"/>
      <c r="BO33" s="1246"/>
      <c r="BP33" s="1246"/>
      <c r="BQ33" s="1246"/>
      <c r="BR33" s="1246"/>
      <c r="BS33" s="1246"/>
      <c r="BT33" s="1246"/>
      <c r="BU33" s="1246"/>
      <c r="BV33" s="1246"/>
      <c r="BW33" s="1246"/>
      <c r="BX33" s="1246"/>
      <c r="BY33" s="1246"/>
      <c r="BZ33" s="1246"/>
      <c r="CA33" s="1246"/>
      <c r="CB33" s="1246"/>
      <c r="CC33" s="1246"/>
      <c r="CD33" s="1246"/>
      <c r="CE33" s="1246"/>
      <c r="CF33" s="1246"/>
      <c r="CG33" s="1246"/>
      <c r="CH33" s="1246"/>
      <c r="CI33" s="1246"/>
      <c r="CJ33" s="1246"/>
      <c r="CK33" s="1246"/>
      <c r="CL33" s="1246"/>
      <c r="CM33" s="1246"/>
      <c r="CN33" s="1246"/>
      <c r="CO33" s="1246"/>
      <c r="CP33" s="1246"/>
      <c r="CQ33" s="1246"/>
      <c r="CR33" s="1246"/>
      <c r="CS33" s="1246"/>
      <c r="CT33" s="1246"/>
      <c r="CU33" s="1246"/>
      <c r="CV33" s="1246"/>
      <c r="CW33" s="1246"/>
      <c r="CX33" s="1246"/>
      <c r="CY33" s="1246"/>
      <c r="CZ33" s="1246"/>
      <c r="DA33" s="1246"/>
      <c r="DB33" s="1246"/>
      <c r="DC33" s="1246"/>
      <c r="DD33" s="1246"/>
      <c r="DE33" s="1246"/>
      <c r="DF33" s="1246"/>
      <c r="DG33" s="1246"/>
      <c r="DH33" s="1246"/>
      <c r="DI33" s="1246"/>
      <c r="DJ33" s="1246"/>
      <c r="DK33" s="1246"/>
      <c r="DL33" s="1246"/>
      <c r="DM33" s="1246"/>
      <c r="DN33" s="1246"/>
      <c r="DO33" s="1246"/>
      <c r="DP33" s="1246"/>
      <c r="DQ33" s="1246"/>
      <c r="DR33" s="1246"/>
      <c r="DS33" s="1246"/>
      <c r="DT33" s="1246"/>
      <c r="DU33" s="1246"/>
      <c r="DV33" s="1246"/>
      <c r="DW33" s="1246"/>
      <c r="DX33" s="1246"/>
      <c r="DY33" s="1246"/>
      <c r="DZ33" s="1246"/>
      <c r="EA33" s="1246"/>
      <c r="EB33" s="1246"/>
      <c r="EC33" s="1246"/>
      <c r="ED33" s="1246"/>
      <c r="EE33" s="1246"/>
      <c r="EF33" s="1246"/>
      <c r="EG33" s="1246"/>
      <c r="EH33" s="1246"/>
      <c r="EI33" s="1246"/>
      <c r="EJ33" s="1246"/>
      <c r="EK33" s="1246"/>
      <c r="EL33" s="1246"/>
      <c r="EM33" s="1246"/>
      <c r="EN33" s="1246"/>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c r="FX33" s="21"/>
      <c r="FY33" s="21"/>
      <c r="FZ33" s="21"/>
      <c r="GA33" s="21"/>
      <c r="GB33" s="21"/>
      <c r="GC33" s="21"/>
      <c r="GD33" s="21"/>
      <c r="GE33" s="21"/>
      <c r="GF33" s="21"/>
      <c r="GG33" s="21"/>
      <c r="GH33" s="21"/>
      <c r="GI33" s="21"/>
      <c r="GJ33" s="21"/>
      <c r="GK33" s="21"/>
      <c r="GL33" s="21"/>
      <c r="GM33" s="21"/>
      <c r="GN33" s="21"/>
      <c r="GO33" s="21"/>
      <c r="GP33" s="21"/>
      <c r="GQ33" s="21"/>
      <c r="GR33" s="21"/>
      <c r="GS33" s="21"/>
      <c r="GT33" s="21"/>
      <c r="GU33" s="21"/>
      <c r="GV33" s="21"/>
      <c r="GW33" s="21"/>
      <c r="GX33" s="21"/>
      <c r="GY33" s="21"/>
      <c r="GZ33" s="21"/>
      <c r="HA33" s="21"/>
      <c r="HB33" s="21"/>
      <c r="HC33" s="21"/>
      <c r="HD33" s="21"/>
      <c r="HE33" s="21"/>
      <c r="HF33" s="21"/>
      <c r="HG33" s="21"/>
      <c r="HH33" s="21"/>
      <c r="HI33" s="21"/>
      <c r="HJ33" s="21"/>
      <c r="HK33" s="21"/>
      <c r="HL33" s="21"/>
      <c r="HM33" s="21"/>
      <c r="HN33" s="21"/>
      <c r="HO33" s="21"/>
      <c r="HP33" s="21"/>
      <c r="HQ33" s="21"/>
      <c r="HR33" s="21"/>
      <c r="HS33" s="21"/>
      <c r="HT33" s="21"/>
      <c r="HU33" s="21"/>
      <c r="HV33" s="21"/>
      <c r="HW33" s="21"/>
      <c r="HX33" s="21"/>
      <c r="HY33" s="21"/>
      <c r="HZ33" s="21"/>
      <c r="IA33" s="21"/>
      <c r="IB33" s="21"/>
      <c r="IC33" s="21"/>
      <c r="ID33" s="21"/>
      <c r="IE33" s="21"/>
      <c r="IF33" s="21"/>
      <c r="IG33" s="21"/>
      <c r="IH33" s="21"/>
      <c r="II33" s="21"/>
      <c r="IJ33" s="21"/>
      <c r="IK33" s="21"/>
      <c r="IL33" s="21"/>
      <c r="IM33" s="21"/>
      <c r="IN33" s="21"/>
      <c r="IO33" s="21"/>
      <c r="IP33" s="21"/>
      <c r="IQ33" s="21"/>
      <c r="IR33" s="21"/>
      <c r="IS33" s="21"/>
      <c r="IT33" s="21"/>
      <c r="IU33" s="21"/>
      <c r="IV33" s="21"/>
      <c r="IW33" s="21"/>
    </row>
    <row r="34" customFormat="false" ht="12.75" hidden="false" customHeight="false" outlineLevel="0" collapsed="false">
      <c r="A34" s="1229"/>
      <c r="B34" s="1182"/>
      <c r="C34" s="221"/>
      <c r="D34" s="1263"/>
      <c r="E34" s="1264" t="n">
        <f aca="false">Assum!E326</f>
        <v>0.13</v>
      </c>
      <c r="F34" s="1262"/>
      <c r="G34" s="21"/>
      <c r="H34" s="1261"/>
      <c r="I34" s="1246"/>
      <c r="J34" s="1261"/>
      <c r="K34" s="1261"/>
      <c r="L34" s="1261"/>
      <c r="M34" s="1261"/>
      <c r="N34" s="1261"/>
      <c r="O34" s="1246"/>
      <c r="P34" s="1246"/>
      <c r="Q34" s="1246"/>
      <c r="R34" s="1246"/>
      <c r="S34" s="1246"/>
      <c r="T34" s="1246"/>
      <c r="U34" s="1246"/>
      <c r="V34" s="1246"/>
      <c r="W34" s="1246"/>
      <c r="X34" s="1246"/>
      <c r="Y34" s="1246"/>
      <c r="Z34" s="1246"/>
      <c r="AA34" s="1246"/>
      <c r="AB34" s="1246"/>
      <c r="AC34" s="1246"/>
      <c r="AD34" s="1246"/>
      <c r="AE34" s="1246"/>
      <c r="AF34" s="1246"/>
      <c r="AG34" s="1246"/>
      <c r="AH34" s="1246"/>
      <c r="AI34" s="1246"/>
      <c r="AJ34" s="1246"/>
      <c r="AK34" s="1246"/>
      <c r="AL34" s="1246"/>
      <c r="AM34" s="1246"/>
      <c r="AN34" s="1246"/>
      <c r="AO34" s="1246"/>
      <c r="AP34" s="1246"/>
      <c r="AQ34" s="1246"/>
      <c r="AR34" s="1246"/>
      <c r="AS34" s="1246"/>
      <c r="AT34" s="1246"/>
      <c r="AU34" s="1246"/>
      <c r="AV34" s="1246"/>
      <c r="AW34" s="1246"/>
      <c r="AX34" s="1246"/>
      <c r="AY34" s="1246"/>
      <c r="AZ34" s="1246"/>
      <c r="BA34" s="1246"/>
      <c r="BB34" s="1246"/>
      <c r="BC34" s="1246"/>
      <c r="BD34" s="1246"/>
      <c r="BE34" s="1246"/>
      <c r="BF34" s="1246"/>
      <c r="BG34" s="1246"/>
      <c r="BH34" s="1246"/>
      <c r="BI34" s="1246"/>
      <c r="BJ34" s="1246"/>
      <c r="BK34" s="1246"/>
      <c r="BL34" s="1246"/>
      <c r="BM34" s="1246"/>
      <c r="BN34" s="1246"/>
      <c r="BO34" s="1246"/>
      <c r="BP34" s="1246"/>
      <c r="BQ34" s="1246"/>
      <c r="BR34" s="1246"/>
      <c r="BS34" s="1246"/>
      <c r="BT34" s="1246"/>
      <c r="BU34" s="1246"/>
      <c r="BV34" s="1246"/>
      <c r="BW34" s="1246"/>
      <c r="BX34" s="1246"/>
      <c r="BY34" s="1246"/>
      <c r="BZ34" s="1246"/>
      <c r="CA34" s="1246"/>
      <c r="CB34" s="1246"/>
      <c r="CC34" s="1246"/>
      <c r="CD34" s="1246"/>
      <c r="CE34" s="1246"/>
      <c r="CF34" s="1246"/>
      <c r="CG34" s="1246"/>
      <c r="CH34" s="1246"/>
      <c r="CI34" s="1246"/>
      <c r="CJ34" s="1246"/>
      <c r="CK34" s="1246"/>
      <c r="CL34" s="1246"/>
      <c r="CM34" s="1246"/>
      <c r="CN34" s="1246"/>
      <c r="CO34" s="1246"/>
      <c r="CP34" s="1246"/>
      <c r="CQ34" s="1246"/>
      <c r="CR34" s="1246"/>
      <c r="CS34" s="1246"/>
      <c r="CT34" s="1246"/>
      <c r="CU34" s="1246"/>
      <c r="CV34" s="1246"/>
      <c r="CW34" s="1246"/>
      <c r="CX34" s="1246"/>
      <c r="CY34" s="1246"/>
      <c r="CZ34" s="1246"/>
      <c r="DA34" s="1246"/>
      <c r="DB34" s="1246"/>
      <c r="DC34" s="1246"/>
      <c r="DD34" s="1246"/>
      <c r="DE34" s="1246"/>
      <c r="DF34" s="1246"/>
      <c r="DG34" s="1246"/>
      <c r="DH34" s="1246"/>
      <c r="DI34" s="1246"/>
      <c r="DJ34" s="1246"/>
      <c r="DK34" s="1246"/>
      <c r="DL34" s="1246"/>
      <c r="DM34" s="1246"/>
      <c r="DN34" s="1246"/>
      <c r="DO34" s="1246"/>
      <c r="DP34" s="1246"/>
      <c r="DQ34" s="1246"/>
      <c r="DR34" s="1246"/>
      <c r="DS34" s="1246"/>
      <c r="DT34" s="1246"/>
      <c r="DU34" s="1246"/>
      <c r="DV34" s="1246"/>
      <c r="DW34" s="1246"/>
      <c r="DX34" s="1246"/>
      <c r="DY34" s="1246"/>
      <c r="DZ34" s="1246"/>
      <c r="EA34" s="1246"/>
      <c r="EB34" s="1246"/>
      <c r="EC34" s="1246"/>
      <c r="ED34" s="1246"/>
      <c r="EE34" s="1246"/>
      <c r="EF34" s="1246"/>
      <c r="EG34" s="1246"/>
      <c r="EH34" s="1246"/>
      <c r="EI34" s="1246"/>
      <c r="EJ34" s="1246"/>
      <c r="EK34" s="1246"/>
      <c r="EL34" s="1246"/>
      <c r="EM34" s="1246"/>
      <c r="EN34" s="1246"/>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c r="FZ34" s="21"/>
      <c r="GA34" s="21"/>
      <c r="GB34" s="21"/>
      <c r="GC34" s="21"/>
      <c r="GD34" s="21"/>
      <c r="GE34" s="21"/>
      <c r="GF34" s="21"/>
      <c r="GG34" s="21"/>
      <c r="GH34" s="21"/>
      <c r="GI34" s="21"/>
      <c r="GJ34" s="21"/>
      <c r="GK34" s="21"/>
      <c r="GL34" s="21"/>
      <c r="GM34" s="21"/>
      <c r="GN34" s="21"/>
      <c r="GO34" s="21"/>
      <c r="GP34" s="21"/>
      <c r="GQ34" s="21"/>
      <c r="GR34" s="21"/>
      <c r="GS34" s="21"/>
      <c r="GT34" s="21"/>
      <c r="GU34" s="21"/>
      <c r="GV34" s="21"/>
      <c r="GW34" s="21"/>
      <c r="GX34" s="21"/>
      <c r="GY34" s="21"/>
      <c r="GZ34" s="21"/>
      <c r="HA34" s="21"/>
      <c r="HB34" s="21"/>
      <c r="HC34" s="21"/>
      <c r="HD34" s="21"/>
      <c r="HE34" s="21"/>
      <c r="HF34" s="21"/>
      <c r="HG34" s="21"/>
      <c r="HH34" s="21"/>
      <c r="HI34" s="21"/>
      <c r="HJ34" s="21"/>
      <c r="HK34" s="21"/>
      <c r="HL34" s="21"/>
      <c r="HM34" s="21"/>
      <c r="HN34" s="21"/>
      <c r="HO34" s="21"/>
      <c r="HP34" s="21"/>
      <c r="HQ34" s="21"/>
      <c r="HR34" s="21"/>
      <c r="HS34" s="21"/>
      <c r="HT34" s="21"/>
      <c r="HU34" s="21"/>
      <c r="HV34" s="21"/>
      <c r="HW34" s="21"/>
      <c r="HX34" s="21"/>
      <c r="HY34" s="21"/>
      <c r="HZ34" s="21"/>
      <c r="IA34" s="21"/>
      <c r="IB34" s="21"/>
      <c r="IC34" s="21"/>
      <c r="ID34" s="21"/>
      <c r="IE34" s="21"/>
      <c r="IF34" s="21"/>
      <c r="IG34" s="21"/>
      <c r="IH34" s="21"/>
      <c r="II34" s="21"/>
      <c r="IJ34" s="21"/>
      <c r="IK34" s="21"/>
      <c r="IL34" s="21"/>
      <c r="IM34" s="21"/>
      <c r="IN34" s="21"/>
      <c r="IO34" s="21"/>
      <c r="IP34" s="21"/>
      <c r="IQ34" s="21"/>
      <c r="IR34" s="21"/>
      <c r="IS34" s="21"/>
      <c r="IT34" s="21"/>
      <c r="IU34" s="21"/>
      <c r="IV34" s="21"/>
      <c r="IW34" s="21"/>
    </row>
    <row r="35" customFormat="false" ht="12.75" hidden="false" customHeight="false" outlineLevel="0" collapsed="false">
      <c r="A35" s="1229"/>
      <c r="B35" s="214"/>
      <c r="C35" s="1186" t="s">
        <v>775</v>
      </c>
      <c r="D35" s="261" t="n">
        <f aca="false">IRR(D28:N28,0.05)</f>
        <v>0.114701162515339</v>
      </c>
      <c r="E35" s="59" t="n">
        <f aca="false">NPV(E34,D28:N28)</f>
        <v>-11.8002113797952</v>
      </c>
      <c r="F35" s="1262"/>
      <c r="G35" s="106"/>
      <c r="H35" s="1261"/>
      <c r="I35" s="1246"/>
      <c r="J35" s="1261"/>
      <c r="K35" s="1261"/>
      <c r="L35" s="1265"/>
      <c r="M35" s="1261"/>
      <c r="N35" s="1261"/>
      <c r="O35" s="1246"/>
      <c r="P35" s="1246"/>
      <c r="Q35" s="1246"/>
      <c r="R35" s="1246"/>
      <c r="S35" s="1246"/>
      <c r="T35" s="1246"/>
      <c r="U35" s="1246"/>
      <c r="V35" s="1246"/>
      <c r="W35" s="1246"/>
      <c r="X35" s="1246"/>
      <c r="Y35" s="1246"/>
      <c r="Z35" s="1246"/>
      <c r="AA35" s="1246"/>
      <c r="AB35" s="1246"/>
      <c r="AC35" s="1246"/>
      <c r="AD35" s="1246"/>
      <c r="AE35" s="1246"/>
      <c r="AF35" s="1246"/>
      <c r="AG35" s="1246"/>
      <c r="AH35" s="1246"/>
      <c r="AI35" s="1246"/>
      <c r="AJ35" s="1246"/>
      <c r="AK35" s="1246"/>
      <c r="AL35" s="1246"/>
      <c r="AM35" s="1246"/>
      <c r="AN35" s="1246"/>
      <c r="AO35" s="1246"/>
      <c r="AP35" s="1246"/>
      <c r="AQ35" s="1246"/>
      <c r="AR35" s="1246"/>
      <c r="AS35" s="1246"/>
      <c r="AT35" s="1246"/>
      <c r="AU35" s="1246"/>
      <c r="AV35" s="1246"/>
      <c r="AW35" s="1246"/>
      <c r="AX35" s="1246"/>
      <c r="AY35" s="1246"/>
      <c r="AZ35" s="1246"/>
      <c r="BA35" s="1246"/>
      <c r="BB35" s="1246"/>
      <c r="BC35" s="1246"/>
      <c r="BD35" s="1246"/>
      <c r="BE35" s="1246"/>
      <c r="BF35" s="1246"/>
      <c r="BG35" s="1246"/>
      <c r="BH35" s="1246"/>
      <c r="BI35" s="1246"/>
      <c r="BJ35" s="1246"/>
      <c r="BK35" s="1246"/>
      <c r="BL35" s="1246"/>
      <c r="BM35" s="1246"/>
      <c r="BN35" s="1246"/>
      <c r="BO35" s="1246"/>
      <c r="BP35" s="1246"/>
      <c r="BQ35" s="1246"/>
      <c r="BR35" s="1246"/>
      <c r="BS35" s="1246"/>
      <c r="BT35" s="1246"/>
      <c r="BU35" s="1246"/>
      <c r="BV35" s="1246"/>
      <c r="BW35" s="1246"/>
      <c r="BX35" s="1246"/>
      <c r="BY35" s="1246"/>
      <c r="BZ35" s="1246"/>
      <c r="CA35" s="1246"/>
      <c r="CB35" s="1246"/>
      <c r="CC35" s="1246"/>
      <c r="CD35" s="1246"/>
      <c r="CE35" s="1246"/>
      <c r="CF35" s="1246"/>
      <c r="CG35" s="1246"/>
      <c r="CH35" s="1246"/>
      <c r="CI35" s="1246"/>
      <c r="CJ35" s="1246"/>
      <c r="CK35" s="1246"/>
      <c r="CL35" s="1246"/>
      <c r="CM35" s="1246"/>
      <c r="CN35" s="1246"/>
      <c r="CO35" s="1246"/>
      <c r="CP35" s="1246"/>
      <c r="CQ35" s="1246"/>
      <c r="CR35" s="1246"/>
      <c r="CS35" s="1246"/>
      <c r="CT35" s="1246"/>
      <c r="CU35" s="1246"/>
      <c r="CV35" s="1246"/>
      <c r="CW35" s="1246"/>
      <c r="CX35" s="1246"/>
      <c r="CY35" s="1246"/>
      <c r="CZ35" s="1246"/>
      <c r="DA35" s="1246"/>
      <c r="DB35" s="1246"/>
      <c r="DC35" s="1246"/>
      <c r="DD35" s="1246"/>
      <c r="DE35" s="1246"/>
      <c r="DF35" s="1246"/>
      <c r="DG35" s="1246"/>
      <c r="DH35" s="1246"/>
      <c r="DI35" s="1246"/>
      <c r="DJ35" s="1246"/>
      <c r="DK35" s="1246"/>
      <c r="DL35" s="1246"/>
      <c r="DM35" s="1246"/>
      <c r="DN35" s="1246"/>
      <c r="DO35" s="1246"/>
      <c r="DP35" s="1246"/>
      <c r="DQ35" s="1246"/>
      <c r="DR35" s="1246"/>
      <c r="DS35" s="1246"/>
      <c r="DT35" s="1246"/>
      <c r="DU35" s="1246"/>
      <c r="DV35" s="1246"/>
      <c r="DW35" s="1246"/>
      <c r="DX35" s="1246"/>
      <c r="DY35" s="1246"/>
      <c r="DZ35" s="1246"/>
      <c r="EA35" s="1246"/>
      <c r="EB35" s="1246"/>
      <c r="EC35" s="1246"/>
      <c r="ED35" s="1246"/>
      <c r="EE35" s="1246"/>
      <c r="EF35" s="1246"/>
      <c r="EG35" s="1246"/>
      <c r="EH35" s="1246"/>
      <c r="EI35" s="1246"/>
      <c r="EJ35" s="1246"/>
      <c r="EK35" s="1246"/>
      <c r="EL35" s="1246"/>
      <c r="EM35" s="1246"/>
      <c r="EN35" s="1246"/>
      <c r="EO35" s="21"/>
      <c r="EP35" s="21"/>
      <c r="EQ35" s="21"/>
      <c r="ER35" s="21"/>
      <c r="ES35" s="21"/>
      <c r="ET35" s="21"/>
      <c r="EU35" s="21"/>
      <c r="EV35" s="21"/>
      <c r="EW35" s="21"/>
      <c r="EX35" s="21"/>
      <c r="EY35" s="21"/>
      <c r="EZ35" s="21"/>
      <c r="FA35" s="21"/>
      <c r="FB35" s="21"/>
      <c r="FC35" s="21"/>
      <c r="FD35" s="21"/>
      <c r="FE35" s="21"/>
      <c r="FF35" s="21"/>
      <c r="FG35" s="21"/>
      <c r="FH35" s="21"/>
      <c r="FI35" s="21"/>
      <c r="FJ35" s="21"/>
      <c r="FK35" s="21"/>
      <c r="FL35" s="21"/>
      <c r="FM35" s="21"/>
      <c r="FN35" s="21"/>
      <c r="FO35" s="21"/>
      <c r="FP35" s="21"/>
      <c r="FQ35" s="21"/>
      <c r="FR35" s="21"/>
      <c r="FS35" s="21"/>
      <c r="FT35" s="21"/>
      <c r="FU35" s="21"/>
      <c r="FV35" s="21"/>
      <c r="FW35" s="21"/>
      <c r="FX35" s="21"/>
      <c r="FY35" s="21"/>
      <c r="FZ35" s="21"/>
      <c r="GA35" s="21"/>
      <c r="GB35" s="21"/>
      <c r="GC35" s="21"/>
      <c r="GD35" s="21"/>
      <c r="GE35" s="21"/>
      <c r="GF35" s="21"/>
      <c r="GG35" s="21"/>
      <c r="GH35" s="21"/>
      <c r="GI35" s="21"/>
      <c r="GJ35" s="21"/>
      <c r="GK35" s="21"/>
      <c r="GL35" s="21"/>
      <c r="GM35" s="21"/>
      <c r="GN35" s="21"/>
      <c r="GO35" s="21"/>
      <c r="GP35" s="21"/>
      <c r="GQ35" s="21"/>
      <c r="GR35" s="21"/>
      <c r="GS35" s="21"/>
      <c r="GT35" s="21"/>
      <c r="GU35" s="21"/>
      <c r="GV35" s="21"/>
      <c r="GW35" s="21"/>
      <c r="GX35" s="21"/>
      <c r="GY35" s="21"/>
      <c r="GZ35" s="21"/>
      <c r="HA35" s="21"/>
      <c r="HB35" s="21"/>
      <c r="HC35" s="21"/>
      <c r="HD35" s="21"/>
      <c r="HE35" s="21"/>
      <c r="HF35" s="21"/>
      <c r="HG35" s="21"/>
      <c r="HH35" s="21"/>
      <c r="HI35" s="21"/>
      <c r="HJ35" s="21"/>
      <c r="HK35" s="21"/>
      <c r="HL35" s="21"/>
      <c r="HM35" s="21"/>
      <c r="HN35" s="21"/>
      <c r="HO35" s="21"/>
      <c r="HP35" s="21"/>
      <c r="HQ35" s="21"/>
      <c r="HR35" s="21"/>
      <c r="HS35" s="21"/>
      <c r="HT35" s="21"/>
      <c r="HU35" s="21"/>
      <c r="HV35" s="21"/>
      <c r="HW35" s="21"/>
      <c r="HX35" s="21"/>
      <c r="HY35" s="21"/>
      <c r="HZ35" s="21"/>
      <c r="IA35" s="21"/>
      <c r="IB35" s="21"/>
      <c r="IC35" s="21"/>
      <c r="ID35" s="21"/>
      <c r="IE35" s="21"/>
      <c r="IF35" s="21"/>
      <c r="IG35" s="21"/>
      <c r="IH35" s="21"/>
      <c r="II35" s="21"/>
      <c r="IJ35" s="21"/>
      <c r="IK35" s="21"/>
      <c r="IL35" s="21"/>
      <c r="IM35" s="21"/>
      <c r="IN35" s="21"/>
      <c r="IO35" s="21"/>
      <c r="IP35" s="21"/>
      <c r="IQ35" s="21"/>
      <c r="IR35" s="21"/>
      <c r="IS35" s="21"/>
      <c r="IT35" s="21"/>
      <c r="IU35" s="21"/>
      <c r="IV35" s="21"/>
      <c r="IW35" s="21"/>
    </row>
    <row r="36" customFormat="false" ht="12.75" hidden="false" customHeight="false" outlineLevel="0" collapsed="false">
      <c r="A36" s="1229"/>
      <c r="B36" s="214"/>
      <c r="C36" s="1186" t="s">
        <v>776</v>
      </c>
      <c r="D36" s="261" t="n">
        <f aca="false">IRR(D28:X28,0.1)</f>
        <v>0.119093136183159</v>
      </c>
      <c r="E36" s="59" t="n">
        <f aca="false">NPV(E34,D28:X28)</f>
        <v>-8.90232076225268</v>
      </c>
      <c r="F36" s="1262"/>
      <c r="G36" s="59"/>
      <c r="H36" s="1261"/>
      <c r="I36" s="1246"/>
      <c r="J36" s="1261"/>
      <c r="K36" s="1261"/>
      <c r="L36" s="1261"/>
      <c r="M36" s="1261"/>
      <c r="N36" s="1261"/>
      <c r="O36" s="1246"/>
      <c r="P36" s="1246"/>
      <c r="Q36" s="1246"/>
      <c r="R36" s="1246"/>
      <c r="S36" s="1246"/>
      <c r="T36" s="1246"/>
      <c r="U36" s="1246"/>
      <c r="V36" s="1246"/>
      <c r="W36" s="1246"/>
      <c r="X36" s="1246"/>
      <c r="Y36" s="1246"/>
      <c r="Z36" s="1246"/>
      <c r="AA36" s="1246"/>
      <c r="AB36" s="1246"/>
      <c r="AC36" s="1246"/>
      <c r="AD36" s="1246"/>
      <c r="AE36" s="1246"/>
      <c r="AF36" s="1246"/>
      <c r="AG36" s="1246"/>
      <c r="AH36" s="1246"/>
      <c r="AI36" s="1246"/>
      <c r="AJ36" s="1246"/>
      <c r="AK36" s="1246"/>
      <c r="AL36" s="1246"/>
      <c r="AM36" s="1246"/>
      <c r="AN36" s="1246"/>
      <c r="AO36" s="1246"/>
      <c r="AP36" s="1246"/>
      <c r="AQ36" s="1246"/>
      <c r="AR36" s="1246"/>
      <c r="AS36" s="1246"/>
      <c r="AT36" s="1246"/>
      <c r="AU36" s="1246"/>
      <c r="AV36" s="1246"/>
      <c r="AW36" s="1246"/>
      <c r="AX36" s="1246"/>
      <c r="AY36" s="1246"/>
      <c r="AZ36" s="1246"/>
      <c r="BA36" s="1246"/>
      <c r="BB36" s="1246"/>
      <c r="BC36" s="1246"/>
      <c r="BD36" s="1246"/>
      <c r="BE36" s="1246"/>
      <c r="BF36" s="1246"/>
      <c r="BG36" s="1246"/>
      <c r="BH36" s="1246"/>
      <c r="BI36" s="1246"/>
      <c r="BJ36" s="1246"/>
      <c r="BK36" s="1246"/>
      <c r="BL36" s="1246"/>
      <c r="BM36" s="1246"/>
      <c r="BN36" s="1246"/>
      <c r="BO36" s="1246"/>
      <c r="BP36" s="1246"/>
      <c r="BQ36" s="1246"/>
      <c r="BR36" s="1246"/>
      <c r="BS36" s="1246"/>
      <c r="BT36" s="1246"/>
      <c r="BU36" s="1246"/>
      <c r="BV36" s="1246"/>
      <c r="BW36" s="1246"/>
      <c r="BX36" s="1246"/>
      <c r="BY36" s="1246"/>
      <c r="BZ36" s="1246"/>
      <c r="CA36" s="1246"/>
      <c r="CB36" s="1246"/>
      <c r="CC36" s="1246"/>
      <c r="CD36" s="1246"/>
      <c r="CE36" s="1246"/>
      <c r="CF36" s="1246"/>
      <c r="CG36" s="1246"/>
      <c r="CH36" s="1246"/>
      <c r="CI36" s="1246"/>
      <c r="CJ36" s="1246"/>
      <c r="CK36" s="1246"/>
      <c r="CL36" s="1246"/>
      <c r="CM36" s="1246"/>
      <c r="CN36" s="1246"/>
      <c r="CO36" s="1246"/>
      <c r="CP36" s="1246"/>
      <c r="CQ36" s="1246"/>
      <c r="CR36" s="1246"/>
      <c r="CS36" s="1246"/>
      <c r="CT36" s="1246"/>
      <c r="CU36" s="1246"/>
      <c r="CV36" s="1246"/>
      <c r="CW36" s="1246"/>
      <c r="CX36" s="1246"/>
      <c r="CY36" s="1246"/>
      <c r="CZ36" s="1246"/>
      <c r="DA36" s="1246"/>
      <c r="DB36" s="1246"/>
      <c r="DC36" s="1246"/>
      <c r="DD36" s="1246"/>
      <c r="DE36" s="1246"/>
      <c r="DF36" s="1246"/>
      <c r="DG36" s="1246"/>
      <c r="DH36" s="1246"/>
      <c r="DI36" s="1246"/>
      <c r="DJ36" s="1246"/>
      <c r="DK36" s="1246"/>
      <c r="DL36" s="1246"/>
      <c r="DM36" s="1246"/>
      <c r="DN36" s="1246"/>
      <c r="DO36" s="1246"/>
      <c r="DP36" s="1246"/>
      <c r="DQ36" s="1246"/>
      <c r="DR36" s="1246"/>
      <c r="DS36" s="1246"/>
      <c r="DT36" s="1246"/>
      <c r="DU36" s="1246"/>
      <c r="DV36" s="1246"/>
      <c r="DW36" s="1246"/>
      <c r="DX36" s="1246"/>
      <c r="DY36" s="1246"/>
      <c r="DZ36" s="1246"/>
      <c r="EA36" s="1246"/>
      <c r="EB36" s="1246"/>
      <c r="EC36" s="1246"/>
      <c r="ED36" s="1246"/>
      <c r="EE36" s="1246"/>
      <c r="EF36" s="1246"/>
      <c r="EG36" s="1246"/>
      <c r="EH36" s="1246"/>
      <c r="EI36" s="1246"/>
      <c r="EJ36" s="1246"/>
      <c r="EK36" s="1246"/>
      <c r="EL36" s="1246"/>
      <c r="EM36" s="1246"/>
      <c r="EN36" s="1246"/>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c r="HJ36" s="21"/>
      <c r="HK36" s="21"/>
      <c r="HL36" s="21"/>
      <c r="HM36" s="21"/>
      <c r="HN36" s="21"/>
      <c r="HO36" s="21"/>
      <c r="HP36" s="21"/>
      <c r="HQ36" s="21"/>
      <c r="HR36" s="21"/>
      <c r="HS36" s="21"/>
      <c r="HT36" s="21"/>
      <c r="HU36" s="21"/>
      <c r="HV36" s="21"/>
      <c r="HW36" s="21"/>
      <c r="HX36" s="21"/>
      <c r="HY36" s="21"/>
      <c r="HZ36" s="21"/>
      <c r="IA36" s="21"/>
      <c r="IB36" s="21"/>
      <c r="IC36" s="21"/>
      <c r="ID36" s="21"/>
      <c r="IE36" s="21"/>
      <c r="IF36" s="21"/>
      <c r="IG36" s="21"/>
      <c r="IH36" s="21"/>
      <c r="II36" s="21"/>
      <c r="IJ36" s="21"/>
      <c r="IK36" s="21"/>
      <c r="IL36" s="21"/>
      <c r="IM36" s="21"/>
      <c r="IN36" s="21"/>
      <c r="IO36" s="21"/>
      <c r="IP36" s="21"/>
      <c r="IQ36" s="21"/>
      <c r="IR36" s="21"/>
      <c r="IS36" s="21"/>
      <c r="IT36" s="21"/>
      <c r="IU36" s="21"/>
      <c r="IV36" s="21"/>
      <c r="IW36" s="21"/>
    </row>
    <row r="37" customFormat="false" ht="12.75" hidden="false" customHeight="false" outlineLevel="0" collapsed="false">
      <c r="A37" s="1229"/>
      <c r="B37" s="214"/>
      <c r="C37" s="1186" t="s">
        <v>777</v>
      </c>
      <c r="D37" s="261" t="n">
        <f aca="false">IRR(D28:AH28,0.05)</f>
        <v>0.119093136183159</v>
      </c>
      <c r="E37" s="59" t="n">
        <f aca="false">NPV(E34,D28:AH28)</f>
        <v>-8.90232076225268</v>
      </c>
      <c r="F37" s="1262"/>
      <c r="G37" s="59"/>
      <c r="H37" s="1261"/>
      <c r="I37" s="1246"/>
      <c r="J37" s="1261"/>
      <c r="K37" s="1261"/>
      <c r="L37" s="1261"/>
      <c r="M37" s="1261"/>
      <c r="N37" s="1261"/>
      <c r="O37" s="1246"/>
      <c r="P37" s="1246"/>
      <c r="Q37" s="1246"/>
      <c r="R37" s="1246"/>
      <c r="S37" s="1246"/>
      <c r="T37" s="1246"/>
      <c r="U37" s="1246"/>
      <c r="V37" s="1246"/>
      <c r="W37" s="1246"/>
      <c r="X37" s="1246"/>
      <c r="Y37" s="1246"/>
      <c r="Z37" s="1246"/>
      <c r="AA37" s="1246"/>
      <c r="AB37" s="1246"/>
      <c r="AC37" s="1246"/>
      <c r="AD37" s="1246"/>
      <c r="AE37" s="1246"/>
      <c r="AF37" s="1246"/>
      <c r="AG37" s="1246"/>
      <c r="AH37" s="1246"/>
      <c r="AI37" s="1246"/>
      <c r="AJ37" s="1246"/>
      <c r="AK37" s="1246"/>
      <c r="AL37" s="1246"/>
      <c r="AM37" s="1246"/>
      <c r="AN37" s="1246"/>
      <c r="AO37" s="1246"/>
      <c r="AP37" s="1246"/>
      <c r="AQ37" s="1246"/>
      <c r="AR37" s="1246"/>
      <c r="AS37" s="1246"/>
      <c r="AT37" s="1246"/>
      <c r="AU37" s="1246"/>
      <c r="AV37" s="1246"/>
      <c r="AW37" s="1246"/>
      <c r="AX37" s="1246"/>
      <c r="AY37" s="1246"/>
      <c r="AZ37" s="1246"/>
      <c r="BA37" s="1246"/>
      <c r="BB37" s="1246"/>
      <c r="BC37" s="1246"/>
      <c r="BD37" s="1246"/>
      <c r="BE37" s="1246"/>
      <c r="BF37" s="1246"/>
      <c r="BG37" s="1246"/>
      <c r="BH37" s="1246"/>
      <c r="BI37" s="1246"/>
      <c r="BJ37" s="1246"/>
      <c r="BK37" s="1246"/>
      <c r="BL37" s="1246"/>
      <c r="BM37" s="1246"/>
      <c r="BN37" s="1246"/>
      <c r="BO37" s="1246"/>
      <c r="BP37" s="1246"/>
      <c r="BQ37" s="1246"/>
      <c r="BR37" s="1246"/>
      <c r="BS37" s="1246"/>
      <c r="BT37" s="1246"/>
      <c r="BU37" s="1246"/>
      <c r="BV37" s="1246"/>
      <c r="BW37" s="1246"/>
      <c r="BX37" s="1246"/>
      <c r="BY37" s="1246"/>
      <c r="BZ37" s="1246"/>
      <c r="CA37" s="1246"/>
      <c r="CB37" s="1246"/>
      <c r="CC37" s="1246"/>
      <c r="CD37" s="1246"/>
      <c r="CE37" s="1246"/>
      <c r="CF37" s="1246"/>
      <c r="CG37" s="1246"/>
      <c r="CH37" s="1246"/>
      <c r="CI37" s="1246"/>
      <c r="CJ37" s="1246"/>
      <c r="CK37" s="1246"/>
      <c r="CL37" s="1246"/>
      <c r="CM37" s="1246"/>
      <c r="CN37" s="1246"/>
      <c r="CO37" s="1246"/>
      <c r="CP37" s="1246"/>
      <c r="CQ37" s="1246"/>
      <c r="CR37" s="1246"/>
      <c r="CS37" s="1246"/>
      <c r="CT37" s="1246"/>
      <c r="CU37" s="1246"/>
      <c r="CV37" s="1246"/>
      <c r="CW37" s="1246"/>
      <c r="CX37" s="1246"/>
      <c r="CY37" s="1246"/>
      <c r="CZ37" s="1246"/>
      <c r="DA37" s="1246"/>
      <c r="DB37" s="1246"/>
      <c r="DC37" s="1246"/>
      <c r="DD37" s="1246"/>
      <c r="DE37" s="1246"/>
      <c r="DF37" s="1246"/>
      <c r="DG37" s="1246"/>
      <c r="DH37" s="1246"/>
      <c r="DI37" s="1246"/>
      <c r="DJ37" s="1246"/>
      <c r="DK37" s="1246"/>
      <c r="DL37" s="1246"/>
      <c r="DM37" s="1246"/>
      <c r="DN37" s="1246"/>
      <c r="DO37" s="1246"/>
      <c r="DP37" s="1246"/>
      <c r="DQ37" s="1246"/>
      <c r="DR37" s="1246"/>
      <c r="DS37" s="1246"/>
      <c r="DT37" s="1246"/>
      <c r="DU37" s="1246"/>
      <c r="DV37" s="1246"/>
      <c r="DW37" s="1246"/>
      <c r="DX37" s="1246"/>
      <c r="DY37" s="1246"/>
      <c r="DZ37" s="1246"/>
      <c r="EA37" s="1246"/>
      <c r="EB37" s="1246"/>
      <c r="EC37" s="1246"/>
      <c r="ED37" s="1246"/>
      <c r="EE37" s="1246"/>
      <c r="EF37" s="1246"/>
      <c r="EG37" s="1246"/>
      <c r="EH37" s="1246"/>
      <c r="EI37" s="1246"/>
      <c r="EJ37" s="1246"/>
      <c r="EK37" s="1246"/>
      <c r="EL37" s="1246"/>
      <c r="EM37" s="1246"/>
      <c r="EN37" s="1246"/>
      <c r="EO37" s="21"/>
      <c r="EP37" s="21"/>
      <c r="EQ37" s="21"/>
      <c r="ER37" s="21"/>
      <c r="ES37" s="21"/>
      <c r="ET37" s="21"/>
      <c r="EU37" s="21"/>
      <c r="EV37" s="21"/>
      <c r="EW37" s="21"/>
      <c r="EX37" s="21"/>
      <c r="EY37" s="21"/>
      <c r="EZ37" s="21"/>
      <c r="FA37" s="21"/>
      <c r="FB37" s="21"/>
      <c r="FC37" s="21"/>
      <c r="FD37" s="21"/>
      <c r="FE37" s="21"/>
      <c r="FF37" s="21"/>
      <c r="FG37" s="21"/>
      <c r="FH37" s="21"/>
      <c r="FI37" s="21"/>
      <c r="FJ37" s="21"/>
      <c r="FK37" s="21"/>
      <c r="FL37" s="21"/>
      <c r="FM37" s="21"/>
      <c r="FN37" s="21"/>
      <c r="FO37" s="21"/>
      <c r="FP37" s="21"/>
      <c r="FQ37" s="21"/>
      <c r="FR37" s="21"/>
      <c r="FS37" s="21"/>
      <c r="FT37" s="21"/>
      <c r="FU37" s="21"/>
      <c r="FV37" s="21"/>
      <c r="FW37" s="21"/>
      <c r="FX37" s="21"/>
      <c r="FY37" s="21"/>
      <c r="FZ37" s="21"/>
      <c r="GA37" s="21"/>
      <c r="GB37" s="21"/>
      <c r="GC37" s="21"/>
      <c r="GD37" s="21"/>
      <c r="GE37" s="21"/>
      <c r="GF37" s="21"/>
      <c r="GG37" s="21"/>
      <c r="GH37" s="21"/>
      <c r="GI37" s="21"/>
      <c r="GJ37" s="21"/>
      <c r="GK37" s="21"/>
      <c r="GL37" s="21"/>
      <c r="GM37" s="21"/>
      <c r="GN37" s="21"/>
      <c r="GO37" s="21"/>
      <c r="GP37" s="21"/>
      <c r="GQ37" s="21"/>
      <c r="GR37" s="21"/>
      <c r="GS37" s="21"/>
      <c r="GT37" s="21"/>
      <c r="GU37" s="21"/>
      <c r="GV37" s="21"/>
      <c r="GW37" s="21"/>
      <c r="GX37" s="21"/>
      <c r="GY37" s="21"/>
      <c r="GZ37" s="21"/>
      <c r="HA37" s="21"/>
      <c r="HB37" s="21"/>
      <c r="HC37" s="21"/>
      <c r="HD37" s="21"/>
      <c r="HE37" s="21"/>
      <c r="HF37" s="21"/>
      <c r="HG37" s="21"/>
      <c r="HH37" s="21"/>
      <c r="HI37" s="21"/>
      <c r="HJ37" s="21"/>
      <c r="HK37" s="21"/>
      <c r="HL37" s="21"/>
      <c r="HM37" s="21"/>
      <c r="HN37" s="21"/>
      <c r="HO37" s="21"/>
      <c r="HP37" s="21"/>
      <c r="HQ37" s="21"/>
      <c r="HR37" s="21"/>
      <c r="HS37" s="21"/>
      <c r="HT37" s="21"/>
      <c r="HU37" s="21"/>
      <c r="HV37" s="21"/>
      <c r="HW37" s="21"/>
      <c r="HX37" s="21"/>
      <c r="HY37" s="21"/>
      <c r="HZ37" s="21"/>
      <c r="IA37" s="21"/>
      <c r="IB37" s="21"/>
      <c r="IC37" s="21"/>
      <c r="ID37" s="21"/>
      <c r="IE37" s="21"/>
      <c r="IF37" s="21"/>
      <c r="IG37" s="21"/>
      <c r="IH37" s="21"/>
      <c r="II37" s="21"/>
      <c r="IJ37" s="21"/>
      <c r="IK37" s="21"/>
      <c r="IL37" s="21"/>
      <c r="IM37" s="21"/>
      <c r="IN37" s="21"/>
      <c r="IO37" s="21"/>
      <c r="IP37" s="21"/>
      <c r="IQ37" s="21"/>
      <c r="IR37" s="21"/>
      <c r="IS37" s="21"/>
      <c r="IT37" s="21"/>
      <c r="IU37" s="21"/>
      <c r="IV37" s="21"/>
      <c r="IW37" s="21"/>
    </row>
    <row r="38" customFormat="false" ht="12.75" hidden="false" customHeight="false" outlineLevel="0" collapsed="false">
      <c r="A38" s="1229"/>
      <c r="B38" s="214"/>
      <c r="C38" s="108"/>
      <c r="D38" s="1263"/>
      <c r="E38" s="1266"/>
      <c r="F38" s="1262"/>
      <c r="G38" s="59"/>
      <c r="H38" s="1261"/>
      <c r="I38" s="1246"/>
      <c r="J38" s="1261"/>
      <c r="K38" s="1261"/>
      <c r="L38" s="1261"/>
      <c r="M38" s="1261"/>
      <c r="N38" s="1261"/>
      <c r="O38" s="1246"/>
      <c r="P38" s="1246"/>
      <c r="Q38" s="1246"/>
      <c r="R38" s="1246"/>
      <c r="S38" s="1246"/>
      <c r="T38" s="1246"/>
      <c r="U38" s="1246"/>
      <c r="V38" s="1246"/>
      <c r="W38" s="1246"/>
      <c r="X38" s="1246"/>
      <c r="Y38" s="1246"/>
      <c r="Z38" s="1246"/>
      <c r="AA38" s="1246"/>
      <c r="AB38" s="1246"/>
      <c r="AC38" s="1246"/>
      <c r="AD38" s="1246"/>
      <c r="AE38" s="1246"/>
      <c r="AF38" s="1246"/>
      <c r="AG38" s="1246"/>
      <c r="AH38" s="1246"/>
      <c r="AI38" s="1246"/>
      <c r="AJ38" s="1246"/>
      <c r="AK38" s="1246"/>
      <c r="AL38" s="1246"/>
      <c r="AM38" s="1246"/>
      <c r="AN38" s="1246"/>
      <c r="AO38" s="1246"/>
      <c r="AP38" s="1246"/>
      <c r="AQ38" s="1246"/>
      <c r="AR38" s="1246"/>
      <c r="AS38" s="1246"/>
      <c r="AT38" s="1246"/>
      <c r="AU38" s="1246"/>
      <c r="AV38" s="1246"/>
      <c r="AW38" s="1246"/>
      <c r="AX38" s="1246"/>
      <c r="AY38" s="1246"/>
      <c r="AZ38" s="1246"/>
      <c r="BA38" s="1246"/>
      <c r="BB38" s="1246"/>
      <c r="BC38" s="1246"/>
      <c r="BD38" s="1246"/>
      <c r="BE38" s="1246"/>
      <c r="BF38" s="1246"/>
      <c r="BG38" s="1246"/>
      <c r="BH38" s="1246"/>
      <c r="BI38" s="1246"/>
      <c r="BJ38" s="1246"/>
      <c r="BK38" s="1246"/>
      <c r="BL38" s="1246"/>
      <c r="BM38" s="1246"/>
      <c r="BN38" s="1246"/>
      <c r="BO38" s="1246"/>
      <c r="BP38" s="1246"/>
      <c r="BQ38" s="1246"/>
      <c r="BR38" s="1246"/>
      <c r="BS38" s="1246"/>
      <c r="BT38" s="1246"/>
      <c r="BU38" s="1246"/>
      <c r="BV38" s="1246"/>
      <c r="BW38" s="1246"/>
      <c r="BX38" s="1246"/>
      <c r="BY38" s="1246"/>
      <c r="BZ38" s="1246"/>
      <c r="CA38" s="1246"/>
      <c r="CB38" s="1246"/>
      <c r="CC38" s="1246"/>
      <c r="CD38" s="1246"/>
      <c r="CE38" s="1246"/>
      <c r="CF38" s="1246"/>
      <c r="CG38" s="1246"/>
      <c r="CH38" s="1246"/>
      <c r="CI38" s="1246"/>
      <c r="CJ38" s="1246"/>
      <c r="CK38" s="1246"/>
      <c r="CL38" s="1246"/>
      <c r="CM38" s="1246"/>
      <c r="CN38" s="1246"/>
      <c r="CO38" s="1246"/>
      <c r="CP38" s="1246"/>
      <c r="CQ38" s="1246"/>
      <c r="CR38" s="1246"/>
      <c r="CS38" s="1246"/>
      <c r="CT38" s="1246"/>
      <c r="CU38" s="1246"/>
      <c r="CV38" s="1246"/>
      <c r="CW38" s="1246"/>
      <c r="CX38" s="1246"/>
      <c r="CY38" s="1246"/>
      <c r="CZ38" s="1246"/>
      <c r="DA38" s="1246"/>
      <c r="DB38" s="1246"/>
      <c r="DC38" s="1246"/>
      <c r="DD38" s="1246"/>
      <c r="DE38" s="1246"/>
      <c r="DF38" s="1246"/>
      <c r="DG38" s="1246"/>
      <c r="DH38" s="1246"/>
      <c r="DI38" s="1246"/>
      <c r="DJ38" s="1246"/>
      <c r="DK38" s="1246"/>
      <c r="DL38" s="1246"/>
      <c r="DM38" s="1246"/>
      <c r="DN38" s="1246"/>
      <c r="DO38" s="1246"/>
      <c r="DP38" s="1246"/>
      <c r="DQ38" s="1246"/>
      <c r="DR38" s="1246"/>
      <c r="DS38" s="1246"/>
      <c r="DT38" s="1246"/>
      <c r="DU38" s="1246"/>
      <c r="DV38" s="1246"/>
      <c r="DW38" s="1246"/>
      <c r="DX38" s="1246"/>
      <c r="DY38" s="1246"/>
      <c r="DZ38" s="1246"/>
      <c r="EA38" s="1246"/>
      <c r="EB38" s="1246"/>
      <c r="EC38" s="1246"/>
      <c r="ED38" s="1246"/>
      <c r="EE38" s="1246"/>
      <c r="EF38" s="1246"/>
      <c r="EG38" s="1246"/>
      <c r="EH38" s="1246"/>
      <c r="EI38" s="1246"/>
      <c r="EJ38" s="1246"/>
      <c r="EK38" s="1246"/>
      <c r="EL38" s="1246"/>
      <c r="EM38" s="1246"/>
      <c r="EN38" s="1246"/>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c r="IW38" s="21"/>
    </row>
    <row r="39" customFormat="false" ht="12.75" hidden="false" customHeight="false" outlineLevel="0" collapsed="false">
      <c r="A39" s="1229"/>
      <c r="B39" s="214"/>
      <c r="C39" s="108"/>
      <c r="D39" s="1188" t="s">
        <v>425</v>
      </c>
      <c r="E39" s="1188"/>
      <c r="F39" s="1262"/>
      <c r="G39" s="1261"/>
      <c r="H39" s="1261"/>
      <c r="I39" s="1246"/>
      <c r="J39" s="1261"/>
      <c r="K39" s="1261"/>
      <c r="L39" s="1261"/>
      <c r="M39" s="1261"/>
      <c r="N39" s="1261"/>
      <c r="O39" s="1246"/>
      <c r="P39" s="1246"/>
      <c r="Q39" s="1246"/>
      <c r="R39" s="1246"/>
      <c r="S39" s="1246"/>
      <c r="T39" s="1246"/>
      <c r="U39" s="1246"/>
      <c r="V39" s="1246"/>
      <c r="W39" s="1246"/>
      <c r="X39" s="1246"/>
      <c r="Y39" s="1246"/>
      <c r="Z39" s="1246"/>
      <c r="AA39" s="1246"/>
      <c r="AB39" s="1246"/>
      <c r="AC39" s="1246"/>
      <c r="AD39" s="1246"/>
      <c r="AE39" s="1246"/>
      <c r="AF39" s="1246"/>
      <c r="AG39" s="1246"/>
      <c r="AH39" s="1246"/>
      <c r="AI39" s="1246"/>
      <c r="AJ39" s="1246"/>
      <c r="AK39" s="1246"/>
      <c r="AL39" s="1246"/>
      <c r="AM39" s="1246"/>
      <c r="AN39" s="1246"/>
      <c r="AO39" s="1246"/>
      <c r="AP39" s="1246"/>
      <c r="AQ39" s="1246"/>
      <c r="AR39" s="1246"/>
      <c r="AS39" s="1246"/>
      <c r="AT39" s="1246"/>
      <c r="AU39" s="1246"/>
      <c r="AV39" s="1246"/>
      <c r="AW39" s="1246"/>
      <c r="AX39" s="1246"/>
      <c r="AY39" s="1246"/>
      <c r="AZ39" s="1246"/>
      <c r="BA39" s="1246"/>
      <c r="BB39" s="1246"/>
      <c r="BC39" s="1246"/>
      <c r="BD39" s="1246"/>
      <c r="BE39" s="1246"/>
      <c r="BF39" s="1246"/>
      <c r="BG39" s="1246"/>
      <c r="BH39" s="1246"/>
      <c r="BI39" s="1246"/>
      <c r="BJ39" s="1246"/>
      <c r="BK39" s="1246"/>
      <c r="BL39" s="1246"/>
      <c r="BM39" s="1246"/>
      <c r="BN39" s="1246"/>
      <c r="BO39" s="1246"/>
      <c r="BP39" s="1246"/>
      <c r="BQ39" s="1246"/>
      <c r="BR39" s="1246"/>
      <c r="BS39" s="1246"/>
      <c r="BT39" s="1246"/>
      <c r="BU39" s="1246"/>
      <c r="BV39" s="1246"/>
      <c r="BW39" s="1246"/>
      <c r="BX39" s="1246"/>
      <c r="BY39" s="1246"/>
      <c r="BZ39" s="1246"/>
      <c r="CA39" s="1246"/>
      <c r="CB39" s="1246"/>
      <c r="CC39" s="1246"/>
      <c r="CD39" s="1246"/>
      <c r="CE39" s="1246"/>
      <c r="CF39" s="1246"/>
      <c r="CG39" s="1246"/>
      <c r="CH39" s="1246"/>
      <c r="CI39" s="1246"/>
      <c r="CJ39" s="1246"/>
      <c r="CK39" s="1246"/>
      <c r="CL39" s="1246"/>
      <c r="CM39" s="1246"/>
      <c r="CN39" s="1246"/>
      <c r="CO39" s="1246"/>
      <c r="CP39" s="1246"/>
      <c r="CQ39" s="1246"/>
      <c r="CR39" s="1246"/>
      <c r="CS39" s="1246"/>
      <c r="CT39" s="1246"/>
      <c r="CU39" s="1246"/>
      <c r="CV39" s="1246"/>
      <c r="CW39" s="1246"/>
      <c r="CX39" s="1246"/>
      <c r="CY39" s="1246"/>
      <c r="CZ39" s="1246"/>
      <c r="DA39" s="1246"/>
      <c r="DB39" s="1246"/>
      <c r="DC39" s="1246"/>
      <c r="DD39" s="1246"/>
      <c r="DE39" s="1246"/>
      <c r="DF39" s="1246"/>
      <c r="DG39" s="1246"/>
      <c r="DH39" s="1246"/>
      <c r="DI39" s="1246"/>
      <c r="DJ39" s="1246"/>
      <c r="DK39" s="1246"/>
      <c r="DL39" s="1246"/>
      <c r="DM39" s="1246"/>
      <c r="DN39" s="1246"/>
      <c r="DO39" s="1246"/>
      <c r="DP39" s="1246"/>
      <c r="DQ39" s="1246"/>
      <c r="DR39" s="1246"/>
      <c r="DS39" s="1246"/>
      <c r="DT39" s="1246"/>
      <c r="DU39" s="1246"/>
      <c r="DV39" s="1246"/>
      <c r="DW39" s="1246"/>
      <c r="DX39" s="1246"/>
      <c r="DY39" s="1246"/>
      <c r="DZ39" s="1246"/>
      <c r="EA39" s="1246"/>
      <c r="EB39" s="1246"/>
      <c r="EC39" s="1246"/>
      <c r="ED39" s="1246"/>
      <c r="EE39" s="1246"/>
      <c r="EF39" s="1246"/>
      <c r="EG39" s="1246"/>
      <c r="EH39" s="1246"/>
      <c r="EI39" s="1246"/>
      <c r="EJ39" s="1246"/>
      <c r="EK39" s="1246"/>
      <c r="EL39" s="1246"/>
      <c r="EM39" s="1246"/>
      <c r="EN39" s="1246"/>
      <c r="EO39" s="21"/>
      <c r="EP39" s="21"/>
      <c r="EQ39" s="21"/>
      <c r="ER39" s="21"/>
      <c r="ES39" s="21"/>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21"/>
      <c r="HR39" s="21"/>
      <c r="HS39" s="21"/>
      <c r="HT39" s="21"/>
      <c r="HU39" s="21"/>
      <c r="HV39" s="21"/>
      <c r="HW39" s="21"/>
      <c r="HX39" s="21"/>
      <c r="HY39" s="21"/>
      <c r="HZ39" s="21"/>
      <c r="IA39" s="21"/>
      <c r="IB39" s="21"/>
      <c r="IC39" s="21"/>
      <c r="ID39" s="21"/>
      <c r="IE39" s="21"/>
      <c r="IF39" s="21"/>
      <c r="IG39" s="21"/>
      <c r="IH39" s="21"/>
      <c r="II39" s="21"/>
      <c r="IJ39" s="21"/>
      <c r="IK39" s="21"/>
      <c r="IL39" s="21"/>
      <c r="IM39" s="21"/>
      <c r="IN39" s="21"/>
      <c r="IO39" s="21"/>
      <c r="IP39" s="21"/>
      <c r="IQ39" s="21"/>
      <c r="IR39" s="21"/>
      <c r="IS39" s="21"/>
      <c r="IT39" s="21"/>
      <c r="IU39" s="21"/>
      <c r="IV39" s="21"/>
      <c r="IW39" s="21"/>
    </row>
    <row r="40" customFormat="false" ht="12.75" hidden="false" customHeight="false" outlineLevel="0" collapsed="false">
      <c r="A40" s="1229"/>
      <c r="B40" s="214"/>
      <c r="C40" s="1186" t="s">
        <v>775</v>
      </c>
      <c r="D40" s="261" t="n">
        <f aca="false">IRR(D25:N25,-0.05)</f>
        <v>-0.215357982424484</v>
      </c>
      <c r="E40" s="59" t="n">
        <f aca="false">NPV((E34),D25:N25)</f>
        <v>-207.386943324636</v>
      </c>
      <c r="F40" s="1262"/>
      <c r="G40" s="1261"/>
      <c r="H40" s="1261"/>
      <c r="I40" s="1246"/>
      <c r="J40" s="1261"/>
      <c r="K40" s="1261"/>
      <c r="L40" s="1261"/>
      <c r="M40" s="1261"/>
      <c r="N40" s="1261"/>
      <c r="O40" s="1246"/>
      <c r="P40" s="1246"/>
      <c r="Q40" s="1246"/>
      <c r="R40" s="1246"/>
      <c r="S40" s="1246"/>
      <c r="T40" s="1246"/>
      <c r="U40" s="1246"/>
      <c r="V40" s="1246"/>
      <c r="W40" s="1246"/>
      <c r="X40" s="1246"/>
      <c r="Y40" s="1246"/>
      <c r="Z40" s="1246"/>
      <c r="AA40" s="1246"/>
      <c r="AB40" s="1246"/>
      <c r="AC40" s="1246"/>
      <c r="AD40" s="1246"/>
      <c r="AE40" s="1246"/>
      <c r="AF40" s="1246"/>
      <c r="AG40" s="1246"/>
      <c r="AH40" s="1246"/>
      <c r="AI40" s="1246"/>
      <c r="AJ40" s="1246"/>
      <c r="AK40" s="1246"/>
      <c r="AL40" s="1246"/>
      <c r="AM40" s="1246"/>
      <c r="AN40" s="1246"/>
      <c r="AO40" s="1246"/>
      <c r="AP40" s="1246"/>
      <c r="AQ40" s="1246"/>
      <c r="AR40" s="1246"/>
      <c r="AS40" s="1246"/>
      <c r="AT40" s="1246"/>
      <c r="AU40" s="1246"/>
      <c r="AV40" s="1246"/>
      <c r="AW40" s="1246"/>
      <c r="AX40" s="1246"/>
      <c r="AY40" s="1246"/>
      <c r="AZ40" s="1246"/>
      <c r="BA40" s="1246"/>
      <c r="BB40" s="1246"/>
      <c r="BC40" s="1246"/>
      <c r="BD40" s="1246"/>
      <c r="BE40" s="1246"/>
      <c r="BF40" s="1246"/>
      <c r="BG40" s="1246"/>
      <c r="BH40" s="1246"/>
      <c r="BI40" s="1246"/>
      <c r="BJ40" s="1246"/>
      <c r="BK40" s="1246"/>
      <c r="BL40" s="1246"/>
      <c r="BM40" s="1246"/>
      <c r="BN40" s="1246"/>
      <c r="BO40" s="1246"/>
      <c r="BP40" s="1246"/>
      <c r="BQ40" s="1246"/>
      <c r="BR40" s="1246"/>
      <c r="BS40" s="1246"/>
      <c r="BT40" s="1246"/>
      <c r="BU40" s="1246"/>
      <c r="BV40" s="1246"/>
      <c r="BW40" s="1246"/>
      <c r="BX40" s="1246"/>
      <c r="BY40" s="1246"/>
      <c r="BZ40" s="1246"/>
      <c r="CA40" s="1246"/>
      <c r="CB40" s="1246"/>
      <c r="CC40" s="1246"/>
      <c r="CD40" s="1246"/>
      <c r="CE40" s="1246"/>
      <c r="CF40" s="1246"/>
      <c r="CG40" s="1246"/>
      <c r="CH40" s="1246"/>
      <c r="CI40" s="1246"/>
      <c r="CJ40" s="1246"/>
      <c r="CK40" s="1246"/>
      <c r="CL40" s="1246"/>
      <c r="CM40" s="1246"/>
      <c r="CN40" s="1246"/>
      <c r="CO40" s="1246"/>
      <c r="CP40" s="1246"/>
      <c r="CQ40" s="1246"/>
      <c r="CR40" s="1246"/>
      <c r="CS40" s="1246"/>
      <c r="CT40" s="1246"/>
      <c r="CU40" s="1246"/>
      <c r="CV40" s="1246"/>
      <c r="CW40" s="1246"/>
      <c r="CX40" s="1246"/>
      <c r="CY40" s="1246"/>
      <c r="CZ40" s="1246"/>
      <c r="DA40" s="1246"/>
      <c r="DB40" s="1246"/>
      <c r="DC40" s="1246"/>
      <c r="DD40" s="1246"/>
      <c r="DE40" s="1246"/>
      <c r="DF40" s="1246"/>
      <c r="DG40" s="1246"/>
      <c r="DH40" s="1246"/>
      <c r="DI40" s="1246"/>
      <c r="DJ40" s="1246"/>
      <c r="DK40" s="1246"/>
      <c r="DL40" s="1246"/>
      <c r="DM40" s="1246"/>
      <c r="DN40" s="1246"/>
      <c r="DO40" s="1246"/>
      <c r="DP40" s="1246"/>
      <c r="DQ40" s="1246"/>
      <c r="DR40" s="1246"/>
      <c r="DS40" s="1246"/>
      <c r="DT40" s="1246"/>
      <c r="DU40" s="1246"/>
      <c r="DV40" s="1246"/>
      <c r="DW40" s="1246"/>
      <c r="DX40" s="1246"/>
      <c r="DY40" s="1246"/>
      <c r="DZ40" s="1246"/>
      <c r="EA40" s="1246"/>
      <c r="EB40" s="1246"/>
      <c r="EC40" s="1246"/>
      <c r="ED40" s="1246"/>
      <c r="EE40" s="1246"/>
      <c r="EF40" s="1246"/>
      <c r="EG40" s="1246"/>
      <c r="EH40" s="1246"/>
      <c r="EI40" s="1246"/>
      <c r="EJ40" s="1246"/>
      <c r="EK40" s="1246"/>
      <c r="EL40" s="1246"/>
      <c r="EM40" s="1246"/>
      <c r="EN40" s="1246"/>
      <c r="EO40" s="21"/>
      <c r="EP40" s="21"/>
      <c r="EQ40" s="21"/>
      <c r="ER40" s="21"/>
      <c r="ES40" s="21"/>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c r="HJ40" s="21"/>
      <c r="HK40" s="21"/>
      <c r="HL40" s="21"/>
      <c r="HM40" s="21"/>
      <c r="HN40" s="21"/>
      <c r="HO40" s="21"/>
      <c r="HP40" s="21"/>
      <c r="HQ40" s="21"/>
      <c r="HR40" s="21"/>
      <c r="HS40" s="21"/>
      <c r="HT40" s="21"/>
      <c r="HU40" s="21"/>
      <c r="HV40" s="21"/>
      <c r="HW40" s="21"/>
      <c r="HX40" s="21"/>
      <c r="HY40" s="21"/>
      <c r="HZ40" s="21"/>
      <c r="IA40" s="21"/>
      <c r="IB40" s="21"/>
      <c r="IC40" s="21"/>
      <c r="ID40" s="21"/>
      <c r="IE40" s="21"/>
      <c r="IF40" s="21"/>
      <c r="IG40" s="21"/>
      <c r="IH40" s="21"/>
      <c r="II40" s="21"/>
      <c r="IJ40" s="21"/>
      <c r="IK40" s="21"/>
      <c r="IL40" s="21"/>
      <c r="IM40" s="21"/>
      <c r="IN40" s="21"/>
      <c r="IO40" s="21"/>
      <c r="IP40" s="21"/>
      <c r="IQ40" s="21"/>
      <c r="IR40" s="21"/>
      <c r="IS40" s="21"/>
      <c r="IT40" s="21"/>
      <c r="IU40" s="21"/>
      <c r="IV40" s="21"/>
      <c r="IW40" s="21"/>
    </row>
    <row r="41" customFormat="false" ht="12.75" hidden="false" customHeight="false" outlineLevel="0" collapsed="false">
      <c r="A41" s="1229"/>
      <c r="B41" s="214"/>
      <c r="C41" s="1186" t="s">
        <v>776</v>
      </c>
      <c r="D41" s="261" t="n">
        <f aca="false">IRR(D25:X25,0.05)</f>
        <v>-0.0381936070075242</v>
      </c>
      <c r="E41" s="59" t="n">
        <f aca="false">NPV((E34),D25:X25)</f>
        <v>-195.802850709333</v>
      </c>
      <c r="F41" s="1262"/>
      <c r="G41" s="1261"/>
      <c r="H41" s="1261"/>
      <c r="I41" s="1246"/>
      <c r="J41" s="1261"/>
      <c r="K41" s="1261"/>
      <c r="L41" s="1261"/>
      <c r="M41" s="1261"/>
      <c r="N41" s="1261"/>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6"/>
      <c r="DE41" s="1246"/>
      <c r="DF41" s="1246"/>
      <c r="DG41" s="1246"/>
      <c r="DH41" s="1246"/>
      <c r="DI41" s="1246"/>
      <c r="DJ41" s="1246"/>
      <c r="DK41" s="1246"/>
      <c r="DL41" s="1246"/>
      <c r="DM41" s="1246"/>
      <c r="DN41" s="1246"/>
      <c r="DO41" s="1246"/>
      <c r="DP41" s="1246"/>
      <c r="DQ41" s="1246"/>
      <c r="DR41" s="1246"/>
      <c r="DS41" s="1246"/>
      <c r="DT41" s="1246"/>
      <c r="DU41" s="1246"/>
      <c r="DV41" s="1246"/>
      <c r="DW41" s="1246"/>
      <c r="DX41" s="1246"/>
      <c r="DY41" s="1246"/>
      <c r="DZ41" s="1246"/>
      <c r="EA41" s="1246"/>
      <c r="EB41" s="1246"/>
      <c r="EC41" s="1246"/>
      <c r="ED41" s="1246"/>
      <c r="EE41" s="1246"/>
      <c r="EF41" s="1246"/>
      <c r="EG41" s="1246"/>
      <c r="EH41" s="1246"/>
      <c r="EI41" s="1246"/>
      <c r="EJ41" s="1246"/>
      <c r="EK41" s="1246"/>
      <c r="EL41" s="1246"/>
      <c r="EM41" s="1246"/>
      <c r="EN41" s="1246"/>
      <c r="EO41" s="21"/>
      <c r="EP41" s="21"/>
      <c r="EQ41" s="21"/>
      <c r="ER41" s="21"/>
      <c r="ES41" s="21"/>
      <c r="ET41" s="21"/>
      <c r="EU41" s="21"/>
      <c r="EV41" s="21"/>
      <c r="EW41" s="21"/>
      <c r="EX41" s="21"/>
      <c r="EY41" s="21"/>
      <c r="EZ41" s="21"/>
      <c r="FA41" s="21"/>
      <c r="FB41" s="21"/>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c r="HJ41" s="21"/>
      <c r="HK41" s="21"/>
      <c r="HL41" s="21"/>
      <c r="HM41" s="21"/>
      <c r="HN41" s="21"/>
      <c r="HO41" s="21"/>
      <c r="HP41" s="21"/>
      <c r="HQ41" s="21"/>
      <c r="HR41" s="21"/>
      <c r="HS41" s="21"/>
      <c r="HT41" s="21"/>
      <c r="HU41" s="21"/>
      <c r="HV41" s="21"/>
      <c r="HW41" s="21"/>
      <c r="HX41" s="21"/>
      <c r="HY41" s="21"/>
      <c r="HZ41" s="21"/>
      <c r="IA41" s="21"/>
      <c r="IB41" s="21"/>
      <c r="IC41" s="21"/>
      <c r="ID41" s="21"/>
      <c r="IE41" s="21"/>
      <c r="IF41" s="21"/>
      <c r="IG41" s="21"/>
      <c r="IH41" s="21"/>
      <c r="II41" s="21"/>
      <c r="IJ41" s="21"/>
      <c r="IK41" s="21"/>
      <c r="IL41" s="21"/>
      <c r="IM41" s="21"/>
      <c r="IN41" s="21"/>
      <c r="IO41" s="21"/>
      <c r="IP41" s="21"/>
      <c r="IQ41" s="21"/>
      <c r="IR41" s="21"/>
      <c r="IS41" s="21"/>
      <c r="IT41" s="21"/>
      <c r="IU41" s="21"/>
      <c r="IV41" s="21"/>
      <c r="IW41" s="21"/>
    </row>
    <row r="42" customFormat="false" ht="13.5" hidden="false" customHeight="false" outlineLevel="0" collapsed="false">
      <c r="A42" s="1229"/>
      <c r="B42" s="1189"/>
      <c r="C42" s="1190" t="s">
        <v>777</v>
      </c>
      <c r="D42" s="1267" t="n">
        <f aca="false">IRR(D25:AH25,0.05)</f>
        <v>-0.0381936070075242</v>
      </c>
      <c r="E42" s="731" t="n">
        <f aca="false">NPV((E34),D25:AH25)</f>
        <v>-195.802850709333</v>
      </c>
      <c r="F42" s="1268"/>
      <c r="G42" s="1261"/>
      <c r="H42" s="1261"/>
      <c r="I42" s="1246"/>
      <c r="J42" s="1261"/>
      <c r="K42" s="1261"/>
      <c r="L42" s="1261"/>
      <c r="M42" s="1261"/>
      <c r="N42" s="1261"/>
      <c r="O42" s="1246"/>
      <c r="P42" s="1246"/>
      <c r="Q42" s="1246"/>
      <c r="R42" s="1246"/>
      <c r="S42" s="1246"/>
      <c r="T42" s="1246"/>
      <c r="U42" s="1246"/>
      <c r="V42" s="1246"/>
      <c r="W42" s="1246"/>
      <c r="X42" s="1246"/>
      <c r="Y42" s="1246"/>
      <c r="Z42" s="1246"/>
      <c r="AA42" s="1246"/>
      <c r="AB42" s="1246"/>
      <c r="AC42" s="1246"/>
      <c r="AD42" s="1246"/>
      <c r="AE42" s="1246"/>
      <c r="AF42" s="1246"/>
      <c r="AG42" s="1246"/>
      <c r="AH42" s="1246"/>
      <c r="AI42" s="1246"/>
      <c r="AJ42" s="1246"/>
      <c r="AK42" s="1246"/>
      <c r="AL42" s="1246"/>
      <c r="AM42" s="1246"/>
      <c r="AN42" s="1246"/>
      <c r="AO42" s="1246"/>
      <c r="AP42" s="1246"/>
      <c r="AQ42" s="1246"/>
      <c r="AR42" s="1246"/>
      <c r="AS42" s="1246"/>
      <c r="AT42" s="1246"/>
      <c r="AU42" s="1246"/>
      <c r="AV42" s="1246"/>
      <c r="AW42" s="1246"/>
      <c r="AX42" s="1246"/>
      <c r="AY42" s="1246"/>
      <c r="AZ42" s="1246"/>
      <c r="BA42" s="1246"/>
      <c r="BB42" s="1246"/>
      <c r="BC42" s="1246"/>
      <c r="BD42" s="1246"/>
      <c r="BE42" s="1246"/>
      <c r="BF42" s="1246"/>
      <c r="BG42" s="1246"/>
      <c r="BH42" s="1246"/>
      <c r="BI42" s="1246"/>
      <c r="BJ42" s="1246"/>
      <c r="BK42" s="1246"/>
      <c r="BL42" s="1246"/>
      <c r="BM42" s="1246"/>
      <c r="BN42" s="1246"/>
      <c r="BO42" s="1246"/>
      <c r="BP42" s="1246"/>
      <c r="BQ42" s="1246"/>
      <c r="BR42" s="1246"/>
      <c r="BS42" s="1246"/>
      <c r="BT42" s="1246"/>
      <c r="BU42" s="1246"/>
      <c r="BV42" s="1246"/>
      <c r="BW42" s="1246"/>
      <c r="BX42" s="1246"/>
      <c r="BY42" s="1246"/>
      <c r="BZ42" s="1246"/>
      <c r="CA42" s="1246"/>
      <c r="CB42" s="1246"/>
      <c r="CC42" s="1246"/>
      <c r="CD42" s="1246"/>
      <c r="CE42" s="1246"/>
      <c r="CF42" s="1246"/>
      <c r="CG42" s="1246"/>
      <c r="CH42" s="1246"/>
      <c r="CI42" s="1246"/>
      <c r="CJ42" s="1246"/>
      <c r="CK42" s="1246"/>
      <c r="CL42" s="1246"/>
      <c r="CM42" s="1246"/>
      <c r="CN42" s="1246"/>
      <c r="CO42" s="1246"/>
      <c r="CP42" s="1246"/>
      <c r="CQ42" s="1246"/>
      <c r="CR42" s="1246"/>
      <c r="CS42" s="1246"/>
      <c r="CT42" s="1246"/>
      <c r="CU42" s="1246"/>
      <c r="CV42" s="1246"/>
      <c r="CW42" s="1246"/>
      <c r="CX42" s="1246"/>
      <c r="CY42" s="1246"/>
      <c r="CZ42" s="1246"/>
      <c r="DA42" s="1246"/>
      <c r="DB42" s="1246"/>
      <c r="DC42" s="1246"/>
      <c r="DD42" s="1246"/>
      <c r="DE42" s="1246"/>
      <c r="DF42" s="1246"/>
      <c r="DG42" s="1246"/>
      <c r="DH42" s="1246"/>
      <c r="DI42" s="1246"/>
      <c r="DJ42" s="1246"/>
      <c r="DK42" s="1246"/>
      <c r="DL42" s="1246"/>
      <c r="DM42" s="1246"/>
      <c r="DN42" s="1246"/>
      <c r="DO42" s="1246"/>
      <c r="DP42" s="1246"/>
      <c r="DQ42" s="1246"/>
      <c r="DR42" s="1246"/>
      <c r="DS42" s="1246"/>
      <c r="DT42" s="1246"/>
      <c r="DU42" s="1246"/>
      <c r="DV42" s="1246"/>
      <c r="DW42" s="1246"/>
      <c r="DX42" s="1246"/>
      <c r="DY42" s="1246"/>
      <c r="DZ42" s="1246"/>
      <c r="EA42" s="1246"/>
      <c r="EB42" s="1246"/>
      <c r="EC42" s="1246"/>
      <c r="ED42" s="1246"/>
      <c r="EE42" s="1246"/>
      <c r="EF42" s="1246"/>
      <c r="EG42" s="1246"/>
      <c r="EH42" s="1246"/>
      <c r="EI42" s="1246"/>
      <c r="EJ42" s="1246"/>
      <c r="EK42" s="1246"/>
      <c r="EL42" s="1246"/>
      <c r="EM42" s="1246"/>
      <c r="EN42" s="1246"/>
      <c r="EO42" s="21"/>
      <c r="EP42" s="21"/>
      <c r="EQ42" s="21"/>
      <c r="ER42" s="21"/>
      <c r="ES42" s="21"/>
      <c r="ET42" s="21"/>
      <c r="EU42" s="21"/>
      <c r="EV42" s="21"/>
      <c r="EW42" s="21"/>
      <c r="EX42" s="21"/>
      <c r="EY42" s="21"/>
      <c r="EZ42" s="21"/>
      <c r="FA42" s="21"/>
      <c r="FB42" s="21"/>
      <c r="FC42" s="21"/>
      <c r="FD42" s="21"/>
      <c r="FE42" s="21"/>
      <c r="FF42" s="21"/>
      <c r="FG42" s="21"/>
      <c r="FH42" s="21"/>
      <c r="FI42" s="21"/>
      <c r="FJ42" s="21"/>
      <c r="FK42" s="21"/>
      <c r="FL42" s="21"/>
      <c r="FM42" s="21"/>
      <c r="FN42" s="21"/>
      <c r="FO42" s="21"/>
      <c r="FP42" s="21"/>
      <c r="FQ42" s="21"/>
      <c r="FR42" s="21"/>
      <c r="FS42" s="21"/>
      <c r="FT42" s="21"/>
      <c r="FU42" s="21"/>
      <c r="FV42" s="21"/>
      <c r="FW42" s="21"/>
      <c r="FX42" s="21"/>
      <c r="FY42" s="21"/>
      <c r="FZ42" s="21"/>
      <c r="GA42" s="21"/>
      <c r="GB42" s="21"/>
      <c r="GC42" s="21"/>
      <c r="GD42" s="21"/>
      <c r="GE42" s="21"/>
      <c r="GF42" s="21"/>
      <c r="GG42" s="21"/>
      <c r="GH42" s="21"/>
      <c r="GI42" s="21"/>
      <c r="GJ42" s="21"/>
      <c r="GK42" s="21"/>
      <c r="GL42" s="21"/>
      <c r="GM42" s="21"/>
      <c r="GN42" s="21"/>
      <c r="GO42" s="21"/>
      <c r="GP42" s="21"/>
      <c r="GQ42" s="21"/>
      <c r="GR42" s="21"/>
      <c r="GS42" s="21"/>
      <c r="GT42" s="21"/>
      <c r="GU42" s="21"/>
      <c r="GV42" s="21"/>
      <c r="GW42" s="21"/>
      <c r="GX42" s="21"/>
      <c r="GY42" s="21"/>
      <c r="GZ42" s="21"/>
      <c r="HA42" s="21"/>
      <c r="HB42" s="21"/>
      <c r="HC42" s="21"/>
      <c r="HD42" s="21"/>
      <c r="HE42" s="21"/>
      <c r="HF42" s="21"/>
      <c r="HG42" s="21"/>
      <c r="HH42" s="21"/>
      <c r="HI42" s="21"/>
      <c r="HJ42" s="21"/>
      <c r="HK42" s="21"/>
      <c r="HL42" s="21"/>
      <c r="HM42" s="21"/>
      <c r="HN42" s="21"/>
      <c r="HO42" s="21"/>
      <c r="HP42" s="21"/>
      <c r="HQ42" s="21"/>
      <c r="HR42" s="21"/>
      <c r="HS42" s="21"/>
      <c r="HT42" s="21"/>
      <c r="HU42" s="21"/>
      <c r="HV42" s="21"/>
      <c r="HW42" s="21"/>
      <c r="HX42" s="21"/>
      <c r="HY42" s="21"/>
      <c r="HZ42" s="21"/>
      <c r="IA42" s="21"/>
      <c r="IB42" s="21"/>
      <c r="IC42" s="21"/>
      <c r="ID42" s="21"/>
      <c r="IE42" s="21"/>
      <c r="IF42" s="21"/>
      <c r="IG42" s="21"/>
      <c r="IH42" s="21"/>
      <c r="II42" s="21"/>
      <c r="IJ42" s="21"/>
      <c r="IK42" s="21"/>
      <c r="IL42" s="21"/>
      <c r="IM42" s="21"/>
      <c r="IN42" s="21"/>
      <c r="IO42" s="21"/>
      <c r="IP42" s="21"/>
      <c r="IQ42" s="21"/>
      <c r="IR42" s="21"/>
      <c r="IS42" s="21"/>
      <c r="IT42" s="21"/>
      <c r="IU42" s="21"/>
      <c r="IV42" s="21"/>
      <c r="IW42" s="21"/>
    </row>
    <row r="43" customFormat="false" ht="12.75" hidden="false" customHeight="false" outlineLevel="0" collapsed="false">
      <c r="A43" s="1229"/>
      <c r="B43" s="1269"/>
      <c r="C43" s="1269"/>
      <c r="D43" s="1261"/>
      <c r="E43" s="21"/>
      <c r="F43" s="1261"/>
      <c r="G43" s="1261"/>
      <c r="H43" s="1261"/>
      <c r="I43" s="1246"/>
      <c r="J43" s="1261"/>
      <c r="K43" s="1261"/>
      <c r="L43" s="1261"/>
      <c r="M43" s="1261"/>
      <c r="N43" s="1261"/>
      <c r="O43" s="1246"/>
      <c r="P43" s="1246"/>
      <c r="Q43" s="1246"/>
      <c r="R43" s="1246"/>
      <c r="S43" s="1246"/>
      <c r="T43" s="1246"/>
      <c r="U43" s="1246"/>
      <c r="V43" s="1246"/>
      <c r="W43" s="1246"/>
      <c r="X43" s="1246"/>
      <c r="Y43" s="1246"/>
      <c r="Z43" s="1246"/>
      <c r="AA43" s="1246"/>
      <c r="AB43" s="1246"/>
      <c r="AC43" s="1246"/>
      <c r="AD43" s="1246"/>
      <c r="AE43" s="1246"/>
      <c r="AF43" s="1246"/>
      <c r="AG43" s="1246"/>
      <c r="AH43" s="1246"/>
      <c r="AI43" s="1246"/>
      <c r="AJ43" s="1246"/>
      <c r="AK43" s="1246"/>
      <c r="AL43" s="1246"/>
      <c r="AM43" s="1246"/>
      <c r="AN43" s="1246"/>
      <c r="AO43" s="1246"/>
      <c r="AP43" s="1246"/>
      <c r="AQ43" s="1246"/>
      <c r="AR43" s="1246"/>
      <c r="AS43" s="1246"/>
      <c r="AT43" s="1246"/>
      <c r="AU43" s="1246"/>
      <c r="AV43" s="1246"/>
      <c r="AW43" s="1246"/>
      <c r="AX43" s="1246"/>
      <c r="AY43" s="1246"/>
      <c r="AZ43" s="1246"/>
      <c r="BA43" s="1246"/>
      <c r="BB43" s="1246"/>
      <c r="BC43" s="1246"/>
      <c r="BD43" s="1246"/>
      <c r="BE43" s="1246"/>
      <c r="BF43" s="1246"/>
      <c r="BG43" s="1246"/>
      <c r="BH43" s="1246"/>
      <c r="BI43" s="1246"/>
      <c r="BJ43" s="1246"/>
      <c r="BK43" s="1246"/>
      <c r="BL43" s="1246"/>
      <c r="BM43" s="1246"/>
      <c r="BN43" s="1246"/>
      <c r="BO43" s="1246"/>
      <c r="BP43" s="1246"/>
      <c r="BQ43" s="1246"/>
      <c r="BR43" s="1246"/>
      <c r="BS43" s="1246"/>
      <c r="BT43" s="1246"/>
      <c r="BU43" s="1246"/>
      <c r="BV43" s="1246"/>
      <c r="BW43" s="1246"/>
      <c r="BX43" s="1246"/>
      <c r="BY43" s="1246"/>
      <c r="BZ43" s="1246"/>
      <c r="CA43" s="1246"/>
      <c r="CB43" s="1246"/>
      <c r="CC43" s="1246"/>
      <c r="CD43" s="1246"/>
      <c r="CE43" s="1246"/>
      <c r="CF43" s="1246"/>
      <c r="CG43" s="1246"/>
      <c r="CH43" s="1246"/>
      <c r="CI43" s="1246"/>
      <c r="CJ43" s="1246"/>
      <c r="CK43" s="1246"/>
      <c r="CL43" s="1246"/>
      <c r="CM43" s="1246"/>
      <c r="CN43" s="1246"/>
      <c r="CO43" s="1246"/>
      <c r="CP43" s="1246"/>
      <c r="CQ43" s="1246"/>
      <c r="CR43" s="1246"/>
      <c r="CS43" s="1246"/>
      <c r="CT43" s="1246"/>
      <c r="CU43" s="1246"/>
      <c r="CV43" s="1246"/>
      <c r="CW43" s="1246"/>
      <c r="CX43" s="1246"/>
      <c r="CY43" s="1246"/>
      <c r="CZ43" s="1246"/>
      <c r="DA43" s="1246"/>
      <c r="DB43" s="1246"/>
      <c r="DC43" s="1246"/>
      <c r="DD43" s="1246"/>
      <c r="DE43" s="1246"/>
      <c r="DF43" s="1246"/>
      <c r="DG43" s="1246"/>
      <c r="DH43" s="1246"/>
      <c r="DI43" s="1246"/>
      <c r="DJ43" s="1246"/>
      <c r="DK43" s="1246"/>
      <c r="DL43" s="1246"/>
      <c r="DM43" s="1246"/>
      <c r="DN43" s="1246"/>
      <c r="DO43" s="1246"/>
      <c r="DP43" s="1246"/>
      <c r="DQ43" s="1246"/>
      <c r="DR43" s="1246"/>
      <c r="DS43" s="1246"/>
      <c r="DT43" s="1246"/>
      <c r="DU43" s="1246"/>
      <c r="DV43" s="1246"/>
      <c r="DW43" s="1246"/>
      <c r="DX43" s="1246"/>
      <c r="DY43" s="1246"/>
      <c r="DZ43" s="1246"/>
      <c r="EA43" s="1246"/>
      <c r="EB43" s="1246"/>
      <c r="EC43" s="1246"/>
      <c r="ED43" s="1246"/>
      <c r="EE43" s="1246"/>
      <c r="EF43" s="1246"/>
      <c r="EG43" s="1246"/>
      <c r="EH43" s="1246"/>
      <c r="EI43" s="1246"/>
      <c r="EJ43" s="1246"/>
      <c r="EK43" s="1246"/>
      <c r="EL43" s="1246"/>
      <c r="EM43" s="1246"/>
      <c r="EN43" s="1246"/>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c r="HJ43" s="21"/>
      <c r="HK43" s="21"/>
      <c r="HL43" s="21"/>
      <c r="HM43" s="21"/>
      <c r="HN43" s="21"/>
      <c r="HO43" s="21"/>
      <c r="HP43" s="21"/>
      <c r="HQ43" s="21"/>
      <c r="HR43" s="21"/>
      <c r="HS43" s="21"/>
      <c r="HT43" s="21"/>
      <c r="HU43" s="21"/>
      <c r="HV43" s="21"/>
      <c r="HW43" s="21"/>
      <c r="HX43" s="21"/>
      <c r="HY43" s="21"/>
      <c r="HZ43" s="21"/>
      <c r="IA43" s="21"/>
      <c r="IB43" s="21"/>
      <c r="IC43" s="21"/>
      <c r="ID43" s="21"/>
      <c r="IE43" s="21"/>
      <c r="IF43" s="21"/>
      <c r="IG43" s="21"/>
      <c r="IH43" s="21"/>
      <c r="II43" s="21"/>
      <c r="IJ43" s="21"/>
      <c r="IK43" s="21"/>
      <c r="IL43" s="21"/>
      <c r="IM43" s="21"/>
      <c r="IN43" s="21"/>
      <c r="IO43" s="21"/>
      <c r="IP43" s="21"/>
      <c r="IQ43" s="21"/>
      <c r="IR43" s="21"/>
      <c r="IS43" s="21"/>
      <c r="IT43" s="21"/>
      <c r="IU43" s="21"/>
      <c r="IV43" s="21"/>
      <c r="IW43" s="21"/>
    </row>
    <row r="44" customFormat="false" ht="12.75" hidden="false" customHeight="false" outlineLevel="0" collapsed="false">
      <c r="A44" s="1229"/>
      <c r="B44" s="1269"/>
      <c r="C44" s="1269"/>
      <c r="D44" s="1261"/>
      <c r="E44" s="1261"/>
      <c r="F44" s="1261"/>
      <c r="G44" s="1261"/>
      <c r="H44" s="1261"/>
      <c r="I44" s="1246"/>
      <c r="J44" s="1261"/>
      <c r="K44" s="1261"/>
      <c r="L44" s="1261"/>
      <c r="M44" s="1261"/>
      <c r="N44" s="1261"/>
      <c r="O44" s="1246"/>
      <c r="P44" s="1246"/>
      <c r="Q44" s="1246"/>
      <c r="R44" s="1246"/>
      <c r="S44" s="1246"/>
      <c r="T44" s="1246"/>
      <c r="U44" s="1246"/>
      <c r="V44" s="1246"/>
      <c r="W44" s="1246"/>
      <c r="X44" s="1246"/>
      <c r="Y44" s="1246"/>
      <c r="Z44" s="1246"/>
      <c r="AA44" s="1246"/>
      <c r="AB44" s="1246"/>
      <c r="AC44" s="1246"/>
      <c r="AD44" s="1246"/>
      <c r="AE44" s="1246"/>
      <c r="AF44" s="1246"/>
      <c r="AG44" s="1246"/>
      <c r="AH44" s="1246"/>
      <c r="AI44" s="1246"/>
      <c r="AJ44" s="1246"/>
      <c r="AK44" s="1246"/>
      <c r="AL44" s="1246"/>
      <c r="AM44" s="1246"/>
      <c r="AN44" s="1246"/>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6"/>
      <c r="DD44" s="1246"/>
      <c r="DE44" s="1246"/>
      <c r="DF44" s="1246"/>
      <c r="DG44" s="1246"/>
      <c r="DH44" s="1246"/>
      <c r="DI44" s="1246"/>
      <c r="DJ44" s="1246"/>
      <c r="DK44" s="1246"/>
      <c r="DL44" s="1246"/>
      <c r="DM44" s="1246"/>
      <c r="DN44" s="1246"/>
      <c r="DO44" s="1246"/>
      <c r="DP44" s="1246"/>
      <c r="DQ44" s="1246"/>
      <c r="DR44" s="1246"/>
      <c r="DS44" s="1246"/>
      <c r="DT44" s="1246"/>
      <c r="DU44" s="1246"/>
      <c r="DV44" s="1246"/>
      <c r="DW44" s="1246"/>
      <c r="DX44" s="1246"/>
      <c r="DY44" s="1246"/>
      <c r="DZ44" s="1246"/>
      <c r="EA44" s="1246"/>
      <c r="EB44" s="1246"/>
      <c r="EC44" s="1246"/>
      <c r="ED44" s="1246"/>
      <c r="EE44" s="1246"/>
      <c r="EF44" s="1246"/>
      <c r="EG44" s="1246"/>
      <c r="EH44" s="1246"/>
      <c r="EI44" s="1246"/>
      <c r="EJ44" s="1246"/>
      <c r="EK44" s="1246"/>
      <c r="EL44" s="1246"/>
      <c r="EM44" s="1246"/>
      <c r="EN44" s="1246"/>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c r="HJ44" s="21"/>
      <c r="HK44" s="21"/>
      <c r="HL44" s="21"/>
      <c r="HM44" s="21"/>
      <c r="HN44" s="21"/>
      <c r="HO44" s="21"/>
      <c r="HP44" s="21"/>
      <c r="HQ44" s="21"/>
      <c r="HR44" s="21"/>
      <c r="HS44" s="21"/>
      <c r="HT44" s="21"/>
      <c r="HU44" s="21"/>
      <c r="HV44" s="21"/>
      <c r="HW44" s="21"/>
      <c r="HX44" s="21"/>
      <c r="HY44" s="21"/>
      <c r="HZ44" s="21"/>
      <c r="IA44" s="21"/>
      <c r="IB44" s="21"/>
      <c r="IC44" s="21"/>
      <c r="ID44" s="21"/>
      <c r="IE44" s="21"/>
      <c r="IF44" s="21"/>
      <c r="IG44" s="21"/>
      <c r="IH44" s="21"/>
      <c r="II44" s="21"/>
      <c r="IJ44" s="21"/>
      <c r="IK44" s="21"/>
      <c r="IL44" s="21"/>
      <c r="IM44" s="21"/>
      <c r="IN44" s="21"/>
      <c r="IO44" s="21"/>
      <c r="IP44" s="21"/>
      <c r="IQ44" s="21"/>
      <c r="IR44" s="21"/>
      <c r="IS44" s="21"/>
      <c r="IT44" s="21"/>
      <c r="IU44" s="21"/>
      <c r="IV44" s="21"/>
      <c r="IW44" s="21"/>
    </row>
    <row r="45" customFormat="false" ht="12.75" hidden="false" customHeight="false" outlineLevel="0" collapsed="false">
      <c r="A45" s="1229"/>
      <c r="B45" s="1269"/>
      <c r="C45" s="1269"/>
      <c r="D45" s="1261"/>
      <c r="E45" s="1261"/>
      <c r="F45" s="1261"/>
      <c r="G45" s="1261"/>
      <c r="H45" s="1261"/>
      <c r="I45" s="1246"/>
      <c r="J45" s="1261"/>
      <c r="K45" s="1261"/>
      <c r="L45" s="1261"/>
      <c r="M45" s="1261"/>
      <c r="N45" s="1261"/>
      <c r="O45" s="1246"/>
      <c r="P45" s="1246"/>
      <c r="Q45" s="1246"/>
      <c r="R45" s="1246"/>
      <c r="S45" s="1246"/>
      <c r="T45" s="1246"/>
      <c r="U45" s="1246"/>
      <c r="V45" s="1246"/>
      <c r="W45" s="1246"/>
      <c r="X45" s="1246"/>
      <c r="Y45" s="1246"/>
      <c r="Z45" s="1246"/>
      <c r="AA45" s="1246"/>
      <c r="AB45" s="1246"/>
      <c r="AC45" s="1246"/>
      <c r="AD45" s="1246"/>
      <c r="AE45" s="1246"/>
      <c r="AF45" s="1246"/>
      <c r="AG45" s="1246"/>
      <c r="AH45" s="1246"/>
      <c r="AI45" s="1246"/>
      <c r="AJ45" s="1246"/>
      <c r="AK45" s="1246"/>
      <c r="AL45" s="1246"/>
      <c r="AM45" s="1246"/>
      <c r="AN45" s="1246"/>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6"/>
      <c r="DD45" s="1246"/>
      <c r="DE45" s="1246"/>
      <c r="DF45" s="1246"/>
      <c r="DG45" s="1246"/>
      <c r="DH45" s="1246"/>
      <c r="DI45" s="1246"/>
      <c r="DJ45" s="1246"/>
      <c r="DK45" s="1246"/>
      <c r="DL45" s="1246"/>
      <c r="DM45" s="1246"/>
      <c r="DN45" s="1246"/>
      <c r="DO45" s="1246"/>
      <c r="DP45" s="1246"/>
      <c r="DQ45" s="1246"/>
      <c r="DR45" s="1246"/>
      <c r="DS45" s="1246"/>
      <c r="DT45" s="1246"/>
      <c r="DU45" s="1246"/>
      <c r="DV45" s="1246"/>
      <c r="DW45" s="1246"/>
      <c r="DX45" s="1246"/>
      <c r="DY45" s="1246"/>
      <c r="DZ45" s="1246"/>
      <c r="EA45" s="1246"/>
      <c r="EB45" s="1246"/>
      <c r="EC45" s="1246"/>
      <c r="ED45" s="1246"/>
      <c r="EE45" s="1246"/>
      <c r="EF45" s="1246"/>
      <c r="EG45" s="1246"/>
      <c r="EH45" s="1246"/>
      <c r="EI45" s="1246"/>
      <c r="EJ45" s="1246"/>
      <c r="EK45" s="1246"/>
      <c r="EL45" s="1246"/>
      <c r="EM45" s="1246"/>
      <c r="EN45" s="1246"/>
      <c r="EO45" s="21"/>
      <c r="EP45" s="21"/>
      <c r="EQ45" s="21"/>
      <c r="ER45" s="21"/>
      <c r="ES45" s="21"/>
      <c r="ET45" s="21"/>
      <c r="EU45" s="21"/>
      <c r="EV45" s="21"/>
      <c r="EW45" s="21"/>
      <c r="EX45" s="21"/>
      <c r="EY45" s="21"/>
      <c r="EZ45" s="21"/>
      <c r="FA45" s="21"/>
      <c r="FB45" s="21"/>
      <c r="FC45" s="21"/>
      <c r="FD45" s="21"/>
      <c r="FE45" s="21"/>
      <c r="FF45" s="21"/>
      <c r="FG45" s="21"/>
      <c r="FH45" s="21"/>
      <c r="FI45" s="21"/>
      <c r="FJ45" s="21"/>
      <c r="FK45" s="21"/>
      <c r="FL45" s="21"/>
      <c r="FM45" s="21"/>
      <c r="FN45" s="21"/>
      <c r="FO45" s="21"/>
      <c r="FP45" s="21"/>
      <c r="FQ45" s="21"/>
      <c r="FR45" s="21"/>
      <c r="FS45" s="21"/>
      <c r="FT45" s="21"/>
      <c r="FU45" s="21"/>
      <c r="FV45" s="21"/>
      <c r="FW45" s="21"/>
      <c r="FX45" s="21"/>
      <c r="FY45" s="21"/>
      <c r="FZ45" s="21"/>
      <c r="GA45" s="21"/>
      <c r="GB45" s="21"/>
      <c r="GC45" s="21"/>
      <c r="GD45" s="21"/>
      <c r="GE45" s="21"/>
      <c r="GF45" s="21"/>
      <c r="GG45" s="21"/>
      <c r="GH45" s="21"/>
      <c r="GI45" s="21"/>
      <c r="GJ45" s="21"/>
      <c r="GK45" s="21"/>
      <c r="GL45" s="21"/>
      <c r="GM45" s="21"/>
      <c r="GN45" s="21"/>
      <c r="GO45" s="21"/>
      <c r="GP45" s="21"/>
      <c r="GQ45" s="21"/>
      <c r="GR45" s="21"/>
      <c r="GS45" s="21"/>
      <c r="GT45" s="21"/>
      <c r="GU45" s="21"/>
      <c r="GV45" s="21"/>
      <c r="GW45" s="21"/>
      <c r="GX45" s="21"/>
      <c r="GY45" s="21"/>
      <c r="GZ45" s="21"/>
      <c r="HA45" s="21"/>
      <c r="HB45" s="21"/>
      <c r="HC45" s="21"/>
      <c r="HD45" s="21"/>
      <c r="HE45" s="21"/>
      <c r="HF45" s="21"/>
      <c r="HG45" s="21"/>
      <c r="HH45" s="21"/>
      <c r="HI45" s="21"/>
      <c r="HJ45" s="21"/>
      <c r="HK45" s="21"/>
      <c r="HL45" s="21"/>
      <c r="HM45" s="21"/>
      <c r="HN45" s="21"/>
      <c r="HO45" s="21"/>
      <c r="HP45" s="21"/>
      <c r="HQ45" s="21"/>
      <c r="HR45" s="21"/>
      <c r="HS45" s="21"/>
      <c r="HT45" s="21"/>
      <c r="HU45" s="21"/>
      <c r="HV45" s="21"/>
      <c r="HW45" s="21"/>
      <c r="HX45" s="21"/>
      <c r="HY45" s="21"/>
      <c r="HZ45" s="21"/>
      <c r="IA45" s="21"/>
      <c r="IB45" s="21"/>
      <c r="IC45" s="21"/>
      <c r="ID45" s="21"/>
      <c r="IE45" s="21"/>
      <c r="IF45" s="21"/>
      <c r="IG45" s="21"/>
      <c r="IH45" s="21"/>
      <c r="II45" s="21"/>
      <c r="IJ45" s="21"/>
      <c r="IK45" s="21"/>
      <c r="IL45" s="21"/>
      <c r="IM45" s="21"/>
      <c r="IN45" s="21"/>
      <c r="IO45" s="21"/>
      <c r="IP45" s="21"/>
      <c r="IQ45" s="21"/>
      <c r="IR45" s="21"/>
      <c r="IS45" s="21"/>
      <c r="IT45" s="21"/>
      <c r="IU45" s="21"/>
      <c r="IV45" s="21"/>
      <c r="IW45" s="21"/>
    </row>
    <row r="46" customFormat="false" ht="12.75" hidden="false" customHeight="false" outlineLevel="0" collapsed="false">
      <c r="A46" s="176"/>
      <c r="B46" s="129" t="s">
        <v>778</v>
      </c>
      <c r="C46" s="124"/>
      <c r="D46" s="124" t="s">
        <v>426</v>
      </c>
      <c r="F46" s="1194"/>
      <c r="G46" s="1194"/>
      <c r="H46" s="1194"/>
      <c r="I46" s="1194"/>
      <c r="J46" s="1194"/>
      <c r="K46" s="1194"/>
      <c r="L46" s="1194"/>
      <c r="M46" s="1194"/>
      <c r="N46" s="1194"/>
      <c r="O46" s="1194"/>
      <c r="P46" s="1194"/>
      <c r="Q46" s="1194"/>
      <c r="R46" s="1194"/>
      <c r="S46" s="1194"/>
      <c r="T46" s="1194"/>
      <c r="U46" s="1194"/>
      <c r="V46" s="1194"/>
      <c r="W46" s="1194"/>
      <c r="X46" s="1194"/>
      <c r="Y46" s="1194"/>
      <c r="Z46" s="1194"/>
      <c r="AA46" s="1194"/>
      <c r="AB46" s="1194"/>
      <c r="AC46" s="1194"/>
      <c r="AD46" s="1194"/>
      <c r="AE46" s="1194"/>
      <c r="AF46" s="1194"/>
      <c r="AG46" s="1194"/>
      <c r="AH46" s="1194"/>
      <c r="AI46" s="1194"/>
      <c r="AJ46" s="124"/>
      <c r="AK46" s="124"/>
      <c r="AL46" s="124"/>
      <c r="AM46" s="124"/>
      <c r="AN46" s="124"/>
      <c r="AO46" s="124"/>
      <c r="AP46" s="124"/>
      <c r="AQ46" s="124"/>
      <c r="AR46" s="124"/>
      <c r="AS46" s="124"/>
      <c r="AT46" s="124"/>
      <c r="AU46" s="124"/>
      <c r="AV46" s="124"/>
      <c r="AW46" s="124"/>
      <c r="AX46" s="124"/>
      <c r="AY46" s="124"/>
      <c r="AZ46" s="124"/>
      <c r="BA46" s="124"/>
      <c r="BB46" s="124"/>
      <c r="BC46" s="124"/>
      <c r="BD46" s="124"/>
      <c r="BE46" s="124"/>
      <c r="BF46" s="124"/>
      <c r="BG46" s="124"/>
      <c r="BH46" s="124"/>
      <c r="BI46" s="124"/>
      <c r="BJ46" s="124"/>
      <c r="BK46" s="124"/>
      <c r="BL46" s="124"/>
      <c r="BM46" s="124"/>
      <c r="BN46" s="124"/>
      <c r="BO46" s="124"/>
      <c r="BP46" s="124"/>
      <c r="BQ46" s="124"/>
      <c r="BR46" s="124"/>
      <c r="BS46" s="124"/>
      <c r="BT46" s="124"/>
      <c r="BU46" s="124"/>
      <c r="BV46" s="124"/>
      <c r="BW46" s="124"/>
      <c r="BX46" s="124"/>
      <c r="BY46" s="124"/>
      <c r="BZ46" s="124"/>
      <c r="CA46" s="124"/>
      <c r="CB46" s="124"/>
      <c r="CC46" s="124"/>
      <c r="CD46" s="124"/>
      <c r="CE46" s="124"/>
      <c r="CF46" s="124"/>
      <c r="CG46" s="124"/>
      <c r="CH46" s="124"/>
      <c r="CI46" s="124"/>
      <c r="CJ46" s="124"/>
      <c r="CK46" s="124"/>
      <c r="CL46" s="124"/>
      <c r="CM46" s="124"/>
      <c r="CN46" s="124"/>
      <c r="CO46" s="124"/>
      <c r="CP46" s="124"/>
      <c r="CQ46" s="124"/>
      <c r="CR46" s="124"/>
      <c r="CS46" s="124"/>
      <c r="CT46" s="124"/>
      <c r="CU46" s="124"/>
      <c r="CV46" s="124"/>
      <c r="CW46" s="124"/>
      <c r="CX46" s="124"/>
      <c r="CY46" s="124"/>
      <c r="CZ46" s="124"/>
      <c r="DA46" s="124"/>
      <c r="DB46" s="124"/>
      <c r="DC46" s="124"/>
      <c r="DD46" s="124"/>
      <c r="DE46" s="124"/>
      <c r="DF46" s="124"/>
      <c r="DG46" s="124"/>
      <c r="DH46" s="124"/>
      <c r="DI46" s="124"/>
      <c r="DJ46" s="124"/>
      <c r="DK46" s="124"/>
      <c r="DL46" s="124"/>
      <c r="DM46" s="124"/>
      <c r="DN46" s="124"/>
      <c r="DO46" s="124"/>
      <c r="DP46" s="124"/>
      <c r="DQ46" s="124"/>
      <c r="DR46" s="124"/>
      <c r="DS46" s="124"/>
      <c r="DT46" s="124"/>
      <c r="DU46" s="124"/>
      <c r="DV46" s="124"/>
      <c r="DW46" s="124"/>
      <c r="DX46" s="124"/>
      <c r="DY46" s="124"/>
      <c r="DZ46" s="124"/>
      <c r="EA46" s="124"/>
      <c r="EB46" s="124"/>
      <c r="EC46" s="124"/>
      <c r="ED46" s="124"/>
      <c r="EE46" s="124"/>
      <c r="EF46" s="124"/>
      <c r="EG46" s="124"/>
      <c r="EH46" s="124"/>
      <c r="EI46" s="124"/>
      <c r="EJ46" s="124"/>
      <c r="EK46" s="124"/>
      <c r="EL46" s="124"/>
    </row>
    <row r="47" customFormat="false" ht="12.75" hidden="false" customHeight="false" outlineLevel="0" collapsed="false">
      <c r="A47" s="176"/>
      <c r="B47" s="124"/>
      <c r="C47" s="124"/>
      <c r="D47" s="1195" t="n">
        <f aca="false">Assum!F24</f>
        <v>35795</v>
      </c>
      <c r="E47" s="1196" t="n">
        <f aca="false">IF(Assum!$F$25-274&lt;D47,D47,Assum!$F$25-274)</f>
        <v>35885</v>
      </c>
      <c r="F47" s="1197" t="n">
        <f aca="false">EDATE(E50,3)</f>
        <v>36250</v>
      </c>
      <c r="G47" s="1197" t="n">
        <f aca="false">EDATE(F50,3)</f>
        <v>36616</v>
      </c>
      <c r="H47" s="1197" t="n">
        <f aca="false">EDATE(G50,3)</f>
        <v>36981</v>
      </c>
      <c r="I47" s="1197" t="n">
        <f aca="false">EDATE(H50,3)</f>
        <v>37346</v>
      </c>
      <c r="J47" s="1197" t="n">
        <f aca="false">EDATE(I50,3)</f>
        <v>37711</v>
      </c>
      <c r="K47" s="1197" t="n">
        <f aca="false">EDATE(J50,3)</f>
        <v>38077</v>
      </c>
      <c r="L47" s="1197" t="n">
        <f aca="false">EDATE(K50,3)</f>
        <v>38442</v>
      </c>
      <c r="M47" s="1197" t="n">
        <f aca="false">EDATE(L50,3)</f>
        <v>38807</v>
      </c>
      <c r="N47" s="1197" t="n">
        <f aca="false">EDATE(M50,3)</f>
        <v>39172</v>
      </c>
      <c r="O47" s="1197" t="n">
        <f aca="false">EDATE(N50,3)</f>
        <v>39538</v>
      </c>
      <c r="P47" s="1197" t="n">
        <f aca="false">EDATE(O50,3)</f>
        <v>39903</v>
      </c>
      <c r="Q47" s="1197" t="n">
        <f aca="false">EDATE(P50,3)</f>
        <v>40268</v>
      </c>
      <c r="R47" s="1197" t="n">
        <f aca="false">EDATE(Q50,3)</f>
        <v>40633</v>
      </c>
      <c r="S47" s="1197" t="n">
        <f aca="false">EDATE(R50,3)</f>
        <v>40999</v>
      </c>
      <c r="T47" s="1197" t="n">
        <f aca="false">EDATE(S50,3)</f>
        <v>41364</v>
      </c>
      <c r="U47" s="1197" t="n">
        <f aca="false">EDATE(T50,3)</f>
        <v>41729</v>
      </c>
      <c r="V47" s="1197" t="n">
        <f aca="false">EDATE(U50,3)</f>
        <v>42094</v>
      </c>
      <c r="W47" s="1197" t="n">
        <f aca="false">EDATE(V50,3)</f>
        <v>42460</v>
      </c>
      <c r="X47" s="1197" t="n">
        <f aca="false">EDATE(W50,3)</f>
        <v>42825</v>
      </c>
      <c r="Y47" s="1197" t="n">
        <f aca="false">EDATE(X50,3)</f>
        <v>43190</v>
      </c>
      <c r="Z47" s="1197" t="n">
        <f aca="false">EDATE(Y50,3)</f>
        <v>43555</v>
      </c>
      <c r="AA47" s="1197" t="n">
        <f aca="false">EDATE(Z50,3)</f>
        <v>43921</v>
      </c>
      <c r="AB47" s="1197" t="n">
        <f aca="false">EDATE(AA50,3)</f>
        <v>44286</v>
      </c>
      <c r="AC47" s="1197" t="n">
        <f aca="false">EDATE(AB50,3)</f>
        <v>44651</v>
      </c>
      <c r="AD47" s="1197" t="n">
        <f aca="false">EDATE(AC50,3)</f>
        <v>45016</v>
      </c>
      <c r="AE47" s="1197" t="n">
        <f aca="false">EDATE(AD50,3)</f>
        <v>45382</v>
      </c>
      <c r="AF47" s="1197" t="n">
        <f aca="false">EDATE(AE50,3)</f>
        <v>45747</v>
      </c>
      <c r="AG47" s="1197" t="n">
        <f aca="false">EDATE(AF50,3)</f>
        <v>46112</v>
      </c>
      <c r="AH47" s="1197" t="n">
        <f aca="false">EDATE(AG50,3)</f>
        <v>46477</v>
      </c>
      <c r="AI47" s="1197" t="n">
        <f aca="false">EDATE(AH50,3)</f>
        <v>46843</v>
      </c>
      <c r="AJ47" s="124"/>
      <c r="AK47" s="124"/>
      <c r="AL47" s="124"/>
      <c r="AM47" s="124"/>
      <c r="AN47" s="124"/>
      <c r="AO47" s="124"/>
      <c r="AP47" s="124"/>
      <c r="AQ47" s="124"/>
      <c r="AR47" s="124"/>
      <c r="AS47" s="124"/>
      <c r="AT47" s="124"/>
      <c r="AU47" s="124"/>
      <c r="AV47" s="124"/>
      <c r="AW47" s="124"/>
      <c r="AX47" s="124"/>
      <c r="AY47" s="124"/>
      <c r="AZ47" s="124"/>
      <c r="BA47" s="124"/>
      <c r="BB47" s="124"/>
      <c r="BC47" s="124"/>
      <c r="BD47" s="124"/>
      <c r="BE47" s="124"/>
      <c r="BF47" s="124"/>
      <c r="BG47" s="124"/>
      <c r="BH47" s="124"/>
      <c r="BI47" s="124"/>
      <c r="BJ47" s="124"/>
      <c r="BK47" s="124"/>
      <c r="BL47" s="124"/>
      <c r="BM47" s="124"/>
      <c r="BN47" s="124"/>
      <c r="BO47" s="124"/>
      <c r="BP47" s="124"/>
      <c r="BQ47" s="124"/>
      <c r="BR47" s="124"/>
      <c r="BS47" s="124"/>
      <c r="BT47" s="124"/>
      <c r="BU47" s="124"/>
      <c r="BV47" s="124"/>
      <c r="BW47" s="124"/>
      <c r="BX47" s="124"/>
      <c r="BY47" s="124"/>
      <c r="BZ47" s="124"/>
      <c r="CA47" s="124"/>
      <c r="CB47" s="124"/>
      <c r="CC47" s="124"/>
      <c r="CD47" s="124"/>
      <c r="CE47" s="124"/>
      <c r="CF47" s="124"/>
      <c r="CG47" s="124"/>
      <c r="CH47" s="124"/>
      <c r="CI47" s="124"/>
      <c r="CJ47" s="124"/>
      <c r="CK47" s="124"/>
      <c r="CL47" s="124"/>
      <c r="CM47" s="124"/>
      <c r="CN47" s="124"/>
      <c r="CO47" s="124"/>
      <c r="CP47" s="124"/>
      <c r="CQ47" s="124"/>
      <c r="CR47" s="124"/>
      <c r="CS47" s="124"/>
      <c r="CT47" s="124"/>
      <c r="CU47" s="124"/>
      <c r="CV47" s="124"/>
      <c r="CW47" s="124"/>
      <c r="CX47" s="124"/>
      <c r="CY47" s="124"/>
      <c r="CZ47" s="124"/>
      <c r="DA47" s="124"/>
      <c r="DB47" s="124"/>
      <c r="DC47" s="124"/>
      <c r="DD47" s="124"/>
      <c r="DE47" s="124"/>
      <c r="DF47" s="124"/>
      <c r="DG47" s="124"/>
      <c r="DH47" s="124"/>
      <c r="DI47" s="124"/>
      <c r="DJ47" s="124"/>
      <c r="DK47" s="124"/>
      <c r="DL47" s="124"/>
      <c r="DM47" s="124"/>
      <c r="DN47" s="124"/>
      <c r="DO47" s="124"/>
      <c r="DP47" s="124"/>
      <c r="DQ47" s="124"/>
      <c r="DR47" s="124"/>
      <c r="DS47" s="124"/>
      <c r="DT47" s="124"/>
      <c r="DU47" s="124"/>
      <c r="DV47" s="124"/>
      <c r="DW47" s="124"/>
      <c r="DX47" s="124"/>
      <c r="DY47" s="124"/>
      <c r="DZ47" s="124"/>
      <c r="EA47" s="124"/>
      <c r="EB47" s="124"/>
      <c r="EC47" s="124"/>
      <c r="ED47" s="124"/>
      <c r="EE47" s="124"/>
      <c r="EF47" s="124"/>
      <c r="EG47" s="124"/>
      <c r="EH47" s="124"/>
      <c r="EI47" s="124"/>
      <c r="EJ47" s="124"/>
      <c r="EK47" s="124"/>
      <c r="EL47" s="124"/>
    </row>
    <row r="48" customFormat="false" ht="12.75" hidden="false" customHeight="false" outlineLevel="0" collapsed="false">
      <c r="A48" s="176"/>
      <c r="B48" s="124"/>
      <c r="C48" s="124"/>
      <c r="D48" s="1198" t="n">
        <f aca="false">$D$47</f>
        <v>35795</v>
      </c>
      <c r="E48" s="1199" t="n">
        <f aca="false">IF(Assum!$F$25-182&lt;D48,D48,Assum!$F$25-182)</f>
        <v>35977</v>
      </c>
      <c r="F48" s="1200" t="n">
        <f aca="false">EDATE(F47,3)</f>
        <v>36341</v>
      </c>
      <c r="G48" s="1200" t="n">
        <f aca="false">EDATE(G47,3)</f>
        <v>36707</v>
      </c>
      <c r="H48" s="1200" t="n">
        <f aca="false">EDATE(H47,3)</f>
        <v>37072</v>
      </c>
      <c r="I48" s="1200" t="n">
        <f aca="false">EDATE(I47,3)</f>
        <v>37437</v>
      </c>
      <c r="J48" s="1200" t="n">
        <f aca="false">EDATE(J47,3)</f>
        <v>37802</v>
      </c>
      <c r="K48" s="1200" t="n">
        <f aca="false">EDATE(K47,3)</f>
        <v>38168</v>
      </c>
      <c r="L48" s="1200" t="n">
        <f aca="false">EDATE(L47,3)</f>
        <v>38533</v>
      </c>
      <c r="M48" s="1200" t="n">
        <f aca="false">EDATE(M47,3)</f>
        <v>38898</v>
      </c>
      <c r="N48" s="1200" t="n">
        <f aca="false">EDATE(N47,3)</f>
        <v>39263</v>
      </c>
      <c r="O48" s="1200" t="n">
        <f aca="false">EDATE(O47,3)</f>
        <v>39629</v>
      </c>
      <c r="P48" s="1200" t="n">
        <f aca="false">EDATE(P47,3)</f>
        <v>39994</v>
      </c>
      <c r="Q48" s="1200" t="n">
        <f aca="false">EDATE(Q47,3)</f>
        <v>40359</v>
      </c>
      <c r="R48" s="1200" t="n">
        <f aca="false">EDATE(R47,3)</f>
        <v>40724</v>
      </c>
      <c r="S48" s="1200" t="n">
        <f aca="false">EDATE(S47,3)</f>
        <v>41090</v>
      </c>
      <c r="T48" s="1200" t="n">
        <f aca="false">EDATE(T47,3)</f>
        <v>41455</v>
      </c>
      <c r="U48" s="1200" t="n">
        <f aca="false">EDATE(U47,3)</f>
        <v>41820</v>
      </c>
      <c r="V48" s="1200" t="n">
        <f aca="false">EDATE(V47,3)</f>
        <v>42185</v>
      </c>
      <c r="W48" s="1200" t="n">
        <f aca="false">EDATE(W47,3)</f>
        <v>42551</v>
      </c>
      <c r="X48" s="1200" t="n">
        <f aca="false">EDATE(X47,3)</f>
        <v>42916</v>
      </c>
      <c r="Y48" s="1200" t="n">
        <f aca="false">EDATE(Y47,3)</f>
        <v>43281</v>
      </c>
      <c r="Z48" s="1200" t="n">
        <f aca="false">EDATE(Z47,3)</f>
        <v>43646</v>
      </c>
      <c r="AA48" s="1200" t="n">
        <f aca="false">EDATE(AA47,3)</f>
        <v>44012</v>
      </c>
      <c r="AB48" s="1200" t="n">
        <f aca="false">EDATE(AB47,3)</f>
        <v>44377</v>
      </c>
      <c r="AC48" s="1200" t="n">
        <f aca="false">EDATE(AC47,3)</f>
        <v>44742</v>
      </c>
      <c r="AD48" s="1200" t="n">
        <f aca="false">EDATE(AD47,3)</f>
        <v>45107</v>
      </c>
      <c r="AE48" s="1200" t="n">
        <f aca="false">EDATE(AE47,3)</f>
        <v>45473</v>
      </c>
      <c r="AF48" s="1200" t="n">
        <f aca="false">EDATE(AF47,3)</f>
        <v>45838</v>
      </c>
      <c r="AG48" s="1200" t="n">
        <f aca="false">EDATE(AG47,3)</f>
        <v>46203</v>
      </c>
      <c r="AH48" s="1200" t="n">
        <f aca="false">EDATE(AH47,3)</f>
        <v>46568</v>
      </c>
      <c r="AI48" s="1201" t="n">
        <f aca="false">EDATE(AI47,3)</f>
        <v>46934</v>
      </c>
      <c r="AJ48" s="124"/>
      <c r="AK48" s="124"/>
      <c r="AL48" s="124"/>
      <c r="AM48" s="124"/>
      <c r="AN48" s="124"/>
      <c r="AO48" s="124"/>
      <c r="AP48" s="124"/>
      <c r="AQ48" s="124"/>
      <c r="AR48" s="124"/>
      <c r="AS48" s="124"/>
      <c r="AT48" s="124"/>
      <c r="AU48" s="124"/>
      <c r="AV48" s="124"/>
      <c r="AW48" s="124"/>
      <c r="AX48" s="124"/>
      <c r="AY48" s="124"/>
      <c r="AZ48" s="124"/>
      <c r="BA48" s="124"/>
      <c r="BB48" s="124"/>
      <c r="BC48" s="124"/>
      <c r="BD48" s="124"/>
      <c r="BE48" s="124"/>
      <c r="BF48" s="124"/>
      <c r="BG48" s="124"/>
      <c r="BH48" s="124"/>
      <c r="BI48" s="124"/>
      <c r="BJ48" s="124"/>
      <c r="BK48" s="124"/>
      <c r="BL48" s="124"/>
      <c r="BM48" s="124"/>
      <c r="BN48" s="124"/>
      <c r="BO48" s="124"/>
      <c r="BP48" s="124"/>
      <c r="BQ48" s="124"/>
      <c r="BR48" s="124"/>
      <c r="BS48" s="124"/>
      <c r="BT48" s="124"/>
      <c r="BU48" s="124"/>
      <c r="BV48" s="124"/>
      <c r="BW48" s="124"/>
      <c r="BX48" s="124"/>
      <c r="BY48" s="124"/>
      <c r="BZ48" s="124"/>
      <c r="CA48" s="124"/>
      <c r="CB48" s="124"/>
      <c r="CC48" s="124"/>
      <c r="CD48" s="124"/>
      <c r="CE48" s="124"/>
      <c r="CF48" s="124"/>
      <c r="CG48" s="124"/>
      <c r="CH48" s="124"/>
      <c r="CI48" s="124"/>
      <c r="CJ48" s="124"/>
      <c r="CK48" s="124"/>
      <c r="CL48" s="124"/>
      <c r="CM48" s="124"/>
      <c r="CN48" s="124"/>
      <c r="CO48" s="124"/>
      <c r="CP48" s="124"/>
      <c r="CQ48" s="124"/>
      <c r="CR48" s="124"/>
      <c r="CS48" s="124"/>
      <c r="CT48" s="124"/>
      <c r="CU48" s="124"/>
      <c r="CV48" s="124"/>
      <c r="CW48" s="124"/>
      <c r="CX48" s="124"/>
      <c r="CY48" s="124"/>
      <c r="CZ48" s="124"/>
      <c r="DA48" s="124"/>
      <c r="DB48" s="124"/>
      <c r="DC48" s="124"/>
      <c r="DD48" s="124"/>
      <c r="DE48" s="124"/>
      <c r="DF48" s="124"/>
      <c r="DG48" s="124"/>
      <c r="DH48" s="124"/>
      <c r="DI48" s="124"/>
      <c r="DJ48" s="124"/>
      <c r="DK48" s="124"/>
      <c r="DL48" s="124"/>
      <c r="DM48" s="124"/>
      <c r="DN48" s="124"/>
      <c r="DO48" s="124"/>
      <c r="DP48" s="124"/>
      <c r="DQ48" s="124"/>
      <c r="DR48" s="124"/>
      <c r="DS48" s="124"/>
      <c r="DT48" s="124"/>
      <c r="DU48" s="124"/>
      <c r="DV48" s="124"/>
      <c r="DW48" s="124"/>
      <c r="DX48" s="124"/>
      <c r="DY48" s="124"/>
      <c r="DZ48" s="124"/>
      <c r="EA48" s="124"/>
      <c r="EB48" s="124"/>
      <c r="EC48" s="124"/>
      <c r="ED48" s="124"/>
      <c r="EE48" s="124"/>
      <c r="EF48" s="124"/>
      <c r="EG48" s="124"/>
      <c r="EH48" s="124"/>
      <c r="EI48" s="124"/>
      <c r="EJ48" s="124"/>
      <c r="EK48" s="124"/>
      <c r="EL48" s="124"/>
    </row>
    <row r="49" customFormat="false" ht="12.75" hidden="false" customHeight="false" outlineLevel="0" collapsed="false">
      <c r="A49" s="176"/>
      <c r="B49" s="124"/>
      <c r="C49" s="124"/>
      <c r="D49" s="1198" t="n">
        <f aca="false">$D$47</f>
        <v>35795</v>
      </c>
      <c r="E49" s="1199" t="n">
        <f aca="false">IF(Assum!$F$25-92&lt;D49,D49,Assum!$F$25-92)</f>
        <v>36067</v>
      </c>
      <c r="F49" s="1200" t="n">
        <f aca="false">EDATE(F48,3)</f>
        <v>36433</v>
      </c>
      <c r="G49" s="1200" t="n">
        <f aca="false">EDATE(G48,3)</f>
        <v>36799</v>
      </c>
      <c r="H49" s="1200" t="n">
        <f aca="false">EDATE(H48,3)</f>
        <v>37164</v>
      </c>
      <c r="I49" s="1200" t="n">
        <f aca="false">EDATE(I48,3)</f>
        <v>37529</v>
      </c>
      <c r="J49" s="1200" t="n">
        <f aca="false">EDATE(J48,3)</f>
        <v>37894</v>
      </c>
      <c r="K49" s="1200" t="n">
        <f aca="false">EDATE(K48,3)</f>
        <v>38260</v>
      </c>
      <c r="L49" s="1200" t="n">
        <f aca="false">EDATE(L48,3)</f>
        <v>38625</v>
      </c>
      <c r="M49" s="1200" t="n">
        <f aca="false">EDATE(M48,3)</f>
        <v>38990</v>
      </c>
      <c r="N49" s="1200" t="n">
        <f aca="false">EDATE(N48,3)</f>
        <v>39355</v>
      </c>
      <c r="O49" s="1200" t="n">
        <f aca="false">EDATE(O48,3)</f>
        <v>39721</v>
      </c>
      <c r="P49" s="1200" t="n">
        <f aca="false">EDATE(P48,3)</f>
        <v>40086</v>
      </c>
      <c r="Q49" s="1200" t="n">
        <f aca="false">EDATE(Q48,3)</f>
        <v>40451</v>
      </c>
      <c r="R49" s="1200" t="n">
        <f aca="false">EDATE(R48,3)</f>
        <v>40816</v>
      </c>
      <c r="S49" s="1200" t="n">
        <f aca="false">EDATE(S48,3)</f>
        <v>41182</v>
      </c>
      <c r="T49" s="1200" t="n">
        <f aca="false">EDATE(T48,3)</f>
        <v>41547</v>
      </c>
      <c r="U49" s="1200" t="n">
        <f aca="false">EDATE(U48,3)</f>
        <v>41912</v>
      </c>
      <c r="V49" s="1200" t="n">
        <f aca="false">EDATE(V48,3)</f>
        <v>42277</v>
      </c>
      <c r="W49" s="1200" t="n">
        <f aca="false">EDATE(W48,3)</f>
        <v>42643</v>
      </c>
      <c r="X49" s="1200" t="n">
        <f aca="false">EDATE(X48,3)</f>
        <v>43008</v>
      </c>
      <c r="Y49" s="1200" t="n">
        <f aca="false">EDATE(Y48,3)</f>
        <v>43373</v>
      </c>
      <c r="Z49" s="1200" t="n">
        <f aca="false">EDATE(Z48,3)</f>
        <v>43738</v>
      </c>
      <c r="AA49" s="1200" t="n">
        <f aca="false">EDATE(AA48,3)</f>
        <v>44104</v>
      </c>
      <c r="AB49" s="1200" t="n">
        <f aca="false">EDATE(AB48,3)</f>
        <v>44469</v>
      </c>
      <c r="AC49" s="1200" t="n">
        <f aca="false">EDATE(AC48,3)</f>
        <v>44834</v>
      </c>
      <c r="AD49" s="1200" t="n">
        <f aca="false">EDATE(AD48,3)</f>
        <v>45199</v>
      </c>
      <c r="AE49" s="1200" t="n">
        <f aca="false">EDATE(AE48,3)</f>
        <v>45565</v>
      </c>
      <c r="AF49" s="1200" t="n">
        <f aca="false">EDATE(AF48,3)</f>
        <v>45930</v>
      </c>
      <c r="AG49" s="1200" t="n">
        <f aca="false">EDATE(AG48,3)</f>
        <v>46295</v>
      </c>
      <c r="AH49" s="1200" t="n">
        <f aca="false">EDATE(AH48,3)</f>
        <v>46660</v>
      </c>
      <c r="AI49" s="1200" t="n">
        <f aca="false">EDATE(AI48,3)</f>
        <v>47026</v>
      </c>
      <c r="AJ49" s="124"/>
      <c r="AK49" s="124"/>
      <c r="AL49" s="124"/>
      <c r="AM49" s="124"/>
      <c r="AN49" s="124"/>
      <c r="AO49" s="124"/>
      <c r="AP49" s="124"/>
      <c r="AQ49" s="124"/>
      <c r="AR49" s="124"/>
      <c r="AS49" s="124"/>
      <c r="AT49" s="124"/>
      <c r="AU49" s="124"/>
      <c r="AV49" s="124"/>
      <c r="AW49" s="124"/>
      <c r="AX49" s="124"/>
      <c r="AY49" s="124"/>
      <c r="AZ49" s="124"/>
      <c r="BA49" s="124"/>
      <c r="BB49" s="124"/>
      <c r="BC49" s="124"/>
      <c r="BD49" s="124"/>
      <c r="BE49" s="124"/>
      <c r="BF49" s="124"/>
      <c r="BG49" s="124"/>
      <c r="BH49" s="124"/>
      <c r="BI49" s="124"/>
      <c r="BJ49" s="124"/>
      <c r="BK49" s="124"/>
      <c r="BL49" s="124"/>
      <c r="BM49" s="124"/>
      <c r="BN49" s="124"/>
      <c r="BO49" s="124"/>
      <c r="BP49" s="124"/>
      <c r="BQ49" s="124"/>
      <c r="BR49" s="124"/>
      <c r="BS49" s="124"/>
      <c r="BT49" s="124"/>
      <c r="BU49" s="124"/>
      <c r="BV49" s="124"/>
      <c r="BW49" s="124"/>
      <c r="BX49" s="124"/>
      <c r="BY49" s="124"/>
      <c r="BZ49" s="124"/>
      <c r="CA49" s="124"/>
      <c r="CB49" s="124"/>
      <c r="CC49" s="124"/>
      <c r="CD49" s="124"/>
      <c r="CE49" s="124"/>
      <c r="CF49" s="124"/>
      <c r="CG49" s="124"/>
      <c r="CH49" s="124"/>
      <c r="CI49" s="124"/>
      <c r="CJ49" s="124"/>
      <c r="CK49" s="124"/>
      <c r="CL49" s="124"/>
      <c r="CM49" s="124"/>
      <c r="CN49" s="124"/>
      <c r="CO49" s="124"/>
      <c r="CP49" s="124"/>
      <c r="CQ49" s="124"/>
      <c r="CR49" s="124"/>
      <c r="CS49" s="124"/>
      <c r="CT49" s="124"/>
      <c r="CU49" s="124"/>
      <c r="CV49" s="124"/>
      <c r="CW49" s="124"/>
      <c r="CX49" s="124"/>
      <c r="CY49" s="124"/>
      <c r="CZ49" s="124"/>
      <c r="DA49" s="124"/>
      <c r="DB49" s="124"/>
      <c r="DC49" s="124"/>
      <c r="DD49" s="124"/>
      <c r="DE49" s="124"/>
      <c r="DF49" s="124"/>
      <c r="DG49" s="124"/>
      <c r="DH49" s="124"/>
      <c r="DI49" s="124"/>
      <c r="DJ49" s="124"/>
      <c r="DK49" s="124"/>
      <c r="DL49" s="124"/>
      <c r="DM49" s="124"/>
      <c r="DN49" s="124"/>
      <c r="DO49" s="124"/>
      <c r="DP49" s="124"/>
      <c r="DQ49" s="124"/>
      <c r="DR49" s="124"/>
      <c r="DS49" s="124"/>
      <c r="DT49" s="124"/>
      <c r="DU49" s="124"/>
      <c r="DV49" s="124"/>
      <c r="DW49" s="124"/>
      <c r="DX49" s="124"/>
      <c r="DY49" s="124"/>
      <c r="DZ49" s="124"/>
      <c r="EA49" s="124"/>
      <c r="EB49" s="124"/>
      <c r="EC49" s="124"/>
      <c r="ED49" s="124"/>
      <c r="EE49" s="124"/>
      <c r="EF49" s="124"/>
      <c r="EG49" s="124"/>
      <c r="EH49" s="124"/>
      <c r="EI49" s="124"/>
      <c r="EJ49" s="124"/>
      <c r="EK49" s="124"/>
      <c r="EL49" s="124"/>
    </row>
    <row r="50" customFormat="false" ht="12.75" hidden="false" customHeight="false" outlineLevel="0" collapsed="false">
      <c r="A50" s="176"/>
      <c r="B50" s="124"/>
      <c r="C50" s="124"/>
      <c r="D50" s="1198" t="n">
        <f aca="false">$D$47</f>
        <v>35795</v>
      </c>
      <c r="E50" s="1202" t="n">
        <f aca="false">IF(Assum!$F$25+1&lt;D50,D50,Assum!$F$25+1)</f>
        <v>36160</v>
      </c>
      <c r="F50" s="1200" t="n">
        <f aca="false">EDATE(F49,3)</f>
        <v>36525</v>
      </c>
      <c r="G50" s="1200" t="n">
        <f aca="false">EDATE(G49,3)</f>
        <v>36891</v>
      </c>
      <c r="H50" s="1200" t="n">
        <f aca="false">EDATE(H49,3)</f>
        <v>37256</v>
      </c>
      <c r="I50" s="1200" t="n">
        <f aca="false">EDATE(I49,3)</f>
        <v>37621</v>
      </c>
      <c r="J50" s="1200" t="n">
        <f aca="false">EDATE(J49,3)</f>
        <v>37986</v>
      </c>
      <c r="K50" s="1200" t="n">
        <f aca="false">EDATE(K49,3)</f>
        <v>38352</v>
      </c>
      <c r="L50" s="1200" t="n">
        <f aca="false">EDATE(L49,3)</f>
        <v>38717</v>
      </c>
      <c r="M50" s="1200" t="n">
        <f aca="false">EDATE(M49,3)</f>
        <v>39082</v>
      </c>
      <c r="N50" s="1200" t="n">
        <f aca="false">EDATE(N49,3)</f>
        <v>39447</v>
      </c>
      <c r="O50" s="1200" t="n">
        <f aca="false">EDATE(O49,3)</f>
        <v>39813</v>
      </c>
      <c r="P50" s="1200" t="n">
        <f aca="false">EDATE(P49,3)</f>
        <v>40178</v>
      </c>
      <c r="Q50" s="1200" t="n">
        <f aca="false">EDATE(Q49,3)</f>
        <v>40543</v>
      </c>
      <c r="R50" s="1200" t="n">
        <f aca="false">EDATE(R49,3)</f>
        <v>40908</v>
      </c>
      <c r="S50" s="1200" t="n">
        <f aca="false">EDATE(S49,3)</f>
        <v>41274</v>
      </c>
      <c r="T50" s="1200" t="n">
        <f aca="false">EDATE(T49,3)</f>
        <v>41639</v>
      </c>
      <c r="U50" s="1200" t="n">
        <f aca="false">EDATE(U49,3)</f>
        <v>42004</v>
      </c>
      <c r="V50" s="1200" t="n">
        <f aca="false">EDATE(V49,3)</f>
        <v>42369</v>
      </c>
      <c r="W50" s="1200" t="n">
        <f aca="false">EDATE(W49,3)</f>
        <v>42735</v>
      </c>
      <c r="X50" s="1200" t="n">
        <f aca="false">EDATE(X49,3)</f>
        <v>43100</v>
      </c>
      <c r="Y50" s="1200" t="n">
        <f aca="false">EDATE(Y49,3)</f>
        <v>43465</v>
      </c>
      <c r="Z50" s="1200" t="n">
        <f aca="false">EDATE(Z49,3)</f>
        <v>43830</v>
      </c>
      <c r="AA50" s="1200" t="n">
        <f aca="false">EDATE(AA49,3)</f>
        <v>44196</v>
      </c>
      <c r="AB50" s="1200" t="n">
        <f aca="false">EDATE(AB49,3)</f>
        <v>44561</v>
      </c>
      <c r="AC50" s="1200" t="n">
        <f aca="false">EDATE(AC49,3)</f>
        <v>44926</v>
      </c>
      <c r="AD50" s="1200" t="n">
        <f aca="false">EDATE(AD49,3)</f>
        <v>45291</v>
      </c>
      <c r="AE50" s="1200" t="n">
        <f aca="false">EDATE(AE49,3)</f>
        <v>45657</v>
      </c>
      <c r="AF50" s="1200" t="n">
        <f aca="false">EDATE(AF49,3)</f>
        <v>46022</v>
      </c>
      <c r="AG50" s="1200" t="n">
        <f aca="false">EDATE(AG49,3)</f>
        <v>46387</v>
      </c>
      <c r="AH50" s="1200" t="n">
        <f aca="false">EDATE(AH49,3)</f>
        <v>46752</v>
      </c>
      <c r="AI50" s="1200" t="n">
        <f aca="false">EDATE(AI49,3)</f>
        <v>47118</v>
      </c>
      <c r="AJ50" s="124"/>
      <c r="AK50" s="124"/>
      <c r="AL50" s="124"/>
      <c r="AM50" s="124"/>
      <c r="AN50" s="124"/>
      <c r="AO50" s="124"/>
      <c r="AP50" s="124"/>
      <c r="AQ50" s="124"/>
      <c r="AR50" s="124"/>
      <c r="AS50" s="124"/>
      <c r="AT50" s="124"/>
      <c r="AU50" s="124"/>
      <c r="AV50" s="124"/>
      <c r="AW50" s="124"/>
      <c r="AX50" s="124"/>
      <c r="AY50" s="124"/>
      <c r="AZ50" s="124"/>
      <c r="BA50" s="124"/>
      <c r="BB50" s="124"/>
      <c r="BC50" s="124"/>
      <c r="BD50" s="124"/>
      <c r="BE50" s="124"/>
      <c r="BF50" s="124"/>
      <c r="BG50" s="124"/>
      <c r="BH50" s="124"/>
      <c r="BI50" s="124"/>
      <c r="BJ50" s="124"/>
      <c r="BK50" s="124"/>
      <c r="BL50" s="124"/>
      <c r="BM50" s="124"/>
      <c r="BN50" s="124"/>
      <c r="BO50" s="124"/>
      <c r="BP50" s="124"/>
      <c r="BQ50" s="124"/>
      <c r="BR50" s="124"/>
      <c r="BS50" s="124"/>
      <c r="BT50" s="124"/>
      <c r="BU50" s="124"/>
      <c r="BV50" s="124"/>
      <c r="BW50" s="124"/>
      <c r="BX50" s="124"/>
      <c r="BY50" s="124"/>
      <c r="BZ50" s="124"/>
      <c r="CA50" s="124"/>
      <c r="CB50" s="124"/>
      <c r="CC50" s="124"/>
      <c r="CD50" s="124"/>
      <c r="CE50" s="124"/>
      <c r="CF50" s="124"/>
      <c r="CG50" s="124"/>
      <c r="CH50" s="124"/>
      <c r="CI50" s="124"/>
      <c r="CJ50" s="124"/>
      <c r="CK50" s="124"/>
      <c r="CL50" s="124"/>
      <c r="CM50" s="124"/>
      <c r="CN50" s="124"/>
      <c r="CO50" s="124"/>
      <c r="CP50" s="124"/>
      <c r="CQ50" s="124"/>
      <c r="CR50" s="124"/>
      <c r="CS50" s="124"/>
      <c r="CT50" s="124"/>
      <c r="CU50" s="124"/>
      <c r="CV50" s="124"/>
      <c r="CW50" s="124"/>
      <c r="CX50" s="124"/>
      <c r="CY50" s="124"/>
      <c r="CZ50" s="124"/>
      <c r="DA50" s="124"/>
      <c r="DB50" s="124"/>
      <c r="DC50" s="124"/>
      <c r="DD50" s="124"/>
      <c r="DE50" s="124"/>
      <c r="DF50" s="124"/>
      <c r="DG50" s="124"/>
      <c r="DH50" s="124"/>
      <c r="DI50" s="124"/>
      <c r="DJ50" s="124"/>
      <c r="DK50" s="124"/>
      <c r="DL50" s="124"/>
      <c r="DM50" s="124"/>
      <c r="DN50" s="124"/>
      <c r="DO50" s="124"/>
      <c r="DP50" s="124"/>
      <c r="DQ50" s="124"/>
      <c r="DR50" s="124"/>
      <c r="DS50" s="124"/>
      <c r="DT50" s="124"/>
      <c r="DU50" s="124"/>
      <c r="DV50" s="124"/>
      <c r="DW50" s="124"/>
      <c r="DX50" s="124"/>
      <c r="DY50" s="124"/>
      <c r="DZ50" s="124"/>
      <c r="EA50" s="124"/>
      <c r="EB50" s="124"/>
      <c r="EC50" s="124"/>
      <c r="ED50" s="124"/>
      <c r="EE50" s="124"/>
      <c r="EF50" s="124"/>
      <c r="EG50" s="124"/>
      <c r="EH50" s="124"/>
      <c r="EI50" s="124"/>
      <c r="EJ50" s="124"/>
      <c r="EK50" s="124"/>
      <c r="EL50" s="124"/>
    </row>
    <row r="51" customFormat="false" ht="12.75" hidden="false" customHeight="false" outlineLevel="0" collapsed="false">
      <c r="A51" s="176"/>
      <c r="B51" s="252" t="s">
        <v>779</v>
      </c>
      <c r="C51" s="1203" t="n">
        <f aca="false">D47</f>
        <v>35795</v>
      </c>
      <c r="D51" s="1204" t="n">
        <f aca="false">$D$47</f>
        <v>35795</v>
      </c>
      <c r="E51" s="1270" t="n">
        <f aca="false">Assum!E322</f>
        <v>36158</v>
      </c>
      <c r="F51" s="1206" t="n">
        <f aca="false">EDATE(E51,12)</f>
        <v>36523</v>
      </c>
      <c r="G51" s="1206" t="n">
        <f aca="false">EDATE(F51,12)</f>
        <v>36889</v>
      </c>
      <c r="H51" s="1206" t="n">
        <f aca="false">EDATE(G51,12)</f>
        <v>37254</v>
      </c>
      <c r="I51" s="1206" t="n">
        <f aca="false">EDATE(H51,12)</f>
        <v>37619</v>
      </c>
      <c r="J51" s="1206" t="n">
        <f aca="false">EDATE(I51,12)</f>
        <v>37984</v>
      </c>
      <c r="K51" s="1206" t="n">
        <f aca="false">EDATE(J51,12)</f>
        <v>38350</v>
      </c>
      <c r="L51" s="1206" t="n">
        <f aca="false">EDATE(K51,12)</f>
        <v>38715</v>
      </c>
      <c r="M51" s="1206" t="n">
        <f aca="false">EDATE(L51,12)</f>
        <v>39080</v>
      </c>
      <c r="N51" s="1206" t="n">
        <f aca="false">EDATE(M51,12)</f>
        <v>39445</v>
      </c>
      <c r="O51" s="1206" t="n">
        <f aca="false">EDATE(N51,12)</f>
        <v>39811</v>
      </c>
      <c r="P51" s="1206" t="n">
        <f aca="false">EDATE(O51,12)</f>
        <v>40176</v>
      </c>
      <c r="Q51" s="1206" t="n">
        <f aca="false">EDATE(P51,12)</f>
        <v>40541</v>
      </c>
      <c r="R51" s="1206" t="n">
        <f aca="false">EDATE(Q51,12)</f>
        <v>40906</v>
      </c>
      <c r="S51" s="1206" t="n">
        <f aca="false">EDATE(R51,12)</f>
        <v>41272</v>
      </c>
      <c r="T51" s="1206" t="n">
        <f aca="false">EDATE(S51,12)</f>
        <v>41637</v>
      </c>
      <c r="U51" s="1206" t="n">
        <f aca="false">EDATE(T51,12)</f>
        <v>42002</v>
      </c>
      <c r="V51" s="1206" t="n">
        <f aca="false">EDATE(U51,12)</f>
        <v>42367</v>
      </c>
      <c r="W51" s="1206" t="n">
        <f aca="false">EDATE(V51,12)</f>
        <v>42733</v>
      </c>
      <c r="X51" s="1206" t="n">
        <f aca="false">EDATE(W51,12)</f>
        <v>43098</v>
      </c>
      <c r="Y51" s="1206" t="n">
        <f aca="false">EDATE(X51,12)</f>
        <v>43463</v>
      </c>
      <c r="Z51" s="1206" t="n">
        <f aca="false">EDATE(Y51,12)</f>
        <v>43828</v>
      </c>
      <c r="AA51" s="1206" t="n">
        <f aca="false">EDATE(Z51,12)</f>
        <v>44194</v>
      </c>
      <c r="AB51" s="1206" t="n">
        <f aca="false">EDATE(AA51,12)</f>
        <v>44559</v>
      </c>
      <c r="AC51" s="1206" t="n">
        <f aca="false">EDATE(AB51,12)</f>
        <v>44924</v>
      </c>
      <c r="AD51" s="1206" t="n">
        <f aca="false">EDATE(AC51,12)</f>
        <v>45289</v>
      </c>
      <c r="AE51" s="1206" t="n">
        <f aca="false">EDATE(AD51,12)</f>
        <v>45655</v>
      </c>
      <c r="AF51" s="1206" t="n">
        <f aca="false">EDATE(AE51,12)</f>
        <v>46020</v>
      </c>
      <c r="AG51" s="1206" t="n">
        <f aca="false">EDATE(AF51,12)</f>
        <v>46385</v>
      </c>
      <c r="AH51" s="1206" t="n">
        <f aca="false">EDATE(AG51,12)</f>
        <v>46750</v>
      </c>
      <c r="AI51" s="1206" t="n">
        <f aca="false">EDATE(AH51,12)</f>
        <v>47116</v>
      </c>
      <c r="AJ51" s="124"/>
      <c r="AK51" s="124"/>
      <c r="AL51" s="124"/>
      <c r="AM51" s="124"/>
      <c r="AN51" s="124"/>
      <c r="AO51" s="124"/>
      <c r="AP51" s="124"/>
      <c r="AQ51" s="124"/>
      <c r="AR51" s="124"/>
      <c r="AS51" s="124"/>
      <c r="AT51" s="124"/>
      <c r="AU51" s="124"/>
      <c r="AV51" s="124"/>
      <c r="AW51" s="124"/>
      <c r="AX51" s="124"/>
      <c r="AY51" s="124"/>
      <c r="AZ51" s="124"/>
      <c r="BA51" s="124"/>
      <c r="BB51" s="124"/>
      <c r="BC51" s="124"/>
      <c r="BD51" s="124"/>
      <c r="BE51" s="124"/>
      <c r="BF51" s="124"/>
      <c r="BG51" s="124"/>
      <c r="BH51" s="124"/>
      <c r="BI51" s="124"/>
      <c r="BJ51" s="124"/>
      <c r="BK51" s="124"/>
      <c r="BL51" s="124"/>
      <c r="BM51" s="124"/>
      <c r="BN51" s="124"/>
      <c r="BO51" s="124"/>
      <c r="BP51" s="124"/>
      <c r="BQ51" s="124"/>
      <c r="BR51" s="124"/>
      <c r="BS51" s="124"/>
      <c r="BT51" s="124"/>
      <c r="BU51" s="124"/>
      <c r="BV51" s="124"/>
      <c r="BW51" s="124"/>
      <c r="BX51" s="124"/>
      <c r="BY51" s="124"/>
      <c r="BZ51" s="124"/>
      <c r="CA51" s="124"/>
      <c r="CB51" s="124"/>
      <c r="CC51" s="124"/>
      <c r="CD51" s="124"/>
      <c r="CE51" s="124"/>
      <c r="CF51" s="124"/>
      <c r="CG51" s="124"/>
      <c r="CH51" s="124"/>
      <c r="CI51" s="124"/>
      <c r="CJ51" s="124"/>
      <c r="CK51" s="124"/>
      <c r="CL51" s="124"/>
      <c r="CM51" s="124"/>
      <c r="CN51" s="124"/>
      <c r="CO51" s="124"/>
      <c r="CP51" s="124"/>
      <c r="CQ51" s="124"/>
      <c r="CR51" s="124"/>
      <c r="CS51" s="124"/>
      <c r="CT51" s="124"/>
      <c r="CU51" s="124"/>
      <c r="CV51" s="124"/>
      <c r="CW51" s="124"/>
      <c r="CX51" s="124"/>
      <c r="CY51" s="124"/>
      <c r="CZ51" s="124"/>
      <c r="DA51" s="124"/>
      <c r="DB51" s="124"/>
      <c r="DC51" s="124"/>
      <c r="DD51" s="124"/>
      <c r="DE51" s="124"/>
      <c r="DF51" s="124"/>
      <c r="DG51" s="124"/>
      <c r="DH51" s="124"/>
      <c r="DI51" s="124"/>
      <c r="DJ51" s="124"/>
      <c r="DK51" s="124"/>
      <c r="DL51" s="124"/>
      <c r="DM51" s="124"/>
      <c r="DN51" s="124"/>
      <c r="DO51" s="124"/>
      <c r="DP51" s="124"/>
      <c r="DQ51" s="124"/>
      <c r="DR51" s="124"/>
      <c r="DS51" s="124"/>
      <c r="DT51" s="124"/>
      <c r="DU51" s="124"/>
      <c r="DV51" s="124"/>
      <c r="DW51" s="124"/>
      <c r="DX51" s="124"/>
      <c r="DY51" s="124"/>
      <c r="DZ51" s="124"/>
      <c r="EA51" s="124"/>
      <c r="EB51" s="124"/>
      <c r="EC51" s="124"/>
      <c r="ED51" s="124"/>
      <c r="EE51" s="124"/>
      <c r="EF51" s="124"/>
      <c r="EG51" s="124"/>
      <c r="EH51" s="124"/>
      <c r="EI51" s="124"/>
      <c r="EJ51" s="124"/>
      <c r="EK51" s="124"/>
      <c r="EL51" s="124"/>
    </row>
    <row r="52" customFormat="false" ht="12.75" hidden="false" customHeight="false" outlineLevel="0" collapsed="false">
      <c r="A52" s="176"/>
      <c r="B52" s="124"/>
      <c r="C52" s="124"/>
      <c r="D52" s="124"/>
      <c r="E52" s="124"/>
      <c r="F52" s="124"/>
      <c r="G52" s="124"/>
      <c r="H52" s="124"/>
      <c r="I52" s="124"/>
      <c r="J52" s="124"/>
      <c r="K52" s="124"/>
      <c r="L52" s="124"/>
      <c r="M52" s="124"/>
      <c r="N52" s="124"/>
      <c r="O52" s="124"/>
      <c r="P52" s="124"/>
      <c r="Q52" s="124"/>
      <c r="R52" s="124"/>
      <c r="S52" s="124"/>
      <c r="T52" s="124"/>
      <c r="U52" s="124"/>
      <c r="V52" s="124"/>
      <c r="W52" s="124"/>
      <c r="X52" s="124"/>
      <c r="Y52" s="124"/>
      <c r="Z52" s="124"/>
      <c r="AA52" s="124"/>
      <c r="AB52" s="124"/>
      <c r="AC52" s="124"/>
      <c r="AD52" s="124"/>
      <c r="AE52" s="124"/>
      <c r="AF52" s="124"/>
      <c r="AG52" s="124"/>
      <c r="AH52" s="124"/>
      <c r="AI52" s="124"/>
      <c r="AJ52" s="124"/>
      <c r="AK52" s="124"/>
      <c r="AL52" s="124"/>
      <c r="AM52" s="124"/>
      <c r="AN52" s="124"/>
      <c r="AO52" s="124"/>
      <c r="AP52" s="124"/>
      <c r="AQ52" s="124"/>
      <c r="AR52" s="124"/>
      <c r="AS52" s="124"/>
      <c r="AT52" s="124"/>
      <c r="AU52" s="124"/>
      <c r="AV52" s="124"/>
      <c r="AW52" s="124"/>
      <c r="AX52" s="124"/>
      <c r="AY52" s="124"/>
      <c r="AZ52" s="124"/>
      <c r="BA52" s="124"/>
      <c r="BB52" s="124"/>
      <c r="BC52" s="124"/>
      <c r="BD52" s="124"/>
      <c r="BE52" s="124"/>
      <c r="BF52" s="124"/>
      <c r="BG52" s="124"/>
      <c r="BH52" s="124"/>
      <c r="BI52" s="124"/>
      <c r="BJ52" s="124"/>
      <c r="BK52" s="124"/>
      <c r="BL52" s="124"/>
      <c r="BM52" s="124"/>
      <c r="BN52" s="124"/>
      <c r="BO52" s="124"/>
      <c r="BP52" s="124"/>
      <c r="BQ52" s="124"/>
      <c r="BR52" s="124"/>
      <c r="BS52" s="124"/>
      <c r="BT52" s="124"/>
      <c r="BU52" s="124"/>
      <c r="BV52" s="124"/>
      <c r="BW52" s="124"/>
      <c r="BX52" s="124"/>
      <c r="BY52" s="124"/>
      <c r="BZ52" s="124"/>
      <c r="CA52" s="124"/>
      <c r="CB52" s="124"/>
      <c r="CC52" s="124"/>
      <c r="CD52" s="124"/>
      <c r="CE52" s="124"/>
      <c r="CF52" s="124"/>
      <c r="CG52" s="124"/>
      <c r="CH52" s="124"/>
      <c r="CI52" s="124"/>
      <c r="CJ52" s="124"/>
      <c r="CK52" s="124"/>
      <c r="CL52" s="124"/>
      <c r="CM52" s="124"/>
      <c r="CN52" s="124"/>
      <c r="CO52" s="124"/>
      <c r="CP52" s="124"/>
      <c r="CQ52" s="124"/>
      <c r="CR52" s="124"/>
      <c r="CS52" s="124"/>
      <c r="CT52" s="124"/>
      <c r="CU52" s="124"/>
      <c r="CV52" s="124"/>
      <c r="CW52" s="124"/>
      <c r="CX52" s="124"/>
      <c r="CY52" s="124"/>
      <c r="CZ52" s="124"/>
      <c r="DA52" s="124"/>
      <c r="DB52" s="124"/>
      <c r="DC52" s="124"/>
      <c r="DD52" s="124"/>
      <c r="DE52" s="124"/>
      <c r="DF52" s="124"/>
      <c r="DG52" s="124"/>
      <c r="DH52" s="124"/>
      <c r="DI52" s="124"/>
      <c r="DJ52" s="124"/>
      <c r="DK52" s="124"/>
      <c r="DL52" s="124"/>
      <c r="DM52" s="124"/>
      <c r="DN52" s="124"/>
      <c r="DO52" s="124"/>
      <c r="DP52" s="124"/>
      <c r="DQ52" s="124"/>
      <c r="DR52" s="124"/>
      <c r="DS52" s="124"/>
      <c r="DT52" s="124"/>
      <c r="DU52" s="124"/>
      <c r="DV52" s="124"/>
      <c r="DW52" s="124"/>
      <c r="DX52" s="124"/>
      <c r="DY52" s="124"/>
      <c r="DZ52" s="124"/>
      <c r="EA52" s="124"/>
      <c r="EB52" s="124"/>
      <c r="EC52" s="124"/>
      <c r="ED52" s="124"/>
      <c r="EE52" s="124"/>
      <c r="EF52" s="124"/>
      <c r="EG52" s="124"/>
      <c r="EH52" s="124"/>
      <c r="EI52" s="124"/>
      <c r="EJ52" s="124"/>
      <c r="EK52" s="124"/>
      <c r="EL52" s="124"/>
    </row>
    <row r="53" customFormat="false" ht="12.75" hidden="false" customHeight="false" outlineLevel="0" collapsed="false">
      <c r="A53" s="176"/>
      <c r="B53" s="129" t="s">
        <v>780</v>
      </c>
      <c r="C53" s="124"/>
      <c r="D53" s="124" t="s">
        <v>426</v>
      </c>
      <c r="E53" s="124"/>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124"/>
      <c r="AF53" s="124"/>
      <c r="AG53" s="124"/>
      <c r="AH53" s="124"/>
      <c r="AI53" s="124"/>
      <c r="AJ53" s="124"/>
      <c r="AK53" s="124"/>
      <c r="AL53" s="124"/>
      <c r="AM53" s="124"/>
      <c r="AN53" s="124"/>
      <c r="AO53" s="124"/>
      <c r="AP53" s="124"/>
      <c r="AQ53" s="124"/>
      <c r="AR53" s="124"/>
      <c r="AS53" s="124"/>
      <c r="AT53" s="124"/>
      <c r="AU53" s="124"/>
      <c r="AV53" s="124"/>
      <c r="AW53" s="124"/>
      <c r="AX53" s="124"/>
      <c r="AY53" s="124"/>
      <c r="AZ53" s="124"/>
      <c r="BA53" s="124"/>
      <c r="BB53" s="124"/>
      <c r="BC53" s="124"/>
      <c r="BD53" s="124"/>
      <c r="BE53" s="124"/>
      <c r="BF53" s="124"/>
      <c r="BG53" s="124"/>
      <c r="BH53" s="124"/>
      <c r="BI53" s="124"/>
      <c r="BJ53" s="124"/>
      <c r="BK53" s="124"/>
      <c r="BL53" s="124"/>
      <c r="BM53" s="124"/>
      <c r="BN53" s="124"/>
      <c r="BO53" s="124"/>
      <c r="BP53" s="124"/>
      <c r="BQ53" s="124"/>
      <c r="BR53" s="124"/>
      <c r="BS53" s="124"/>
      <c r="BT53" s="124"/>
      <c r="BU53" s="124"/>
      <c r="BV53" s="124"/>
      <c r="BW53" s="124"/>
      <c r="BX53" s="124"/>
      <c r="BY53" s="124"/>
      <c r="BZ53" s="124"/>
      <c r="CA53" s="124"/>
      <c r="CB53" s="124"/>
      <c r="CC53" s="124"/>
      <c r="CD53" s="124"/>
      <c r="CE53" s="124"/>
      <c r="CF53" s="124"/>
      <c r="CG53" s="124"/>
      <c r="CH53" s="124"/>
      <c r="CI53" s="124"/>
      <c r="CJ53" s="124"/>
      <c r="CK53" s="124"/>
      <c r="CL53" s="124"/>
      <c r="CM53" s="124"/>
      <c r="CN53" s="124"/>
      <c r="CO53" s="124"/>
      <c r="CP53" s="124"/>
      <c r="CQ53" s="124"/>
      <c r="CR53" s="124"/>
      <c r="CS53" s="124"/>
      <c r="CT53" s="124"/>
      <c r="CU53" s="124"/>
      <c r="CV53" s="124"/>
      <c r="CW53" s="124"/>
      <c r="CX53" s="124"/>
      <c r="CY53" s="124"/>
      <c r="CZ53" s="124"/>
      <c r="DA53" s="124"/>
      <c r="DB53" s="124"/>
      <c r="DC53" s="124"/>
      <c r="DD53" s="124"/>
      <c r="DE53" s="124"/>
      <c r="DF53" s="124"/>
      <c r="DG53" s="124"/>
      <c r="DH53" s="124"/>
      <c r="DI53" s="124"/>
      <c r="DJ53" s="124"/>
      <c r="DK53" s="124"/>
      <c r="DL53" s="124"/>
      <c r="DM53" s="124"/>
      <c r="DN53" s="124"/>
      <c r="DO53" s="124"/>
      <c r="DP53" s="124"/>
      <c r="DQ53" s="124"/>
      <c r="DR53" s="124"/>
      <c r="DS53" s="124"/>
      <c r="DT53" s="124"/>
      <c r="DU53" s="124"/>
      <c r="DV53" s="124"/>
      <c r="DW53" s="124"/>
      <c r="DX53" s="124"/>
      <c r="DY53" s="124"/>
      <c r="DZ53" s="124"/>
      <c r="EA53" s="124"/>
      <c r="EB53" s="124"/>
      <c r="EC53" s="124"/>
      <c r="ED53" s="124"/>
      <c r="EE53" s="124"/>
      <c r="EF53" s="124"/>
      <c r="EG53" s="124"/>
      <c r="EH53" s="124"/>
      <c r="EI53" s="124"/>
      <c r="EJ53" s="124"/>
      <c r="EK53" s="124"/>
      <c r="EL53" s="124"/>
    </row>
    <row r="54" customFormat="false" ht="12.75" hidden="false" customHeight="false" outlineLevel="0" collapsed="false">
      <c r="A54" s="176"/>
      <c r="B54" s="124"/>
      <c r="D54" s="1207" t="n">
        <f aca="false">D19</f>
        <v>-264.958086355692</v>
      </c>
      <c r="E54" s="1208" t="n">
        <f aca="false">IF(Assum!$H$24=1,SUM(EWC!$E$22:$E$23)/4,0)</f>
        <v>12.2443250900744</v>
      </c>
      <c r="F54" s="1208" t="n">
        <f aca="false">SUMPRODUCT($C$77:$C$80,F$20:F$23)</f>
        <v>16.9201719275481</v>
      </c>
      <c r="G54" s="1208" t="n">
        <f aca="false">SUMPRODUCT($C$77:$C$80,G$20:G$23)</f>
        <v>12.2149676368724</v>
      </c>
      <c r="H54" s="1208" t="n">
        <f aca="false">SUMPRODUCT($C$77:$C$80,H$20:H$23)</f>
        <v>9.37012551307998</v>
      </c>
      <c r="I54" s="1208" t="n">
        <f aca="false">SUMPRODUCT($C$77:$C$80,I$20:I$23)</f>
        <v>9.64794436518628</v>
      </c>
      <c r="J54" s="1208" t="n">
        <f aca="false">SUMPRODUCT($C$77:$C$80,J$20:J$23)</f>
        <v>7.50010689188626</v>
      </c>
      <c r="K54" s="1208" t="n">
        <f aca="false">SUMPRODUCT($C$77:$C$80,K$20:K$23)</f>
        <v>5.67830953893043</v>
      </c>
      <c r="L54" s="1208" t="n">
        <f aca="false">SUMPRODUCT($C$77:$C$80,L$20:L$23)</f>
        <v>5.63244830073718</v>
      </c>
      <c r="M54" s="1208" t="n">
        <f aca="false">SUMPRODUCT($C$77:$C$80,M$20:M$23)</f>
        <v>5.58494076359819</v>
      </c>
      <c r="N54" s="1208" t="n">
        <f aca="false">SUMPRODUCT($C$77:$C$80,N$20:N$23)</f>
        <v>5.85122818118935</v>
      </c>
      <c r="O54" s="1208" t="n">
        <f aca="false">SUMPRODUCT($C$77:$C$80,O$20:O$23)</f>
        <v>-1.24977047714653</v>
      </c>
      <c r="P54" s="1208" t="n">
        <f aca="false">SUMPRODUCT($C$77:$C$80,P$20:P$23)</f>
        <v>-1.31764852331198</v>
      </c>
      <c r="Q54" s="1208" t="n">
        <f aca="false">SUMPRODUCT($C$77:$C$80,Q$20:Q$23)</f>
        <v>-1.38943965499564</v>
      </c>
      <c r="R54" s="1208" t="n">
        <f aca="false">SUMPRODUCT($C$77:$C$80,R$20:R$23)</f>
        <v>-1.46767815493071</v>
      </c>
      <c r="S54" s="1208" t="n">
        <f aca="false">SUMPRODUCT($C$77:$C$80,S$20:S$23)</f>
        <v>-1.55181666206135</v>
      </c>
      <c r="T54" s="1208" t="n">
        <f aca="false">SUMPRODUCT($C$77:$C$80,T$20:T$23)</f>
        <v>-1.64633904852236</v>
      </c>
      <c r="U54" s="1208" t="n">
        <f aca="false">SUMPRODUCT($C$77:$C$80,U$20:U$23)</f>
        <v>-1.75823247446144</v>
      </c>
      <c r="V54" s="1208" t="n">
        <f aca="false">SUMPRODUCT($C$77:$C$80,V$20:V$23)</f>
        <v>-1.96954106758258</v>
      </c>
      <c r="W54" s="1208" t="n">
        <f aca="false">SUMPRODUCT($C$77:$C$80,W$20:W$23)</f>
        <v>-1.93879618816711</v>
      </c>
      <c r="X54" s="1208" t="n">
        <f aca="false">SUMPRODUCT($C$77:$C$80,X$20:X$23)</f>
        <v>-1.90812722777852</v>
      </c>
      <c r="Y54" s="1208" t="n">
        <f aca="false">SUMPRODUCT($C$77:$C$80,Y$20:Y$23)</f>
        <v>0</v>
      </c>
      <c r="Z54" s="1208" t="n">
        <f aca="false">SUMPRODUCT($C$77:$C$80,Z$20:Z$23)</f>
        <v>0</v>
      </c>
      <c r="AA54" s="1208" t="n">
        <f aca="false">SUMPRODUCT($C$77:$C$80,AA$20:AA$23)</f>
        <v>0</v>
      </c>
      <c r="AB54" s="1208" t="n">
        <f aca="false">SUMPRODUCT($C$77:$C$80,AB$20:AB$23)</f>
        <v>0</v>
      </c>
      <c r="AC54" s="1208" t="n">
        <f aca="false">SUMPRODUCT($C$77:$C$80,AC$20:AC$23)</f>
        <v>0</v>
      </c>
      <c r="AD54" s="1208" t="n">
        <f aca="false">SUMPRODUCT($C$77:$C$80,AD$20:AD$23)</f>
        <v>0</v>
      </c>
      <c r="AE54" s="1208" t="n">
        <f aca="false">SUMPRODUCT($C$77:$C$80,AE$20:AE$23)</f>
        <v>0</v>
      </c>
      <c r="AF54" s="1208" t="n">
        <f aca="false">SUMPRODUCT($C$77:$C$80,AF$20:AF$23)</f>
        <v>0</v>
      </c>
      <c r="AG54" s="1208" t="n">
        <f aca="false">SUMPRODUCT($C$77:$C$80,AG$20:AG$23)</f>
        <v>0</v>
      </c>
      <c r="AH54" s="1208" t="n">
        <f aca="false">SUMPRODUCT($C$77:$C$80,AH$20:AH$23)</f>
        <v>0</v>
      </c>
      <c r="AI54" s="1209" t="n">
        <f aca="false">SUMPRODUCT($C$77:$C$80,AI$20:AI$23)</f>
        <v>0</v>
      </c>
      <c r="AJ54" s="124"/>
      <c r="AK54" s="124"/>
      <c r="AL54" s="124"/>
      <c r="AM54" s="124"/>
      <c r="AN54" s="124"/>
      <c r="AO54" s="124"/>
      <c r="AP54" s="124"/>
      <c r="AQ54" s="124"/>
      <c r="AR54" s="124"/>
      <c r="AS54" s="124"/>
      <c r="AT54" s="124"/>
      <c r="AU54" s="124"/>
      <c r="AV54" s="124"/>
      <c r="AW54" s="124"/>
      <c r="AX54" s="124"/>
      <c r="AY54" s="124"/>
      <c r="AZ54" s="124"/>
      <c r="BA54" s="124"/>
      <c r="BB54" s="124"/>
      <c r="BC54" s="124"/>
      <c r="BD54" s="124"/>
      <c r="BE54" s="124"/>
      <c r="BF54" s="124"/>
      <c r="BG54" s="124"/>
      <c r="BH54" s="124"/>
      <c r="BI54" s="124"/>
      <c r="BJ54" s="124"/>
      <c r="BK54" s="124"/>
      <c r="BL54" s="124"/>
      <c r="BM54" s="124"/>
      <c r="BN54" s="124"/>
      <c r="BO54" s="124"/>
      <c r="BP54" s="124"/>
      <c r="BQ54" s="124"/>
      <c r="BR54" s="124"/>
      <c r="BS54" s="124"/>
      <c r="BT54" s="124"/>
      <c r="BU54" s="124"/>
      <c r="BV54" s="124"/>
      <c r="BW54" s="124"/>
      <c r="BX54" s="124"/>
      <c r="BY54" s="124"/>
      <c r="BZ54" s="124"/>
      <c r="CA54" s="124"/>
      <c r="CB54" s="124"/>
      <c r="CC54" s="124"/>
      <c r="CD54" s="124"/>
      <c r="CE54" s="124"/>
      <c r="CF54" s="124"/>
      <c r="CG54" s="124"/>
      <c r="CH54" s="124"/>
      <c r="CI54" s="124"/>
      <c r="CJ54" s="124"/>
      <c r="CK54" s="124"/>
      <c r="CL54" s="124"/>
      <c r="CM54" s="124"/>
      <c r="CN54" s="124"/>
      <c r="CO54" s="124"/>
      <c r="CP54" s="124"/>
      <c r="CQ54" s="124"/>
      <c r="CR54" s="124"/>
      <c r="CS54" s="124"/>
      <c r="CT54" s="124"/>
      <c r="CU54" s="124"/>
      <c r="CV54" s="124"/>
      <c r="CW54" s="124"/>
      <c r="CX54" s="124"/>
      <c r="CY54" s="124"/>
      <c r="CZ54" s="124"/>
      <c r="DA54" s="124"/>
      <c r="DB54" s="124"/>
      <c r="DC54" s="124"/>
      <c r="DD54" s="124"/>
      <c r="DE54" s="124"/>
      <c r="DF54" s="124"/>
      <c r="DG54" s="124"/>
      <c r="DH54" s="124"/>
      <c r="DI54" s="124"/>
      <c r="DJ54" s="124"/>
      <c r="DK54" s="124"/>
      <c r="DL54" s="124"/>
      <c r="DM54" s="124"/>
      <c r="DN54" s="124"/>
      <c r="DO54" s="124"/>
      <c r="DP54" s="124"/>
      <c r="DQ54" s="124"/>
      <c r="DR54" s="124"/>
      <c r="DS54" s="124"/>
      <c r="DT54" s="124"/>
      <c r="DU54" s="124"/>
      <c r="DV54" s="124"/>
      <c r="DW54" s="124"/>
      <c r="DX54" s="124"/>
      <c r="DY54" s="124"/>
      <c r="DZ54" s="124"/>
      <c r="EA54" s="124"/>
      <c r="EB54" s="124"/>
      <c r="EC54" s="124"/>
      <c r="ED54" s="124"/>
      <c r="EE54" s="124"/>
      <c r="EF54" s="124"/>
      <c r="EG54" s="124"/>
      <c r="EH54" s="124"/>
      <c r="EI54" s="124"/>
      <c r="EJ54" s="124"/>
      <c r="EK54" s="124"/>
      <c r="EL54" s="124"/>
    </row>
    <row r="55" customFormat="false" ht="12.75" hidden="false" customHeight="false" outlineLevel="0" collapsed="false">
      <c r="A55" s="176"/>
      <c r="D55" s="1210" t="n">
        <v>0</v>
      </c>
      <c r="E55" s="254" t="n">
        <f aca="false">IF(Assum!$H$24=1,SUM(EWC!$E$22:$E$23)/4,IF(Assum!$H$24=0.75,SUM(EWC!$E$22:$E$23)/3,0))</f>
        <v>12.2443250900744</v>
      </c>
      <c r="F55" s="254" t="n">
        <f aca="false">SUMPRODUCT($C$77:$C$80,F$20:F$23)</f>
        <v>16.9201719275481</v>
      </c>
      <c r="G55" s="254" t="n">
        <f aca="false">SUMPRODUCT($C$77:$C$80,G$20:G$23)</f>
        <v>12.2149676368724</v>
      </c>
      <c r="H55" s="254" t="n">
        <f aca="false">SUMPRODUCT($C$77:$C$80,H$20:H$23)</f>
        <v>9.37012551307998</v>
      </c>
      <c r="I55" s="254" t="n">
        <f aca="false">SUMPRODUCT($C$77:$C$80,I$20:I$23)</f>
        <v>9.64794436518628</v>
      </c>
      <c r="J55" s="254" t="n">
        <f aca="false">SUMPRODUCT($C$77:$C$80,J$20:J$23)</f>
        <v>7.50010689188626</v>
      </c>
      <c r="K55" s="254" t="n">
        <f aca="false">SUMPRODUCT($C$77:$C$80,K$20:K$23)</f>
        <v>5.67830953893043</v>
      </c>
      <c r="L55" s="254" t="n">
        <f aca="false">SUMPRODUCT($C$77:$C$80,L$20:L$23)</f>
        <v>5.63244830073718</v>
      </c>
      <c r="M55" s="254" t="n">
        <f aca="false">SUMPRODUCT($C$77:$C$80,M$20:M$23)</f>
        <v>5.58494076359819</v>
      </c>
      <c r="N55" s="254" t="n">
        <f aca="false">SUMPRODUCT($C$77:$C$80,N$20:N$23)</f>
        <v>5.85122818118935</v>
      </c>
      <c r="O55" s="254" t="n">
        <f aca="false">SUMPRODUCT($C$77:$C$80,O$20:O$23)</f>
        <v>-1.24977047714653</v>
      </c>
      <c r="P55" s="254" t="n">
        <f aca="false">SUMPRODUCT($C$77:$C$80,P$20:P$23)</f>
        <v>-1.31764852331198</v>
      </c>
      <c r="Q55" s="254" t="n">
        <f aca="false">SUMPRODUCT($C$77:$C$80,Q$20:Q$23)</f>
        <v>-1.38943965499564</v>
      </c>
      <c r="R55" s="254" t="n">
        <f aca="false">SUMPRODUCT($C$77:$C$80,R$20:R$23)</f>
        <v>-1.46767815493071</v>
      </c>
      <c r="S55" s="254" t="n">
        <f aca="false">SUMPRODUCT($C$77:$C$80,S$20:S$23)</f>
        <v>-1.55181666206135</v>
      </c>
      <c r="T55" s="254" t="n">
        <f aca="false">SUMPRODUCT($C$77:$C$80,T$20:T$23)</f>
        <v>-1.64633904852236</v>
      </c>
      <c r="U55" s="254" t="n">
        <f aca="false">SUMPRODUCT($C$77:$C$80,U$20:U$23)</f>
        <v>-1.75823247446144</v>
      </c>
      <c r="V55" s="254" t="n">
        <f aca="false">SUMPRODUCT($C$77:$C$80,V$20:V$23)</f>
        <v>-1.96954106758258</v>
      </c>
      <c r="W55" s="254" t="n">
        <f aca="false">SUMPRODUCT($C$77:$C$80,W$20:W$23)</f>
        <v>-1.93879618816711</v>
      </c>
      <c r="X55" s="254" t="n">
        <f aca="false">SUMPRODUCT($C$77:$C$80,X$20:X$23)</f>
        <v>-1.90812722777852</v>
      </c>
      <c r="Y55" s="254" t="n">
        <f aca="false">SUMPRODUCT($C$77:$C$80,Y$20:Y$23)</f>
        <v>0</v>
      </c>
      <c r="Z55" s="254" t="n">
        <f aca="false">SUMPRODUCT($C$77:$C$80,Z$20:Z$23)</f>
        <v>0</v>
      </c>
      <c r="AA55" s="254" t="n">
        <f aca="false">SUMPRODUCT($C$77:$C$80,AA$20:AA$23)</f>
        <v>0</v>
      </c>
      <c r="AB55" s="254" t="n">
        <f aca="false">SUMPRODUCT($C$77:$C$80,AB$20:AB$23)</f>
        <v>0</v>
      </c>
      <c r="AC55" s="254" t="n">
        <f aca="false">SUMPRODUCT($C$77:$C$80,AC$20:AC$23)</f>
        <v>0</v>
      </c>
      <c r="AD55" s="254" t="n">
        <f aca="false">SUMPRODUCT($C$77:$C$80,AD$20:AD$23)</f>
        <v>0</v>
      </c>
      <c r="AE55" s="254" t="n">
        <f aca="false">SUMPRODUCT($C$77:$C$80,AE$20:AE$23)</f>
        <v>0</v>
      </c>
      <c r="AF55" s="254" t="n">
        <f aca="false">SUMPRODUCT($C$77:$C$80,AF$20:AF$23)</f>
        <v>0</v>
      </c>
      <c r="AG55" s="254" t="n">
        <f aca="false">SUMPRODUCT($C$77:$C$80,AG$20:AG$23)</f>
        <v>0</v>
      </c>
      <c r="AH55" s="254" t="n">
        <f aca="false">SUMPRODUCT($C$77:$C$80,AH$20:AH$23)</f>
        <v>0</v>
      </c>
      <c r="AI55" s="1211" t="n">
        <f aca="false">SUMPRODUCT($C$77:$C$80,AI$20:AI$23)</f>
        <v>0</v>
      </c>
    </row>
    <row r="56" customFormat="false" ht="12.75" hidden="false" customHeight="false" outlineLevel="0" collapsed="false">
      <c r="A56" s="176"/>
      <c r="D56" s="1210" t="n">
        <v>0</v>
      </c>
      <c r="E56" s="254" t="n">
        <f aca="false">IF(Assum!$H$24=1,SUM(EWC!$E$22:$E$23)/4,IF(Assum!$H$24=0.75,SUM(EWC!$E$22:$E$23)/3,IF(Assum!$H$24=0.5,SUM(EWC!$E$22:$E$23)/2,0)))</f>
        <v>12.2443250900744</v>
      </c>
      <c r="F56" s="254" t="n">
        <f aca="false">SUMPRODUCT($C$77:$C$80,F$20:F$23)</f>
        <v>16.9201719275481</v>
      </c>
      <c r="G56" s="254" t="n">
        <f aca="false">SUMPRODUCT($C$77:$C$80,G$20:G$23)</f>
        <v>12.2149676368724</v>
      </c>
      <c r="H56" s="254" t="n">
        <f aca="false">SUMPRODUCT($C$77:$C$80,H$20:H$23)</f>
        <v>9.37012551307998</v>
      </c>
      <c r="I56" s="254" t="n">
        <f aca="false">SUMPRODUCT($C$77:$C$80,I$20:I$23)</f>
        <v>9.64794436518628</v>
      </c>
      <c r="J56" s="254" t="n">
        <f aca="false">SUMPRODUCT($C$77:$C$80,J$20:J$23)</f>
        <v>7.50010689188626</v>
      </c>
      <c r="K56" s="254" t="n">
        <f aca="false">SUMPRODUCT($C$77:$C$80,K$20:K$23)</f>
        <v>5.67830953893043</v>
      </c>
      <c r="L56" s="254" t="n">
        <f aca="false">SUMPRODUCT($C$77:$C$80,L$20:L$23)</f>
        <v>5.63244830073718</v>
      </c>
      <c r="M56" s="254" t="n">
        <f aca="false">SUMPRODUCT($C$77:$C$80,M$20:M$23)</f>
        <v>5.58494076359819</v>
      </c>
      <c r="N56" s="254" t="n">
        <f aca="false">SUMPRODUCT($C$77:$C$80,N$20:N$23)</f>
        <v>5.85122818118935</v>
      </c>
      <c r="O56" s="254" t="n">
        <f aca="false">SUMPRODUCT($C$77:$C$80,O$20:O$23)</f>
        <v>-1.24977047714653</v>
      </c>
      <c r="P56" s="254" t="n">
        <f aca="false">SUMPRODUCT($C$77:$C$80,P$20:P$23)</f>
        <v>-1.31764852331198</v>
      </c>
      <c r="Q56" s="254" t="n">
        <f aca="false">SUMPRODUCT($C$77:$C$80,Q$20:Q$23)</f>
        <v>-1.38943965499564</v>
      </c>
      <c r="R56" s="254" t="n">
        <f aca="false">SUMPRODUCT($C$77:$C$80,R$20:R$23)</f>
        <v>-1.46767815493071</v>
      </c>
      <c r="S56" s="254" t="n">
        <f aca="false">SUMPRODUCT($C$77:$C$80,S$20:S$23)</f>
        <v>-1.55181666206135</v>
      </c>
      <c r="T56" s="254" t="n">
        <f aca="false">SUMPRODUCT($C$77:$C$80,T$20:T$23)</f>
        <v>-1.64633904852236</v>
      </c>
      <c r="U56" s="254" t="n">
        <f aca="false">SUMPRODUCT($C$77:$C$80,U$20:U$23)</f>
        <v>-1.75823247446144</v>
      </c>
      <c r="V56" s="254" t="n">
        <f aca="false">SUMPRODUCT($C$77:$C$80,V$20:V$23)</f>
        <v>-1.96954106758258</v>
      </c>
      <c r="W56" s="254" t="n">
        <f aca="false">SUMPRODUCT($C$77:$C$80,W$20:W$23)</f>
        <v>-1.93879618816711</v>
      </c>
      <c r="X56" s="254" t="n">
        <f aca="false">SUMPRODUCT($C$77:$C$80,X$20:X$23)</f>
        <v>-1.90812722777852</v>
      </c>
      <c r="Y56" s="254" t="n">
        <f aca="false">SUMPRODUCT($C$77:$C$80,Y$20:Y$23)</f>
        <v>0</v>
      </c>
      <c r="Z56" s="254" t="n">
        <f aca="false">SUMPRODUCT($C$77:$C$80,Z$20:Z$23)</f>
        <v>0</v>
      </c>
      <c r="AA56" s="254" t="n">
        <f aca="false">SUMPRODUCT($C$77:$C$80,AA$20:AA$23)</f>
        <v>0</v>
      </c>
      <c r="AB56" s="254" t="n">
        <f aca="false">SUMPRODUCT($C$77:$C$80,AB$20:AB$23)</f>
        <v>0</v>
      </c>
      <c r="AC56" s="254" t="n">
        <f aca="false">SUMPRODUCT($C$77:$C$80,AC$20:AC$23)</f>
        <v>0</v>
      </c>
      <c r="AD56" s="254" t="n">
        <f aca="false">SUMPRODUCT($C$77:$C$80,AD$20:AD$23)</f>
        <v>0</v>
      </c>
      <c r="AE56" s="254" t="n">
        <f aca="false">SUMPRODUCT($C$77:$C$80,AE$20:AE$23)</f>
        <v>0</v>
      </c>
      <c r="AF56" s="254" t="n">
        <f aca="false">SUMPRODUCT($C$77:$C$80,AF$20:AF$23)</f>
        <v>0</v>
      </c>
      <c r="AG56" s="254" t="n">
        <f aca="false">SUMPRODUCT($C$77:$C$80,AG$20:AG$23)</f>
        <v>0</v>
      </c>
      <c r="AH56" s="254" t="n">
        <f aca="false">SUMPRODUCT($C$77:$C$80,AH$20:AH$23)</f>
        <v>0</v>
      </c>
      <c r="AI56" s="1211" t="n">
        <f aca="false">SUMPRODUCT($C$77:$C$80,AI$20:AI$23)</f>
        <v>0</v>
      </c>
    </row>
    <row r="57" customFormat="false" ht="12.75" hidden="false" customHeight="false" outlineLevel="0" collapsed="false">
      <c r="A57" s="176"/>
      <c r="D57" s="1210" t="n">
        <v>0</v>
      </c>
      <c r="E57" s="1212" t="n">
        <f aca="false">IF(Assum!$H$24=1,SUM(EWC!$E$22:$E$23)/4,IF(Assum!$H$24=0.75,SUM(EWC!$E$22:$E$23)/3,IF(Assum!$H$24=0.5,SUM(EWC!$E$22:E23)/2,SUM($E$22:E23))))</f>
        <v>12.2443250900744</v>
      </c>
      <c r="F57" s="254" t="n">
        <f aca="false">SUMPRODUCT($C$77:$C$80,F$20:F$23)</f>
        <v>16.9201719275481</v>
      </c>
      <c r="G57" s="254" t="n">
        <f aca="false">SUMPRODUCT($C$77:$C$80,G$20:G$23)</f>
        <v>12.2149676368724</v>
      </c>
      <c r="H57" s="254" t="n">
        <f aca="false">SUMPRODUCT($C$77:$C$80,H$20:H$23)</f>
        <v>9.37012551307998</v>
      </c>
      <c r="I57" s="254" t="n">
        <f aca="false">SUMPRODUCT($C$77:$C$80,I$20:I$23)</f>
        <v>9.64794436518628</v>
      </c>
      <c r="J57" s="254" t="n">
        <f aca="false">SUMPRODUCT($C$77:$C$80,J$20:J$23)</f>
        <v>7.50010689188626</v>
      </c>
      <c r="K57" s="254" t="n">
        <f aca="false">SUMPRODUCT($C$77:$C$80,K$20:K$23)</f>
        <v>5.67830953893043</v>
      </c>
      <c r="L57" s="254" t="n">
        <f aca="false">SUMPRODUCT($C$77:$C$80,L$20:L$23)</f>
        <v>5.63244830073718</v>
      </c>
      <c r="M57" s="254" t="n">
        <f aca="false">SUMPRODUCT($C$77:$C$80,M$20:M$23)</f>
        <v>5.58494076359819</v>
      </c>
      <c r="N57" s="254" t="n">
        <f aca="false">SUMPRODUCT($C$77:$C$80,N$20:N$23)</f>
        <v>5.85122818118935</v>
      </c>
      <c r="O57" s="254" t="n">
        <f aca="false">SUMPRODUCT($C$77:$C$80,O$20:O$23)</f>
        <v>-1.24977047714653</v>
      </c>
      <c r="P57" s="254" t="n">
        <f aca="false">SUMPRODUCT($C$77:$C$80,P$20:P$23)</f>
        <v>-1.31764852331198</v>
      </c>
      <c r="Q57" s="254" t="n">
        <f aca="false">SUMPRODUCT($C$77:$C$80,Q$20:Q$23)</f>
        <v>-1.38943965499564</v>
      </c>
      <c r="R57" s="254" t="n">
        <f aca="false">SUMPRODUCT($C$77:$C$80,R$20:R$23)</f>
        <v>-1.46767815493071</v>
      </c>
      <c r="S57" s="254" t="n">
        <f aca="false">SUMPRODUCT($C$77:$C$80,S$20:S$23)</f>
        <v>-1.55181666206135</v>
      </c>
      <c r="T57" s="254" t="n">
        <f aca="false">SUMPRODUCT($C$77:$C$80,T$20:T$23)</f>
        <v>-1.64633904852236</v>
      </c>
      <c r="U57" s="254" t="n">
        <f aca="false">SUMPRODUCT($C$77:$C$80,U$20:U$23)</f>
        <v>-1.75823247446144</v>
      </c>
      <c r="V57" s="254" t="n">
        <f aca="false">SUMPRODUCT($C$77:$C$80,V$20:V$23)</f>
        <v>-1.96954106758258</v>
      </c>
      <c r="W57" s="254" t="n">
        <f aca="false">SUMPRODUCT($C$77:$C$80,W$20:W$23)</f>
        <v>-1.93879618816711</v>
      </c>
      <c r="X57" s="254" t="n">
        <f aca="false">SUMPRODUCT($C$77:$C$80,X$20:X$23)</f>
        <v>-1.90812722777852</v>
      </c>
      <c r="Y57" s="254" t="n">
        <f aca="false">SUMPRODUCT($C$77:$C$80,Y$20:Y$23)</f>
        <v>0</v>
      </c>
      <c r="Z57" s="254" t="n">
        <f aca="false">SUMPRODUCT($C$77:$C$80,Z$20:Z$23)</f>
        <v>0</v>
      </c>
      <c r="AA57" s="254" t="n">
        <f aca="false">SUMPRODUCT($C$77:$C$80,AA$20:AA$23)</f>
        <v>0</v>
      </c>
      <c r="AB57" s="254" t="n">
        <f aca="false">SUMPRODUCT($C$77:$C$80,AB$20:AB$23)</f>
        <v>0</v>
      </c>
      <c r="AC57" s="254" t="n">
        <f aca="false">SUMPRODUCT($C$77:$C$80,AC$20:AC$23)</f>
        <v>0</v>
      </c>
      <c r="AD57" s="254" t="n">
        <f aca="false">SUMPRODUCT($C$77:$C$80,AD$20:AD$23)</f>
        <v>0</v>
      </c>
      <c r="AE57" s="254" t="n">
        <f aca="false">SUMPRODUCT($C$77:$C$80,AE$20:AE$23)</f>
        <v>0</v>
      </c>
      <c r="AF57" s="254" t="n">
        <f aca="false">SUMPRODUCT($C$77:$C$80,AF$20:AF$23)</f>
        <v>0</v>
      </c>
      <c r="AG57" s="254" t="n">
        <f aca="false">SUMPRODUCT($C$77:$C$80,AG$20:AG$23)</f>
        <v>0</v>
      </c>
      <c r="AH57" s="254" t="n">
        <f aca="false">SUMPRODUCT($C$77:$C$80,AH$20:AH$23)</f>
        <v>0</v>
      </c>
      <c r="AI57" s="254" t="n">
        <f aca="false">SUMPRODUCT($C$77:$C$80,AI$20:AI$23)</f>
        <v>0</v>
      </c>
    </row>
    <row r="58" customFormat="false" ht="12.75" hidden="false" customHeight="false" outlineLevel="0" collapsed="false">
      <c r="A58" s="176"/>
      <c r="B58" s="252" t="s">
        <v>779</v>
      </c>
      <c r="C58" s="1213" t="n">
        <f aca="false">D54</f>
        <v>-264.958086355692</v>
      </c>
      <c r="D58" s="1214" t="n">
        <v>0</v>
      </c>
      <c r="E58" s="1215" t="n">
        <f aca="false">SUMPRODUCT($D$77:$D$80,E$20:E$23)</f>
        <v>5.73300936572961</v>
      </c>
      <c r="F58" s="1215" t="n">
        <f aca="false">SUMPRODUCT($D$77:$D$80,F$20:F$23)</f>
        <v>5.71607553384322</v>
      </c>
      <c r="G58" s="1215" t="n">
        <f aca="false">SUMPRODUCT($D$77:$D$80,G$20:G$23)</f>
        <v>5.69738018319113</v>
      </c>
      <c r="H58" s="1215" t="n">
        <f aca="false">SUMPRODUCT($D$77:$D$80,H$20:H$23)</f>
        <v>5.67626944867061</v>
      </c>
      <c r="I58" s="1215" t="n">
        <f aca="false">SUMPRODUCT($D$77:$D$80,I$20:I$23)</f>
        <v>5.65310185632573</v>
      </c>
      <c r="J58" s="1215" t="n">
        <f aca="false">SUMPRODUCT($D$77:$D$80,J$20:J$23)</f>
        <v>5.62879487597114</v>
      </c>
      <c r="K58" s="1215" t="n">
        <f aca="false">SUMPRODUCT($D$77:$D$80,K$20:K$23)</f>
        <v>5.57665789727338</v>
      </c>
      <c r="L58" s="1215" t="n">
        <f aca="false">SUMPRODUCT($D$77:$D$80,L$20:L$23)</f>
        <v>5.5222807750722</v>
      </c>
      <c r="M58" s="1215" t="n">
        <f aca="false">SUMPRODUCT($D$77:$D$80,M$20:M$23)</f>
        <v>5.46560279836952</v>
      </c>
      <c r="N58" s="1215" t="n">
        <f aca="false">SUMPRODUCT($D$77:$D$80,N$20:N$23)</f>
        <v>5.40393558379574</v>
      </c>
      <c r="O58" s="1215" t="n">
        <f aca="false">SUMPRODUCT($D$77:$D$80,O$20:O$23)</f>
        <v>5.47036344776272</v>
      </c>
      <c r="P58" s="1215" t="n">
        <f aca="false">SUMPRODUCT($D$77:$D$80,P$20:P$23)</f>
        <v>5.40436096296459</v>
      </c>
      <c r="Q58" s="1215" t="n">
        <f aca="false">SUMPRODUCT($D$77:$D$80,Q$20:Q$23)</f>
        <v>5.33321999723709</v>
      </c>
      <c r="R58" s="1215" t="n">
        <f aca="false">SUMPRODUCT($D$77:$D$80,R$20:R$23)</f>
        <v>5.25661489031909</v>
      </c>
      <c r="S58" s="1215" t="n">
        <f aca="false">SUMPRODUCT($D$77:$D$80,S$20:S$23)</f>
        <v>5.17395799501174</v>
      </c>
      <c r="T58" s="1215" t="n">
        <f aca="false">SUMPRODUCT($D$77:$D$80,T$20:T$23)</f>
        <v>5.09111721360887</v>
      </c>
      <c r="U58" s="1215" t="n">
        <f aca="false">SUMPRODUCT($D$77:$D$80,U$20:U$23)</f>
        <v>5.90594573693744</v>
      </c>
      <c r="V58" s="1215" t="n">
        <f aca="false">SUMPRODUCT($D$77:$D$80,V$20:V$23)</f>
        <v>20.3082975075773</v>
      </c>
      <c r="W58" s="1215" t="n">
        <f aca="false">SUMPRODUCT($D$77:$D$80,W$20:W$23)</f>
        <v>19.9973505602653</v>
      </c>
      <c r="X58" s="1215" t="n">
        <f aca="false">SUMPRODUCT($D$77:$D$80,X$20:X$23)</f>
        <v>21.662171441291</v>
      </c>
      <c r="Y58" s="1215" t="n">
        <f aca="false">SUMPRODUCT($D$77:$D$80,Y$20:Y$23)</f>
        <v>0</v>
      </c>
      <c r="Z58" s="1215" t="n">
        <f aca="false">SUMPRODUCT($D$77:$D$80,Z$20:Z$23)</f>
        <v>0</v>
      </c>
      <c r="AA58" s="1215" t="n">
        <f aca="false">SUMPRODUCT($D$77:$D$80,AA$20:AA$23)</f>
        <v>0</v>
      </c>
      <c r="AB58" s="1215" t="n">
        <f aca="false">SUMPRODUCT($D$77:$D$80,AB$20:AB$23)</f>
        <v>0</v>
      </c>
      <c r="AC58" s="1215" t="n">
        <f aca="false">SUMPRODUCT($D$77:$D$80,AC$20:AC$23)</f>
        <v>0</v>
      </c>
      <c r="AD58" s="1215" t="n">
        <f aca="false">SUMPRODUCT($D$77:$D$80,AD$20:AD$23)</f>
        <v>0</v>
      </c>
      <c r="AE58" s="1215" t="n">
        <f aca="false">SUMPRODUCT($D$77:$D$80,AE$20:AE$23)</f>
        <v>0</v>
      </c>
      <c r="AF58" s="1215" t="n">
        <f aca="false">SUMPRODUCT($D$77:$D$80,AF$20:AF$23)</f>
        <v>0</v>
      </c>
      <c r="AG58" s="1215" t="n">
        <f aca="false">SUMPRODUCT($D$77:$D$80,AG$20:AG$23)</f>
        <v>0</v>
      </c>
      <c r="AH58" s="1215" t="n">
        <f aca="false">SUMPRODUCT($D$77:$D$80,AH$20:AH$23)</f>
        <v>0</v>
      </c>
      <c r="AI58" s="1216" t="n">
        <f aca="false">SUMPRODUCT($D$77:$D$80,AI$20:AI$23)</f>
        <v>0</v>
      </c>
    </row>
    <row r="59" customFormat="false" ht="12" hidden="false" customHeight="true" outlineLevel="0" collapsed="false">
      <c r="A59" s="176"/>
    </row>
    <row r="60" customFormat="false" ht="16.5" hidden="false" customHeight="true" outlineLevel="0" collapsed="false">
      <c r="A60" s="1217"/>
      <c r="B60" s="1217" t="s">
        <v>781</v>
      </c>
      <c r="C60" s="1218"/>
      <c r="D60" s="1218"/>
      <c r="E60" s="1219" t="n">
        <f aca="false">SUM(E54:E58)</f>
        <v>54.7103097260272</v>
      </c>
      <c r="F60" s="1219" t="n">
        <f aca="false">SUM(F54:F58)</f>
        <v>73.3967632440354</v>
      </c>
      <c r="G60" s="1219" t="n">
        <f aca="false">SUM(G54:G58)</f>
        <v>54.5572507306805</v>
      </c>
      <c r="H60" s="1219" t="n">
        <f aca="false">SUM(H54:H58)</f>
        <v>43.1567715009905</v>
      </c>
      <c r="I60" s="1219" t="n">
        <f aca="false">SUM(I54:I58)</f>
        <v>44.2448793170709</v>
      </c>
      <c r="J60" s="1219" t="n">
        <f aca="false">SUM(J54:J58)</f>
        <v>35.6292224435162</v>
      </c>
      <c r="K60" s="1219" t="n">
        <f aca="false">SUM(K54:K58)</f>
        <v>28.2898960529951</v>
      </c>
      <c r="L60" s="1219" t="n">
        <f aca="false">SUM(L54:L58)</f>
        <v>28.0520739780209</v>
      </c>
      <c r="M60" s="1219" t="n">
        <f aca="false">SUM(M54:M58)</f>
        <v>27.8053658527623</v>
      </c>
      <c r="N60" s="1219" t="n">
        <f aca="false">SUM(N54:N58)</f>
        <v>28.8088483085531</v>
      </c>
      <c r="O60" s="1219" t="n">
        <f aca="false">SUM(O54:O58)</f>
        <v>0.471281539176617</v>
      </c>
      <c r="P60" s="1219" t="n">
        <f aca="false">SUM(P54:P58)</f>
        <v>0.133766869716659</v>
      </c>
      <c r="Q60" s="1219" t="n">
        <f aca="false">SUM(Q54:Q58)</f>
        <v>-0.224538622745464</v>
      </c>
      <c r="R60" s="1219" t="n">
        <f aca="false">SUM(R54:R58)</f>
        <v>-0.614097729403763</v>
      </c>
      <c r="S60" s="1219" t="n">
        <f aca="false">SUM(S54:S58)</f>
        <v>-1.03330865323368</v>
      </c>
      <c r="T60" s="1219" t="n">
        <f aca="false">SUM(T54:T58)</f>
        <v>-1.49423898048056</v>
      </c>
      <c r="U60" s="1219" t="n">
        <f aca="false">SUM(U54:U58)</f>
        <v>-1.12698416090831</v>
      </c>
      <c r="V60" s="1219" t="n">
        <f aca="false">SUM(V54:V58)</f>
        <v>12.430133237247</v>
      </c>
      <c r="W60" s="1219" t="n">
        <f aca="false">SUM(W54:W58)</f>
        <v>12.2421658075968</v>
      </c>
      <c r="X60" s="1219" t="n">
        <f aca="false">SUM(X54:X58)</f>
        <v>14.0296625301769</v>
      </c>
      <c r="Y60" s="1219" t="n">
        <f aca="false">SUM(Y54:Y58)</f>
        <v>0</v>
      </c>
      <c r="Z60" s="1219" t="n">
        <f aca="false">SUM(Z54:Z58)</f>
        <v>0</v>
      </c>
      <c r="AA60" s="1219" t="n">
        <f aca="false">SUM(AA54:AA58)</f>
        <v>0</v>
      </c>
      <c r="AB60" s="1219" t="n">
        <f aca="false">SUM(AB54:AB58)</f>
        <v>0</v>
      </c>
      <c r="AC60" s="1219" t="n">
        <f aca="false">SUM(AC54:AC58)</f>
        <v>0</v>
      </c>
      <c r="AD60" s="1219" t="n">
        <f aca="false">SUM(AD54:AD58)</f>
        <v>0</v>
      </c>
      <c r="AE60" s="1219" t="n">
        <f aca="false">SUM(AE54:AE58)</f>
        <v>0</v>
      </c>
      <c r="AF60" s="1219" t="n">
        <f aca="false">SUM(AF54:AF58)</f>
        <v>0</v>
      </c>
      <c r="AG60" s="1219" t="n">
        <f aca="false">SUM(AG54:AG58)</f>
        <v>0</v>
      </c>
      <c r="AH60" s="1219" t="n">
        <f aca="false">SUM(AH54:AH58)</f>
        <v>0</v>
      </c>
      <c r="AI60" s="1219" t="n">
        <f aca="false">SUM(AI54:AI58)</f>
        <v>0</v>
      </c>
      <c r="AJ60" s="1218"/>
      <c r="AK60" s="1218"/>
      <c r="AL60" s="1218"/>
      <c r="AM60" s="1218"/>
      <c r="AN60" s="1218"/>
      <c r="AO60" s="1218"/>
      <c r="AP60" s="1218"/>
      <c r="AQ60" s="1218"/>
      <c r="AR60" s="1218"/>
      <c r="AS60" s="1218"/>
      <c r="AT60" s="1218"/>
      <c r="AU60" s="1218"/>
      <c r="AV60" s="1218"/>
      <c r="AW60" s="1218"/>
      <c r="AX60" s="1218"/>
      <c r="AY60" s="1218"/>
      <c r="AZ60" s="1218"/>
      <c r="BA60" s="1218"/>
      <c r="BB60" s="1218"/>
      <c r="BC60" s="1218"/>
      <c r="BD60" s="1218"/>
      <c r="BE60" s="1218"/>
      <c r="BF60" s="1218"/>
      <c r="BG60" s="1218"/>
      <c r="BH60" s="1218"/>
      <c r="BI60" s="1218"/>
      <c r="BJ60" s="1218"/>
      <c r="BK60" s="1218"/>
      <c r="BL60" s="1218"/>
      <c r="BM60" s="1218"/>
      <c r="BN60" s="1218"/>
      <c r="BO60" s="1218"/>
      <c r="BP60" s="1218"/>
      <c r="BQ60" s="1218"/>
      <c r="BR60" s="1218"/>
      <c r="BS60" s="1218"/>
      <c r="BT60" s="1218"/>
      <c r="BU60" s="1218"/>
      <c r="BV60" s="1218"/>
      <c r="BW60" s="1218"/>
      <c r="BX60" s="1218"/>
      <c r="BY60" s="1218"/>
      <c r="BZ60" s="1218"/>
      <c r="CA60" s="1218"/>
      <c r="CB60" s="1218"/>
      <c r="CC60" s="1218"/>
      <c r="CD60" s="1218"/>
      <c r="CE60" s="1218"/>
      <c r="CF60" s="1218"/>
      <c r="CG60" s="1218"/>
      <c r="CH60" s="1218"/>
      <c r="CI60" s="1218"/>
      <c r="CJ60" s="1218"/>
      <c r="CK60" s="1218"/>
      <c r="CL60" s="1218"/>
      <c r="CM60" s="1218"/>
      <c r="CN60" s="1218"/>
      <c r="CO60" s="1218"/>
      <c r="CP60" s="1218"/>
      <c r="CQ60" s="1218"/>
      <c r="CR60" s="1218"/>
      <c r="CS60" s="1218"/>
      <c r="CT60" s="1218"/>
      <c r="CU60" s="1218"/>
      <c r="CV60" s="1218"/>
      <c r="CW60" s="1218"/>
      <c r="CX60" s="1218"/>
      <c r="CY60" s="1218"/>
      <c r="CZ60" s="1218"/>
      <c r="DA60" s="1218"/>
      <c r="DB60" s="1218"/>
      <c r="DC60" s="1218"/>
      <c r="DD60" s="1218"/>
      <c r="DE60" s="1218"/>
      <c r="DF60" s="1218"/>
      <c r="DG60" s="1218"/>
      <c r="DH60" s="1218"/>
      <c r="DI60" s="1218"/>
      <c r="DJ60" s="1218"/>
      <c r="DK60" s="1218"/>
      <c r="DL60" s="1218"/>
      <c r="DM60" s="1218"/>
      <c r="DN60" s="1218"/>
      <c r="DO60" s="1218"/>
      <c r="DP60" s="1218"/>
      <c r="DQ60" s="1218"/>
      <c r="DR60" s="1218"/>
      <c r="DS60" s="1218"/>
      <c r="DT60" s="1218"/>
      <c r="DU60" s="1218"/>
      <c r="DV60" s="1218"/>
      <c r="DW60" s="1218"/>
      <c r="DX60" s="1218"/>
      <c r="DY60" s="1218"/>
      <c r="DZ60" s="1218"/>
      <c r="EA60" s="1218"/>
      <c r="EB60" s="1218"/>
      <c r="EC60" s="1218"/>
      <c r="ED60" s="1218"/>
      <c r="EE60" s="1218"/>
      <c r="EF60" s="1218"/>
      <c r="EG60" s="1218"/>
      <c r="EH60" s="1218"/>
      <c r="EI60" s="1218"/>
      <c r="EJ60" s="1218"/>
      <c r="EK60" s="1218"/>
      <c r="EL60" s="1218"/>
      <c r="EM60" s="1218"/>
      <c r="EN60" s="1218"/>
      <c r="EO60" s="1218"/>
      <c r="EP60" s="1218"/>
      <c r="EQ60" s="1218"/>
      <c r="ER60" s="1218"/>
      <c r="ES60" s="1218"/>
      <c r="ET60" s="1218"/>
      <c r="EU60" s="1218"/>
      <c r="EV60" s="1218"/>
      <c r="EW60" s="1218"/>
      <c r="EX60" s="1218"/>
      <c r="EY60" s="1218"/>
      <c r="EZ60" s="1218"/>
      <c r="FA60" s="1218"/>
      <c r="FB60" s="1218"/>
      <c r="FC60" s="1218"/>
      <c r="FD60" s="1218"/>
      <c r="FE60" s="1218"/>
      <c r="FF60" s="1218"/>
      <c r="FG60" s="1218"/>
      <c r="FH60" s="1218"/>
      <c r="FI60" s="1218"/>
      <c r="FJ60" s="1218"/>
      <c r="FK60" s="1218"/>
      <c r="FL60" s="1218"/>
      <c r="FM60" s="1218"/>
      <c r="FN60" s="1218"/>
      <c r="FO60" s="1218"/>
      <c r="FP60" s="1218"/>
      <c r="FQ60" s="1218"/>
      <c r="FR60" s="1218"/>
      <c r="FS60" s="1218"/>
      <c r="FT60" s="1218"/>
      <c r="FU60" s="1218"/>
      <c r="FV60" s="1218"/>
      <c r="FW60" s="1218"/>
      <c r="FX60" s="1218"/>
      <c r="FY60" s="1218"/>
      <c r="FZ60" s="1218"/>
      <c r="GA60" s="1218"/>
      <c r="GB60" s="1218"/>
      <c r="GC60" s="1218"/>
      <c r="GD60" s="1218"/>
      <c r="GE60" s="1218"/>
      <c r="GF60" s="1218"/>
      <c r="GG60" s="1218"/>
      <c r="GH60" s="1218"/>
      <c r="GI60" s="1218"/>
      <c r="GJ60" s="1218"/>
      <c r="GK60" s="1218"/>
      <c r="GL60" s="1218"/>
      <c r="GM60" s="1218"/>
      <c r="GN60" s="1218"/>
      <c r="GO60" s="1218"/>
      <c r="GP60" s="1218"/>
      <c r="GQ60" s="1218"/>
      <c r="GR60" s="1218"/>
      <c r="GS60" s="1218"/>
      <c r="GT60" s="1218"/>
      <c r="GU60" s="1218"/>
      <c r="GV60" s="1218"/>
      <c r="GW60" s="1218"/>
      <c r="GX60" s="1218"/>
      <c r="GY60" s="1218"/>
      <c r="GZ60" s="1218"/>
      <c r="HA60" s="1218"/>
      <c r="HB60" s="1218"/>
      <c r="HC60" s="1218"/>
      <c r="HD60" s="1218"/>
      <c r="HE60" s="1218"/>
      <c r="HF60" s="1218"/>
      <c r="HG60" s="1218"/>
      <c r="HH60" s="1218"/>
      <c r="HI60" s="1218"/>
      <c r="HJ60" s="1218"/>
      <c r="HK60" s="1218"/>
      <c r="HL60" s="1218"/>
      <c r="HM60" s="1218"/>
      <c r="HN60" s="1218"/>
      <c r="HO60" s="1218"/>
      <c r="HP60" s="1218"/>
      <c r="HQ60" s="1218"/>
      <c r="HR60" s="1218"/>
      <c r="HS60" s="1218"/>
      <c r="HT60" s="1218"/>
      <c r="HU60" s="1218"/>
      <c r="HV60" s="1218"/>
      <c r="HW60" s="1218"/>
      <c r="HX60" s="1218"/>
      <c r="HY60" s="1218"/>
      <c r="HZ60" s="1218"/>
      <c r="IA60" s="1218"/>
      <c r="IB60" s="1218"/>
      <c r="IC60" s="1218"/>
      <c r="ID60" s="1218"/>
      <c r="IE60" s="1218"/>
      <c r="IF60" s="1218"/>
      <c r="IG60" s="1218"/>
      <c r="IH60" s="1218"/>
      <c r="II60" s="1218"/>
      <c r="IJ60" s="1218"/>
      <c r="IK60" s="1218"/>
      <c r="IL60" s="1218"/>
      <c r="IM60" s="1218"/>
      <c r="IN60" s="1218"/>
      <c r="IO60" s="1218"/>
      <c r="IP60" s="1218"/>
      <c r="IQ60" s="1218"/>
      <c r="IR60" s="1218"/>
      <c r="IS60" s="1218"/>
      <c r="IT60" s="1218"/>
      <c r="IU60" s="1218"/>
      <c r="IV60" s="1218"/>
      <c r="IW60" s="1218"/>
    </row>
    <row r="61" customFormat="false" ht="16.5" hidden="false" customHeight="true" outlineLevel="0" collapsed="false">
      <c r="A61" s="176"/>
    </row>
    <row r="62" customFormat="false" ht="12" hidden="false" customHeight="true" outlineLevel="0" collapsed="false">
      <c r="A62" s="176"/>
      <c r="B62" s="1178" t="s">
        <v>782</v>
      </c>
      <c r="C62" s="1161"/>
      <c r="D62" s="1179" t="s">
        <v>426</v>
      </c>
      <c r="E62" s="1179"/>
      <c r="F62" s="1179"/>
      <c r="G62" s="1162"/>
    </row>
    <row r="63" customFormat="false" ht="12" hidden="false" customHeight="true" outlineLevel="0" collapsed="false">
      <c r="A63" s="176"/>
      <c r="B63" s="1180"/>
      <c r="C63" s="108"/>
      <c r="D63" s="215" t="s">
        <v>773</v>
      </c>
      <c r="E63" s="215" t="s">
        <v>774</v>
      </c>
      <c r="F63" s="215" t="s">
        <v>783</v>
      </c>
      <c r="G63" s="636"/>
    </row>
    <row r="64" customFormat="false" ht="12.75" hidden="false" customHeight="false" outlineLevel="0" collapsed="false">
      <c r="A64" s="176"/>
      <c r="B64" s="1180"/>
      <c r="C64" s="108"/>
      <c r="D64" s="108"/>
      <c r="E64" s="1220" t="n">
        <f aca="false">Assum!E326</f>
        <v>0.13</v>
      </c>
      <c r="F64" s="1220" t="n">
        <f aca="false">Assum!E326</f>
        <v>0.13</v>
      </c>
      <c r="G64" s="636"/>
    </row>
    <row r="65" customFormat="false" ht="12.75" hidden="false" customHeight="false" outlineLevel="0" collapsed="false">
      <c r="A65" s="176"/>
      <c r="B65" s="1180"/>
      <c r="C65" s="1186" t="s">
        <v>775</v>
      </c>
      <c r="D65" s="256" t="n">
        <f aca="false">XIRR(D54:N58,D47:N51)</f>
        <v>0.126472759435792</v>
      </c>
      <c r="E65" s="100" t="n">
        <f aca="false">XNPV($E$64,$D$54:$N$58,$D$47:$N$51)</f>
        <v>-2.80936455511831</v>
      </c>
      <c r="F65" s="100" t="n">
        <f aca="false">E65-$C$58</f>
        <v>262.148721800574</v>
      </c>
      <c r="G65" s="636"/>
    </row>
    <row r="66" customFormat="false" ht="12.75" hidden="false" customHeight="false" outlineLevel="0" collapsed="false">
      <c r="A66" s="176"/>
      <c r="B66" s="1180"/>
      <c r="C66" s="1186" t="s">
        <v>776</v>
      </c>
      <c r="D66" s="256" t="n">
        <f aca="false">XIRR(D54:X58,D47:X51)</f>
        <v>0.13</v>
      </c>
      <c r="E66" s="100" t="n">
        <f aca="false">XNPV($E$64,$D$54:$X$58,$D$47:$X$51)</f>
        <v>-3.26405569239796E-014</v>
      </c>
      <c r="F66" s="100" t="n">
        <f aca="false">E66-$C$58</f>
        <v>264.958086355692</v>
      </c>
      <c r="G66" s="638"/>
    </row>
    <row r="67" customFormat="false" ht="12.75" hidden="false" customHeight="false" outlineLevel="0" collapsed="false">
      <c r="A67" s="176"/>
      <c r="B67" s="1180"/>
      <c r="C67" s="1186" t="s">
        <v>777</v>
      </c>
      <c r="D67" s="256" t="n">
        <f aca="false">XIRR(D54:AI58,D47:AI51)</f>
        <v>0.13</v>
      </c>
      <c r="E67" s="100" t="n">
        <f aca="false">XNPV($E$64,$D$54:$AI$58,$D$47:$AI$51)</f>
        <v>-3.26405569239796E-014</v>
      </c>
      <c r="F67" s="100" t="n">
        <f aca="false">E67-$C$58</f>
        <v>264.958086355692</v>
      </c>
      <c r="G67" s="636"/>
    </row>
    <row r="68" customFormat="false" ht="12.75" hidden="false" customHeight="false" outlineLevel="0" collapsed="false">
      <c r="A68" s="176"/>
      <c r="B68" s="1180"/>
      <c r="C68" s="108"/>
      <c r="D68" s="108"/>
      <c r="E68" s="108"/>
      <c r="F68" s="108"/>
      <c r="G68" s="636"/>
    </row>
    <row r="69" customFormat="false" ht="12.75" hidden="false" customHeight="false" outlineLevel="0" collapsed="false">
      <c r="A69" s="176"/>
      <c r="B69" s="1180"/>
      <c r="C69" s="108"/>
      <c r="D69" s="1188" t="s">
        <v>425</v>
      </c>
      <c r="E69" s="1188"/>
      <c r="F69" s="1188"/>
      <c r="G69" s="636"/>
    </row>
    <row r="70" customFormat="false" ht="12.75" hidden="false" customHeight="false" outlineLevel="0" collapsed="false">
      <c r="A70" s="176"/>
      <c r="B70" s="1180"/>
      <c r="C70" s="1186" t="s">
        <v>775</v>
      </c>
      <c r="D70" s="256" t="n">
        <f aca="false">XIRR(C58:N58,C51:N51)</f>
        <v>-0.215385834924812</v>
      </c>
      <c r="E70" s="100" t="n">
        <f aca="false">XNPV($E$64,$C$58:$N$58,$C$51:$N$51)</f>
        <v>-234.336427050368</v>
      </c>
      <c r="F70" s="1104" t="n">
        <f aca="false">E70-$C$58</f>
        <v>30.6216593053241</v>
      </c>
      <c r="G70" s="636"/>
    </row>
    <row r="71" customFormat="false" ht="12.75" hidden="false" customHeight="false" outlineLevel="0" collapsed="false">
      <c r="A71" s="176"/>
      <c r="B71" s="1180"/>
      <c r="C71" s="1186" t="s">
        <v>776</v>
      </c>
      <c r="D71" s="256" t="n">
        <f aca="false">XIRR(C58:X58,C51:X51)</f>
        <v>-0.0381829974578542</v>
      </c>
      <c r="E71" s="100" t="n">
        <f aca="false">XNPV($E$64,$C$58:$X$58,$C$51:$X$51)</f>
        <v>-221.254873858363</v>
      </c>
      <c r="F71" s="1104" t="n">
        <f aca="false">E71-$C$58</f>
        <v>43.7032124973295</v>
      </c>
      <c r="G71" s="636"/>
    </row>
    <row r="72" customFormat="false" ht="12.75" hidden="false" customHeight="false" outlineLevel="0" collapsed="false">
      <c r="A72" s="176"/>
      <c r="B72" s="1180"/>
      <c r="C72" s="1186" t="s">
        <v>777</v>
      </c>
      <c r="D72" s="256" t="n">
        <f aca="false">XIRR(C58:AI58,C51:AI51)</f>
        <v>-0.0381829974578542</v>
      </c>
      <c r="E72" s="100" t="n">
        <f aca="false">XNPV($E$64,$C$58:$AI$58,$C$51:$AI$51)</f>
        <v>-221.254873858363</v>
      </c>
      <c r="F72" s="1104" t="n">
        <f aca="false">E72-$C$58</f>
        <v>43.7032124973295</v>
      </c>
      <c r="G72" s="636"/>
    </row>
    <row r="73" customFormat="false" ht="13.5" hidden="false" customHeight="false" outlineLevel="0" collapsed="false">
      <c r="A73" s="176"/>
      <c r="B73" s="1221"/>
      <c r="C73" s="661"/>
      <c r="D73" s="661"/>
      <c r="E73" s="661"/>
      <c r="F73" s="661"/>
      <c r="G73" s="662"/>
    </row>
    <row r="74" customFormat="false" ht="13.5" hidden="false" customHeight="true" outlineLevel="0" collapsed="false">
      <c r="A74" s="176"/>
    </row>
    <row r="75" customFormat="false" ht="12.75" hidden="false" customHeight="false" outlineLevel="0" collapsed="false">
      <c r="A75" s="176"/>
    </row>
    <row r="76" customFormat="false" ht="13.5" hidden="false" customHeight="false" outlineLevel="0" collapsed="false">
      <c r="A76" s="176"/>
      <c r="B76" s="0" t="s">
        <v>784</v>
      </c>
    </row>
    <row r="77" customFormat="false" ht="12.75" hidden="false" customHeight="false" outlineLevel="0" collapsed="false">
      <c r="A77" s="176"/>
      <c r="B77" s="1222" t="s">
        <v>674</v>
      </c>
      <c r="C77" s="1161" t="n">
        <v>0</v>
      </c>
      <c r="D77" s="1162" t="n">
        <v>1</v>
      </c>
    </row>
    <row r="78" customFormat="false" ht="12.75" hidden="false" customHeight="false" outlineLevel="0" collapsed="false">
      <c r="A78" s="176"/>
      <c r="B78" s="1165" t="s">
        <v>765</v>
      </c>
      <c r="C78" s="254" t="n">
        <v>0</v>
      </c>
      <c r="D78" s="1223" t="n">
        <v>1</v>
      </c>
    </row>
    <row r="79" customFormat="false" ht="12.75" hidden="false" customHeight="false" outlineLevel="0" collapsed="false">
      <c r="A79" s="176"/>
      <c r="B79" s="1167" t="s">
        <v>766</v>
      </c>
      <c r="C79" s="108" t="n">
        <v>0.25</v>
      </c>
      <c r="D79" s="636" t="n">
        <v>0</v>
      </c>
    </row>
    <row r="80" customFormat="false" ht="13.5" hidden="false" customHeight="false" outlineLevel="0" collapsed="false">
      <c r="A80" s="176"/>
      <c r="B80" s="1224" t="s">
        <v>767</v>
      </c>
      <c r="C80" s="661" t="n">
        <v>0.25</v>
      </c>
      <c r="D80" s="662" t="n">
        <v>0</v>
      </c>
      <c r="H80" s="1186"/>
    </row>
    <row r="81" customFormat="false" ht="12.75" hidden="false" customHeight="false" outlineLevel="0" collapsed="false">
      <c r="A81" s="1229"/>
      <c r="B81" s="1269"/>
      <c r="C81" s="1269"/>
      <c r="D81" s="1261"/>
      <c r="E81" s="1261"/>
      <c r="F81" s="1261"/>
      <c r="G81" s="1261"/>
      <c r="H81" s="1261"/>
      <c r="I81" s="1246"/>
      <c r="J81" s="1261"/>
      <c r="K81" s="1261"/>
      <c r="L81" s="1261"/>
      <c r="M81" s="1261"/>
      <c r="N81" s="1261"/>
      <c r="O81" s="1246"/>
      <c r="P81" s="1246"/>
      <c r="Q81" s="1246"/>
      <c r="R81" s="1246"/>
      <c r="S81" s="1246"/>
      <c r="T81" s="1246"/>
      <c r="U81" s="1246"/>
      <c r="V81" s="1246"/>
      <c r="W81" s="1246"/>
      <c r="X81" s="1246"/>
      <c r="Y81" s="1246"/>
      <c r="Z81" s="1246"/>
      <c r="AA81" s="1246"/>
      <c r="AB81" s="1246"/>
      <c r="AC81" s="1246"/>
      <c r="AD81" s="1246"/>
      <c r="AE81" s="1246"/>
      <c r="AF81" s="1246"/>
      <c r="AG81" s="1246"/>
      <c r="AH81" s="1246"/>
      <c r="AI81" s="1246"/>
      <c r="AJ81" s="1246"/>
      <c r="AK81" s="1246"/>
      <c r="AL81" s="1246"/>
      <c r="AM81" s="1246"/>
      <c r="AN81" s="1246"/>
      <c r="AO81" s="1246"/>
      <c r="AP81" s="1246"/>
      <c r="AQ81" s="1246"/>
      <c r="AR81" s="1246"/>
      <c r="AS81" s="1246"/>
      <c r="AT81" s="1246"/>
      <c r="AU81" s="1246"/>
      <c r="AV81" s="1246"/>
      <c r="AW81" s="1246"/>
      <c r="AX81" s="1246"/>
      <c r="AY81" s="1246"/>
      <c r="AZ81" s="1246"/>
      <c r="BA81" s="1246"/>
      <c r="BB81" s="1246"/>
      <c r="BC81" s="1246"/>
      <c r="BD81" s="1246"/>
      <c r="BE81" s="1246"/>
      <c r="BF81" s="1246"/>
      <c r="BG81" s="1246"/>
      <c r="BH81" s="1246"/>
      <c r="BI81" s="1246"/>
      <c r="BJ81" s="1246"/>
      <c r="BK81" s="1246"/>
      <c r="BL81" s="1246"/>
      <c r="BM81" s="1246"/>
      <c r="BN81" s="1246"/>
      <c r="BO81" s="1246"/>
      <c r="BP81" s="1246"/>
      <c r="BQ81" s="1246"/>
      <c r="BR81" s="1246"/>
      <c r="BS81" s="1246"/>
      <c r="BT81" s="1246"/>
      <c r="BU81" s="1246"/>
      <c r="BV81" s="1246"/>
      <c r="BW81" s="1246"/>
      <c r="BX81" s="1246"/>
      <c r="BY81" s="1246"/>
      <c r="BZ81" s="1246"/>
      <c r="CA81" s="1246"/>
      <c r="CB81" s="1246"/>
      <c r="CC81" s="1246"/>
      <c r="CD81" s="1246"/>
      <c r="CE81" s="1246"/>
      <c r="CF81" s="1246"/>
      <c r="CG81" s="1246"/>
      <c r="CH81" s="1246"/>
      <c r="CI81" s="1246"/>
      <c r="CJ81" s="1246"/>
      <c r="CK81" s="1246"/>
      <c r="CL81" s="1246"/>
      <c r="CM81" s="1246"/>
      <c r="CN81" s="1246"/>
      <c r="CO81" s="1246"/>
      <c r="CP81" s="1246"/>
      <c r="CQ81" s="1246"/>
      <c r="CR81" s="1246"/>
      <c r="CS81" s="1246"/>
      <c r="CT81" s="1246"/>
      <c r="CU81" s="1246"/>
      <c r="CV81" s="1246"/>
      <c r="CW81" s="1246"/>
      <c r="CX81" s="1246"/>
      <c r="CY81" s="1246"/>
      <c r="CZ81" s="1246"/>
      <c r="DA81" s="1246"/>
      <c r="DB81" s="1246"/>
      <c r="DC81" s="1246"/>
      <c r="DD81" s="1246"/>
      <c r="DE81" s="1246"/>
      <c r="DF81" s="1246"/>
      <c r="DG81" s="1246"/>
      <c r="DH81" s="1246"/>
      <c r="DI81" s="1246"/>
      <c r="DJ81" s="1246"/>
      <c r="DK81" s="1246"/>
      <c r="DL81" s="1246"/>
      <c r="DM81" s="1246"/>
      <c r="DN81" s="1246"/>
      <c r="DO81" s="1246"/>
      <c r="DP81" s="1246"/>
      <c r="DQ81" s="1246"/>
      <c r="DR81" s="1246"/>
      <c r="DS81" s="1246"/>
      <c r="DT81" s="1246"/>
      <c r="DU81" s="1246"/>
      <c r="DV81" s="1246"/>
      <c r="DW81" s="1246"/>
      <c r="DX81" s="1246"/>
      <c r="DY81" s="1246"/>
      <c r="DZ81" s="1246"/>
      <c r="EA81" s="1246"/>
      <c r="EB81" s="1246"/>
      <c r="EC81" s="1246"/>
      <c r="ED81" s="1246"/>
      <c r="EE81" s="1246"/>
      <c r="EF81" s="1246"/>
      <c r="EG81" s="1246"/>
      <c r="EH81" s="1246"/>
      <c r="EI81" s="1246"/>
      <c r="EJ81" s="1246"/>
      <c r="EK81" s="1246"/>
      <c r="EL81" s="1246"/>
      <c r="EM81" s="1246"/>
      <c r="EN81" s="1246"/>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c r="FM81" s="21"/>
      <c r="FN81" s="21"/>
      <c r="FO81" s="21"/>
      <c r="FP81" s="21"/>
      <c r="FQ81" s="21"/>
      <c r="FR81" s="21"/>
      <c r="FS81" s="21"/>
      <c r="FT81" s="21"/>
      <c r="FU81" s="21"/>
      <c r="FV81" s="21"/>
      <c r="FW81" s="21"/>
      <c r="FX81" s="21"/>
      <c r="FY81" s="21"/>
      <c r="FZ81" s="21"/>
      <c r="GA81" s="21"/>
      <c r="GB81" s="21"/>
      <c r="GC81" s="21"/>
      <c r="GD81" s="21"/>
      <c r="GE81" s="21"/>
      <c r="GF81" s="21"/>
      <c r="GG81" s="21"/>
      <c r="GH81" s="21"/>
      <c r="GI81" s="21"/>
      <c r="GJ81" s="21"/>
      <c r="GK81" s="21"/>
      <c r="GL81" s="21"/>
      <c r="GM81" s="21"/>
      <c r="GN81" s="21"/>
      <c r="GO81" s="21"/>
      <c r="GP81" s="21"/>
      <c r="GQ81" s="21"/>
      <c r="GR81" s="21"/>
      <c r="GS81" s="21"/>
      <c r="GT81" s="21"/>
      <c r="GU81" s="21"/>
      <c r="GV81" s="21"/>
      <c r="GW81" s="21"/>
      <c r="GX81" s="21"/>
      <c r="GY81" s="21"/>
      <c r="GZ81" s="21"/>
      <c r="HA81" s="21"/>
      <c r="HB81" s="21"/>
      <c r="HC81" s="21"/>
      <c r="HD81" s="21"/>
      <c r="HE81" s="21"/>
      <c r="HF81" s="21"/>
      <c r="HG81" s="21"/>
      <c r="HH81" s="21"/>
      <c r="HI81" s="21"/>
      <c r="HJ81" s="21"/>
      <c r="HK81" s="21"/>
      <c r="HL81" s="21"/>
      <c r="HM81" s="21"/>
      <c r="HN81" s="21"/>
      <c r="HO81" s="21"/>
      <c r="HP81" s="21"/>
      <c r="HQ81" s="21"/>
      <c r="HR81" s="21"/>
      <c r="HS81" s="21"/>
      <c r="HT81" s="21"/>
      <c r="HU81" s="21"/>
      <c r="HV81" s="21"/>
      <c r="HW81" s="21"/>
      <c r="HX81" s="21"/>
      <c r="HY81" s="21"/>
      <c r="HZ81" s="21"/>
      <c r="IA81" s="21"/>
      <c r="IB81" s="21"/>
      <c r="IC81" s="21"/>
      <c r="ID81" s="21"/>
      <c r="IE81" s="21"/>
      <c r="IF81" s="21"/>
      <c r="IG81" s="21"/>
      <c r="IH81" s="21"/>
      <c r="II81" s="21"/>
      <c r="IJ81" s="21"/>
      <c r="IK81" s="21"/>
      <c r="IL81" s="21"/>
      <c r="IM81" s="21"/>
      <c r="IN81" s="21"/>
      <c r="IO81" s="21"/>
      <c r="IP81" s="21"/>
      <c r="IQ81" s="21"/>
      <c r="IR81" s="21"/>
      <c r="IS81" s="21"/>
      <c r="IT81" s="21"/>
      <c r="IU81" s="21"/>
      <c r="IV81" s="21"/>
      <c r="IW81" s="21"/>
    </row>
    <row r="82" customFormat="false" ht="12.75" hidden="false" customHeight="false" outlineLevel="0" collapsed="false">
      <c r="A82" s="1029"/>
      <c r="B82" s="17"/>
      <c r="C82" s="17"/>
      <c r="D82" s="17"/>
      <c r="E82" s="17"/>
      <c r="F82" s="17"/>
      <c r="G82" s="17"/>
      <c r="H82" s="1225"/>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17"/>
      <c r="BX82" s="17"/>
      <c r="BY82" s="17"/>
      <c r="BZ82" s="17"/>
      <c r="CA82" s="17"/>
      <c r="CB82" s="17"/>
      <c r="CC82" s="17"/>
      <c r="CD82" s="17"/>
      <c r="CE82" s="17"/>
      <c r="CF82" s="17"/>
      <c r="CG82" s="17"/>
      <c r="CH82" s="17"/>
      <c r="CI82" s="17"/>
      <c r="CJ82" s="17"/>
      <c r="CK82" s="17"/>
      <c r="CL82" s="17"/>
      <c r="CM82" s="17"/>
      <c r="CN82" s="17"/>
      <c r="CO82" s="17"/>
      <c r="CP82" s="17"/>
      <c r="CQ82" s="17"/>
      <c r="CR82" s="17"/>
      <c r="CS82" s="17"/>
      <c r="CT82" s="17"/>
      <c r="CU82" s="17"/>
      <c r="CV82" s="17"/>
      <c r="CW82" s="17"/>
      <c r="CX82" s="17"/>
      <c r="CY82" s="17"/>
      <c r="CZ82" s="17"/>
      <c r="DA82" s="17"/>
      <c r="DB82" s="17"/>
      <c r="DC82" s="17"/>
      <c r="DD82" s="17"/>
      <c r="DE82" s="17"/>
      <c r="DF82" s="17"/>
      <c r="DG82" s="17"/>
      <c r="DH82" s="17"/>
      <c r="DI82" s="17"/>
      <c r="DJ82" s="17"/>
      <c r="DK82" s="17"/>
      <c r="DL82" s="17"/>
      <c r="DM82" s="17"/>
      <c r="DN82" s="17"/>
      <c r="DO82" s="17"/>
      <c r="DP82" s="17"/>
      <c r="DQ82" s="17"/>
      <c r="DR82" s="17"/>
      <c r="DS82" s="17"/>
      <c r="DT82" s="17"/>
      <c r="DU82" s="17"/>
      <c r="DV82" s="17"/>
      <c r="DW82" s="17"/>
      <c r="DX82" s="17"/>
      <c r="DY82" s="17"/>
      <c r="DZ82" s="17"/>
      <c r="EA82" s="17"/>
      <c r="EB82" s="17"/>
      <c r="EC82" s="17"/>
      <c r="ED82" s="17"/>
      <c r="EE82" s="17"/>
      <c r="EF82" s="17"/>
      <c r="EG82" s="17"/>
      <c r="EH82" s="17"/>
      <c r="EI82" s="17"/>
      <c r="EJ82" s="17"/>
      <c r="EK82" s="17"/>
      <c r="EL82" s="17"/>
      <c r="EM82" s="17"/>
      <c r="EN82" s="17"/>
      <c r="EO82" s="17"/>
      <c r="EP82" s="17"/>
      <c r="EQ82" s="17"/>
      <c r="ER82" s="17"/>
      <c r="ES82" s="17"/>
      <c r="ET82" s="17"/>
      <c r="EU82" s="17"/>
      <c r="EV82" s="17"/>
      <c r="EW82" s="17"/>
      <c r="EX82" s="17"/>
      <c r="EY82" s="17"/>
      <c r="EZ82" s="17"/>
      <c r="FA82" s="17"/>
      <c r="FB82" s="17"/>
      <c r="FC82" s="17"/>
      <c r="FD82" s="17"/>
      <c r="FE82" s="17"/>
      <c r="FF82" s="17"/>
      <c r="FG82" s="17"/>
      <c r="FH82" s="17"/>
      <c r="FI82" s="17"/>
      <c r="FJ82" s="17"/>
      <c r="FK82" s="17"/>
      <c r="FL82" s="17"/>
      <c r="FM82" s="17"/>
      <c r="FN82" s="17"/>
      <c r="FO82" s="17"/>
      <c r="FP82" s="17"/>
      <c r="FQ82" s="17"/>
      <c r="FR82" s="17"/>
      <c r="FS82" s="17"/>
      <c r="FT82" s="17"/>
      <c r="FU82" s="17"/>
      <c r="FV82" s="17"/>
      <c r="FW82" s="17"/>
      <c r="FX82" s="17"/>
      <c r="FY82" s="17"/>
      <c r="FZ82" s="17"/>
      <c r="GA82" s="17"/>
      <c r="GB82" s="17"/>
      <c r="GC82" s="17"/>
      <c r="GD82" s="17"/>
      <c r="GE82" s="17"/>
      <c r="GF82" s="17"/>
      <c r="GG82" s="17"/>
      <c r="GH82" s="17"/>
      <c r="GI82" s="17"/>
      <c r="GJ82" s="17"/>
      <c r="GK82" s="17"/>
      <c r="GL82" s="17"/>
      <c r="GM82" s="17"/>
      <c r="GN82" s="17"/>
      <c r="GO82" s="17"/>
      <c r="GP82" s="17"/>
      <c r="GQ82" s="17"/>
      <c r="GR82" s="17"/>
      <c r="GS82" s="17"/>
      <c r="GT82" s="17"/>
      <c r="GU82" s="17"/>
      <c r="GV82" s="17"/>
      <c r="GW82" s="17"/>
      <c r="GX82" s="17"/>
      <c r="GY82" s="17"/>
      <c r="GZ82" s="17"/>
      <c r="HA82" s="17"/>
      <c r="HB82" s="17"/>
      <c r="HC82" s="17"/>
      <c r="HD82" s="17"/>
      <c r="HE82" s="17"/>
      <c r="HF82" s="17"/>
      <c r="HG82" s="17"/>
      <c r="HH82" s="17"/>
      <c r="HI82" s="17"/>
      <c r="HJ82" s="17"/>
      <c r="HK82" s="17"/>
      <c r="HL82" s="17"/>
      <c r="HM82" s="17"/>
      <c r="HN82" s="17"/>
      <c r="HO82" s="17"/>
      <c r="HP82" s="17"/>
      <c r="HQ82" s="17"/>
      <c r="HR82" s="17"/>
      <c r="HS82" s="17"/>
      <c r="HT82" s="17"/>
      <c r="HU82" s="17"/>
      <c r="HV82" s="17"/>
      <c r="HW82" s="17"/>
      <c r="HX82" s="17"/>
      <c r="HY82" s="17"/>
      <c r="HZ82" s="17"/>
      <c r="IA82" s="17"/>
      <c r="IB82" s="17"/>
      <c r="IC82" s="17"/>
      <c r="ID82" s="17"/>
      <c r="IE82" s="17"/>
      <c r="IF82" s="17"/>
      <c r="IG82" s="17"/>
      <c r="IH82" s="17"/>
      <c r="II82" s="17"/>
      <c r="IJ82" s="17"/>
      <c r="IK82" s="17"/>
      <c r="IL82" s="17"/>
      <c r="IM82" s="17"/>
      <c r="IN82" s="17"/>
      <c r="IO82" s="17"/>
      <c r="IP82" s="17"/>
      <c r="IQ82" s="17"/>
      <c r="IR82" s="17"/>
      <c r="IS82" s="17"/>
      <c r="IT82" s="17"/>
      <c r="IU82" s="17"/>
      <c r="IV82" s="17"/>
      <c r="IW82" s="17"/>
    </row>
    <row r="83" customFormat="false" ht="12.75" hidden="false" customHeight="false" outlineLevel="0" collapsed="false">
      <c r="A83" s="176"/>
      <c r="H83" s="1186"/>
    </row>
    <row r="84" customFormat="false" ht="12.75" hidden="false" customHeight="false" outlineLevel="0" collapsed="false">
      <c r="A84" s="696"/>
      <c r="B84" s="1034" t="s">
        <v>785</v>
      </c>
      <c r="C84" s="223"/>
      <c r="D84" s="317"/>
      <c r="E84" s="240"/>
      <c r="F84" s="223"/>
      <c r="G84" s="240"/>
      <c r="H84" s="240"/>
      <c r="I84" s="240"/>
      <c r="J84" s="240"/>
      <c r="K84" s="240"/>
      <c r="L84" s="240"/>
      <c r="M84" s="240"/>
      <c r="N84" s="240"/>
      <c r="O84" s="240"/>
      <c r="P84" s="240"/>
      <c r="Q84" s="240"/>
      <c r="R84" s="240"/>
      <c r="S84" s="240"/>
      <c r="T84" s="240"/>
      <c r="U84" s="240"/>
      <c r="V84" s="240"/>
      <c r="W84" s="240"/>
      <c r="X84" s="240"/>
      <c r="Y84" s="240"/>
      <c r="Z84" s="240"/>
      <c r="AA84" s="240"/>
      <c r="AB84" s="240"/>
      <c r="AC84" s="240"/>
      <c r="AD84" s="240"/>
      <c r="AE84" s="240"/>
      <c r="AF84" s="240"/>
      <c r="AG84" s="240"/>
      <c r="AH84" s="240"/>
      <c r="AI84" s="240"/>
      <c r="AJ84" s="240"/>
      <c r="AK84" s="240"/>
      <c r="AL84" s="240"/>
      <c r="AM84" s="240"/>
      <c r="AN84" s="240"/>
      <c r="AO84" s="240"/>
      <c r="AP84" s="240"/>
      <c r="AQ84" s="240"/>
      <c r="AR84" s="240"/>
      <c r="AS84" s="240"/>
      <c r="AT84" s="240"/>
      <c r="AU84" s="240"/>
      <c r="AV84" s="240"/>
      <c r="AW84" s="240"/>
      <c r="AX84" s="240"/>
      <c r="AY84" s="240"/>
      <c r="AZ84" s="240"/>
      <c r="BA84" s="240"/>
      <c r="BB84" s="240"/>
      <c r="BC84" s="240"/>
      <c r="BD84" s="240"/>
      <c r="BE84" s="240"/>
      <c r="BF84" s="240"/>
      <c r="BG84" s="240"/>
      <c r="BH84" s="240"/>
      <c r="BI84" s="240"/>
      <c r="BJ84" s="240"/>
      <c r="BK84" s="240"/>
      <c r="BL84" s="240"/>
      <c r="BM84" s="240"/>
      <c r="BN84" s="240"/>
      <c r="BO84" s="240"/>
      <c r="BP84" s="240"/>
      <c r="BQ84" s="240"/>
      <c r="BR84" s="240"/>
      <c r="BS84" s="240"/>
      <c r="BT84" s="240"/>
      <c r="BU84" s="240"/>
      <c r="BV84" s="240"/>
      <c r="BW84" s="240"/>
      <c r="BX84" s="240"/>
      <c r="BY84" s="240"/>
      <c r="BZ84" s="240"/>
      <c r="CA84" s="240"/>
      <c r="CB84" s="240"/>
      <c r="CC84" s="240"/>
      <c r="CD84" s="240"/>
      <c r="CE84" s="240"/>
      <c r="CF84" s="240"/>
      <c r="CG84" s="240"/>
      <c r="CH84" s="240"/>
      <c r="CI84" s="240"/>
      <c r="CJ84" s="240"/>
      <c r="CK84" s="240"/>
      <c r="CL84" s="240"/>
      <c r="CM84" s="240"/>
      <c r="CN84" s="240"/>
      <c r="CO84" s="240"/>
      <c r="CP84" s="240"/>
      <c r="CQ84" s="240"/>
      <c r="CR84" s="240"/>
      <c r="CS84" s="240"/>
      <c r="CT84" s="240"/>
      <c r="CU84" s="240"/>
      <c r="CV84" s="240"/>
      <c r="CW84" s="240"/>
      <c r="CX84" s="240"/>
      <c r="CY84" s="240"/>
      <c r="CZ84" s="240"/>
      <c r="DA84" s="240"/>
      <c r="DB84" s="240"/>
      <c r="DC84" s="240"/>
      <c r="DD84" s="240"/>
      <c r="DE84" s="240"/>
      <c r="DF84" s="240"/>
      <c r="DG84" s="240"/>
      <c r="DH84" s="240"/>
      <c r="DI84" s="240"/>
      <c r="DJ84" s="240"/>
      <c r="DK84" s="240"/>
      <c r="DL84" s="240"/>
      <c r="DM84" s="240"/>
      <c r="DN84" s="240"/>
      <c r="DO84" s="240"/>
      <c r="DP84" s="240"/>
      <c r="DQ84" s="240"/>
      <c r="DR84" s="240"/>
      <c r="DS84" s="240"/>
      <c r="DT84" s="240"/>
      <c r="DU84" s="240"/>
      <c r="DV84" s="240"/>
      <c r="DW84" s="240"/>
      <c r="DX84" s="240"/>
      <c r="DY84" s="240"/>
      <c r="DZ84" s="240"/>
      <c r="EA84" s="240"/>
      <c r="EB84" s="240"/>
      <c r="EC84" s="240"/>
      <c r="ED84" s="240"/>
      <c r="EE84" s="240"/>
      <c r="EF84" s="240"/>
      <c r="EG84" s="240"/>
      <c r="EH84" s="240"/>
      <c r="EI84" s="240"/>
      <c r="EJ84" s="240"/>
      <c r="EK84" s="240"/>
      <c r="EL84" s="240"/>
      <c r="EM84" s="317"/>
      <c r="EN84" s="317"/>
      <c r="EO84" s="317"/>
      <c r="EP84" s="317"/>
      <c r="EQ84" s="317"/>
      <c r="ER84" s="317"/>
      <c r="ES84" s="317"/>
      <c r="ET84" s="317"/>
      <c r="EU84" s="317"/>
      <c r="EV84" s="317"/>
      <c r="EW84" s="317"/>
      <c r="EX84" s="317"/>
      <c r="EY84" s="317"/>
      <c r="EZ84" s="317"/>
      <c r="FA84" s="317"/>
      <c r="FB84" s="317"/>
      <c r="FC84" s="317"/>
      <c r="FD84" s="317"/>
      <c r="FE84" s="317"/>
      <c r="FF84" s="317"/>
      <c r="FG84" s="317"/>
      <c r="FH84" s="317"/>
      <c r="FI84" s="317"/>
      <c r="FJ84" s="317"/>
      <c r="FK84" s="317"/>
      <c r="FL84" s="317"/>
      <c r="FM84" s="317"/>
      <c r="FN84" s="317"/>
      <c r="FO84" s="317"/>
      <c r="FP84" s="317"/>
      <c r="FQ84" s="317"/>
      <c r="FR84" s="317"/>
      <c r="FS84" s="317"/>
      <c r="FT84" s="317"/>
      <c r="FU84" s="317"/>
      <c r="FV84" s="317"/>
      <c r="FW84" s="317"/>
      <c r="FX84" s="317"/>
      <c r="FY84" s="317"/>
      <c r="FZ84" s="317"/>
      <c r="GA84" s="317"/>
      <c r="GB84" s="317"/>
      <c r="GC84" s="317"/>
      <c r="GD84" s="317"/>
      <c r="GE84" s="317"/>
      <c r="GF84" s="317"/>
      <c r="GG84" s="317"/>
      <c r="GH84" s="317"/>
      <c r="GI84" s="317"/>
      <c r="GJ84" s="317"/>
      <c r="GK84" s="317"/>
      <c r="GL84" s="317"/>
      <c r="GM84" s="317"/>
      <c r="GN84" s="317"/>
      <c r="GO84" s="317"/>
      <c r="GP84" s="317"/>
      <c r="GQ84" s="317"/>
      <c r="GR84" s="317"/>
      <c r="GS84" s="317"/>
      <c r="GT84" s="317"/>
      <c r="GU84" s="317"/>
      <c r="GV84" s="317"/>
      <c r="GW84" s="317"/>
      <c r="GX84" s="317"/>
      <c r="GY84" s="317"/>
      <c r="GZ84" s="317"/>
      <c r="HA84" s="317"/>
      <c r="HB84" s="317"/>
      <c r="HC84" s="317"/>
      <c r="HD84" s="317"/>
      <c r="HE84" s="317"/>
      <c r="HF84" s="317"/>
      <c r="HG84" s="317"/>
      <c r="HH84" s="317"/>
      <c r="HI84" s="317"/>
      <c r="HJ84" s="317"/>
      <c r="HK84" s="317"/>
      <c r="HL84" s="317"/>
      <c r="HM84" s="317"/>
      <c r="HN84" s="317"/>
      <c r="HO84" s="317"/>
      <c r="HP84" s="317"/>
      <c r="HQ84" s="317"/>
      <c r="HR84" s="317"/>
      <c r="HS84" s="317"/>
      <c r="HT84" s="317"/>
      <c r="HU84" s="317"/>
      <c r="HV84" s="317"/>
      <c r="HW84" s="317"/>
      <c r="HX84" s="317"/>
      <c r="HY84" s="317"/>
      <c r="HZ84" s="317"/>
      <c r="IA84" s="317"/>
      <c r="IB84" s="317"/>
      <c r="IC84" s="317"/>
      <c r="ID84" s="317"/>
      <c r="IE84" s="317"/>
      <c r="IF84" s="317"/>
      <c r="IG84" s="317"/>
      <c r="IH84" s="317"/>
      <c r="II84" s="317"/>
      <c r="IJ84" s="317"/>
      <c r="IK84" s="317"/>
      <c r="IL84" s="317"/>
      <c r="IM84" s="317"/>
      <c r="IN84" s="317"/>
      <c r="IO84" s="317"/>
      <c r="IP84" s="317"/>
      <c r="IQ84" s="317"/>
      <c r="IR84" s="317"/>
      <c r="IS84" s="317"/>
      <c r="IT84" s="317"/>
      <c r="IU84" s="317"/>
      <c r="IV84" s="317"/>
      <c r="IW84" s="317"/>
    </row>
    <row r="85" customFormat="false" ht="12.75" hidden="false" customHeight="false" outlineLevel="0" collapsed="false">
      <c r="A85" s="696"/>
      <c r="B85" s="1226" t="s">
        <v>786</v>
      </c>
      <c r="C85" s="223"/>
      <c r="D85" s="317"/>
      <c r="E85" s="1043" t="n">
        <f aca="false">CashFlow!E13*Assum!E337</f>
        <v>3666.92260553876</v>
      </c>
      <c r="F85" s="1043" t="n">
        <f aca="false">CashFlow!F13*Assum!F337</f>
        <v>3666.92260553876</v>
      </c>
      <c r="G85" s="1043" t="n">
        <f aca="false">CashFlow!G13*Assum!G337</f>
        <v>3666.92260553876</v>
      </c>
      <c r="H85" s="1043" t="n">
        <f aca="false">CashFlow!H13*Assum!H337</f>
        <v>3666.92260553876</v>
      </c>
      <c r="I85" s="1043" t="n">
        <f aca="false">CashFlow!I13*Assum!I337</f>
        <v>3666.92260553876</v>
      </c>
      <c r="J85" s="1043" t="n">
        <f aca="false">CashFlow!J13*Assum!J337</f>
        <v>3666.92260553876</v>
      </c>
      <c r="K85" s="1043" t="n">
        <f aca="false">CashFlow!K13*Assum!K337</f>
        <v>3666.92260553876</v>
      </c>
      <c r="L85" s="1043" t="n">
        <f aca="false">CashFlow!L13*Assum!L337</f>
        <v>3666.92260553876</v>
      </c>
      <c r="M85" s="1043" t="n">
        <f aca="false">CashFlow!M13*Assum!M337</f>
        <v>3666.92260553876</v>
      </c>
      <c r="N85" s="1043" t="n">
        <f aca="false">CashFlow!N13*Assum!N337</f>
        <v>3666.92260553876</v>
      </c>
      <c r="O85" s="1043" t="n">
        <f aca="false">CashFlow!O13*Assum!O337</f>
        <v>3666.92260553876</v>
      </c>
      <c r="P85" s="1043" t="n">
        <f aca="false">CashFlow!P13*Assum!P337</f>
        <v>3666.92260553876</v>
      </c>
      <c r="Q85" s="1043" t="n">
        <f aca="false">CashFlow!Q13*Assum!Q337</f>
        <v>3666.92260553876</v>
      </c>
      <c r="R85" s="1043" t="n">
        <f aca="false">CashFlow!R13*Assum!R337</f>
        <v>3666.92260553876</v>
      </c>
      <c r="S85" s="1043" t="n">
        <f aca="false">CashFlow!S13*Assum!S337</f>
        <v>3666.92260553876</v>
      </c>
      <c r="T85" s="1043" t="n">
        <f aca="false">CashFlow!T13*Assum!T337</f>
        <v>3666.92260553876</v>
      </c>
      <c r="U85" s="1043" t="n">
        <f aca="false">CashFlow!U13*Assum!U337</f>
        <v>3666.92260553876</v>
      </c>
      <c r="V85" s="1043" t="n">
        <f aca="false">CashFlow!V13*Assum!V337</f>
        <v>3666.92260553876</v>
      </c>
      <c r="W85" s="1043" t="n">
        <f aca="false">CashFlow!W13*Assum!W337</f>
        <v>3666.92260553876</v>
      </c>
      <c r="X85" s="1043" t="n">
        <f aca="false">CashFlow!X13*Assum!X337</f>
        <v>3666.92260553876</v>
      </c>
      <c r="Y85" s="1043" t="n">
        <f aca="false">CashFlow!Y13*Assum!Y337</f>
        <v>0</v>
      </c>
      <c r="Z85" s="1043" t="n">
        <f aca="false">CashFlow!Z13*Assum!Z337</f>
        <v>0</v>
      </c>
      <c r="AA85" s="1043" t="n">
        <f aca="false">CashFlow!AA13*Assum!AA337</f>
        <v>0</v>
      </c>
      <c r="AB85" s="1043" t="n">
        <f aca="false">CashFlow!AB13*Assum!AB337</f>
        <v>0</v>
      </c>
      <c r="AC85" s="1043" t="n">
        <f aca="false">CashFlow!AC13*Assum!AC337</f>
        <v>0</v>
      </c>
      <c r="AD85" s="1043" t="n">
        <f aca="false">CashFlow!AD13*Assum!AD337</f>
        <v>0</v>
      </c>
      <c r="AE85" s="1043" t="n">
        <f aca="false">CashFlow!AE13*Assum!AE337</f>
        <v>0</v>
      </c>
      <c r="AF85" s="1043" t="n">
        <f aca="false">CashFlow!AF13*Assum!AF337</f>
        <v>0</v>
      </c>
      <c r="AG85" s="1043" t="n">
        <f aca="false">CashFlow!AG13*Assum!AG337</f>
        <v>0</v>
      </c>
      <c r="AH85" s="1043" t="n">
        <f aca="false">CashFlow!AH13*Assum!AH337</f>
        <v>0</v>
      </c>
      <c r="AI85" s="240"/>
      <c r="AJ85" s="240"/>
      <c r="AK85" s="240"/>
      <c r="AL85" s="240"/>
      <c r="AM85" s="240"/>
      <c r="AN85" s="240"/>
      <c r="AO85" s="240"/>
      <c r="AP85" s="240"/>
      <c r="AQ85" s="240"/>
      <c r="AR85" s="240"/>
      <c r="AS85" s="240"/>
      <c r="AT85" s="240"/>
      <c r="AU85" s="240"/>
      <c r="AV85" s="240"/>
      <c r="AW85" s="240"/>
      <c r="AX85" s="240"/>
      <c r="AY85" s="240"/>
      <c r="AZ85" s="240"/>
      <c r="BA85" s="240"/>
      <c r="BB85" s="240"/>
      <c r="BC85" s="240"/>
      <c r="BD85" s="240"/>
      <c r="BE85" s="240"/>
      <c r="BF85" s="240"/>
      <c r="BG85" s="240"/>
      <c r="BH85" s="240"/>
      <c r="BI85" s="240"/>
      <c r="BJ85" s="240"/>
      <c r="BK85" s="240"/>
      <c r="BL85" s="240"/>
      <c r="BM85" s="240"/>
      <c r="BN85" s="240"/>
      <c r="BO85" s="240"/>
      <c r="BP85" s="240"/>
      <c r="BQ85" s="240"/>
      <c r="BR85" s="240"/>
      <c r="BS85" s="240"/>
      <c r="BT85" s="240"/>
      <c r="BU85" s="240"/>
      <c r="BV85" s="240"/>
      <c r="BW85" s="240"/>
      <c r="BX85" s="240"/>
      <c r="BY85" s="240"/>
      <c r="BZ85" s="240"/>
      <c r="CA85" s="240"/>
      <c r="CB85" s="240"/>
      <c r="CC85" s="240"/>
      <c r="CD85" s="240"/>
      <c r="CE85" s="240"/>
      <c r="CF85" s="240"/>
      <c r="CG85" s="240"/>
      <c r="CH85" s="240"/>
      <c r="CI85" s="240"/>
      <c r="CJ85" s="240"/>
      <c r="CK85" s="240"/>
      <c r="CL85" s="240"/>
      <c r="CM85" s="240"/>
      <c r="CN85" s="240"/>
      <c r="CO85" s="240"/>
      <c r="CP85" s="240"/>
      <c r="CQ85" s="240"/>
      <c r="CR85" s="240"/>
      <c r="CS85" s="240"/>
      <c r="CT85" s="240"/>
      <c r="CU85" s="240"/>
      <c r="CV85" s="240"/>
      <c r="CW85" s="240"/>
      <c r="CX85" s="240"/>
      <c r="CY85" s="240"/>
      <c r="CZ85" s="240"/>
      <c r="DA85" s="240"/>
      <c r="DB85" s="240"/>
      <c r="DC85" s="240"/>
      <c r="DD85" s="240"/>
      <c r="DE85" s="240"/>
      <c r="DF85" s="240"/>
      <c r="DG85" s="240"/>
      <c r="DH85" s="240"/>
      <c r="DI85" s="240"/>
      <c r="DJ85" s="240"/>
      <c r="DK85" s="240"/>
      <c r="DL85" s="240"/>
      <c r="DM85" s="240"/>
      <c r="DN85" s="240"/>
      <c r="DO85" s="240"/>
      <c r="DP85" s="240"/>
      <c r="DQ85" s="240"/>
      <c r="DR85" s="240"/>
      <c r="DS85" s="240"/>
      <c r="DT85" s="240"/>
      <c r="DU85" s="240"/>
      <c r="DV85" s="240"/>
      <c r="DW85" s="240"/>
      <c r="DX85" s="240"/>
      <c r="DY85" s="240"/>
      <c r="DZ85" s="240"/>
      <c r="EA85" s="240"/>
      <c r="EB85" s="240"/>
      <c r="EC85" s="240"/>
      <c r="ED85" s="240"/>
      <c r="EE85" s="240"/>
      <c r="EF85" s="240"/>
      <c r="EG85" s="240"/>
      <c r="EH85" s="240"/>
      <c r="EI85" s="240"/>
      <c r="EJ85" s="240"/>
      <c r="EK85" s="240"/>
      <c r="EL85" s="240"/>
      <c r="EM85" s="317"/>
      <c r="EN85" s="317"/>
      <c r="EO85" s="317"/>
      <c r="EP85" s="317"/>
      <c r="EQ85" s="317"/>
      <c r="ER85" s="317"/>
      <c r="ES85" s="317"/>
      <c r="ET85" s="317"/>
      <c r="EU85" s="317"/>
      <c r="EV85" s="317"/>
      <c r="EW85" s="317"/>
      <c r="EX85" s="317"/>
      <c r="EY85" s="317"/>
      <c r="EZ85" s="317"/>
      <c r="FA85" s="317"/>
      <c r="FB85" s="317"/>
      <c r="FC85" s="317"/>
      <c r="FD85" s="317"/>
      <c r="FE85" s="317"/>
      <c r="FF85" s="317"/>
      <c r="FG85" s="317"/>
      <c r="FH85" s="317"/>
      <c r="FI85" s="317"/>
      <c r="FJ85" s="317"/>
      <c r="FK85" s="317"/>
      <c r="FL85" s="317"/>
      <c r="FM85" s="317"/>
      <c r="FN85" s="317"/>
      <c r="FO85" s="317"/>
      <c r="FP85" s="317"/>
      <c r="FQ85" s="317"/>
      <c r="FR85" s="317"/>
      <c r="FS85" s="317"/>
      <c r="FT85" s="317"/>
      <c r="FU85" s="317"/>
      <c r="FV85" s="317"/>
      <c r="FW85" s="317"/>
      <c r="FX85" s="317"/>
      <c r="FY85" s="317"/>
      <c r="FZ85" s="317"/>
      <c r="GA85" s="317"/>
      <c r="GB85" s="317"/>
      <c r="GC85" s="317"/>
      <c r="GD85" s="317"/>
      <c r="GE85" s="317"/>
      <c r="GF85" s="317"/>
      <c r="GG85" s="317"/>
      <c r="GH85" s="317"/>
      <c r="GI85" s="317"/>
      <c r="GJ85" s="317"/>
      <c r="GK85" s="317"/>
      <c r="GL85" s="317"/>
      <c r="GM85" s="317"/>
      <c r="GN85" s="317"/>
      <c r="GO85" s="317"/>
      <c r="GP85" s="317"/>
      <c r="GQ85" s="317"/>
      <c r="GR85" s="317"/>
      <c r="GS85" s="317"/>
      <c r="GT85" s="317"/>
      <c r="GU85" s="317"/>
      <c r="GV85" s="317"/>
      <c r="GW85" s="317"/>
      <c r="GX85" s="317"/>
      <c r="GY85" s="317"/>
      <c r="GZ85" s="317"/>
      <c r="HA85" s="317"/>
      <c r="HB85" s="317"/>
      <c r="HC85" s="317"/>
      <c r="HD85" s="317"/>
      <c r="HE85" s="317"/>
      <c r="HF85" s="317"/>
      <c r="HG85" s="317"/>
      <c r="HH85" s="317"/>
      <c r="HI85" s="317"/>
      <c r="HJ85" s="317"/>
      <c r="HK85" s="317"/>
      <c r="HL85" s="317"/>
      <c r="HM85" s="317"/>
      <c r="HN85" s="317"/>
      <c r="HO85" s="317"/>
      <c r="HP85" s="317"/>
      <c r="HQ85" s="317"/>
      <c r="HR85" s="317"/>
      <c r="HS85" s="317"/>
      <c r="HT85" s="317"/>
      <c r="HU85" s="317"/>
      <c r="HV85" s="317"/>
      <c r="HW85" s="317"/>
      <c r="HX85" s="317"/>
      <c r="HY85" s="317"/>
      <c r="HZ85" s="317"/>
      <c r="IA85" s="317"/>
      <c r="IB85" s="317"/>
      <c r="IC85" s="317"/>
      <c r="ID85" s="317"/>
      <c r="IE85" s="317"/>
      <c r="IF85" s="317"/>
      <c r="IG85" s="317"/>
      <c r="IH85" s="317"/>
      <c r="II85" s="317"/>
      <c r="IJ85" s="317"/>
      <c r="IK85" s="317"/>
      <c r="IL85" s="317"/>
      <c r="IM85" s="317"/>
      <c r="IN85" s="317"/>
      <c r="IO85" s="317"/>
      <c r="IP85" s="317"/>
      <c r="IQ85" s="317"/>
      <c r="IR85" s="317"/>
      <c r="IS85" s="317"/>
      <c r="IT85" s="317"/>
      <c r="IU85" s="317"/>
      <c r="IV85" s="317"/>
      <c r="IW85" s="317"/>
    </row>
    <row r="86" customFormat="false" ht="12.75" hidden="false" customHeight="false" outlineLevel="0" collapsed="false">
      <c r="A86" s="696"/>
      <c r="B86" s="1057" t="s">
        <v>787</v>
      </c>
      <c r="C86" s="130"/>
      <c r="D86" s="130"/>
      <c r="E86" s="130" t="n">
        <f aca="false">Income!E81*Assum!E337</f>
        <v>-1117.266876</v>
      </c>
      <c r="F86" s="130" t="n">
        <f aca="false">Income!F81*Assum!F337</f>
        <v>-1117.75949703</v>
      </c>
      <c r="G86" s="130" t="n">
        <f aca="false">Income!G81*Assum!G337</f>
        <v>-1118.8977679336</v>
      </c>
      <c r="H86" s="130" t="n">
        <f aca="false">Income!H81*Assum!H337</f>
        <v>-1120.82749176339</v>
      </c>
      <c r="I86" s="130" t="n">
        <f aca="false">Income!I81*Assum!I337</f>
        <v>-1123.42441781521</v>
      </c>
      <c r="J86" s="130" t="n">
        <f aca="false">Income!J81*Assum!J337</f>
        <v>-1468.15208961953</v>
      </c>
      <c r="K86" s="130" t="n">
        <f aca="false">Income!K81*Assum!K337</f>
        <v>-1480.94082080893</v>
      </c>
      <c r="L86" s="130" t="n">
        <f aca="false">Income!L81*Assum!L337</f>
        <v>-1494.47805216379</v>
      </c>
      <c r="M86" s="130" t="n">
        <f aca="false">Income!M81*Assum!M337</f>
        <v>-1508.76842656092</v>
      </c>
      <c r="N86" s="130" t="n">
        <f aca="false">Income!N81*Assum!N337</f>
        <v>-1523.91227500562</v>
      </c>
      <c r="O86" s="130" t="n">
        <f aca="false">Income!O81*Assum!O337</f>
        <v>-1495.42728745304</v>
      </c>
      <c r="P86" s="130" t="n">
        <f aca="false">Income!P81*Assum!P337</f>
        <v>-1512.75494559966</v>
      </c>
      <c r="Q86" s="130" t="n">
        <f aca="false">Income!Q81*Assum!Q337</f>
        <v>-1531.67347469501</v>
      </c>
      <c r="R86" s="130" t="n">
        <f aca="false">Income!R81*Assum!R337</f>
        <v>-1552.26438500795</v>
      </c>
      <c r="S86" s="130" t="n">
        <f aca="false">Income!S81*Assum!S337</f>
        <v>-1574.72154516328</v>
      </c>
      <c r="T86" s="130" t="n">
        <f aca="false">Income!T81*Assum!T337</f>
        <v>-1599.04386596267</v>
      </c>
      <c r="U86" s="130" t="n">
        <f aca="false">Income!U81*Assum!U337</f>
        <v>-1625.09418775839</v>
      </c>
      <c r="V86" s="130" t="n">
        <f aca="false">Income!V81*Assum!V337</f>
        <v>-1575.70662037067</v>
      </c>
      <c r="W86" s="130" t="n">
        <f aca="false">Income!W81*Assum!W337</f>
        <v>-1604.2076112649</v>
      </c>
      <c r="X86" s="130" t="n">
        <f aca="false">Income!X81*Assum!X337</f>
        <v>-1635.81513841995</v>
      </c>
      <c r="Y86" s="130" t="n">
        <f aca="false">Income!Y81*Assum!Y337</f>
        <v>0</v>
      </c>
      <c r="Z86" s="130" t="n">
        <f aca="false">Income!Z81*Assum!Z337</f>
        <v>0</v>
      </c>
      <c r="AA86" s="130" t="n">
        <f aca="false">Income!AA81*Assum!AA337</f>
        <v>0</v>
      </c>
      <c r="AB86" s="130" t="n">
        <f aca="false">Income!AB81*Assum!AB337</f>
        <v>0</v>
      </c>
      <c r="AC86" s="130" t="n">
        <f aca="false">Income!AC81*Assum!AC337</f>
        <v>0</v>
      </c>
      <c r="AD86" s="130" t="n">
        <f aca="false">Income!AD81*Assum!AD337</f>
        <v>0</v>
      </c>
      <c r="AE86" s="130" t="n">
        <f aca="false">Income!AE81*Assum!AE337</f>
        <v>0</v>
      </c>
      <c r="AF86" s="130" t="n">
        <f aca="false">Income!AF81*Assum!AF337</f>
        <v>0</v>
      </c>
      <c r="AG86" s="130" t="n">
        <f aca="false">Income!AG81*Assum!AG337</f>
        <v>0</v>
      </c>
      <c r="AH86" s="130" t="n">
        <f aca="false">Income!AH81*Assum!AH337</f>
        <v>0</v>
      </c>
      <c r="AI86" s="130"/>
      <c r="AJ86" s="130"/>
      <c r="AK86" s="130"/>
      <c r="AL86" s="130"/>
      <c r="AM86" s="130"/>
      <c r="AN86" s="130"/>
      <c r="AO86" s="130"/>
      <c r="AP86" s="130"/>
      <c r="AQ86" s="130"/>
      <c r="AR86" s="130"/>
      <c r="AS86" s="130"/>
      <c r="AT86" s="130"/>
      <c r="AU86" s="130"/>
      <c r="AV86" s="130"/>
      <c r="AW86" s="130"/>
      <c r="AX86" s="130"/>
      <c r="AY86" s="130"/>
      <c r="AZ86" s="130"/>
      <c r="BA86" s="130"/>
      <c r="BB86" s="130"/>
      <c r="BC86" s="130"/>
      <c r="BD86" s="130"/>
      <c r="BE86" s="130"/>
      <c r="BF86" s="130"/>
      <c r="BG86" s="130"/>
      <c r="BH86" s="130"/>
      <c r="BI86" s="130"/>
      <c r="BJ86" s="130"/>
      <c r="BK86" s="130"/>
      <c r="BL86" s="130"/>
      <c r="BM86" s="130"/>
      <c r="BN86" s="130"/>
      <c r="BO86" s="130"/>
      <c r="BP86" s="130"/>
      <c r="BQ86" s="130"/>
      <c r="BR86" s="130"/>
      <c r="BS86" s="130"/>
      <c r="BT86" s="130"/>
      <c r="BU86" s="130"/>
      <c r="BV86" s="130"/>
      <c r="BW86" s="130"/>
      <c r="BX86" s="130"/>
      <c r="BY86" s="130"/>
      <c r="BZ86" s="130"/>
      <c r="CA86" s="130"/>
      <c r="CB86" s="130"/>
      <c r="CC86" s="130"/>
      <c r="CD86" s="130"/>
      <c r="CE86" s="130"/>
      <c r="CF86" s="130"/>
      <c r="CG86" s="130"/>
      <c r="CH86" s="130"/>
      <c r="CI86" s="130"/>
      <c r="CJ86" s="130"/>
      <c r="CK86" s="130"/>
      <c r="CL86" s="130"/>
      <c r="CM86" s="130"/>
      <c r="CN86" s="130"/>
      <c r="CO86" s="130"/>
      <c r="CP86" s="130"/>
      <c r="CQ86" s="130"/>
      <c r="CR86" s="130"/>
      <c r="CS86" s="130"/>
      <c r="CT86" s="130"/>
      <c r="CU86" s="130"/>
      <c r="CV86" s="130"/>
      <c r="CW86" s="130"/>
      <c r="CX86" s="130"/>
      <c r="CY86" s="130"/>
      <c r="CZ86" s="130"/>
      <c r="DA86" s="130"/>
      <c r="DB86" s="130"/>
      <c r="DC86" s="130"/>
      <c r="DD86" s="130"/>
      <c r="DE86" s="130"/>
      <c r="DF86" s="130"/>
      <c r="DG86" s="130"/>
      <c r="DH86" s="130"/>
      <c r="DI86" s="130"/>
      <c r="DJ86" s="130"/>
      <c r="DK86" s="130"/>
      <c r="DL86" s="130"/>
      <c r="DM86" s="130"/>
      <c r="DN86" s="130"/>
      <c r="DO86" s="130"/>
      <c r="DP86" s="130"/>
      <c r="DQ86" s="130"/>
      <c r="DR86" s="130"/>
      <c r="DS86" s="130"/>
      <c r="DT86" s="130"/>
      <c r="DU86" s="130"/>
      <c r="DV86" s="130"/>
      <c r="DW86" s="130"/>
      <c r="DX86" s="130"/>
      <c r="DY86" s="130"/>
      <c r="DZ86" s="130"/>
      <c r="EA86" s="130"/>
      <c r="EB86" s="130"/>
      <c r="EC86" s="130"/>
      <c r="ED86" s="130"/>
      <c r="EE86" s="130"/>
      <c r="EF86" s="130"/>
      <c r="EG86" s="130"/>
      <c r="EH86" s="130"/>
      <c r="EI86" s="130"/>
      <c r="EJ86" s="130"/>
      <c r="EK86" s="130"/>
      <c r="EL86" s="130"/>
      <c r="EM86" s="130"/>
      <c r="EN86" s="130"/>
      <c r="EO86" s="130"/>
      <c r="EP86" s="130"/>
      <c r="EQ86" s="130"/>
      <c r="ER86" s="130"/>
      <c r="ES86" s="130"/>
      <c r="ET86" s="130"/>
      <c r="EU86" s="130"/>
      <c r="EV86" s="130"/>
      <c r="EW86" s="130"/>
      <c r="EX86" s="130"/>
      <c r="EY86" s="130"/>
      <c r="EZ86" s="130"/>
      <c r="FA86" s="130"/>
      <c r="FB86" s="130"/>
      <c r="FC86" s="130"/>
      <c r="FD86" s="130"/>
      <c r="FE86" s="130"/>
      <c r="FF86" s="130"/>
      <c r="FG86" s="130"/>
      <c r="FH86" s="130"/>
      <c r="FI86" s="130"/>
      <c r="FJ86" s="130"/>
      <c r="FK86" s="130"/>
      <c r="FL86" s="130"/>
      <c r="FM86" s="130"/>
      <c r="FN86" s="130"/>
      <c r="FO86" s="130"/>
      <c r="FP86" s="130"/>
      <c r="FQ86" s="130"/>
      <c r="FR86" s="130"/>
      <c r="FS86" s="130"/>
      <c r="FT86" s="130"/>
      <c r="FU86" s="130"/>
      <c r="FV86" s="130"/>
      <c r="FW86" s="130"/>
      <c r="FX86" s="130"/>
      <c r="FY86" s="130"/>
      <c r="FZ86" s="130"/>
      <c r="GA86" s="130"/>
      <c r="GB86" s="130"/>
      <c r="GC86" s="130"/>
      <c r="GD86" s="130"/>
      <c r="GE86" s="130"/>
      <c r="GF86" s="130"/>
      <c r="GG86" s="130"/>
      <c r="GH86" s="130"/>
      <c r="GI86" s="130"/>
      <c r="GJ86" s="130"/>
      <c r="GK86" s="130"/>
      <c r="GL86" s="130"/>
      <c r="GM86" s="130"/>
      <c r="GN86" s="130"/>
      <c r="GO86" s="130"/>
      <c r="GP86" s="130"/>
      <c r="GQ86" s="130"/>
      <c r="GR86" s="130"/>
      <c r="GS86" s="130"/>
      <c r="GT86" s="130"/>
      <c r="GU86" s="130"/>
      <c r="GV86" s="130"/>
      <c r="GW86" s="130"/>
      <c r="GX86" s="130"/>
      <c r="GY86" s="130"/>
      <c r="GZ86" s="130"/>
      <c r="HA86" s="130"/>
      <c r="HB86" s="130"/>
      <c r="HC86" s="130"/>
      <c r="HD86" s="130"/>
      <c r="HE86" s="130"/>
      <c r="HF86" s="130"/>
      <c r="HG86" s="130"/>
      <c r="HH86" s="130"/>
      <c r="HI86" s="130"/>
      <c r="HJ86" s="130"/>
      <c r="HK86" s="130"/>
      <c r="HL86" s="130"/>
      <c r="HM86" s="130"/>
      <c r="HN86" s="130"/>
      <c r="HO86" s="130"/>
      <c r="HP86" s="130"/>
      <c r="HQ86" s="130"/>
      <c r="HR86" s="130"/>
      <c r="HS86" s="130"/>
      <c r="HT86" s="130"/>
      <c r="HU86" s="130"/>
      <c r="HV86" s="130"/>
      <c r="HW86" s="130"/>
      <c r="HX86" s="130"/>
      <c r="HY86" s="130"/>
      <c r="HZ86" s="130"/>
      <c r="IA86" s="130"/>
      <c r="IB86" s="130"/>
      <c r="IC86" s="130"/>
      <c r="ID86" s="130"/>
      <c r="IE86" s="130"/>
      <c r="IF86" s="130"/>
      <c r="IG86" s="130"/>
      <c r="IH86" s="130"/>
      <c r="II86" s="130"/>
      <c r="IJ86" s="130"/>
      <c r="IK86" s="130"/>
      <c r="IL86" s="130"/>
      <c r="IM86" s="130"/>
      <c r="IN86" s="130"/>
      <c r="IO86" s="130"/>
      <c r="IP86" s="130"/>
      <c r="IQ86" s="130"/>
      <c r="IR86" s="130"/>
      <c r="IS86" s="130"/>
      <c r="IT86" s="130"/>
      <c r="IU86" s="130"/>
      <c r="IV86" s="130"/>
      <c r="IW86" s="130"/>
    </row>
    <row r="87" customFormat="false" ht="12.75" hidden="false" customHeight="false" outlineLevel="0" collapsed="false">
      <c r="A87" s="696"/>
      <c r="B87" s="1057" t="s">
        <v>788</v>
      </c>
      <c r="C87" s="130"/>
      <c r="D87" s="130"/>
      <c r="E87" s="130" t="n">
        <f aca="false">Income!E84*Assum!E337</f>
        <v>-1828.29625762903</v>
      </c>
      <c r="F87" s="130" t="n">
        <f aca="false">Income!F84*Assum!F337</f>
        <v>-1828.29625762903</v>
      </c>
      <c r="G87" s="130" t="n">
        <f aca="false">Income!G84*Assum!G337</f>
        <v>-1828.29625762903</v>
      </c>
      <c r="H87" s="130" t="n">
        <f aca="false">Income!H84*Assum!H337</f>
        <v>-1828.29625762903</v>
      </c>
      <c r="I87" s="130" t="n">
        <f aca="false">Income!I84*Assum!I337</f>
        <v>-1828.29625762903</v>
      </c>
      <c r="J87" s="130" t="n">
        <f aca="false">Income!J84*Assum!J337</f>
        <v>-1828.29625762903</v>
      </c>
      <c r="K87" s="130" t="n">
        <f aca="false">Income!K84*Assum!K337</f>
        <v>-1828.29625762903</v>
      </c>
      <c r="L87" s="130" t="n">
        <f aca="false">Income!L84*Assum!L337</f>
        <v>-1828.29625762903</v>
      </c>
      <c r="M87" s="130" t="n">
        <f aca="false">Income!M84*Assum!M337</f>
        <v>-1828.29625762903</v>
      </c>
      <c r="N87" s="130" t="n">
        <f aca="false">Income!N84*Assum!N337</f>
        <v>-1828.29625762903</v>
      </c>
      <c r="O87" s="130" t="n">
        <f aca="false">Income!O84*Assum!O337</f>
        <v>-1828.29625762903</v>
      </c>
      <c r="P87" s="130" t="n">
        <f aca="false">Income!P84*Assum!P337</f>
        <v>-1828.29625762903</v>
      </c>
      <c r="Q87" s="130" t="n">
        <f aca="false">Income!Q84*Assum!Q337</f>
        <v>-1828.29625762903</v>
      </c>
      <c r="R87" s="130" t="n">
        <f aca="false">Income!R84*Assum!R337</f>
        <v>-1828.29625762903</v>
      </c>
      <c r="S87" s="130" t="n">
        <f aca="false">Income!S84*Assum!S337</f>
        <v>-1828.29625762903</v>
      </c>
      <c r="T87" s="130" t="n">
        <f aca="false">Income!T84*Assum!T337</f>
        <v>-1828.29625762903</v>
      </c>
      <c r="U87" s="130" t="n">
        <f aca="false">Income!U84*Assum!U337</f>
        <v>-1828.29625762903</v>
      </c>
      <c r="V87" s="130" t="n">
        <f aca="false">Income!V84*Assum!V337</f>
        <v>-1828.29625762903</v>
      </c>
      <c r="W87" s="130" t="n">
        <f aca="false">Income!W84*Assum!W337</f>
        <v>-1828.29625762903</v>
      </c>
      <c r="X87" s="130" t="n">
        <f aca="false">Income!X84*Assum!X337</f>
        <v>-1828.29625762903</v>
      </c>
      <c r="Y87" s="130" t="n">
        <f aca="false">Income!Y84*Assum!Y337</f>
        <v>-0</v>
      </c>
      <c r="Z87" s="130" t="n">
        <f aca="false">Income!Z84*Assum!Z337</f>
        <v>-0</v>
      </c>
      <c r="AA87" s="130" t="n">
        <f aca="false">Income!AA84*Assum!AA337</f>
        <v>-0</v>
      </c>
      <c r="AB87" s="130" t="n">
        <f aca="false">Income!AB84*Assum!AB337</f>
        <v>-0</v>
      </c>
      <c r="AC87" s="130" t="n">
        <f aca="false">Income!AC84*Assum!AC337</f>
        <v>-0</v>
      </c>
      <c r="AD87" s="130" t="n">
        <f aca="false">Income!AD84*Assum!AD337</f>
        <v>-0</v>
      </c>
      <c r="AE87" s="130" t="n">
        <f aca="false">Income!AE84*Assum!AE337</f>
        <v>-0</v>
      </c>
      <c r="AF87" s="130" t="n">
        <f aca="false">Income!AF84*Assum!AF337</f>
        <v>-0</v>
      </c>
      <c r="AG87" s="130" t="n">
        <f aca="false">Income!AG84*Assum!AG337</f>
        <v>-0</v>
      </c>
      <c r="AH87" s="130" t="n">
        <f aca="false">Income!AH84*Assum!AH337</f>
        <v>-0</v>
      </c>
      <c r="AI87" s="130"/>
      <c r="AJ87" s="130"/>
      <c r="AK87" s="130"/>
      <c r="AL87" s="130"/>
      <c r="AM87" s="130"/>
      <c r="AN87" s="130"/>
      <c r="AO87" s="130"/>
      <c r="AP87" s="130"/>
      <c r="AQ87" s="130"/>
      <c r="AR87" s="130"/>
      <c r="AS87" s="130"/>
      <c r="AT87" s="130"/>
      <c r="AU87" s="130"/>
      <c r="AV87" s="130"/>
      <c r="AW87" s="130"/>
      <c r="AX87" s="130"/>
      <c r="AY87" s="130"/>
      <c r="AZ87" s="130"/>
      <c r="BA87" s="130"/>
      <c r="BB87" s="130"/>
      <c r="BC87" s="130"/>
      <c r="BD87" s="130"/>
      <c r="BE87" s="130"/>
      <c r="BF87" s="130"/>
      <c r="BG87" s="130"/>
      <c r="BH87" s="130"/>
      <c r="BI87" s="130"/>
      <c r="BJ87" s="130"/>
      <c r="BK87" s="130"/>
      <c r="BL87" s="130"/>
      <c r="BM87" s="130"/>
      <c r="BN87" s="130"/>
      <c r="BO87" s="130"/>
      <c r="BP87" s="130"/>
      <c r="BQ87" s="130"/>
      <c r="BR87" s="130"/>
      <c r="BS87" s="130"/>
      <c r="BT87" s="130"/>
      <c r="BU87" s="130"/>
      <c r="BV87" s="130"/>
      <c r="BW87" s="130"/>
      <c r="BX87" s="130"/>
      <c r="BY87" s="130"/>
      <c r="BZ87" s="130"/>
      <c r="CA87" s="130"/>
      <c r="CB87" s="130"/>
      <c r="CC87" s="130"/>
      <c r="CD87" s="130"/>
      <c r="CE87" s="130"/>
      <c r="CF87" s="130"/>
      <c r="CG87" s="130"/>
      <c r="CH87" s="130"/>
      <c r="CI87" s="130"/>
      <c r="CJ87" s="130"/>
      <c r="CK87" s="130"/>
      <c r="CL87" s="130"/>
      <c r="CM87" s="130"/>
      <c r="CN87" s="130"/>
      <c r="CO87" s="130"/>
      <c r="CP87" s="130"/>
      <c r="CQ87" s="130"/>
      <c r="CR87" s="130"/>
      <c r="CS87" s="130"/>
      <c r="CT87" s="130"/>
      <c r="CU87" s="130"/>
      <c r="CV87" s="130"/>
      <c r="CW87" s="130"/>
      <c r="CX87" s="130"/>
      <c r="CY87" s="130"/>
      <c r="CZ87" s="130"/>
      <c r="DA87" s="130"/>
      <c r="DB87" s="130"/>
      <c r="DC87" s="130"/>
      <c r="DD87" s="130"/>
      <c r="DE87" s="130"/>
      <c r="DF87" s="130"/>
      <c r="DG87" s="130"/>
      <c r="DH87" s="130"/>
      <c r="DI87" s="130"/>
      <c r="DJ87" s="130"/>
      <c r="DK87" s="130"/>
      <c r="DL87" s="130"/>
      <c r="DM87" s="130"/>
      <c r="DN87" s="130"/>
      <c r="DO87" s="130"/>
      <c r="DP87" s="130"/>
      <c r="DQ87" s="130"/>
      <c r="DR87" s="130"/>
      <c r="DS87" s="130"/>
      <c r="DT87" s="130"/>
      <c r="DU87" s="130"/>
      <c r="DV87" s="130"/>
      <c r="DW87" s="130"/>
      <c r="DX87" s="130"/>
      <c r="DY87" s="130"/>
      <c r="DZ87" s="130"/>
      <c r="EA87" s="130"/>
      <c r="EB87" s="130"/>
      <c r="EC87" s="130"/>
      <c r="ED87" s="130"/>
      <c r="EE87" s="130"/>
      <c r="EF87" s="130"/>
      <c r="EG87" s="130"/>
      <c r="EH87" s="130"/>
      <c r="EI87" s="130"/>
      <c r="EJ87" s="130"/>
      <c r="EK87" s="130"/>
      <c r="EL87" s="130"/>
      <c r="EM87" s="130"/>
      <c r="EN87" s="130"/>
      <c r="EO87" s="130"/>
      <c r="EP87" s="130"/>
      <c r="EQ87" s="130"/>
      <c r="ER87" s="130"/>
      <c r="ES87" s="130"/>
      <c r="ET87" s="130"/>
      <c r="EU87" s="130"/>
      <c r="EV87" s="130"/>
      <c r="EW87" s="130"/>
      <c r="EX87" s="130"/>
      <c r="EY87" s="130"/>
      <c r="EZ87" s="130"/>
      <c r="FA87" s="130"/>
      <c r="FB87" s="130"/>
      <c r="FC87" s="130"/>
      <c r="FD87" s="130"/>
      <c r="FE87" s="130"/>
      <c r="FF87" s="130"/>
      <c r="FG87" s="130"/>
      <c r="FH87" s="130"/>
      <c r="FI87" s="130"/>
      <c r="FJ87" s="130"/>
      <c r="FK87" s="130"/>
      <c r="FL87" s="130"/>
      <c r="FM87" s="130"/>
      <c r="FN87" s="130"/>
      <c r="FO87" s="130"/>
      <c r="FP87" s="130"/>
      <c r="FQ87" s="130"/>
      <c r="FR87" s="130"/>
      <c r="FS87" s="130"/>
      <c r="FT87" s="130"/>
      <c r="FU87" s="130"/>
      <c r="FV87" s="130"/>
      <c r="FW87" s="130"/>
      <c r="FX87" s="130"/>
      <c r="FY87" s="130"/>
      <c r="FZ87" s="130"/>
      <c r="GA87" s="130"/>
      <c r="GB87" s="130"/>
      <c r="GC87" s="130"/>
      <c r="GD87" s="130"/>
      <c r="GE87" s="130"/>
      <c r="GF87" s="130"/>
      <c r="GG87" s="130"/>
      <c r="GH87" s="130"/>
      <c r="GI87" s="130"/>
      <c r="GJ87" s="130"/>
      <c r="GK87" s="130"/>
      <c r="GL87" s="130"/>
      <c r="GM87" s="130"/>
      <c r="GN87" s="130"/>
      <c r="GO87" s="130"/>
      <c r="GP87" s="130"/>
      <c r="GQ87" s="130"/>
      <c r="GR87" s="130"/>
      <c r="GS87" s="130"/>
      <c r="GT87" s="130"/>
      <c r="GU87" s="130"/>
      <c r="GV87" s="130"/>
      <c r="GW87" s="130"/>
      <c r="GX87" s="130"/>
      <c r="GY87" s="130"/>
      <c r="GZ87" s="130"/>
      <c r="HA87" s="130"/>
      <c r="HB87" s="130"/>
      <c r="HC87" s="130"/>
      <c r="HD87" s="130"/>
      <c r="HE87" s="130"/>
      <c r="HF87" s="130"/>
      <c r="HG87" s="130"/>
      <c r="HH87" s="130"/>
      <c r="HI87" s="130"/>
      <c r="HJ87" s="130"/>
      <c r="HK87" s="130"/>
      <c r="HL87" s="130"/>
      <c r="HM87" s="130"/>
      <c r="HN87" s="130"/>
      <c r="HO87" s="130"/>
      <c r="HP87" s="130"/>
      <c r="HQ87" s="130"/>
      <c r="HR87" s="130"/>
      <c r="HS87" s="130"/>
      <c r="HT87" s="130"/>
      <c r="HU87" s="130"/>
      <c r="HV87" s="130"/>
      <c r="HW87" s="130"/>
      <c r="HX87" s="130"/>
      <c r="HY87" s="130"/>
      <c r="HZ87" s="130"/>
      <c r="IA87" s="130"/>
      <c r="IB87" s="130"/>
      <c r="IC87" s="130"/>
      <c r="ID87" s="130"/>
      <c r="IE87" s="130"/>
      <c r="IF87" s="130"/>
      <c r="IG87" s="130"/>
      <c r="IH87" s="130"/>
      <c r="II87" s="130"/>
      <c r="IJ87" s="130"/>
      <c r="IK87" s="130"/>
      <c r="IL87" s="130"/>
      <c r="IM87" s="130"/>
      <c r="IN87" s="130"/>
      <c r="IO87" s="130"/>
      <c r="IP87" s="130"/>
      <c r="IQ87" s="130"/>
      <c r="IR87" s="130"/>
      <c r="IS87" s="130"/>
      <c r="IT87" s="130"/>
      <c r="IU87" s="130"/>
      <c r="IV87" s="130"/>
      <c r="IW87" s="130"/>
    </row>
    <row r="88" customFormat="false" ht="12.75" hidden="false" customHeight="false" outlineLevel="0" collapsed="false">
      <c r="A88" s="696"/>
      <c r="B88" s="1057" t="s">
        <v>789</v>
      </c>
      <c r="C88" s="130"/>
      <c r="D88" s="130"/>
      <c r="E88" s="130" t="n">
        <f aca="false">Income!E85*Assum!E337</f>
        <v>-106.414766697912</v>
      </c>
      <c r="F88" s="130" t="n">
        <f aca="false">Income!F85*Assum!F337</f>
        <v>-106.414766697912</v>
      </c>
      <c r="G88" s="130" t="n">
        <f aca="false">Income!G85*Assum!G337</f>
        <v>-106.414766697912</v>
      </c>
      <c r="H88" s="130" t="n">
        <f aca="false">Income!H85*Assum!H337</f>
        <v>-106.414766697912</v>
      </c>
      <c r="I88" s="130" t="n">
        <f aca="false">Income!I85*Assum!I337</f>
        <v>-106.414766697912</v>
      </c>
      <c r="J88" s="130" t="n">
        <f aca="false">Income!J85*Assum!J337</f>
        <v>-106.414766697912</v>
      </c>
      <c r="K88" s="130" t="n">
        <f aca="false">Income!K85*Assum!K337</f>
        <v>-106.414766697912</v>
      </c>
      <c r="L88" s="130" t="n">
        <f aca="false">Income!L85*Assum!L337</f>
        <v>-106.414766697912</v>
      </c>
      <c r="M88" s="130" t="n">
        <f aca="false">Income!M85*Assum!M337</f>
        <v>-106.414766697912</v>
      </c>
      <c r="N88" s="130" t="n">
        <f aca="false">Income!N85*Assum!N337</f>
        <v>-106.414766697912</v>
      </c>
      <c r="O88" s="130" t="n">
        <f aca="false">Income!O85*Assum!O337</f>
        <v>-106.414766697912</v>
      </c>
      <c r="P88" s="130" t="n">
        <f aca="false">Income!P85*Assum!P337</f>
        <v>-106.414766697912</v>
      </c>
      <c r="Q88" s="130" t="n">
        <f aca="false">Income!Q85*Assum!Q337</f>
        <v>-106.414766697912</v>
      </c>
      <c r="R88" s="130" t="n">
        <f aca="false">Income!R85*Assum!R337</f>
        <v>-106.414766697912</v>
      </c>
      <c r="S88" s="130" t="n">
        <f aca="false">Income!S85*Assum!S337</f>
        <v>-106.414766697912</v>
      </c>
      <c r="T88" s="130" t="n">
        <f aca="false">Income!T85*Assum!T337</f>
        <v>-106.414766697912</v>
      </c>
      <c r="U88" s="130" t="n">
        <f aca="false">Income!U85*Assum!U337</f>
        <v>-106.414766697912</v>
      </c>
      <c r="V88" s="130" t="n">
        <f aca="false">Income!V85*Assum!V337</f>
        <v>-38.4904475290321</v>
      </c>
      <c r="W88" s="130" t="n">
        <f aca="false">Income!W85*Assum!W337</f>
        <v>-38.4904475290321</v>
      </c>
      <c r="X88" s="130" t="n">
        <f aca="false">Income!X85*Assum!X337</f>
        <v>-38.4904475290321</v>
      </c>
      <c r="Y88" s="130" t="n">
        <f aca="false">Income!Y85*Assum!Y337</f>
        <v>-0</v>
      </c>
      <c r="Z88" s="130" t="n">
        <f aca="false">Income!Z85*Assum!Z337</f>
        <v>-0</v>
      </c>
      <c r="AA88" s="130" t="n">
        <f aca="false">Income!AA85*Assum!AA337</f>
        <v>-0</v>
      </c>
      <c r="AB88" s="130" t="n">
        <f aca="false">Income!AB85*Assum!AB337</f>
        <v>-0</v>
      </c>
      <c r="AC88" s="130" t="n">
        <f aca="false">Income!AC85*Assum!AC337</f>
        <v>-0</v>
      </c>
      <c r="AD88" s="130" t="n">
        <f aca="false">Income!AD85*Assum!AD337</f>
        <v>-0</v>
      </c>
      <c r="AE88" s="130" t="n">
        <f aca="false">Income!AE85*Assum!AE337</f>
        <v>-0</v>
      </c>
      <c r="AF88" s="130" t="n">
        <f aca="false">Income!AF85*Assum!AF337</f>
        <v>-0</v>
      </c>
      <c r="AG88" s="130" t="n">
        <f aca="false">Income!AG85*Assum!AG337</f>
        <v>-0</v>
      </c>
      <c r="AH88" s="130" t="n">
        <f aca="false">Income!AH85*Assum!AH337</f>
        <v>-0</v>
      </c>
      <c r="AI88" s="130"/>
      <c r="AJ88" s="130"/>
      <c r="AK88" s="130"/>
      <c r="AL88" s="130"/>
      <c r="AM88" s="130"/>
      <c r="AN88" s="130"/>
      <c r="AO88" s="130"/>
      <c r="AP88" s="130"/>
      <c r="AQ88" s="130"/>
      <c r="AR88" s="130"/>
      <c r="AS88" s="130"/>
      <c r="AT88" s="130"/>
      <c r="AU88" s="130"/>
      <c r="AV88" s="130"/>
      <c r="AW88" s="130"/>
      <c r="AX88" s="130"/>
      <c r="AY88" s="130"/>
      <c r="AZ88" s="130"/>
      <c r="BA88" s="130"/>
      <c r="BB88" s="130"/>
      <c r="BC88" s="130"/>
      <c r="BD88" s="130"/>
      <c r="BE88" s="130"/>
      <c r="BF88" s="130"/>
      <c r="BG88" s="130"/>
      <c r="BH88" s="130"/>
      <c r="BI88" s="130"/>
      <c r="BJ88" s="130"/>
      <c r="BK88" s="130"/>
      <c r="BL88" s="130"/>
      <c r="BM88" s="130"/>
      <c r="BN88" s="130"/>
      <c r="BO88" s="130"/>
      <c r="BP88" s="130"/>
      <c r="BQ88" s="130"/>
      <c r="BR88" s="130"/>
      <c r="BS88" s="130"/>
      <c r="BT88" s="130"/>
      <c r="BU88" s="130"/>
      <c r="BV88" s="130"/>
      <c r="BW88" s="130"/>
      <c r="BX88" s="130"/>
      <c r="BY88" s="130"/>
      <c r="BZ88" s="130"/>
      <c r="CA88" s="130"/>
      <c r="CB88" s="130"/>
      <c r="CC88" s="130"/>
      <c r="CD88" s="130"/>
      <c r="CE88" s="130"/>
      <c r="CF88" s="130"/>
      <c r="CG88" s="130"/>
      <c r="CH88" s="130"/>
      <c r="CI88" s="130"/>
      <c r="CJ88" s="130"/>
      <c r="CK88" s="130"/>
      <c r="CL88" s="130"/>
      <c r="CM88" s="130"/>
      <c r="CN88" s="130"/>
      <c r="CO88" s="130"/>
      <c r="CP88" s="130"/>
      <c r="CQ88" s="130"/>
      <c r="CR88" s="130"/>
      <c r="CS88" s="130"/>
      <c r="CT88" s="130"/>
      <c r="CU88" s="130"/>
      <c r="CV88" s="130"/>
      <c r="CW88" s="130"/>
      <c r="CX88" s="130"/>
      <c r="CY88" s="130"/>
      <c r="CZ88" s="130"/>
      <c r="DA88" s="130"/>
      <c r="DB88" s="130"/>
      <c r="DC88" s="130"/>
      <c r="DD88" s="130"/>
      <c r="DE88" s="130"/>
      <c r="DF88" s="130"/>
      <c r="DG88" s="130"/>
      <c r="DH88" s="130"/>
      <c r="DI88" s="130"/>
      <c r="DJ88" s="130"/>
      <c r="DK88" s="130"/>
      <c r="DL88" s="130"/>
      <c r="DM88" s="130"/>
      <c r="DN88" s="130"/>
      <c r="DO88" s="130"/>
      <c r="DP88" s="130"/>
      <c r="DQ88" s="130"/>
      <c r="DR88" s="130"/>
      <c r="DS88" s="130"/>
      <c r="DT88" s="130"/>
      <c r="DU88" s="130"/>
      <c r="DV88" s="130"/>
      <c r="DW88" s="130"/>
      <c r="DX88" s="130"/>
      <c r="DY88" s="130"/>
      <c r="DZ88" s="130"/>
      <c r="EA88" s="130"/>
      <c r="EB88" s="130"/>
      <c r="EC88" s="130"/>
      <c r="ED88" s="130"/>
      <c r="EE88" s="130"/>
      <c r="EF88" s="130"/>
      <c r="EG88" s="130"/>
      <c r="EH88" s="130"/>
      <c r="EI88" s="130"/>
      <c r="EJ88" s="130"/>
      <c r="EK88" s="130"/>
      <c r="EL88" s="130"/>
      <c r="EM88" s="130"/>
      <c r="EN88" s="130"/>
      <c r="EO88" s="130"/>
      <c r="EP88" s="130"/>
      <c r="EQ88" s="130"/>
      <c r="ER88" s="130"/>
      <c r="ES88" s="130"/>
      <c r="ET88" s="130"/>
      <c r="EU88" s="130"/>
      <c r="EV88" s="130"/>
      <c r="EW88" s="130"/>
      <c r="EX88" s="130"/>
      <c r="EY88" s="130"/>
      <c r="EZ88" s="130"/>
      <c r="FA88" s="130"/>
      <c r="FB88" s="130"/>
      <c r="FC88" s="130"/>
      <c r="FD88" s="130"/>
      <c r="FE88" s="130"/>
      <c r="FF88" s="130"/>
      <c r="FG88" s="130"/>
      <c r="FH88" s="130"/>
      <c r="FI88" s="130"/>
      <c r="FJ88" s="130"/>
      <c r="FK88" s="130"/>
      <c r="FL88" s="130"/>
      <c r="FM88" s="130"/>
      <c r="FN88" s="130"/>
      <c r="FO88" s="130"/>
      <c r="FP88" s="130"/>
      <c r="FQ88" s="130"/>
      <c r="FR88" s="130"/>
      <c r="FS88" s="130"/>
      <c r="FT88" s="130"/>
      <c r="FU88" s="130"/>
      <c r="FV88" s="130"/>
      <c r="FW88" s="130"/>
      <c r="FX88" s="130"/>
      <c r="FY88" s="130"/>
      <c r="FZ88" s="130"/>
      <c r="GA88" s="130"/>
      <c r="GB88" s="130"/>
      <c r="GC88" s="130"/>
      <c r="GD88" s="130"/>
      <c r="GE88" s="130"/>
      <c r="GF88" s="130"/>
      <c r="GG88" s="130"/>
      <c r="GH88" s="130"/>
      <c r="GI88" s="130"/>
      <c r="GJ88" s="130"/>
      <c r="GK88" s="130"/>
      <c r="GL88" s="130"/>
      <c r="GM88" s="130"/>
      <c r="GN88" s="130"/>
      <c r="GO88" s="130"/>
      <c r="GP88" s="130"/>
      <c r="GQ88" s="130"/>
      <c r="GR88" s="130"/>
      <c r="GS88" s="130"/>
      <c r="GT88" s="130"/>
      <c r="GU88" s="130"/>
      <c r="GV88" s="130"/>
      <c r="GW88" s="130"/>
      <c r="GX88" s="130"/>
      <c r="GY88" s="130"/>
      <c r="GZ88" s="130"/>
      <c r="HA88" s="130"/>
      <c r="HB88" s="130"/>
      <c r="HC88" s="130"/>
      <c r="HD88" s="130"/>
      <c r="HE88" s="130"/>
      <c r="HF88" s="130"/>
      <c r="HG88" s="130"/>
      <c r="HH88" s="130"/>
      <c r="HI88" s="130"/>
      <c r="HJ88" s="130"/>
      <c r="HK88" s="130"/>
      <c r="HL88" s="130"/>
      <c r="HM88" s="130"/>
      <c r="HN88" s="130"/>
      <c r="HO88" s="130"/>
      <c r="HP88" s="130"/>
      <c r="HQ88" s="130"/>
      <c r="HR88" s="130"/>
      <c r="HS88" s="130"/>
      <c r="HT88" s="130"/>
      <c r="HU88" s="130"/>
      <c r="HV88" s="130"/>
      <c r="HW88" s="130"/>
      <c r="HX88" s="130"/>
      <c r="HY88" s="130"/>
      <c r="HZ88" s="130"/>
      <c r="IA88" s="130"/>
      <c r="IB88" s="130"/>
      <c r="IC88" s="130"/>
      <c r="ID88" s="130"/>
      <c r="IE88" s="130"/>
      <c r="IF88" s="130"/>
      <c r="IG88" s="130"/>
      <c r="IH88" s="130"/>
      <c r="II88" s="130"/>
      <c r="IJ88" s="130"/>
      <c r="IK88" s="130"/>
      <c r="IL88" s="130"/>
      <c r="IM88" s="130"/>
      <c r="IN88" s="130"/>
      <c r="IO88" s="130"/>
      <c r="IP88" s="130"/>
      <c r="IQ88" s="130"/>
      <c r="IR88" s="130"/>
      <c r="IS88" s="130"/>
      <c r="IT88" s="130"/>
      <c r="IU88" s="130"/>
      <c r="IV88" s="130"/>
      <c r="IW88" s="130"/>
    </row>
    <row r="89" customFormat="false" ht="12.75" hidden="false" customHeight="false" outlineLevel="0" collapsed="false">
      <c r="A89" s="696"/>
      <c r="B89" s="1057" t="s">
        <v>790</v>
      </c>
      <c r="C89" s="130"/>
      <c r="D89" s="130"/>
      <c r="E89" s="130" t="n">
        <f aca="false">Income!E87*Assum!E337</f>
        <v>-1249.97332454788</v>
      </c>
      <c r="F89" s="130" t="n">
        <f aca="false">Income!F87*Assum!F337</f>
        <v>-1223.18003159097</v>
      </c>
      <c r="G89" s="130" t="n">
        <f aca="false">Income!G87*Assum!G337</f>
        <v>-1189.80184493934</v>
      </c>
      <c r="H89" s="130" t="n">
        <f aca="false">Income!H87*Assum!H337</f>
        <v>-1146.15792255265</v>
      </c>
      <c r="I89" s="130" t="n">
        <f aca="false">Income!I87*Assum!I337</f>
        <v>-1101.56735928843</v>
      </c>
      <c r="J89" s="130" t="n">
        <f aca="false">Income!J87*Assum!J337</f>
        <v>-1052.53567368055</v>
      </c>
      <c r="K89" s="130" t="n">
        <f aca="false">Income!K87*Assum!K337</f>
        <v>-1001.7239820269</v>
      </c>
      <c r="L89" s="130" t="n">
        <f aca="false">Income!L87*Assum!L337</f>
        <v>-940.751978958632</v>
      </c>
      <c r="M89" s="130" t="n">
        <f aca="false">Income!M87*Assum!M337</f>
        <v>-877.365851744889</v>
      </c>
      <c r="N89" s="130" t="n">
        <f aca="false">Income!N87*Assum!N337</f>
        <v>-808.455725642369</v>
      </c>
      <c r="O89" s="130" t="n">
        <f aca="false">Income!O87*Assum!O337</f>
        <v>-734.868833870019</v>
      </c>
      <c r="P89" s="130" t="n">
        <f aca="false">Income!P87*Assum!P337</f>
        <v>-647.993830079961</v>
      </c>
      <c r="Q89" s="130" t="n">
        <f aca="false">Income!Q87*Assum!Q337</f>
        <v>-555.555747756969</v>
      </c>
      <c r="R89" s="130" t="n">
        <f aca="false">Income!R87*Assum!R337</f>
        <v>-454.926638284114</v>
      </c>
      <c r="S89" s="130" t="n">
        <f aca="false">Income!S87*Assum!S337</f>
        <v>-346.457900041567</v>
      </c>
      <c r="T89" s="130" t="n">
        <f aca="false">Income!T87*Assum!T337</f>
        <v>-226.241692608388</v>
      </c>
      <c r="U89" s="130" t="n">
        <f aca="false">Income!U87*Assum!U337</f>
        <v>-96.4206299740355</v>
      </c>
      <c r="V89" s="130" t="n">
        <f aca="false">Income!V87*Assum!V337</f>
        <v>0</v>
      </c>
      <c r="W89" s="130" t="n">
        <f aca="false">Income!W87*Assum!W337</f>
        <v>0</v>
      </c>
      <c r="X89" s="130" t="n">
        <f aca="false">Income!X87*Assum!X337</f>
        <v>0</v>
      </c>
      <c r="Y89" s="130" t="n">
        <f aca="false">Income!Y87*Assum!Y337</f>
        <v>0</v>
      </c>
      <c r="Z89" s="130" t="n">
        <f aca="false">Income!Z87*Assum!Z337</f>
        <v>0</v>
      </c>
      <c r="AA89" s="130" t="n">
        <f aca="false">Income!AA87*Assum!AA337</f>
        <v>0</v>
      </c>
      <c r="AB89" s="130" t="n">
        <f aca="false">Income!AB87*Assum!AB337</f>
        <v>0</v>
      </c>
      <c r="AC89" s="130" t="n">
        <f aca="false">Income!AC87*Assum!AC337</f>
        <v>0</v>
      </c>
      <c r="AD89" s="130" t="n">
        <f aca="false">Income!AD87*Assum!AD337</f>
        <v>0</v>
      </c>
      <c r="AE89" s="130" t="n">
        <f aca="false">Income!AE87*Assum!AE337</f>
        <v>0</v>
      </c>
      <c r="AF89" s="130" t="n">
        <f aca="false">Income!AF87*Assum!AF337</f>
        <v>0</v>
      </c>
      <c r="AG89" s="130" t="n">
        <f aca="false">Income!AG87*Assum!AG337</f>
        <v>0</v>
      </c>
      <c r="AH89" s="130" t="n">
        <f aca="false">Income!AH87*Assum!AH337</f>
        <v>0</v>
      </c>
      <c r="AI89" s="130"/>
      <c r="AJ89" s="130"/>
      <c r="AK89" s="130"/>
      <c r="AL89" s="130"/>
      <c r="AM89" s="130"/>
      <c r="AN89" s="130"/>
      <c r="AO89" s="130"/>
      <c r="AP89" s="130"/>
      <c r="AQ89" s="130"/>
      <c r="AR89" s="130"/>
      <c r="AS89" s="130"/>
      <c r="AT89" s="130"/>
      <c r="AU89" s="130"/>
      <c r="AV89" s="130"/>
      <c r="AW89" s="130"/>
      <c r="AX89" s="130"/>
      <c r="AY89" s="130"/>
      <c r="AZ89" s="130"/>
      <c r="BA89" s="130"/>
      <c r="BB89" s="130"/>
      <c r="BC89" s="130"/>
      <c r="BD89" s="130"/>
      <c r="BE89" s="130"/>
      <c r="BF89" s="130"/>
      <c r="BG89" s="130"/>
      <c r="BH89" s="130"/>
      <c r="BI89" s="130"/>
      <c r="BJ89" s="130"/>
      <c r="BK89" s="130"/>
      <c r="BL89" s="130"/>
      <c r="BM89" s="130"/>
      <c r="BN89" s="130"/>
      <c r="BO89" s="130"/>
      <c r="BP89" s="130"/>
      <c r="BQ89" s="130"/>
      <c r="BR89" s="130"/>
      <c r="BS89" s="130"/>
      <c r="BT89" s="130"/>
      <c r="BU89" s="130"/>
      <c r="BV89" s="130"/>
      <c r="BW89" s="130"/>
      <c r="BX89" s="130"/>
      <c r="BY89" s="130"/>
      <c r="BZ89" s="130"/>
      <c r="CA89" s="130"/>
      <c r="CB89" s="130"/>
      <c r="CC89" s="130"/>
      <c r="CD89" s="130"/>
      <c r="CE89" s="130"/>
      <c r="CF89" s="130"/>
      <c r="CG89" s="130"/>
      <c r="CH89" s="130"/>
      <c r="CI89" s="130"/>
      <c r="CJ89" s="130"/>
      <c r="CK89" s="130"/>
      <c r="CL89" s="130"/>
      <c r="CM89" s="130"/>
      <c r="CN89" s="130"/>
      <c r="CO89" s="130"/>
      <c r="CP89" s="130"/>
      <c r="CQ89" s="130"/>
      <c r="CR89" s="130"/>
      <c r="CS89" s="130"/>
      <c r="CT89" s="130"/>
      <c r="CU89" s="130"/>
      <c r="CV89" s="130"/>
      <c r="CW89" s="130"/>
      <c r="CX89" s="130"/>
      <c r="CY89" s="130"/>
      <c r="CZ89" s="130"/>
      <c r="DA89" s="130"/>
      <c r="DB89" s="130"/>
      <c r="DC89" s="130"/>
      <c r="DD89" s="130"/>
      <c r="DE89" s="130"/>
      <c r="DF89" s="130"/>
      <c r="DG89" s="130"/>
      <c r="DH89" s="130"/>
      <c r="DI89" s="130"/>
      <c r="DJ89" s="130"/>
      <c r="DK89" s="130"/>
      <c r="DL89" s="130"/>
      <c r="DM89" s="130"/>
      <c r="DN89" s="130"/>
      <c r="DO89" s="130"/>
      <c r="DP89" s="130"/>
      <c r="DQ89" s="130"/>
      <c r="DR89" s="130"/>
      <c r="DS89" s="130"/>
      <c r="DT89" s="130"/>
      <c r="DU89" s="130"/>
      <c r="DV89" s="130"/>
      <c r="DW89" s="130"/>
      <c r="DX89" s="130"/>
      <c r="DY89" s="130"/>
      <c r="DZ89" s="130"/>
      <c r="EA89" s="130"/>
      <c r="EB89" s="130"/>
      <c r="EC89" s="130"/>
      <c r="ED89" s="130"/>
      <c r="EE89" s="130"/>
      <c r="EF89" s="130"/>
      <c r="EG89" s="130"/>
      <c r="EH89" s="130"/>
      <c r="EI89" s="130"/>
      <c r="EJ89" s="130"/>
      <c r="EK89" s="130"/>
      <c r="EL89" s="130"/>
      <c r="EM89" s="130"/>
      <c r="EN89" s="130"/>
      <c r="EO89" s="130"/>
      <c r="EP89" s="130"/>
      <c r="EQ89" s="130"/>
      <c r="ER89" s="130"/>
      <c r="ES89" s="130"/>
      <c r="ET89" s="130"/>
      <c r="EU89" s="130"/>
      <c r="EV89" s="130"/>
      <c r="EW89" s="130"/>
      <c r="EX89" s="130"/>
      <c r="EY89" s="130"/>
      <c r="EZ89" s="130"/>
      <c r="FA89" s="130"/>
      <c r="FB89" s="130"/>
      <c r="FC89" s="130"/>
      <c r="FD89" s="130"/>
      <c r="FE89" s="130"/>
      <c r="FF89" s="130"/>
      <c r="FG89" s="130"/>
      <c r="FH89" s="130"/>
      <c r="FI89" s="130"/>
      <c r="FJ89" s="130"/>
      <c r="FK89" s="130"/>
      <c r="FL89" s="130"/>
      <c r="FM89" s="130"/>
      <c r="FN89" s="130"/>
      <c r="FO89" s="130"/>
      <c r="FP89" s="130"/>
      <c r="FQ89" s="130"/>
      <c r="FR89" s="130"/>
      <c r="FS89" s="130"/>
      <c r="FT89" s="130"/>
      <c r="FU89" s="130"/>
      <c r="FV89" s="130"/>
      <c r="FW89" s="130"/>
      <c r="FX89" s="130"/>
      <c r="FY89" s="130"/>
      <c r="FZ89" s="130"/>
      <c r="GA89" s="130"/>
      <c r="GB89" s="130"/>
      <c r="GC89" s="130"/>
      <c r="GD89" s="130"/>
      <c r="GE89" s="130"/>
      <c r="GF89" s="130"/>
      <c r="GG89" s="130"/>
      <c r="GH89" s="130"/>
      <c r="GI89" s="130"/>
      <c r="GJ89" s="130"/>
      <c r="GK89" s="130"/>
      <c r="GL89" s="130"/>
      <c r="GM89" s="130"/>
      <c r="GN89" s="130"/>
      <c r="GO89" s="130"/>
      <c r="GP89" s="130"/>
      <c r="GQ89" s="130"/>
      <c r="GR89" s="130"/>
      <c r="GS89" s="130"/>
      <c r="GT89" s="130"/>
      <c r="GU89" s="130"/>
      <c r="GV89" s="130"/>
      <c r="GW89" s="130"/>
      <c r="GX89" s="130"/>
      <c r="GY89" s="130"/>
      <c r="GZ89" s="130"/>
      <c r="HA89" s="130"/>
      <c r="HB89" s="130"/>
      <c r="HC89" s="130"/>
      <c r="HD89" s="130"/>
      <c r="HE89" s="130"/>
      <c r="HF89" s="130"/>
      <c r="HG89" s="130"/>
      <c r="HH89" s="130"/>
      <c r="HI89" s="130"/>
      <c r="HJ89" s="130"/>
      <c r="HK89" s="130"/>
      <c r="HL89" s="130"/>
      <c r="HM89" s="130"/>
      <c r="HN89" s="130"/>
      <c r="HO89" s="130"/>
      <c r="HP89" s="130"/>
      <c r="HQ89" s="130"/>
      <c r="HR89" s="130"/>
      <c r="HS89" s="130"/>
      <c r="HT89" s="130"/>
      <c r="HU89" s="130"/>
      <c r="HV89" s="130"/>
      <c r="HW89" s="130"/>
      <c r="HX89" s="130"/>
      <c r="HY89" s="130"/>
      <c r="HZ89" s="130"/>
      <c r="IA89" s="130"/>
      <c r="IB89" s="130"/>
      <c r="IC89" s="130"/>
      <c r="ID89" s="130"/>
      <c r="IE89" s="130"/>
      <c r="IF89" s="130"/>
      <c r="IG89" s="130"/>
      <c r="IH89" s="130"/>
      <c r="II89" s="130"/>
      <c r="IJ89" s="130"/>
      <c r="IK89" s="130"/>
      <c r="IL89" s="130"/>
      <c r="IM89" s="130"/>
      <c r="IN89" s="130"/>
      <c r="IO89" s="130"/>
      <c r="IP89" s="130"/>
      <c r="IQ89" s="130"/>
      <c r="IR89" s="130"/>
      <c r="IS89" s="130"/>
      <c r="IT89" s="130"/>
      <c r="IU89" s="130"/>
      <c r="IV89" s="130"/>
      <c r="IW89" s="130"/>
    </row>
    <row r="90" customFormat="false" ht="12.75" hidden="false" customHeight="false" outlineLevel="0" collapsed="false">
      <c r="A90" s="696"/>
      <c r="B90" s="1057" t="s">
        <v>791</v>
      </c>
      <c r="C90" s="130"/>
      <c r="D90" s="130"/>
      <c r="E90" s="130" t="n">
        <f aca="false">SUM(E86:E89)</f>
        <v>-4301.95122487482</v>
      </c>
      <c r="F90" s="130" t="n">
        <f aca="false">SUM(F86:F89)</f>
        <v>-4275.65055294791</v>
      </c>
      <c r="G90" s="130" t="n">
        <f aca="false">SUM(G86:G89)</f>
        <v>-4243.41063719988</v>
      </c>
      <c r="H90" s="130" t="n">
        <f aca="false">SUM(H86:H89)</f>
        <v>-4201.69643864298</v>
      </c>
      <c r="I90" s="130" t="n">
        <f aca="false">SUM(I86:I89)</f>
        <v>-4159.70280143058</v>
      </c>
      <c r="J90" s="130" t="n">
        <f aca="false">SUM(J86:J89)</f>
        <v>-4455.39878762702</v>
      </c>
      <c r="K90" s="130" t="n">
        <f aca="false">SUM(K86:K89)</f>
        <v>-4417.37582716277</v>
      </c>
      <c r="L90" s="130" t="n">
        <f aca="false">SUM(L86:L89)</f>
        <v>-4369.94105544936</v>
      </c>
      <c r="M90" s="130" t="n">
        <f aca="false">SUM(M86:M89)</f>
        <v>-4320.84530263275</v>
      </c>
      <c r="N90" s="130" t="n">
        <f aca="false">SUM(N86:N89)</f>
        <v>-4267.07902497492</v>
      </c>
      <c r="O90" s="130" t="n">
        <f aca="false">SUM(O86:O89)</f>
        <v>-4165.00714565</v>
      </c>
      <c r="P90" s="130" t="n">
        <f aca="false">SUM(P86:P89)</f>
        <v>-4095.45980000656</v>
      </c>
      <c r="Q90" s="130" t="n">
        <f aca="false">SUM(Q86:Q89)</f>
        <v>-4021.94024677892</v>
      </c>
      <c r="R90" s="130" t="n">
        <f aca="false">SUM(R86:R89)</f>
        <v>-3941.902047619</v>
      </c>
      <c r="S90" s="130" t="n">
        <f aca="false">SUM(S86:S89)</f>
        <v>-3855.89046953179</v>
      </c>
      <c r="T90" s="130" t="n">
        <f aca="false">SUM(T86:T89)</f>
        <v>-3759.99658289799</v>
      </c>
      <c r="U90" s="130" t="n">
        <f aca="false">SUM(U86:U89)</f>
        <v>-3656.22584205937</v>
      </c>
      <c r="V90" s="130" t="n">
        <f aca="false">SUM(V86:V89)</f>
        <v>-3442.49332552873</v>
      </c>
      <c r="W90" s="130" t="n">
        <f aca="false">SUM(W86:W89)</f>
        <v>-3470.99431642296</v>
      </c>
      <c r="X90" s="130" t="n">
        <f aca="false">SUM(X86:X89)</f>
        <v>-3502.60184357801</v>
      </c>
      <c r="Y90" s="130" t="n">
        <f aca="false">SUM(Y86:Y89)</f>
        <v>0</v>
      </c>
      <c r="Z90" s="130" t="n">
        <f aca="false">SUM(Z86:Z89)</f>
        <v>0</v>
      </c>
      <c r="AA90" s="130" t="n">
        <f aca="false">SUM(AA86:AA89)</f>
        <v>0</v>
      </c>
      <c r="AB90" s="130" t="n">
        <f aca="false">SUM(AB86:AB89)</f>
        <v>0</v>
      </c>
      <c r="AC90" s="130" t="n">
        <f aca="false">SUM(AC86:AC89)</f>
        <v>0</v>
      </c>
      <c r="AD90" s="130" t="n">
        <f aca="false">SUM(AD86:AD89)</f>
        <v>0</v>
      </c>
      <c r="AE90" s="130" t="n">
        <f aca="false">SUM(AE86:AE89)</f>
        <v>0</v>
      </c>
      <c r="AF90" s="130" t="n">
        <f aca="false">SUM(AF86:AF89)</f>
        <v>0</v>
      </c>
      <c r="AG90" s="130" t="n">
        <f aca="false">SUM(AG86:AG89)</f>
        <v>0</v>
      </c>
      <c r="AH90" s="130" t="n">
        <f aca="false">SUM(AH86:AH89)</f>
        <v>0</v>
      </c>
      <c r="AI90" s="130"/>
      <c r="AJ90" s="130"/>
      <c r="AK90" s="130"/>
      <c r="AL90" s="130"/>
      <c r="AM90" s="130"/>
      <c r="AN90" s="130"/>
      <c r="AO90" s="130"/>
      <c r="AP90" s="130"/>
      <c r="AQ90" s="130"/>
      <c r="AR90" s="130"/>
      <c r="AS90" s="130"/>
      <c r="AT90" s="130"/>
      <c r="AU90" s="130"/>
      <c r="AV90" s="130"/>
      <c r="AW90" s="130"/>
      <c r="AX90" s="130"/>
      <c r="AY90" s="130"/>
      <c r="AZ90" s="130"/>
      <c r="BA90" s="130"/>
      <c r="BB90" s="130"/>
      <c r="BC90" s="130"/>
      <c r="BD90" s="130"/>
      <c r="BE90" s="130"/>
      <c r="BF90" s="130"/>
      <c r="BG90" s="130"/>
      <c r="BH90" s="130"/>
      <c r="BI90" s="130"/>
      <c r="BJ90" s="130"/>
      <c r="BK90" s="130"/>
      <c r="BL90" s="130"/>
      <c r="BM90" s="130"/>
      <c r="BN90" s="130"/>
      <c r="BO90" s="130"/>
      <c r="BP90" s="130"/>
      <c r="BQ90" s="130"/>
      <c r="BR90" s="130"/>
      <c r="BS90" s="130"/>
      <c r="BT90" s="130"/>
      <c r="BU90" s="130"/>
      <c r="BV90" s="130"/>
      <c r="BW90" s="130"/>
      <c r="BX90" s="130"/>
      <c r="BY90" s="130"/>
      <c r="BZ90" s="130"/>
      <c r="CA90" s="130"/>
      <c r="CB90" s="130"/>
      <c r="CC90" s="130"/>
      <c r="CD90" s="130"/>
      <c r="CE90" s="130"/>
      <c r="CF90" s="130"/>
      <c r="CG90" s="130"/>
      <c r="CH90" s="130"/>
      <c r="CI90" s="130"/>
      <c r="CJ90" s="130"/>
      <c r="CK90" s="130"/>
      <c r="CL90" s="130"/>
      <c r="CM90" s="130"/>
      <c r="CN90" s="130"/>
      <c r="CO90" s="130"/>
      <c r="CP90" s="130"/>
      <c r="CQ90" s="130"/>
      <c r="CR90" s="130"/>
      <c r="CS90" s="130"/>
      <c r="CT90" s="130"/>
      <c r="CU90" s="130"/>
      <c r="CV90" s="130"/>
      <c r="CW90" s="130"/>
      <c r="CX90" s="130"/>
      <c r="CY90" s="130"/>
      <c r="CZ90" s="130"/>
      <c r="DA90" s="130"/>
      <c r="DB90" s="130"/>
      <c r="DC90" s="130"/>
      <c r="DD90" s="130"/>
      <c r="DE90" s="130"/>
      <c r="DF90" s="130"/>
      <c r="DG90" s="130"/>
      <c r="DH90" s="130"/>
      <c r="DI90" s="130"/>
      <c r="DJ90" s="130"/>
      <c r="DK90" s="130"/>
      <c r="DL90" s="130"/>
      <c r="DM90" s="130"/>
      <c r="DN90" s="130"/>
      <c r="DO90" s="130"/>
      <c r="DP90" s="130"/>
      <c r="DQ90" s="130"/>
      <c r="DR90" s="130"/>
      <c r="DS90" s="130"/>
      <c r="DT90" s="130"/>
      <c r="DU90" s="130"/>
      <c r="DV90" s="130"/>
      <c r="DW90" s="130"/>
      <c r="DX90" s="130"/>
      <c r="DY90" s="130"/>
      <c r="DZ90" s="130"/>
      <c r="EA90" s="130"/>
      <c r="EB90" s="130"/>
      <c r="EC90" s="130"/>
      <c r="ED90" s="130"/>
      <c r="EE90" s="130"/>
      <c r="EF90" s="130"/>
      <c r="EG90" s="130"/>
      <c r="EH90" s="130"/>
      <c r="EI90" s="130"/>
      <c r="EJ90" s="130"/>
      <c r="EK90" s="130"/>
      <c r="EL90" s="130"/>
      <c r="EM90" s="130"/>
      <c r="EN90" s="130"/>
      <c r="EO90" s="130"/>
      <c r="EP90" s="130"/>
      <c r="EQ90" s="130"/>
      <c r="ER90" s="130"/>
      <c r="ES90" s="130"/>
      <c r="ET90" s="130"/>
      <c r="EU90" s="130"/>
      <c r="EV90" s="130"/>
      <c r="EW90" s="130"/>
      <c r="EX90" s="130"/>
      <c r="EY90" s="130"/>
      <c r="EZ90" s="130"/>
      <c r="FA90" s="130"/>
      <c r="FB90" s="130"/>
      <c r="FC90" s="130"/>
      <c r="FD90" s="130"/>
      <c r="FE90" s="130"/>
      <c r="FF90" s="130"/>
      <c r="FG90" s="130"/>
      <c r="FH90" s="130"/>
      <c r="FI90" s="130"/>
      <c r="FJ90" s="130"/>
      <c r="FK90" s="130"/>
      <c r="FL90" s="130"/>
      <c r="FM90" s="130"/>
      <c r="FN90" s="130"/>
      <c r="FO90" s="130"/>
      <c r="FP90" s="130"/>
      <c r="FQ90" s="130"/>
      <c r="FR90" s="130"/>
      <c r="FS90" s="130"/>
      <c r="FT90" s="130"/>
      <c r="FU90" s="130"/>
      <c r="FV90" s="130"/>
      <c r="FW90" s="130"/>
      <c r="FX90" s="130"/>
      <c r="FY90" s="130"/>
      <c r="FZ90" s="130"/>
      <c r="GA90" s="130"/>
      <c r="GB90" s="130"/>
      <c r="GC90" s="130"/>
      <c r="GD90" s="130"/>
      <c r="GE90" s="130"/>
      <c r="GF90" s="130"/>
      <c r="GG90" s="130"/>
      <c r="GH90" s="130"/>
      <c r="GI90" s="130"/>
      <c r="GJ90" s="130"/>
      <c r="GK90" s="130"/>
      <c r="GL90" s="130"/>
      <c r="GM90" s="130"/>
      <c r="GN90" s="130"/>
      <c r="GO90" s="130"/>
      <c r="GP90" s="130"/>
      <c r="GQ90" s="130"/>
      <c r="GR90" s="130"/>
      <c r="GS90" s="130"/>
      <c r="GT90" s="130"/>
      <c r="GU90" s="130"/>
      <c r="GV90" s="130"/>
      <c r="GW90" s="130"/>
      <c r="GX90" s="130"/>
      <c r="GY90" s="130"/>
      <c r="GZ90" s="130"/>
      <c r="HA90" s="130"/>
      <c r="HB90" s="130"/>
      <c r="HC90" s="130"/>
      <c r="HD90" s="130"/>
      <c r="HE90" s="130"/>
      <c r="HF90" s="130"/>
      <c r="HG90" s="130"/>
      <c r="HH90" s="130"/>
      <c r="HI90" s="130"/>
      <c r="HJ90" s="130"/>
      <c r="HK90" s="130"/>
      <c r="HL90" s="130"/>
      <c r="HM90" s="130"/>
      <c r="HN90" s="130"/>
      <c r="HO90" s="130"/>
      <c r="HP90" s="130"/>
      <c r="HQ90" s="130"/>
      <c r="HR90" s="130"/>
      <c r="HS90" s="130"/>
      <c r="HT90" s="130"/>
      <c r="HU90" s="130"/>
      <c r="HV90" s="130"/>
      <c r="HW90" s="130"/>
      <c r="HX90" s="130"/>
      <c r="HY90" s="130"/>
      <c r="HZ90" s="130"/>
      <c r="IA90" s="130"/>
      <c r="IB90" s="130"/>
      <c r="IC90" s="130"/>
      <c r="ID90" s="130"/>
      <c r="IE90" s="130"/>
      <c r="IF90" s="130"/>
      <c r="IG90" s="130"/>
      <c r="IH90" s="130"/>
      <c r="II90" s="130"/>
      <c r="IJ90" s="130"/>
      <c r="IK90" s="130"/>
      <c r="IL90" s="130"/>
      <c r="IM90" s="130"/>
      <c r="IN90" s="130"/>
      <c r="IO90" s="130"/>
      <c r="IP90" s="130"/>
      <c r="IQ90" s="130"/>
      <c r="IR90" s="130"/>
      <c r="IS90" s="130"/>
      <c r="IT90" s="130"/>
      <c r="IU90" s="130"/>
      <c r="IV90" s="130"/>
      <c r="IW90" s="130"/>
    </row>
    <row r="91" customFormat="false" ht="13.5" hidden="false" customHeight="false" outlineLevel="0" collapsed="false">
      <c r="A91" s="29"/>
      <c r="B91" s="1227" t="s">
        <v>792</v>
      </c>
      <c r="C91" s="724"/>
      <c r="D91" s="724"/>
      <c r="E91" s="724" t="n">
        <f aca="false">E85+E90</f>
        <v>-635.02861933606</v>
      </c>
      <c r="F91" s="724" t="n">
        <f aca="false">F85+F90</f>
        <v>-608.727947409149</v>
      </c>
      <c r="G91" s="724" t="n">
        <f aca="false">G85+G90</f>
        <v>-576.488031661121</v>
      </c>
      <c r="H91" s="724" t="n">
        <f aca="false">H85+H90</f>
        <v>-534.773833104219</v>
      </c>
      <c r="I91" s="724" t="n">
        <f aca="false">I85+I90</f>
        <v>-492.780195891818</v>
      </c>
      <c r="J91" s="724" t="n">
        <f aca="false">J85+J90</f>
        <v>-788.476182088256</v>
      </c>
      <c r="K91" s="724" t="n">
        <f aca="false">K85+K90</f>
        <v>-750.453221624007</v>
      </c>
      <c r="L91" s="724" t="n">
        <f aca="false">L85+L90</f>
        <v>-703.018449910595</v>
      </c>
      <c r="M91" s="724" t="n">
        <f aca="false">M85+M90</f>
        <v>-653.922697093985</v>
      </c>
      <c r="N91" s="724" t="n">
        <f aca="false">N85+N90</f>
        <v>-600.156419436163</v>
      </c>
      <c r="O91" s="724" t="n">
        <f aca="false">O85+O90</f>
        <v>-498.084540111237</v>
      </c>
      <c r="P91" s="724" t="n">
        <f aca="false">P85+P90</f>
        <v>-428.537194467795</v>
      </c>
      <c r="Q91" s="724" t="n">
        <f aca="false">Q85+Q90</f>
        <v>-355.017641240158</v>
      </c>
      <c r="R91" s="724" t="n">
        <f aca="false">R85+R90</f>
        <v>-274.979442080238</v>
      </c>
      <c r="S91" s="724" t="n">
        <f aca="false">S85+S90</f>
        <v>-188.967863993025</v>
      </c>
      <c r="T91" s="724" t="n">
        <f aca="false">T85+T90</f>
        <v>-93.0739773592309</v>
      </c>
      <c r="U91" s="724" t="n">
        <f aca="false">U85+U90</f>
        <v>10.6967634793955</v>
      </c>
      <c r="V91" s="724" t="n">
        <f aca="false">V85+V90</f>
        <v>224.429280010035</v>
      </c>
      <c r="W91" s="724" t="n">
        <f aca="false">W85+W90</f>
        <v>195.928289115801</v>
      </c>
      <c r="X91" s="724" t="n">
        <f aca="false">X85+X90</f>
        <v>164.320761960749</v>
      </c>
      <c r="Y91" s="724" t="n">
        <f aca="false">Y85+Y90</f>
        <v>0</v>
      </c>
      <c r="Z91" s="724" t="n">
        <f aca="false">Z85+Z90</f>
        <v>0</v>
      </c>
      <c r="AA91" s="724" t="n">
        <f aca="false">AA85+AA90</f>
        <v>0</v>
      </c>
      <c r="AB91" s="724" t="n">
        <f aca="false">AB85+AB90</f>
        <v>0</v>
      </c>
      <c r="AC91" s="724" t="n">
        <f aca="false">AC85+AC90</f>
        <v>0</v>
      </c>
      <c r="AD91" s="724" t="n">
        <f aca="false">AD85+AD90</f>
        <v>0</v>
      </c>
      <c r="AE91" s="724" t="n">
        <f aca="false">AE85+AE90</f>
        <v>0</v>
      </c>
      <c r="AF91" s="724" t="n">
        <f aca="false">AF85+AF90</f>
        <v>0</v>
      </c>
      <c r="AG91" s="724" t="n">
        <f aca="false">AG85+AG90</f>
        <v>0</v>
      </c>
      <c r="AH91" s="724" t="n">
        <f aca="false">AH85+AH90</f>
        <v>0</v>
      </c>
      <c r="AI91" s="313"/>
      <c r="AJ91" s="313"/>
      <c r="AK91" s="313"/>
      <c r="AL91" s="313"/>
      <c r="AM91" s="313"/>
      <c r="AN91" s="313"/>
      <c r="AO91" s="313"/>
      <c r="AP91" s="313"/>
      <c r="AQ91" s="313"/>
      <c r="AR91" s="313"/>
      <c r="AS91" s="313"/>
      <c r="AT91" s="313"/>
      <c r="AU91" s="313"/>
      <c r="AV91" s="313"/>
      <c r="AW91" s="313"/>
      <c r="AX91" s="313"/>
      <c r="AY91" s="313"/>
      <c r="AZ91" s="313"/>
      <c r="BA91" s="313"/>
      <c r="BB91" s="313"/>
      <c r="BC91" s="313"/>
      <c r="BD91" s="313"/>
      <c r="BE91" s="313"/>
      <c r="BF91" s="313"/>
      <c r="BG91" s="313"/>
      <c r="BH91" s="313"/>
      <c r="BI91" s="313"/>
      <c r="BJ91" s="313"/>
      <c r="BK91" s="313"/>
      <c r="BL91" s="313"/>
      <c r="BM91" s="313"/>
      <c r="BN91" s="313"/>
      <c r="BO91" s="313"/>
      <c r="BP91" s="313"/>
      <c r="BQ91" s="313"/>
      <c r="BR91" s="313"/>
      <c r="BS91" s="313"/>
      <c r="BT91" s="313"/>
      <c r="BU91" s="313"/>
      <c r="BV91" s="313"/>
      <c r="BW91" s="313"/>
      <c r="BX91" s="313"/>
      <c r="BY91" s="313"/>
      <c r="BZ91" s="313"/>
      <c r="CA91" s="313"/>
      <c r="CB91" s="313"/>
      <c r="CC91" s="313"/>
      <c r="CD91" s="313"/>
      <c r="CE91" s="313"/>
      <c r="CF91" s="313"/>
      <c r="CG91" s="313"/>
      <c r="CH91" s="313"/>
      <c r="CI91" s="313"/>
      <c r="CJ91" s="313"/>
      <c r="CK91" s="313"/>
      <c r="CL91" s="313"/>
      <c r="CM91" s="313"/>
      <c r="CN91" s="313"/>
      <c r="CO91" s="313"/>
      <c r="CP91" s="313"/>
      <c r="CQ91" s="313"/>
      <c r="CR91" s="313"/>
      <c r="CS91" s="313"/>
      <c r="CT91" s="313"/>
      <c r="CU91" s="313"/>
      <c r="CV91" s="313"/>
      <c r="CW91" s="313"/>
      <c r="CX91" s="313"/>
      <c r="CY91" s="313"/>
      <c r="CZ91" s="313"/>
      <c r="DA91" s="313"/>
      <c r="DB91" s="313"/>
      <c r="DC91" s="313"/>
      <c r="DD91" s="313"/>
      <c r="DE91" s="313"/>
      <c r="DF91" s="313"/>
      <c r="DG91" s="313"/>
      <c r="DH91" s="313"/>
      <c r="DI91" s="313"/>
      <c r="DJ91" s="313"/>
      <c r="DK91" s="313"/>
      <c r="DL91" s="313"/>
      <c r="DM91" s="313"/>
      <c r="DN91" s="313"/>
      <c r="DO91" s="313"/>
      <c r="DP91" s="313"/>
      <c r="DQ91" s="313"/>
      <c r="DR91" s="313"/>
      <c r="DS91" s="313"/>
      <c r="DT91" s="313"/>
      <c r="DU91" s="313"/>
      <c r="DV91" s="313"/>
      <c r="DW91" s="313"/>
      <c r="DX91" s="313"/>
      <c r="DY91" s="313"/>
      <c r="DZ91" s="313"/>
      <c r="EA91" s="313"/>
      <c r="EB91" s="313"/>
      <c r="EC91" s="313"/>
      <c r="ED91" s="313"/>
      <c r="EE91" s="313"/>
      <c r="EF91" s="313"/>
      <c r="EG91" s="313"/>
      <c r="EH91" s="313"/>
      <c r="EI91" s="313"/>
      <c r="EJ91" s="313"/>
      <c r="EK91" s="313"/>
      <c r="EL91" s="313"/>
      <c r="EM91" s="313"/>
      <c r="EN91" s="313"/>
      <c r="EO91" s="313"/>
      <c r="EP91" s="313"/>
      <c r="EQ91" s="313"/>
      <c r="ER91" s="313"/>
      <c r="ES91" s="313"/>
      <c r="ET91" s="313"/>
      <c r="EU91" s="313"/>
      <c r="EV91" s="313"/>
      <c r="EW91" s="313"/>
      <c r="EX91" s="313"/>
      <c r="EY91" s="313"/>
      <c r="EZ91" s="313"/>
      <c r="FA91" s="313"/>
      <c r="FB91" s="313"/>
      <c r="FC91" s="313"/>
      <c r="FD91" s="313"/>
      <c r="FE91" s="313"/>
      <c r="FF91" s="313"/>
      <c r="FG91" s="313"/>
      <c r="FH91" s="313"/>
      <c r="FI91" s="313"/>
      <c r="FJ91" s="313"/>
      <c r="FK91" s="313"/>
      <c r="FL91" s="313"/>
      <c r="FM91" s="313"/>
      <c r="FN91" s="313"/>
      <c r="FO91" s="313"/>
      <c r="FP91" s="313"/>
      <c r="FQ91" s="313"/>
      <c r="FR91" s="313"/>
      <c r="FS91" s="313"/>
      <c r="FT91" s="313"/>
      <c r="FU91" s="313"/>
      <c r="FV91" s="313"/>
      <c r="FW91" s="313"/>
      <c r="FX91" s="313"/>
      <c r="FY91" s="313"/>
      <c r="FZ91" s="313"/>
      <c r="GA91" s="313"/>
      <c r="GB91" s="313"/>
      <c r="GC91" s="313"/>
      <c r="GD91" s="313"/>
      <c r="GE91" s="313"/>
      <c r="GF91" s="313"/>
      <c r="GG91" s="313"/>
      <c r="GH91" s="313"/>
      <c r="GI91" s="313"/>
      <c r="GJ91" s="313"/>
      <c r="GK91" s="313"/>
      <c r="GL91" s="313"/>
      <c r="GM91" s="313"/>
      <c r="GN91" s="313"/>
      <c r="GO91" s="313"/>
      <c r="GP91" s="313"/>
      <c r="GQ91" s="313"/>
      <c r="GR91" s="313"/>
      <c r="GS91" s="313"/>
      <c r="GT91" s="313"/>
      <c r="GU91" s="313"/>
      <c r="GV91" s="313"/>
      <c r="GW91" s="313"/>
      <c r="GX91" s="313"/>
      <c r="GY91" s="313"/>
      <c r="GZ91" s="313"/>
      <c r="HA91" s="313"/>
      <c r="HB91" s="313"/>
      <c r="HC91" s="313"/>
      <c r="HD91" s="313"/>
      <c r="HE91" s="313"/>
      <c r="HF91" s="313"/>
      <c r="HG91" s="313"/>
      <c r="HH91" s="313"/>
      <c r="HI91" s="313"/>
      <c r="HJ91" s="313"/>
      <c r="HK91" s="313"/>
      <c r="HL91" s="313"/>
      <c r="HM91" s="313"/>
      <c r="HN91" s="313"/>
      <c r="HO91" s="313"/>
      <c r="HP91" s="313"/>
      <c r="HQ91" s="313"/>
      <c r="HR91" s="313"/>
      <c r="HS91" s="313"/>
      <c r="HT91" s="313"/>
      <c r="HU91" s="313"/>
      <c r="HV91" s="313"/>
      <c r="HW91" s="313"/>
      <c r="HX91" s="313"/>
      <c r="HY91" s="313"/>
      <c r="HZ91" s="313"/>
      <c r="IA91" s="313"/>
      <c r="IB91" s="313"/>
      <c r="IC91" s="313"/>
      <c r="ID91" s="313"/>
      <c r="IE91" s="313"/>
      <c r="IF91" s="313"/>
      <c r="IG91" s="313"/>
      <c r="IH91" s="313"/>
      <c r="II91" s="313"/>
      <c r="IJ91" s="313"/>
      <c r="IK91" s="313"/>
      <c r="IL91" s="313"/>
      <c r="IM91" s="313"/>
      <c r="IN91" s="313"/>
      <c r="IO91" s="313"/>
      <c r="IP91" s="313"/>
      <c r="IQ91" s="313"/>
      <c r="IR91" s="313"/>
      <c r="IS91" s="313"/>
      <c r="IT91" s="313"/>
      <c r="IU91" s="313"/>
      <c r="IV91" s="313"/>
      <c r="IW91" s="313"/>
    </row>
    <row r="92" customFormat="false" ht="13.5" hidden="false" customHeight="false" outlineLevel="0" collapsed="false">
      <c r="A92" s="696"/>
      <c r="B92" s="130" t="s">
        <v>793</v>
      </c>
      <c r="C92" s="570"/>
      <c r="D92" s="130"/>
      <c r="E92" s="130" t="n">
        <f aca="false">E9</f>
        <v>26.0661937964815</v>
      </c>
      <c r="F92" s="130" t="n">
        <f aca="false">F9</f>
        <v>43.4967418928308</v>
      </c>
      <c r="G92" s="130" t="n">
        <f aca="false">G9</f>
        <v>24.675924730128</v>
      </c>
      <c r="H92" s="130" t="n">
        <f aca="false">H9</f>
        <v>13.2965562349585</v>
      </c>
      <c r="I92" s="130" t="n">
        <f aca="false">I9</f>
        <v>13.1349923898384</v>
      </c>
      <c r="J92" s="130" t="n">
        <f aca="false">J9</f>
        <v>4.54364249663832</v>
      </c>
      <c r="K92" s="130" t="n">
        <f aca="false">K9</f>
        <v>-4.01638616873035</v>
      </c>
      <c r="L92" s="130" t="n">
        <f aca="false">L9</f>
        <v>-4.19983112150335</v>
      </c>
      <c r="M92" s="130" t="n">
        <f aca="false">M9</f>
        <v>-4.38986127005931</v>
      </c>
      <c r="N92" s="130" t="n">
        <f aca="false">N9</f>
        <v>-4.59755085324002</v>
      </c>
      <c r="O92" s="130" t="n">
        <f aca="false">O9</f>
        <v>-4.99908190858611</v>
      </c>
      <c r="P92" s="130" t="n">
        <f aca="false">P9</f>
        <v>-5.27059409324793</v>
      </c>
      <c r="Q92" s="130" t="n">
        <f aca="false">Q9</f>
        <v>-5.55775861998256</v>
      </c>
      <c r="R92" s="130" t="n">
        <f aca="false">R9</f>
        <v>-5.87071261972285</v>
      </c>
      <c r="S92" s="130" t="n">
        <f aca="false">S9</f>
        <v>-6.20726664824541</v>
      </c>
      <c r="T92" s="130" t="n">
        <f aca="false">T9</f>
        <v>-6.58535619408943</v>
      </c>
      <c r="U92" s="130" t="n">
        <f aca="false">U9</f>
        <v>-7.03292989784575</v>
      </c>
      <c r="V92" s="130" t="n">
        <f aca="false">V9</f>
        <v>-7.87816427033034</v>
      </c>
      <c r="W92" s="130" t="n">
        <f aca="false">W9</f>
        <v>-7.75518475266843</v>
      </c>
      <c r="X92" s="130" t="n">
        <f aca="false">X9</f>
        <v>-7.63250891111409</v>
      </c>
      <c r="Y92" s="130" t="n">
        <f aca="false">Y9</f>
        <v>-0</v>
      </c>
      <c r="Z92" s="130" t="n">
        <f aca="false">Z9</f>
        <v>-0</v>
      </c>
      <c r="AA92" s="130" t="n">
        <f aca="false">AA9</f>
        <v>-0</v>
      </c>
      <c r="AB92" s="130" t="n">
        <f aca="false">AB9</f>
        <v>-0</v>
      </c>
      <c r="AC92" s="130" t="n">
        <f aca="false">AC9</f>
        <v>-0</v>
      </c>
      <c r="AD92" s="130" t="n">
        <f aca="false">AD9</f>
        <v>-0</v>
      </c>
      <c r="AE92" s="130" t="n">
        <f aca="false">AE9</f>
        <v>-0</v>
      </c>
      <c r="AF92" s="130" t="n">
        <f aca="false">AF9</f>
        <v>-0</v>
      </c>
      <c r="AG92" s="130" t="n">
        <f aca="false">AG9</f>
        <v>-0</v>
      </c>
      <c r="AH92" s="130" t="n">
        <f aca="false">AH9</f>
        <v>-0</v>
      </c>
      <c r="AI92" s="130"/>
      <c r="AJ92" s="130"/>
      <c r="AK92" s="130"/>
      <c r="AL92" s="130"/>
      <c r="AM92" s="130"/>
      <c r="AN92" s="130"/>
      <c r="AO92" s="130"/>
      <c r="AP92" s="130"/>
      <c r="AQ92" s="130"/>
      <c r="AR92" s="130"/>
      <c r="AS92" s="130"/>
      <c r="AT92" s="130"/>
      <c r="AU92" s="130"/>
      <c r="AV92" s="130"/>
      <c r="AW92" s="130"/>
      <c r="AX92" s="130"/>
      <c r="AY92" s="130"/>
      <c r="AZ92" s="130"/>
      <c r="BA92" s="130"/>
      <c r="BB92" s="130"/>
      <c r="BC92" s="130"/>
      <c r="BD92" s="130"/>
      <c r="BE92" s="130"/>
      <c r="BF92" s="130"/>
      <c r="BG92" s="130"/>
      <c r="BH92" s="130"/>
      <c r="BI92" s="130"/>
      <c r="BJ92" s="130"/>
      <c r="BK92" s="130"/>
      <c r="BL92" s="130"/>
      <c r="BM92" s="130"/>
      <c r="BN92" s="130"/>
      <c r="BO92" s="130"/>
      <c r="BP92" s="130"/>
      <c r="BQ92" s="130"/>
      <c r="BR92" s="130"/>
      <c r="BS92" s="130"/>
      <c r="BT92" s="130"/>
      <c r="BU92" s="130"/>
      <c r="BV92" s="130"/>
      <c r="BW92" s="130"/>
      <c r="BX92" s="130"/>
      <c r="BY92" s="130"/>
      <c r="BZ92" s="130"/>
      <c r="CA92" s="130"/>
      <c r="CB92" s="130"/>
      <c r="CC92" s="130"/>
      <c r="CD92" s="130"/>
      <c r="CE92" s="130"/>
      <c r="CF92" s="130"/>
      <c r="CG92" s="130"/>
      <c r="CH92" s="130"/>
      <c r="CI92" s="130"/>
      <c r="CJ92" s="130"/>
      <c r="CK92" s="130"/>
      <c r="CL92" s="130"/>
      <c r="CM92" s="130"/>
      <c r="CN92" s="130"/>
      <c r="CO92" s="130"/>
      <c r="CP92" s="130"/>
      <c r="CQ92" s="130"/>
      <c r="CR92" s="130"/>
      <c r="CS92" s="130"/>
      <c r="CT92" s="130"/>
      <c r="CU92" s="130"/>
      <c r="CV92" s="130"/>
      <c r="CW92" s="130"/>
      <c r="CX92" s="130"/>
      <c r="CY92" s="130"/>
      <c r="CZ92" s="130"/>
      <c r="DA92" s="130"/>
      <c r="DB92" s="130"/>
      <c r="DC92" s="130"/>
      <c r="DD92" s="130"/>
      <c r="DE92" s="130"/>
      <c r="DF92" s="130"/>
      <c r="DG92" s="130"/>
      <c r="DH92" s="130"/>
      <c r="DI92" s="130"/>
      <c r="DJ92" s="130"/>
      <c r="DK92" s="130"/>
      <c r="DL92" s="130"/>
      <c r="DM92" s="130"/>
      <c r="DN92" s="130"/>
      <c r="DO92" s="130"/>
      <c r="DP92" s="130"/>
      <c r="DQ92" s="130"/>
      <c r="DR92" s="130"/>
      <c r="DS92" s="130"/>
      <c r="DT92" s="130"/>
      <c r="DU92" s="130"/>
      <c r="DV92" s="130"/>
      <c r="DW92" s="130"/>
      <c r="DX92" s="130"/>
      <c r="DY92" s="130"/>
      <c r="DZ92" s="130"/>
      <c r="EA92" s="130"/>
      <c r="EB92" s="130"/>
      <c r="EC92" s="130"/>
      <c r="ED92" s="130"/>
      <c r="EE92" s="130"/>
      <c r="EF92" s="130"/>
      <c r="EG92" s="130"/>
      <c r="EH92" s="130"/>
      <c r="EI92" s="130"/>
      <c r="EJ92" s="130"/>
      <c r="EK92" s="130"/>
      <c r="EL92" s="130"/>
      <c r="EM92" s="130"/>
      <c r="EN92" s="130"/>
      <c r="EO92" s="130"/>
      <c r="EP92" s="130"/>
      <c r="EQ92" s="130"/>
      <c r="ER92" s="130"/>
      <c r="ES92" s="130"/>
      <c r="ET92" s="130"/>
      <c r="EU92" s="130"/>
      <c r="EV92" s="130"/>
      <c r="EW92" s="130"/>
      <c r="EX92" s="130"/>
      <c r="EY92" s="130"/>
      <c r="EZ92" s="130"/>
      <c r="FA92" s="130"/>
      <c r="FB92" s="130"/>
      <c r="FC92" s="130"/>
      <c r="FD92" s="130"/>
      <c r="FE92" s="130"/>
      <c r="FF92" s="130"/>
      <c r="FG92" s="130"/>
      <c r="FH92" s="130"/>
      <c r="FI92" s="130"/>
      <c r="FJ92" s="130"/>
      <c r="FK92" s="130"/>
      <c r="FL92" s="130"/>
      <c r="FM92" s="130"/>
      <c r="FN92" s="130"/>
      <c r="FO92" s="130"/>
      <c r="FP92" s="130"/>
      <c r="FQ92" s="130"/>
      <c r="FR92" s="130"/>
      <c r="FS92" s="130"/>
      <c r="FT92" s="130"/>
      <c r="FU92" s="130"/>
      <c r="FV92" s="130"/>
      <c r="FW92" s="130"/>
      <c r="FX92" s="130"/>
      <c r="FY92" s="130"/>
      <c r="FZ92" s="130"/>
      <c r="GA92" s="130"/>
      <c r="GB92" s="130"/>
      <c r="GC92" s="130"/>
      <c r="GD92" s="130"/>
      <c r="GE92" s="130"/>
      <c r="GF92" s="130"/>
      <c r="GG92" s="130"/>
      <c r="GH92" s="130"/>
      <c r="GI92" s="130"/>
      <c r="GJ92" s="130"/>
      <c r="GK92" s="130"/>
      <c r="GL92" s="130"/>
      <c r="GM92" s="130"/>
      <c r="GN92" s="130"/>
      <c r="GO92" s="130"/>
      <c r="GP92" s="130"/>
      <c r="GQ92" s="130"/>
      <c r="GR92" s="130"/>
      <c r="GS92" s="130"/>
      <c r="GT92" s="130"/>
      <c r="GU92" s="130"/>
      <c r="GV92" s="130"/>
      <c r="GW92" s="130"/>
      <c r="GX92" s="130"/>
      <c r="GY92" s="130"/>
      <c r="GZ92" s="130"/>
      <c r="HA92" s="130"/>
      <c r="HB92" s="130"/>
      <c r="HC92" s="130"/>
      <c r="HD92" s="130"/>
      <c r="HE92" s="130"/>
      <c r="HF92" s="130"/>
      <c r="HG92" s="130"/>
      <c r="HH92" s="130"/>
      <c r="HI92" s="130"/>
      <c r="HJ92" s="130"/>
      <c r="HK92" s="130"/>
      <c r="HL92" s="130"/>
      <c r="HM92" s="130"/>
      <c r="HN92" s="130"/>
      <c r="HO92" s="130"/>
      <c r="HP92" s="130"/>
      <c r="HQ92" s="130"/>
      <c r="HR92" s="130"/>
      <c r="HS92" s="130"/>
      <c r="HT92" s="130"/>
      <c r="HU92" s="130"/>
      <c r="HV92" s="130"/>
      <c r="HW92" s="130"/>
      <c r="HX92" s="130"/>
      <c r="HY92" s="130"/>
      <c r="HZ92" s="130"/>
      <c r="IA92" s="130"/>
      <c r="IB92" s="130"/>
      <c r="IC92" s="130"/>
      <c r="ID92" s="130"/>
      <c r="IE92" s="130"/>
      <c r="IF92" s="130"/>
      <c r="IG92" s="130"/>
      <c r="IH92" s="130"/>
      <c r="II92" s="130"/>
      <c r="IJ92" s="130"/>
      <c r="IK92" s="130"/>
      <c r="IL92" s="130"/>
      <c r="IM92" s="130"/>
      <c r="IN92" s="130"/>
      <c r="IO92" s="130"/>
      <c r="IP92" s="130"/>
      <c r="IQ92" s="130"/>
      <c r="IR92" s="130"/>
      <c r="IS92" s="130"/>
      <c r="IT92" s="130"/>
      <c r="IU92" s="130"/>
      <c r="IV92" s="130"/>
      <c r="IW92" s="130"/>
    </row>
    <row r="93" customFormat="false" ht="12.75" hidden="false" customHeight="false" outlineLevel="0" collapsed="false">
      <c r="A93" s="696"/>
      <c r="B93" s="130" t="s">
        <v>794</v>
      </c>
      <c r="C93" s="130"/>
      <c r="D93" s="130"/>
      <c r="E93" s="130" t="n">
        <f aca="false">E99</f>
        <v>225.08762515093</v>
      </c>
      <c r="F93" s="130" t="n">
        <f aca="false">F99</f>
        <v>197.255161307488</v>
      </c>
      <c r="G93" s="130" t="n">
        <f aca="false">G99</f>
        <v>203.325091791845</v>
      </c>
      <c r="H93" s="130" t="n">
        <f aca="false">H99</f>
        <v>198.20649475776</v>
      </c>
      <c r="I93" s="130" t="n">
        <f aca="false">I99</f>
        <v>181.759575085375</v>
      </c>
      <c r="J93" s="130" t="n">
        <f aca="false">J99</f>
        <v>307.298687519267</v>
      </c>
      <c r="K93" s="130" t="n">
        <f aca="false">K99</f>
        <v>300.820635321025</v>
      </c>
      <c r="L93" s="130" t="n">
        <f aca="false">L99</f>
        <v>282.243628061144</v>
      </c>
      <c r="M93" s="130" t="n">
        <f aca="false">M99</f>
        <v>263.01628797073</v>
      </c>
      <c r="N93" s="130" t="n">
        <f aca="false">N99</f>
        <v>241.959414740243</v>
      </c>
      <c r="O93" s="130" t="n">
        <f aca="false">O99</f>
        <v>201.99151752258</v>
      </c>
      <c r="P93" s="130" t="n">
        <f aca="false">P99</f>
        <v>174.757054505261</v>
      </c>
      <c r="Q93" s="130" t="n">
        <f aca="false">Q99</f>
        <v>145.967235730465</v>
      </c>
      <c r="R93" s="130" t="n">
        <f aca="false">R99</f>
        <v>114.625081962457</v>
      </c>
      <c r="S93" s="130" t="n">
        <f aca="false">S99</f>
        <v>80.9440568574869</v>
      </c>
      <c r="T93" s="130" t="n">
        <f aca="false">T99</f>
        <v>43.3961142396652</v>
      </c>
      <c r="U93" s="130" t="n">
        <f aca="false">U99</f>
        <v>2.80235994174483</v>
      </c>
      <c r="V93" s="130" t="n">
        <f aca="false">V99</f>
        <v>-80.8836159736386</v>
      </c>
      <c r="W93" s="130" t="n">
        <f aca="false">W99</f>
        <v>-69.7344535926308</v>
      </c>
      <c r="X93" s="130" t="n">
        <f aca="false">X99</f>
        <v>-57.3563524443622</v>
      </c>
      <c r="Y93" s="130" t="n">
        <f aca="false">Y99</f>
        <v>-0</v>
      </c>
      <c r="Z93" s="130" t="n">
        <f aca="false">Z99</f>
        <v>-0</v>
      </c>
      <c r="AA93" s="130" t="n">
        <f aca="false">AA99</f>
        <v>-0</v>
      </c>
      <c r="AB93" s="130" t="n">
        <f aca="false">AB99</f>
        <v>-0</v>
      </c>
      <c r="AC93" s="130" t="n">
        <f aca="false">AC99</f>
        <v>-0</v>
      </c>
      <c r="AD93" s="130" t="n">
        <f aca="false">AD99</f>
        <v>-0</v>
      </c>
      <c r="AE93" s="130" t="n">
        <f aca="false">AE99</f>
        <v>-0</v>
      </c>
      <c r="AF93" s="130" t="n">
        <f aca="false">AF99</f>
        <v>-0</v>
      </c>
      <c r="AG93" s="130" t="n">
        <f aca="false">AG99</f>
        <v>-0</v>
      </c>
      <c r="AH93" s="130" t="n">
        <f aca="false">AH99</f>
        <v>-0</v>
      </c>
      <c r="AI93" s="130"/>
      <c r="AJ93" s="130"/>
      <c r="AK93" s="130"/>
      <c r="AL93" s="130"/>
      <c r="AM93" s="130"/>
      <c r="AN93" s="130"/>
      <c r="AO93" s="130"/>
      <c r="AP93" s="130"/>
      <c r="AQ93" s="130"/>
      <c r="AR93" s="130"/>
      <c r="AS93" s="130"/>
      <c r="AT93" s="130"/>
      <c r="AU93" s="130"/>
      <c r="AV93" s="130"/>
      <c r="AW93" s="130"/>
      <c r="AX93" s="130"/>
      <c r="AY93" s="130"/>
      <c r="AZ93" s="130"/>
      <c r="BA93" s="130"/>
      <c r="BB93" s="130"/>
      <c r="BC93" s="130"/>
      <c r="BD93" s="130"/>
      <c r="BE93" s="130"/>
      <c r="BF93" s="130"/>
      <c r="BG93" s="130"/>
      <c r="BH93" s="130"/>
      <c r="BI93" s="130"/>
      <c r="BJ93" s="130"/>
      <c r="BK93" s="130"/>
      <c r="BL93" s="130"/>
      <c r="BM93" s="130"/>
      <c r="BN93" s="130"/>
      <c r="BO93" s="130"/>
      <c r="BP93" s="130"/>
      <c r="BQ93" s="130"/>
      <c r="BR93" s="130"/>
      <c r="BS93" s="130"/>
      <c r="BT93" s="130"/>
      <c r="BU93" s="130"/>
      <c r="BV93" s="130"/>
      <c r="BW93" s="130"/>
      <c r="BX93" s="130"/>
      <c r="BY93" s="130"/>
      <c r="BZ93" s="130"/>
      <c r="CA93" s="130"/>
      <c r="CB93" s="130"/>
      <c r="CC93" s="130"/>
      <c r="CD93" s="130"/>
      <c r="CE93" s="130"/>
      <c r="CF93" s="130"/>
      <c r="CG93" s="130"/>
      <c r="CH93" s="130"/>
      <c r="CI93" s="130"/>
      <c r="CJ93" s="130"/>
      <c r="CK93" s="130"/>
      <c r="CL93" s="130"/>
      <c r="CM93" s="130"/>
      <c r="CN93" s="130"/>
      <c r="CO93" s="130"/>
      <c r="CP93" s="130"/>
      <c r="CQ93" s="130"/>
      <c r="CR93" s="130"/>
      <c r="CS93" s="130"/>
      <c r="CT93" s="130"/>
      <c r="CU93" s="130"/>
      <c r="CV93" s="130"/>
      <c r="CW93" s="130"/>
      <c r="CX93" s="130"/>
      <c r="CY93" s="130"/>
      <c r="CZ93" s="130"/>
      <c r="DA93" s="130"/>
      <c r="DB93" s="130"/>
      <c r="DC93" s="130"/>
      <c r="DD93" s="130"/>
      <c r="DE93" s="130"/>
      <c r="DF93" s="130"/>
      <c r="DG93" s="130"/>
      <c r="DH93" s="130"/>
      <c r="DI93" s="130"/>
      <c r="DJ93" s="130"/>
      <c r="DK93" s="130"/>
      <c r="DL93" s="130"/>
      <c r="DM93" s="130"/>
      <c r="DN93" s="130"/>
      <c r="DO93" s="130"/>
      <c r="DP93" s="130"/>
      <c r="DQ93" s="130"/>
      <c r="DR93" s="130"/>
      <c r="DS93" s="130"/>
      <c r="DT93" s="130"/>
      <c r="DU93" s="130"/>
      <c r="DV93" s="130"/>
      <c r="DW93" s="130"/>
      <c r="DX93" s="130"/>
      <c r="DY93" s="130"/>
      <c r="DZ93" s="130"/>
      <c r="EA93" s="130"/>
      <c r="EB93" s="130"/>
      <c r="EC93" s="130"/>
      <c r="ED93" s="130"/>
      <c r="EE93" s="130"/>
      <c r="EF93" s="130"/>
      <c r="EG93" s="130"/>
      <c r="EH93" s="130"/>
      <c r="EI93" s="130"/>
      <c r="EJ93" s="130"/>
      <c r="EK93" s="130"/>
      <c r="EL93" s="130"/>
      <c r="EM93" s="130"/>
      <c r="EN93" s="130"/>
      <c r="EO93" s="130"/>
      <c r="EP93" s="130"/>
      <c r="EQ93" s="130"/>
      <c r="ER93" s="130"/>
      <c r="ES93" s="130"/>
      <c r="ET93" s="130"/>
      <c r="EU93" s="130"/>
      <c r="EV93" s="130"/>
      <c r="EW93" s="130"/>
      <c r="EX93" s="130"/>
      <c r="EY93" s="130"/>
      <c r="EZ93" s="130"/>
      <c r="FA93" s="130"/>
      <c r="FB93" s="130"/>
      <c r="FC93" s="130"/>
      <c r="FD93" s="130"/>
      <c r="FE93" s="130"/>
      <c r="FF93" s="130"/>
      <c r="FG93" s="130"/>
      <c r="FH93" s="130"/>
      <c r="FI93" s="130"/>
      <c r="FJ93" s="130"/>
      <c r="FK93" s="130"/>
      <c r="FL93" s="130"/>
      <c r="FM93" s="130"/>
      <c r="FN93" s="130"/>
      <c r="FO93" s="130"/>
      <c r="FP93" s="130"/>
      <c r="FQ93" s="130"/>
      <c r="FR93" s="130"/>
      <c r="FS93" s="130"/>
      <c r="FT93" s="130"/>
      <c r="FU93" s="130"/>
      <c r="FV93" s="130"/>
      <c r="FW93" s="130"/>
      <c r="FX93" s="130"/>
      <c r="FY93" s="130"/>
      <c r="FZ93" s="130"/>
      <c r="GA93" s="130"/>
      <c r="GB93" s="130"/>
      <c r="GC93" s="130"/>
      <c r="GD93" s="130"/>
      <c r="GE93" s="130"/>
      <c r="GF93" s="130"/>
      <c r="GG93" s="130"/>
      <c r="GH93" s="130"/>
      <c r="GI93" s="130"/>
      <c r="GJ93" s="130"/>
      <c r="GK93" s="130"/>
      <c r="GL93" s="130"/>
      <c r="GM93" s="130"/>
      <c r="GN93" s="130"/>
      <c r="GO93" s="130"/>
      <c r="GP93" s="130"/>
      <c r="GQ93" s="130"/>
      <c r="GR93" s="130"/>
      <c r="GS93" s="130"/>
      <c r="GT93" s="130"/>
      <c r="GU93" s="130"/>
      <c r="GV93" s="130"/>
      <c r="GW93" s="130"/>
      <c r="GX93" s="130"/>
      <c r="GY93" s="130"/>
      <c r="GZ93" s="130"/>
      <c r="HA93" s="130"/>
      <c r="HB93" s="130"/>
      <c r="HC93" s="130"/>
      <c r="HD93" s="130"/>
      <c r="HE93" s="130"/>
      <c r="HF93" s="130"/>
      <c r="HG93" s="130"/>
      <c r="HH93" s="130"/>
      <c r="HI93" s="130"/>
      <c r="HJ93" s="130"/>
      <c r="HK93" s="130"/>
      <c r="HL93" s="130"/>
      <c r="HM93" s="130"/>
      <c r="HN93" s="130"/>
      <c r="HO93" s="130"/>
      <c r="HP93" s="130"/>
      <c r="HQ93" s="130"/>
      <c r="HR93" s="130"/>
      <c r="HS93" s="130"/>
      <c r="HT93" s="130"/>
      <c r="HU93" s="130"/>
      <c r="HV93" s="130"/>
      <c r="HW93" s="130"/>
      <c r="HX93" s="130"/>
      <c r="HY93" s="130"/>
      <c r="HZ93" s="130"/>
      <c r="IA93" s="130"/>
      <c r="IB93" s="130"/>
      <c r="IC93" s="130"/>
      <c r="ID93" s="130"/>
      <c r="IE93" s="130"/>
      <c r="IF93" s="130"/>
      <c r="IG93" s="130"/>
      <c r="IH93" s="130"/>
      <c r="II93" s="130"/>
      <c r="IJ93" s="130"/>
      <c r="IK93" s="130"/>
      <c r="IL93" s="130"/>
      <c r="IM93" s="130"/>
      <c r="IN93" s="130"/>
      <c r="IO93" s="130"/>
      <c r="IP93" s="130"/>
      <c r="IQ93" s="130"/>
      <c r="IR93" s="130"/>
      <c r="IS93" s="130"/>
      <c r="IT93" s="130"/>
      <c r="IU93" s="130"/>
      <c r="IV93" s="130"/>
      <c r="IW93" s="130"/>
    </row>
    <row r="94" customFormat="false" ht="12.75" hidden="false" customHeight="false" outlineLevel="0" collapsed="false">
      <c r="A94" s="696"/>
      <c r="B94" s="130" t="s">
        <v>319</v>
      </c>
      <c r="C94" s="130"/>
      <c r="D94" s="130"/>
      <c r="E94" s="130" t="n">
        <f aca="false">E23</f>
        <v>22.9111065638161</v>
      </c>
      <c r="F94" s="130" t="n">
        <f aca="false">F23</f>
        <v>24.1839458173614</v>
      </c>
      <c r="G94" s="130" t="n">
        <f aca="false">G23</f>
        <v>24.1839458173614</v>
      </c>
      <c r="H94" s="130" t="n">
        <f aca="false">H23</f>
        <v>24.1839458173614</v>
      </c>
      <c r="I94" s="130" t="n">
        <f aca="false">I23</f>
        <v>25.4567850709067</v>
      </c>
      <c r="J94" s="130" t="n">
        <f aca="false">J23</f>
        <v>25.4567850709067</v>
      </c>
      <c r="K94" s="130" t="n">
        <f aca="false">K23</f>
        <v>26.7296243244521</v>
      </c>
      <c r="L94" s="130" t="n">
        <f aca="false">L23</f>
        <v>26.7296243244521</v>
      </c>
      <c r="M94" s="130" t="n">
        <f aca="false">M23</f>
        <v>26.7296243244521</v>
      </c>
      <c r="N94" s="130" t="n">
        <f aca="false">N23</f>
        <v>28.0024635779974</v>
      </c>
      <c r="O94" s="130" t="n">
        <f aca="false">O23</f>
        <v>0</v>
      </c>
      <c r="P94" s="130" t="n">
        <f aca="false">P23</f>
        <v>0</v>
      </c>
      <c r="Q94" s="130" t="n">
        <f aca="false">Q23</f>
        <v>0</v>
      </c>
      <c r="R94" s="130" t="n">
        <f aca="false">R23</f>
        <v>0</v>
      </c>
      <c r="S94" s="130" t="n">
        <f aca="false">S23</f>
        <v>0</v>
      </c>
      <c r="T94" s="130" t="n">
        <f aca="false">T23</f>
        <v>0</v>
      </c>
      <c r="U94" s="130" t="n">
        <f aca="false">U23</f>
        <v>0</v>
      </c>
      <c r="V94" s="130" t="n">
        <f aca="false">V23</f>
        <v>0</v>
      </c>
      <c r="W94" s="130" t="n">
        <f aca="false">W23</f>
        <v>0</v>
      </c>
      <c r="X94" s="130" t="n">
        <f aca="false">X23</f>
        <v>0</v>
      </c>
      <c r="Y94" s="130" t="n">
        <f aca="false">Y23</f>
        <v>0</v>
      </c>
      <c r="Z94" s="130" t="n">
        <f aca="false">Z23</f>
        <v>0</v>
      </c>
      <c r="AA94" s="130" t="n">
        <f aca="false">AA23</f>
        <v>0</v>
      </c>
      <c r="AB94" s="130" t="n">
        <f aca="false">AB23</f>
        <v>0</v>
      </c>
      <c r="AC94" s="130" t="n">
        <f aca="false">AC23</f>
        <v>0</v>
      </c>
      <c r="AD94" s="130" t="n">
        <f aca="false">AD23</f>
        <v>0</v>
      </c>
      <c r="AE94" s="130" t="n">
        <f aca="false">AE23</f>
        <v>0</v>
      </c>
      <c r="AF94" s="130" t="n">
        <f aca="false">AF23</f>
        <v>0</v>
      </c>
      <c r="AG94" s="130" t="n">
        <f aca="false">AG23</f>
        <v>0</v>
      </c>
      <c r="AH94" s="130" t="n">
        <f aca="false">AH23</f>
        <v>0</v>
      </c>
      <c r="AI94" s="130"/>
      <c r="AJ94" s="130"/>
      <c r="AK94" s="130"/>
      <c r="AL94" s="130"/>
      <c r="AM94" s="130"/>
      <c r="AN94" s="130"/>
      <c r="AO94" s="130"/>
      <c r="AP94" s="130"/>
      <c r="AQ94" s="130"/>
      <c r="AR94" s="130"/>
      <c r="AS94" s="130"/>
      <c r="AT94" s="130"/>
      <c r="AU94" s="130"/>
      <c r="AV94" s="130"/>
      <c r="AW94" s="130"/>
      <c r="AX94" s="130"/>
      <c r="AY94" s="130"/>
      <c r="AZ94" s="130"/>
      <c r="BA94" s="130"/>
      <c r="BB94" s="130"/>
      <c r="BC94" s="130"/>
      <c r="BD94" s="130"/>
      <c r="BE94" s="130"/>
      <c r="BF94" s="130"/>
      <c r="BG94" s="130"/>
      <c r="BH94" s="130"/>
      <c r="BI94" s="130"/>
      <c r="BJ94" s="130"/>
      <c r="BK94" s="130"/>
      <c r="BL94" s="130"/>
      <c r="BM94" s="130"/>
      <c r="BN94" s="130"/>
      <c r="BO94" s="130"/>
      <c r="BP94" s="130"/>
      <c r="BQ94" s="130"/>
      <c r="BR94" s="130"/>
      <c r="BS94" s="130"/>
      <c r="BT94" s="130"/>
      <c r="BU94" s="130"/>
      <c r="BV94" s="130"/>
      <c r="BW94" s="130"/>
      <c r="BX94" s="130"/>
      <c r="BY94" s="130"/>
      <c r="BZ94" s="130"/>
      <c r="CA94" s="130"/>
      <c r="CB94" s="130"/>
      <c r="CC94" s="130"/>
      <c r="CD94" s="130"/>
      <c r="CE94" s="130"/>
      <c r="CF94" s="130"/>
      <c r="CG94" s="130"/>
      <c r="CH94" s="130"/>
      <c r="CI94" s="130"/>
      <c r="CJ94" s="130"/>
      <c r="CK94" s="130"/>
      <c r="CL94" s="130"/>
      <c r="CM94" s="130"/>
      <c r="CN94" s="130"/>
      <c r="CO94" s="130"/>
      <c r="CP94" s="130"/>
      <c r="CQ94" s="130"/>
      <c r="CR94" s="130"/>
      <c r="CS94" s="130"/>
      <c r="CT94" s="130"/>
      <c r="CU94" s="130"/>
      <c r="CV94" s="130"/>
      <c r="CW94" s="130"/>
      <c r="CX94" s="130"/>
      <c r="CY94" s="130"/>
      <c r="CZ94" s="130"/>
      <c r="DA94" s="130"/>
      <c r="DB94" s="130"/>
      <c r="DC94" s="130"/>
      <c r="DD94" s="130"/>
      <c r="DE94" s="130"/>
      <c r="DF94" s="130"/>
      <c r="DG94" s="130"/>
      <c r="DH94" s="130"/>
      <c r="DI94" s="130"/>
      <c r="DJ94" s="130"/>
      <c r="DK94" s="130"/>
      <c r="DL94" s="130"/>
      <c r="DM94" s="130"/>
      <c r="DN94" s="130"/>
      <c r="DO94" s="130"/>
      <c r="DP94" s="130"/>
      <c r="DQ94" s="130"/>
      <c r="DR94" s="130"/>
      <c r="DS94" s="130"/>
      <c r="DT94" s="130"/>
      <c r="DU94" s="130"/>
      <c r="DV94" s="130"/>
      <c r="DW94" s="130"/>
      <c r="DX94" s="130"/>
      <c r="DY94" s="130"/>
      <c r="DZ94" s="130"/>
      <c r="EA94" s="130"/>
      <c r="EB94" s="130"/>
      <c r="EC94" s="130"/>
      <c r="ED94" s="130"/>
      <c r="EE94" s="130"/>
      <c r="EF94" s="130"/>
      <c r="EG94" s="130"/>
      <c r="EH94" s="130"/>
      <c r="EI94" s="130"/>
      <c r="EJ94" s="130"/>
      <c r="EK94" s="130"/>
      <c r="EL94" s="130"/>
      <c r="EM94" s="130"/>
      <c r="EN94" s="130"/>
      <c r="EO94" s="130"/>
      <c r="EP94" s="130"/>
      <c r="EQ94" s="130"/>
      <c r="ER94" s="130"/>
      <c r="ES94" s="130"/>
      <c r="ET94" s="130"/>
      <c r="EU94" s="130"/>
      <c r="EV94" s="130"/>
      <c r="EW94" s="130"/>
      <c r="EX94" s="130"/>
      <c r="EY94" s="130"/>
      <c r="EZ94" s="130"/>
      <c r="FA94" s="130"/>
      <c r="FB94" s="130"/>
      <c r="FC94" s="130"/>
      <c r="FD94" s="130"/>
      <c r="FE94" s="130"/>
      <c r="FF94" s="130"/>
      <c r="FG94" s="130"/>
      <c r="FH94" s="130"/>
      <c r="FI94" s="130"/>
      <c r="FJ94" s="130"/>
      <c r="FK94" s="130"/>
      <c r="FL94" s="130"/>
      <c r="FM94" s="130"/>
      <c r="FN94" s="130"/>
      <c r="FO94" s="130"/>
      <c r="FP94" s="130"/>
      <c r="FQ94" s="130"/>
      <c r="FR94" s="130"/>
      <c r="FS94" s="130"/>
      <c r="FT94" s="130"/>
      <c r="FU94" s="130"/>
      <c r="FV94" s="130"/>
      <c r="FW94" s="130"/>
      <c r="FX94" s="130"/>
      <c r="FY94" s="130"/>
      <c r="FZ94" s="130"/>
      <c r="GA94" s="130"/>
      <c r="GB94" s="130"/>
      <c r="GC94" s="130"/>
      <c r="GD94" s="130"/>
      <c r="GE94" s="130"/>
      <c r="GF94" s="130"/>
      <c r="GG94" s="130"/>
      <c r="GH94" s="130"/>
      <c r="GI94" s="130"/>
      <c r="GJ94" s="130"/>
      <c r="GK94" s="130"/>
      <c r="GL94" s="130"/>
      <c r="GM94" s="130"/>
      <c r="GN94" s="130"/>
      <c r="GO94" s="130"/>
      <c r="GP94" s="130"/>
      <c r="GQ94" s="130"/>
      <c r="GR94" s="130"/>
      <c r="GS94" s="130"/>
      <c r="GT94" s="130"/>
      <c r="GU94" s="130"/>
      <c r="GV94" s="130"/>
      <c r="GW94" s="130"/>
      <c r="GX94" s="130"/>
      <c r="GY94" s="130"/>
      <c r="GZ94" s="130"/>
      <c r="HA94" s="130"/>
      <c r="HB94" s="130"/>
      <c r="HC94" s="130"/>
      <c r="HD94" s="130"/>
      <c r="HE94" s="130"/>
      <c r="HF94" s="130"/>
      <c r="HG94" s="130"/>
      <c r="HH94" s="130"/>
      <c r="HI94" s="130"/>
      <c r="HJ94" s="130"/>
      <c r="HK94" s="130"/>
      <c r="HL94" s="130"/>
      <c r="HM94" s="130"/>
      <c r="HN94" s="130"/>
      <c r="HO94" s="130"/>
      <c r="HP94" s="130"/>
      <c r="HQ94" s="130"/>
      <c r="HR94" s="130"/>
      <c r="HS94" s="130"/>
      <c r="HT94" s="130"/>
      <c r="HU94" s="130"/>
      <c r="HV94" s="130"/>
      <c r="HW94" s="130"/>
      <c r="HX94" s="130"/>
      <c r="HY94" s="130"/>
      <c r="HZ94" s="130"/>
      <c r="IA94" s="130"/>
      <c r="IB94" s="130"/>
      <c r="IC94" s="130"/>
      <c r="ID94" s="130"/>
      <c r="IE94" s="130"/>
      <c r="IF94" s="130"/>
      <c r="IG94" s="130"/>
      <c r="IH94" s="130"/>
      <c r="II94" s="130"/>
      <c r="IJ94" s="130"/>
      <c r="IK94" s="130"/>
      <c r="IL94" s="130"/>
      <c r="IM94" s="130"/>
      <c r="IN94" s="130"/>
      <c r="IO94" s="130"/>
      <c r="IP94" s="130"/>
      <c r="IQ94" s="130"/>
      <c r="IR94" s="130"/>
      <c r="IS94" s="130"/>
      <c r="IT94" s="130"/>
      <c r="IU94" s="130"/>
      <c r="IV94" s="130"/>
      <c r="IW94" s="130"/>
    </row>
    <row r="95" customFormat="false" ht="13.5" hidden="false" customHeight="false" outlineLevel="0" collapsed="false">
      <c r="A95" s="29"/>
      <c r="B95" s="331" t="s">
        <v>795</v>
      </c>
      <c r="C95" s="331"/>
      <c r="D95" s="331"/>
      <c r="E95" s="331" t="n">
        <f aca="false">SUM(E91:E94)</f>
        <v>-360.963693824832</v>
      </c>
      <c r="F95" s="331" t="n">
        <f aca="false">SUM(F91:F94)</f>
        <v>-343.792098391469</v>
      </c>
      <c r="G95" s="331" t="n">
        <f aca="false">SUM(G91:G94)</f>
        <v>-324.303069321786</v>
      </c>
      <c r="H95" s="331" t="n">
        <f aca="false">SUM(H91:H94)</f>
        <v>-299.086836294139</v>
      </c>
      <c r="I95" s="331" t="n">
        <f aca="false">SUM(I91:I94)</f>
        <v>-272.428843345697</v>
      </c>
      <c r="J95" s="331" t="n">
        <f aca="false">SUM(J91:J94)</f>
        <v>-451.177067001444</v>
      </c>
      <c r="K95" s="331" t="n">
        <f aca="false">SUM(K91:K94)</f>
        <v>-426.91934814726</v>
      </c>
      <c r="L95" s="331" t="n">
        <f aca="false">SUM(L91:L94)</f>
        <v>-398.245028646503</v>
      </c>
      <c r="M95" s="331" t="n">
        <f aca="false">SUM(M91:M94)</f>
        <v>-368.566646068862</v>
      </c>
      <c r="N95" s="331" t="n">
        <f aca="false">SUM(N91:N94)</f>
        <v>-334.792091971163</v>
      </c>
      <c r="O95" s="331" t="n">
        <f aca="false">SUM(O91:O94)</f>
        <v>-301.092104497243</v>
      </c>
      <c r="P95" s="331" t="n">
        <f aca="false">SUM(P91:P94)</f>
        <v>-259.050734055782</v>
      </c>
      <c r="Q95" s="331" t="n">
        <f aca="false">SUM(Q91:Q94)</f>
        <v>-214.608164129676</v>
      </c>
      <c r="R95" s="331" t="n">
        <f aca="false">SUM(R91:R94)</f>
        <v>-166.225072737504</v>
      </c>
      <c r="S95" s="331" t="n">
        <f aca="false">SUM(S91:S94)</f>
        <v>-114.231073783784</v>
      </c>
      <c r="T95" s="331" t="n">
        <f aca="false">SUM(T91:T94)</f>
        <v>-56.2632193136551</v>
      </c>
      <c r="U95" s="331" t="n">
        <f aca="false">SUM(U91:U94)</f>
        <v>6.46619352329457</v>
      </c>
      <c r="V95" s="331" t="n">
        <f aca="false">SUM(V91:V94)</f>
        <v>135.667499766066</v>
      </c>
      <c r="W95" s="331" t="n">
        <f aca="false">SUM(W91:W94)</f>
        <v>118.438650770502</v>
      </c>
      <c r="X95" s="331" t="n">
        <f aca="false">SUM(X91:X94)</f>
        <v>99.3319006052729</v>
      </c>
      <c r="Y95" s="331" t="n">
        <f aca="false">SUM(Y91:Y94)</f>
        <v>0</v>
      </c>
      <c r="Z95" s="331" t="n">
        <f aca="false">SUM(Z91:Z94)</f>
        <v>0</v>
      </c>
      <c r="AA95" s="331" t="n">
        <f aca="false">SUM(AA91:AA94)</f>
        <v>0</v>
      </c>
      <c r="AB95" s="331" t="n">
        <f aca="false">SUM(AB91:AB94)</f>
        <v>0</v>
      </c>
      <c r="AC95" s="331" t="n">
        <f aca="false">SUM(AC91:AC94)</f>
        <v>0</v>
      </c>
      <c r="AD95" s="331" t="n">
        <f aca="false">SUM(AD91:AD94)</f>
        <v>0</v>
      </c>
      <c r="AE95" s="331" t="n">
        <f aca="false">SUM(AE91:AE94)</f>
        <v>0</v>
      </c>
      <c r="AF95" s="331" t="n">
        <f aca="false">SUM(AF91:AF94)</f>
        <v>0</v>
      </c>
      <c r="AG95" s="331" t="n">
        <f aca="false">SUM(AG91:AG94)</f>
        <v>0</v>
      </c>
      <c r="AH95" s="331" t="n">
        <f aca="false">SUM(AH91:AH94)</f>
        <v>0</v>
      </c>
      <c r="AI95" s="313"/>
      <c r="AJ95" s="313"/>
      <c r="AK95" s="313"/>
      <c r="AL95" s="313"/>
      <c r="AM95" s="313"/>
      <c r="AN95" s="313"/>
      <c r="AO95" s="313"/>
      <c r="AP95" s="313"/>
      <c r="AQ95" s="313"/>
      <c r="AR95" s="313"/>
      <c r="AS95" s="313"/>
      <c r="AT95" s="313"/>
      <c r="AU95" s="313"/>
      <c r="AV95" s="313"/>
      <c r="AW95" s="313"/>
      <c r="AX95" s="313"/>
      <c r="AY95" s="313"/>
      <c r="AZ95" s="313"/>
      <c r="BA95" s="313"/>
      <c r="BB95" s="313"/>
      <c r="BC95" s="313"/>
      <c r="BD95" s="313"/>
      <c r="BE95" s="313"/>
      <c r="BF95" s="313"/>
      <c r="BG95" s="313"/>
      <c r="BH95" s="313"/>
      <c r="BI95" s="313"/>
      <c r="BJ95" s="313"/>
      <c r="BK95" s="313"/>
      <c r="BL95" s="313"/>
      <c r="BM95" s="313"/>
      <c r="BN95" s="313"/>
      <c r="BO95" s="313"/>
      <c r="BP95" s="313"/>
      <c r="BQ95" s="313"/>
      <c r="BR95" s="313"/>
      <c r="BS95" s="313"/>
      <c r="BT95" s="313"/>
      <c r="BU95" s="313"/>
      <c r="BV95" s="313"/>
      <c r="BW95" s="313"/>
      <c r="BX95" s="313"/>
      <c r="BY95" s="313"/>
      <c r="BZ95" s="313"/>
      <c r="CA95" s="313"/>
      <c r="CB95" s="313"/>
      <c r="CC95" s="313"/>
      <c r="CD95" s="313"/>
      <c r="CE95" s="313"/>
      <c r="CF95" s="313"/>
      <c r="CG95" s="313"/>
      <c r="CH95" s="313"/>
      <c r="CI95" s="313"/>
      <c r="CJ95" s="313"/>
      <c r="CK95" s="313"/>
      <c r="CL95" s="313"/>
      <c r="CM95" s="313"/>
      <c r="CN95" s="313"/>
      <c r="CO95" s="313"/>
      <c r="CP95" s="313"/>
      <c r="CQ95" s="313"/>
      <c r="CR95" s="313"/>
      <c r="CS95" s="313"/>
      <c r="CT95" s="313"/>
      <c r="CU95" s="313"/>
      <c r="CV95" s="313"/>
      <c r="CW95" s="313"/>
      <c r="CX95" s="313"/>
      <c r="CY95" s="313"/>
      <c r="CZ95" s="313"/>
      <c r="DA95" s="313"/>
      <c r="DB95" s="313"/>
      <c r="DC95" s="313"/>
      <c r="DD95" s="313"/>
      <c r="DE95" s="313"/>
      <c r="DF95" s="313"/>
      <c r="DG95" s="313"/>
      <c r="DH95" s="313"/>
      <c r="DI95" s="313"/>
      <c r="DJ95" s="313"/>
      <c r="DK95" s="313"/>
      <c r="DL95" s="313"/>
      <c r="DM95" s="313"/>
      <c r="DN95" s="313"/>
      <c r="DO95" s="313"/>
      <c r="DP95" s="313"/>
      <c r="DQ95" s="313"/>
      <c r="DR95" s="313"/>
      <c r="DS95" s="313"/>
      <c r="DT95" s="313"/>
      <c r="DU95" s="313"/>
      <c r="DV95" s="313"/>
      <c r="DW95" s="313"/>
      <c r="DX95" s="313"/>
      <c r="DY95" s="313"/>
      <c r="DZ95" s="313"/>
      <c r="EA95" s="313"/>
      <c r="EB95" s="313"/>
      <c r="EC95" s="313"/>
      <c r="ED95" s="313"/>
      <c r="EE95" s="313"/>
      <c r="EF95" s="313"/>
      <c r="EG95" s="313"/>
      <c r="EH95" s="313"/>
      <c r="EI95" s="313"/>
      <c r="EJ95" s="313"/>
      <c r="EK95" s="313"/>
      <c r="EL95" s="313"/>
      <c r="EM95" s="313"/>
      <c r="EN95" s="313"/>
      <c r="EO95" s="313"/>
      <c r="EP95" s="313"/>
      <c r="EQ95" s="313"/>
      <c r="ER95" s="313"/>
      <c r="ES95" s="313"/>
      <c r="ET95" s="313"/>
      <c r="EU95" s="313"/>
      <c r="EV95" s="313"/>
      <c r="EW95" s="313"/>
      <c r="EX95" s="313"/>
      <c r="EY95" s="313"/>
      <c r="EZ95" s="313"/>
      <c r="FA95" s="313"/>
      <c r="FB95" s="313"/>
      <c r="FC95" s="313"/>
      <c r="FD95" s="313"/>
      <c r="FE95" s="313"/>
      <c r="FF95" s="313"/>
      <c r="FG95" s="313"/>
      <c r="FH95" s="313"/>
      <c r="FI95" s="313"/>
      <c r="FJ95" s="313"/>
      <c r="FK95" s="313"/>
      <c r="FL95" s="313"/>
      <c r="FM95" s="313"/>
      <c r="FN95" s="313"/>
      <c r="FO95" s="313"/>
      <c r="FP95" s="313"/>
      <c r="FQ95" s="313"/>
      <c r="FR95" s="313"/>
      <c r="FS95" s="313"/>
      <c r="FT95" s="313"/>
      <c r="FU95" s="313"/>
      <c r="FV95" s="313"/>
      <c r="FW95" s="313"/>
      <c r="FX95" s="313"/>
      <c r="FY95" s="313"/>
      <c r="FZ95" s="313"/>
      <c r="GA95" s="313"/>
      <c r="GB95" s="313"/>
      <c r="GC95" s="313"/>
      <c r="GD95" s="313"/>
      <c r="GE95" s="313"/>
      <c r="GF95" s="313"/>
      <c r="GG95" s="313"/>
      <c r="GH95" s="313"/>
      <c r="GI95" s="313"/>
      <c r="GJ95" s="313"/>
      <c r="GK95" s="313"/>
      <c r="GL95" s="313"/>
      <c r="GM95" s="313"/>
      <c r="GN95" s="313"/>
      <c r="GO95" s="313"/>
      <c r="GP95" s="313"/>
      <c r="GQ95" s="313"/>
      <c r="GR95" s="313"/>
      <c r="GS95" s="313"/>
      <c r="GT95" s="313"/>
      <c r="GU95" s="313"/>
      <c r="GV95" s="313"/>
      <c r="GW95" s="313"/>
      <c r="GX95" s="313"/>
      <c r="GY95" s="313"/>
      <c r="GZ95" s="313"/>
      <c r="HA95" s="313"/>
      <c r="HB95" s="313"/>
      <c r="HC95" s="313"/>
      <c r="HD95" s="313"/>
      <c r="HE95" s="313"/>
      <c r="HF95" s="313"/>
      <c r="HG95" s="313"/>
      <c r="HH95" s="313"/>
      <c r="HI95" s="313"/>
      <c r="HJ95" s="313"/>
      <c r="HK95" s="313"/>
      <c r="HL95" s="313"/>
      <c r="HM95" s="313"/>
      <c r="HN95" s="313"/>
      <c r="HO95" s="313"/>
      <c r="HP95" s="313"/>
      <c r="HQ95" s="313"/>
      <c r="HR95" s="313"/>
      <c r="HS95" s="313"/>
      <c r="HT95" s="313"/>
      <c r="HU95" s="313"/>
      <c r="HV95" s="313"/>
      <c r="HW95" s="313"/>
      <c r="HX95" s="313"/>
      <c r="HY95" s="313"/>
      <c r="HZ95" s="313"/>
      <c r="IA95" s="313"/>
      <c r="IB95" s="313"/>
      <c r="IC95" s="313"/>
      <c r="ID95" s="313"/>
      <c r="IE95" s="313"/>
      <c r="IF95" s="313"/>
      <c r="IG95" s="313"/>
      <c r="IH95" s="313"/>
      <c r="II95" s="313"/>
      <c r="IJ95" s="313"/>
      <c r="IK95" s="313"/>
      <c r="IL95" s="313"/>
      <c r="IM95" s="313"/>
      <c r="IN95" s="313"/>
      <c r="IO95" s="313"/>
      <c r="IP95" s="313"/>
      <c r="IQ95" s="313"/>
      <c r="IR95" s="313"/>
      <c r="IS95" s="313"/>
      <c r="IT95" s="313"/>
      <c r="IU95" s="313"/>
      <c r="IV95" s="313"/>
      <c r="IW95" s="313"/>
    </row>
    <row r="96" customFormat="false" ht="12.75" hidden="false" customHeight="false" outlineLevel="0" collapsed="false">
      <c r="A96" s="696"/>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130"/>
      <c r="BI96" s="130"/>
      <c r="BJ96" s="130"/>
      <c r="BK96" s="130"/>
      <c r="BL96" s="130"/>
      <c r="BM96" s="130"/>
      <c r="BN96" s="130"/>
      <c r="BO96" s="130"/>
      <c r="BP96" s="130"/>
      <c r="BQ96" s="130"/>
      <c r="BR96" s="130"/>
      <c r="BS96" s="130"/>
      <c r="BT96" s="130"/>
      <c r="BU96" s="130"/>
      <c r="BV96" s="130"/>
      <c r="BW96" s="130"/>
      <c r="BX96" s="130"/>
      <c r="BY96" s="130"/>
      <c r="BZ96" s="130"/>
      <c r="CA96" s="130"/>
      <c r="CB96" s="130"/>
      <c r="CC96" s="130"/>
      <c r="CD96" s="130"/>
      <c r="CE96" s="130"/>
      <c r="CF96" s="130"/>
      <c r="CG96" s="130"/>
      <c r="CH96" s="130"/>
      <c r="CI96" s="130"/>
      <c r="CJ96" s="130"/>
      <c r="CK96" s="130"/>
      <c r="CL96" s="130"/>
      <c r="CM96" s="130"/>
      <c r="CN96" s="130"/>
      <c r="CO96" s="130"/>
      <c r="CP96" s="130"/>
      <c r="CQ96" s="130"/>
      <c r="CR96" s="130"/>
      <c r="CS96" s="130"/>
      <c r="CT96" s="130"/>
      <c r="CU96" s="130"/>
      <c r="CV96" s="130"/>
      <c r="CW96" s="130"/>
      <c r="CX96" s="130"/>
      <c r="CY96" s="130"/>
      <c r="CZ96" s="130"/>
      <c r="DA96" s="130"/>
      <c r="DB96" s="130"/>
      <c r="DC96" s="130"/>
      <c r="DD96" s="130"/>
      <c r="DE96" s="130"/>
      <c r="DF96" s="130"/>
      <c r="DG96" s="130"/>
      <c r="DH96" s="130"/>
      <c r="DI96" s="130"/>
      <c r="DJ96" s="130"/>
      <c r="DK96" s="130"/>
      <c r="DL96" s="130"/>
      <c r="DM96" s="130"/>
      <c r="DN96" s="130"/>
      <c r="DO96" s="130"/>
      <c r="DP96" s="130"/>
      <c r="DQ96" s="130"/>
      <c r="DR96" s="130"/>
      <c r="DS96" s="130"/>
      <c r="DT96" s="130"/>
      <c r="DU96" s="130"/>
      <c r="DV96" s="130"/>
      <c r="DW96" s="130"/>
      <c r="DX96" s="130"/>
      <c r="DY96" s="130"/>
      <c r="DZ96" s="130"/>
      <c r="EA96" s="130"/>
      <c r="EB96" s="130"/>
      <c r="EC96" s="130"/>
      <c r="ED96" s="130"/>
      <c r="EE96" s="130"/>
      <c r="EF96" s="130"/>
      <c r="EG96" s="130"/>
      <c r="EH96" s="130"/>
      <c r="EI96" s="130"/>
      <c r="EJ96" s="130"/>
      <c r="EK96" s="130"/>
      <c r="EL96" s="130"/>
      <c r="EM96" s="130"/>
      <c r="EN96" s="130"/>
      <c r="EO96" s="130"/>
      <c r="EP96" s="130"/>
      <c r="EQ96" s="130"/>
      <c r="ER96" s="130"/>
      <c r="ES96" s="130"/>
      <c r="ET96" s="130"/>
      <c r="EU96" s="130"/>
      <c r="EV96" s="130"/>
      <c r="EW96" s="130"/>
      <c r="EX96" s="130"/>
      <c r="EY96" s="130"/>
      <c r="EZ96" s="130"/>
      <c r="FA96" s="130"/>
      <c r="FB96" s="130"/>
      <c r="FC96" s="130"/>
      <c r="FD96" s="130"/>
      <c r="FE96" s="130"/>
      <c r="FF96" s="130"/>
      <c r="FG96" s="130"/>
      <c r="FH96" s="130"/>
      <c r="FI96" s="130"/>
      <c r="FJ96" s="130"/>
      <c r="FK96" s="130"/>
      <c r="FL96" s="130"/>
      <c r="FM96" s="130"/>
      <c r="FN96" s="130"/>
      <c r="FO96" s="130"/>
      <c r="FP96" s="130"/>
      <c r="FQ96" s="130"/>
      <c r="FR96" s="130"/>
      <c r="FS96" s="130"/>
      <c r="FT96" s="130"/>
      <c r="FU96" s="130"/>
      <c r="FV96" s="130"/>
      <c r="FW96" s="130"/>
      <c r="FX96" s="130"/>
      <c r="FY96" s="130"/>
      <c r="FZ96" s="130"/>
      <c r="GA96" s="130"/>
      <c r="GB96" s="130"/>
      <c r="GC96" s="130"/>
      <c r="GD96" s="130"/>
      <c r="GE96" s="130"/>
      <c r="GF96" s="130"/>
      <c r="GG96" s="130"/>
      <c r="GH96" s="130"/>
      <c r="GI96" s="130"/>
      <c r="GJ96" s="130"/>
      <c r="GK96" s="130"/>
      <c r="GL96" s="130"/>
      <c r="GM96" s="130"/>
      <c r="GN96" s="130"/>
      <c r="GO96" s="130"/>
      <c r="GP96" s="130"/>
      <c r="GQ96" s="130"/>
      <c r="GR96" s="130"/>
      <c r="GS96" s="130"/>
      <c r="GT96" s="130"/>
      <c r="GU96" s="130"/>
      <c r="GV96" s="130"/>
      <c r="GW96" s="130"/>
      <c r="GX96" s="130"/>
      <c r="GY96" s="130"/>
      <c r="GZ96" s="130"/>
      <c r="HA96" s="130"/>
      <c r="HB96" s="130"/>
      <c r="HC96" s="130"/>
      <c r="HD96" s="130"/>
      <c r="HE96" s="130"/>
      <c r="HF96" s="130"/>
      <c r="HG96" s="130"/>
      <c r="HH96" s="130"/>
      <c r="HI96" s="130"/>
      <c r="HJ96" s="130"/>
      <c r="HK96" s="130"/>
      <c r="HL96" s="130"/>
      <c r="HM96" s="130"/>
      <c r="HN96" s="130"/>
      <c r="HO96" s="130"/>
      <c r="HP96" s="130"/>
      <c r="HQ96" s="130"/>
      <c r="HR96" s="130"/>
      <c r="HS96" s="130"/>
      <c r="HT96" s="130"/>
      <c r="HU96" s="130"/>
      <c r="HV96" s="130"/>
      <c r="HW96" s="130"/>
      <c r="HX96" s="130"/>
      <c r="HY96" s="130"/>
      <c r="HZ96" s="130"/>
      <c r="IA96" s="130"/>
      <c r="IB96" s="130"/>
      <c r="IC96" s="130"/>
      <c r="ID96" s="130"/>
      <c r="IE96" s="130"/>
      <c r="IF96" s="130"/>
      <c r="IG96" s="130"/>
      <c r="IH96" s="130"/>
      <c r="II96" s="130"/>
      <c r="IJ96" s="130"/>
      <c r="IK96" s="130"/>
      <c r="IL96" s="130"/>
      <c r="IM96" s="130"/>
      <c r="IN96" s="130"/>
      <c r="IO96" s="130"/>
      <c r="IP96" s="130"/>
      <c r="IQ96" s="130"/>
      <c r="IR96" s="130"/>
      <c r="IS96" s="130"/>
      <c r="IT96" s="130"/>
      <c r="IU96" s="130"/>
      <c r="IV96" s="130"/>
      <c r="IW96" s="130"/>
    </row>
    <row r="97" customFormat="false" ht="12.75" hidden="false" customHeight="false" outlineLevel="0" collapsed="false">
      <c r="A97" s="696"/>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c r="BI97" s="130"/>
      <c r="BJ97" s="130"/>
      <c r="BK97" s="130"/>
      <c r="BL97" s="130"/>
      <c r="BM97" s="130"/>
      <c r="BN97" s="130"/>
      <c r="BO97" s="130"/>
      <c r="BP97" s="130"/>
      <c r="BQ97" s="130"/>
      <c r="BR97" s="130"/>
      <c r="BS97" s="130"/>
      <c r="BT97" s="130"/>
      <c r="BU97" s="130"/>
      <c r="BV97" s="130"/>
      <c r="BW97" s="130"/>
      <c r="BX97" s="130"/>
      <c r="BY97" s="130"/>
      <c r="BZ97" s="130"/>
      <c r="CA97" s="130"/>
      <c r="CB97" s="130"/>
      <c r="CC97" s="130"/>
      <c r="CD97" s="130"/>
      <c r="CE97" s="130"/>
      <c r="CF97" s="130"/>
      <c r="CG97" s="130"/>
      <c r="CH97" s="130"/>
      <c r="CI97" s="130"/>
      <c r="CJ97" s="130"/>
      <c r="CK97" s="130"/>
      <c r="CL97" s="130"/>
      <c r="CM97" s="130"/>
      <c r="CN97" s="130"/>
      <c r="CO97" s="130"/>
      <c r="CP97" s="130"/>
      <c r="CQ97" s="130"/>
      <c r="CR97" s="130"/>
      <c r="CS97" s="130"/>
      <c r="CT97" s="130"/>
      <c r="CU97" s="130"/>
      <c r="CV97" s="130"/>
      <c r="CW97" s="130"/>
      <c r="CX97" s="130"/>
      <c r="CY97" s="130"/>
      <c r="CZ97" s="130"/>
      <c r="DA97" s="130"/>
      <c r="DB97" s="130"/>
      <c r="DC97" s="130"/>
      <c r="DD97" s="130"/>
      <c r="DE97" s="130"/>
      <c r="DF97" s="130"/>
      <c r="DG97" s="130"/>
      <c r="DH97" s="130"/>
      <c r="DI97" s="130"/>
      <c r="DJ97" s="130"/>
      <c r="DK97" s="130"/>
      <c r="DL97" s="130"/>
      <c r="DM97" s="130"/>
      <c r="DN97" s="130"/>
      <c r="DO97" s="130"/>
      <c r="DP97" s="130"/>
      <c r="DQ97" s="130"/>
      <c r="DR97" s="130"/>
      <c r="DS97" s="130"/>
      <c r="DT97" s="130"/>
      <c r="DU97" s="130"/>
      <c r="DV97" s="130"/>
      <c r="DW97" s="130"/>
      <c r="DX97" s="130"/>
      <c r="DY97" s="130"/>
      <c r="DZ97" s="130"/>
      <c r="EA97" s="130"/>
      <c r="EB97" s="130"/>
      <c r="EC97" s="130"/>
      <c r="ED97" s="130"/>
      <c r="EE97" s="130"/>
      <c r="EF97" s="130"/>
      <c r="EG97" s="130"/>
      <c r="EH97" s="130"/>
      <c r="EI97" s="130"/>
      <c r="EJ97" s="130"/>
      <c r="EK97" s="130"/>
      <c r="EL97" s="130"/>
      <c r="EM97" s="130"/>
      <c r="EN97" s="130"/>
      <c r="EO97" s="130"/>
      <c r="EP97" s="130"/>
      <c r="EQ97" s="130"/>
      <c r="ER97" s="130"/>
      <c r="ES97" s="130"/>
      <c r="ET97" s="130"/>
      <c r="EU97" s="130"/>
      <c r="EV97" s="130"/>
      <c r="EW97" s="130"/>
      <c r="EX97" s="130"/>
      <c r="EY97" s="130"/>
      <c r="EZ97" s="130"/>
      <c r="FA97" s="130"/>
      <c r="FB97" s="130"/>
      <c r="FC97" s="130"/>
      <c r="FD97" s="130"/>
      <c r="FE97" s="130"/>
      <c r="FF97" s="130"/>
      <c r="FG97" s="130"/>
      <c r="FH97" s="130"/>
      <c r="FI97" s="130"/>
      <c r="FJ97" s="130"/>
      <c r="FK97" s="130"/>
      <c r="FL97" s="130"/>
      <c r="FM97" s="130"/>
      <c r="FN97" s="130"/>
      <c r="FO97" s="130"/>
      <c r="FP97" s="130"/>
      <c r="FQ97" s="130"/>
      <c r="FR97" s="130"/>
      <c r="FS97" s="130"/>
      <c r="FT97" s="130"/>
      <c r="FU97" s="130"/>
      <c r="FV97" s="130"/>
      <c r="FW97" s="130"/>
      <c r="FX97" s="130"/>
      <c r="FY97" s="130"/>
      <c r="FZ97" s="130"/>
      <c r="GA97" s="130"/>
      <c r="GB97" s="130"/>
      <c r="GC97" s="130"/>
      <c r="GD97" s="130"/>
      <c r="GE97" s="130"/>
      <c r="GF97" s="130"/>
      <c r="GG97" s="130"/>
      <c r="GH97" s="130"/>
      <c r="GI97" s="130"/>
      <c r="GJ97" s="130"/>
      <c r="GK97" s="130"/>
      <c r="GL97" s="130"/>
      <c r="GM97" s="130"/>
      <c r="GN97" s="130"/>
      <c r="GO97" s="130"/>
      <c r="GP97" s="130"/>
      <c r="GQ97" s="130"/>
      <c r="GR97" s="130"/>
      <c r="GS97" s="130"/>
      <c r="GT97" s="130"/>
      <c r="GU97" s="130"/>
      <c r="GV97" s="130"/>
      <c r="GW97" s="130"/>
      <c r="GX97" s="130"/>
      <c r="GY97" s="130"/>
      <c r="GZ97" s="130"/>
      <c r="HA97" s="130"/>
      <c r="HB97" s="130"/>
      <c r="HC97" s="130"/>
      <c r="HD97" s="130"/>
      <c r="HE97" s="130"/>
      <c r="HF97" s="130"/>
      <c r="HG97" s="130"/>
      <c r="HH97" s="130"/>
      <c r="HI97" s="130"/>
      <c r="HJ97" s="130"/>
      <c r="HK97" s="130"/>
      <c r="HL97" s="130"/>
      <c r="HM97" s="130"/>
      <c r="HN97" s="130"/>
      <c r="HO97" s="130"/>
      <c r="HP97" s="130"/>
      <c r="HQ97" s="130"/>
      <c r="HR97" s="130"/>
      <c r="HS97" s="130"/>
      <c r="HT97" s="130"/>
      <c r="HU97" s="130"/>
      <c r="HV97" s="130"/>
      <c r="HW97" s="130"/>
      <c r="HX97" s="130"/>
      <c r="HY97" s="130"/>
      <c r="HZ97" s="130"/>
      <c r="IA97" s="130"/>
      <c r="IB97" s="130"/>
      <c r="IC97" s="130"/>
      <c r="ID97" s="130"/>
      <c r="IE97" s="130"/>
      <c r="IF97" s="130"/>
      <c r="IG97" s="130"/>
      <c r="IH97" s="130"/>
      <c r="II97" s="130"/>
      <c r="IJ97" s="130"/>
      <c r="IK97" s="130"/>
      <c r="IL97" s="130"/>
      <c r="IM97" s="130"/>
      <c r="IN97" s="130"/>
      <c r="IO97" s="130"/>
      <c r="IP97" s="130"/>
      <c r="IQ97" s="130"/>
      <c r="IR97" s="130"/>
      <c r="IS97" s="130"/>
      <c r="IT97" s="130"/>
      <c r="IU97" s="130"/>
      <c r="IV97" s="130"/>
      <c r="IW97" s="130"/>
    </row>
    <row r="98" customFormat="false" ht="12.75" hidden="false" customHeight="false" outlineLevel="0" collapsed="false">
      <c r="A98" s="696"/>
      <c r="B98" s="130" t="s">
        <v>796</v>
      </c>
      <c r="C98" s="130"/>
      <c r="D98" s="130"/>
      <c r="E98" s="130" t="n">
        <f aca="false">E91-E5</f>
        <v>-569.121681797548</v>
      </c>
      <c r="F98" s="130" t="n">
        <f aca="false">F91-F5</f>
        <v>-498.748827578982</v>
      </c>
      <c r="G98" s="130" t="n">
        <f aca="false">G91-G5</f>
        <v>-514.096313000873</v>
      </c>
      <c r="H98" s="130" t="n">
        <f aca="false">H91-H5</f>
        <v>-501.15422189067</v>
      </c>
      <c r="I98" s="130" t="n">
        <f aca="false">I91-I5</f>
        <v>-459.569089975665</v>
      </c>
      <c r="J98" s="130" t="n">
        <f aca="false">J91-J5</f>
        <v>-776.987831907123</v>
      </c>
      <c r="K98" s="130" t="n">
        <f aca="false">K91-K5</f>
        <v>-760.608433175791</v>
      </c>
      <c r="L98" s="130" t="n">
        <f aca="false">L91-L5</f>
        <v>-713.637491937152</v>
      </c>
      <c r="M98" s="130" t="n">
        <f aca="false">M91-M5</f>
        <v>-665.022219900709</v>
      </c>
      <c r="N98" s="130" t="n">
        <f aca="false">N91-N5</f>
        <v>-611.781073932345</v>
      </c>
      <c r="O98" s="130" t="n">
        <f aca="false">O91-O5</f>
        <v>-510.724443799192</v>
      </c>
      <c r="P98" s="130" t="n">
        <f aca="false">P91-P5</f>
        <v>-441.863601783213</v>
      </c>
      <c r="Q98" s="130" t="n">
        <f aca="false">Q91-Q5</f>
        <v>-369.070128269191</v>
      </c>
      <c r="R98" s="130" t="n">
        <f aca="false">R91-R5</f>
        <v>-289.823216087122</v>
      </c>
      <c r="S98" s="130" t="n">
        <f aca="false">S91-S5</f>
        <v>-204.662596352685</v>
      </c>
      <c r="T98" s="130" t="n">
        <f aca="false">T91-T5</f>
        <v>-109.724688343022</v>
      </c>
      <c r="U98" s="130" t="n">
        <f aca="false">U91-U5</f>
        <v>-7.08561300061904</v>
      </c>
      <c r="V98" s="130" t="n">
        <f aca="false">V91-V5</f>
        <v>204.509774901741</v>
      </c>
      <c r="W98" s="130" t="n">
        <f aca="false">W91-W5</f>
        <v>176.319730954819</v>
      </c>
      <c r="X98" s="130" t="n">
        <f aca="false">X91-X5</f>
        <v>145.022382918741</v>
      </c>
      <c r="Y98" s="130" t="n">
        <f aca="false">Y91-Y5</f>
        <v>0</v>
      </c>
      <c r="Z98" s="130" t="n">
        <f aca="false">Z91-Z5</f>
        <v>0</v>
      </c>
      <c r="AA98" s="130" t="n">
        <f aca="false">AA91-AA5</f>
        <v>0</v>
      </c>
      <c r="AB98" s="130" t="n">
        <f aca="false">AB91-AB5</f>
        <v>0</v>
      </c>
      <c r="AC98" s="130" t="n">
        <f aca="false">AC91-AC5</f>
        <v>0</v>
      </c>
      <c r="AD98" s="130" t="n">
        <f aca="false">AD91-AD5</f>
        <v>0</v>
      </c>
      <c r="AE98" s="130" t="n">
        <f aca="false">AE91-AE5</f>
        <v>0</v>
      </c>
      <c r="AF98" s="130" t="n">
        <f aca="false">AF91-AF5</f>
        <v>0</v>
      </c>
      <c r="AG98" s="130" t="n">
        <f aca="false">AG91-AG5</f>
        <v>0</v>
      </c>
      <c r="AH98" s="130" t="n">
        <f aca="false">AH91-AH5</f>
        <v>0</v>
      </c>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c r="BI98" s="130"/>
      <c r="BJ98" s="130"/>
      <c r="BK98" s="130"/>
      <c r="BL98" s="130"/>
      <c r="BM98" s="130"/>
      <c r="BN98" s="130"/>
      <c r="BO98" s="130"/>
      <c r="BP98" s="130"/>
      <c r="BQ98" s="130"/>
      <c r="BR98" s="130"/>
      <c r="BS98" s="130"/>
      <c r="BT98" s="130"/>
      <c r="BU98" s="130"/>
      <c r="BV98" s="130"/>
      <c r="BW98" s="130"/>
      <c r="BX98" s="130"/>
      <c r="BY98" s="130"/>
      <c r="BZ98" s="130"/>
      <c r="CA98" s="130"/>
      <c r="CB98" s="130"/>
      <c r="CC98" s="130"/>
      <c r="CD98" s="130"/>
      <c r="CE98" s="130"/>
      <c r="CF98" s="130"/>
      <c r="CG98" s="130"/>
      <c r="CH98" s="130"/>
      <c r="CI98" s="130"/>
      <c r="CJ98" s="130"/>
      <c r="CK98" s="130"/>
      <c r="CL98" s="130"/>
      <c r="CM98" s="130"/>
      <c r="CN98" s="130"/>
      <c r="CO98" s="130"/>
      <c r="CP98" s="130"/>
      <c r="CQ98" s="130"/>
      <c r="CR98" s="130"/>
      <c r="CS98" s="130"/>
      <c r="CT98" s="130"/>
      <c r="CU98" s="130"/>
      <c r="CV98" s="130"/>
      <c r="CW98" s="130"/>
      <c r="CX98" s="130"/>
      <c r="CY98" s="130"/>
      <c r="CZ98" s="130"/>
      <c r="DA98" s="130"/>
      <c r="DB98" s="130"/>
      <c r="DC98" s="130"/>
      <c r="DD98" s="130"/>
      <c r="DE98" s="130"/>
      <c r="DF98" s="130"/>
      <c r="DG98" s="130"/>
      <c r="DH98" s="130"/>
      <c r="DI98" s="130"/>
      <c r="DJ98" s="130"/>
      <c r="DK98" s="130"/>
      <c r="DL98" s="130"/>
      <c r="DM98" s="130"/>
      <c r="DN98" s="130"/>
      <c r="DO98" s="130"/>
      <c r="DP98" s="130"/>
      <c r="DQ98" s="130"/>
      <c r="DR98" s="130"/>
      <c r="DS98" s="130"/>
      <c r="DT98" s="130"/>
      <c r="DU98" s="130"/>
      <c r="DV98" s="130"/>
      <c r="DW98" s="130"/>
      <c r="DX98" s="130"/>
      <c r="DY98" s="130"/>
      <c r="DZ98" s="130"/>
      <c r="EA98" s="130"/>
      <c r="EB98" s="130"/>
      <c r="EC98" s="130"/>
      <c r="ED98" s="130"/>
      <c r="EE98" s="130"/>
      <c r="EF98" s="130"/>
      <c r="EG98" s="130"/>
      <c r="EH98" s="130"/>
      <c r="EI98" s="130"/>
      <c r="EJ98" s="130"/>
      <c r="EK98" s="130"/>
      <c r="EL98" s="130"/>
      <c r="EM98" s="130"/>
      <c r="EN98" s="130"/>
      <c r="EO98" s="130"/>
      <c r="EP98" s="130"/>
      <c r="EQ98" s="130"/>
      <c r="ER98" s="130"/>
      <c r="ES98" s="130"/>
      <c r="ET98" s="130"/>
      <c r="EU98" s="130"/>
      <c r="EV98" s="130"/>
      <c r="EW98" s="130"/>
      <c r="EX98" s="130"/>
      <c r="EY98" s="130"/>
      <c r="EZ98" s="130"/>
      <c r="FA98" s="130"/>
      <c r="FB98" s="130"/>
      <c r="FC98" s="130"/>
      <c r="FD98" s="130"/>
      <c r="FE98" s="130"/>
      <c r="FF98" s="130"/>
      <c r="FG98" s="130"/>
      <c r="FH98" s="130"/>
      <c r="FI98" s="130"/>
      <c r="FJ98" s="130"/>
      <c r="FK98" s="130"/>
      <c r="FL98" s="130"/>
      <c r="FM98" s="130"/>
      <c r="FN98" s="130"/>
      <c r="FO98" s="130"/>
      <c r="FP98" s="130"/>
      <c r="FQ98" s="130"/>
      <c r="FR98" s="130"/>
      <c r="FS98" s="130"/>
      <c r="FT98" s="130"/>
      <c r="FU98" s="130"/>
      <c r="FV98" s="130"/>
      <c r="FW98" s="130"/>
      <c r="FX98" s="130"/>
      <c r="FY98" s="130"/>
      <c r="FZ98" s="130"/>
      <c r="GA98" s="130"/>
      <c r="GB98" s="130"/>
      <c r="GC98" s="130"/>
      <c r="GD98" s="130"/>
      <c r="GE98" s="130"/>
      <c r="GF98" s="130"/>
      <c r="GG98" s="130"/>
      <c r="GH98" s="130"/>
      <c r="GI98" s="130"/>
      <c r="GJ98" s="130"/>
      <c r="GK98" s="130"/>
      <c r="GL98" s="130"/>
      <c r="GM98" s="130"/>
      <c r="GN98" s="130"/>
      <c r="GO98" s="130"/>
      <c r="GP98" s="130"/>
      <c r="GQ98" s="130"/>
      <c r="GR98" s="130"/>
      <c r="GS98" s="130"/>
      <c r="GT98" s="130"/>
      <c r="GU98" s="130"/>
      <c r="GV98" s="130"/>
      <c r="GW98" s="130"/>
      <c r="GX98" s="130"/>
      <c r="GY98" s="130"/>
      <c r="GZ98" s="130"/>
      <c r="HA98" s="130"/>
      <c r="HB98" s="130"/>
      <c r="HC98" s="130"/>
      <c r="HD98" s="130"/>
      <c r="HE98" s="130"/>
      <c r="HF98" s="130"/>
      <c r="HG98" s="130"/>
      <c r="HH98" s="130"/>
      <c r="HI98" s="130"/>
      <c r="HJ98" s="130"/>
      <c r="HK98" s="130"/>
      <c r="HL98" s="130"/>
      <c r="HM98" s="130"/>
      <c r="HN98" s="130"/>
      <c r="HO98" s="130"/>
      <c r="HP98" s="130"/>
      <c r="HQ98" s="130"/>
      <c r="HR98" s="130"/>
      <c r="HS98" s="130"/>
      <c r="HT98" s="130"/>
      <c r="HU98" s="130"/>
      <c r="HV98" s="130"/>
      <c r="HW98" s="130"/>
      <c r="HX98" s="130"/>
      <c r="HY98" s="130"/>
      <c r="HZ98" s="130"/>
      <c r="IA98" s="130"/>
      <c r="IB98" s="130"/>
      <c r="IC98" s="130"/>
      <c r="ID98" s="130"/>
      <c r="IE98" s="130"/>
      <c r="IF98" s="130"/>
      <c r="IG98" s="130"/>
      <c r="IH98" s="130"/>
      <c r="II98" s="130"/>
      <c r="IJ98" s="130"/>
      <c r="IK98" s="130"/>
      <c r="IL98" s="130"/>
      <c r="IM98" s="130"/>
      <c r="IN98" s="130"/>
      <c r="IO98" s="130"/>
      <c r="IP98" s="130"/>
      <c r="IQ98" s="130"/>
      <c r="IR98" s="130"/>
      <c r="IS98" s="130"/>
      <c r="IT98" s="130"/>
      <c r="IU98" s="130"/>
      <c r="IV98" s="130"/>
      <c r="IW98" s="130"/>
    </row>
    <row r="99" customFormat="false" ht="12.75" hidden="false" customHeight="false" outlineLevel="0" collapsed="false">
      <c r="A99" s="696"/>
      <c r="B99" s="130" t="s">
        <v>794</v>
      </c>
      <c r="C99" s="130"/>
      <c r="D99" s="570" t="n">
        <f aca="false">Assum!E198</f>
        <v>0.3955</v>
      </c>
      <c r="E99" s="130" t="n">
        <f aca="false">$D$99*-E98</f>
        <v>225.08762515093</v>
      </c>
      <c r="F99" s="130" t="n">
        <f aca="false">$D$99*-F98</f>
        <v>197.255161307488</v>
      </c>
      <c r="G99" s="130" t="n">
        <f aca="false">$D$99*-G98</f>
        <v>203.325091791845</v>
      </c>
      <c r="H99" s="130" t="n">
        <f aca="false">$D$99*-H98</f>
        <v>198.20649475776</v>
      </c>
      <c r="I99" s="130" t="n">
        <f aca="false">$D$99*-I98</f>
        <v>181.759575085375</v>
      </c>
      <c r="J99" s="130" t="n">
        <f aca="false">$D$99*-J98</f>
        <v>307.298687519267</v>
      </c>
      <c r="K99" s="130" t="n">
        <f aca="false">$D$99*-K98</f>
        <v>300.820635321025</v>
      </c>
      <c r="L99" s="130" t="n">
        <f aca="false">$D$99*-L98</f>
        <v>282.243628061144</v>
      </c>
      <c r="M99" s="130" t="n">
        <f aca="false">$D$99*-M98</f>
        <v>263.01628797073</v>
      </c>
      <c r="N99" s="130" t="n">
        <f aca="false">$D$99*-N98</f>
        <v>241.959414740243</v>
      </c>
      <c r="O99" s="130" t="n">
        <f aca="false">$D$99*-O98</f>
        <v>201.99151752258</v>
      </c>
      <c r="P99" s="130" t="n">
        <f aca="false">$D$99*-P98</f>
        <v>174.757054505261</v>
      </c>
      <c r="Q99" s="130" t="n">
        <f aca="false">$D$99*-Q98</f>
        <v>145.967235730465</v>
      </c>
      <c r="R99" s="130" t="n">
        <f aca="false">$D$99*-R98</f>
        <v>114.625081962457</v>
      </c>
      <c r="S99" s="130" t="n">
        <f aca="false">$D$99*-S98</f>
        <v>80.9440568574869</v>
      </c>
      <c r="T99" s="130" t="n">
        <f aca="false">$D$99*-T98</f>
        <v>43.3961142396652</v>
      </c>
      <c r="U99" s="130" t="n">
        <f aca="false">$D$99*-U98</f>
        <v>2.80235994174483</v>
      </c>
      <c r="V99" s="130" t="n">
        <f aca="false">$D$99*-V98</f>
        <v>-80.8836159736386</v>
      </c>
      <c r="W99" s="130" t="n">
        <f aca="false">$D$99*-W98</f>
        <v>-69.7344535926308</v>
      </c>
      <c r="X99" s="130" t="n">
        <f aca="false">$D$99*-X98</f>
        <v>-57.3563524443622</v>
      </c>
      <c r="Y99" s="130" t="n">
        <f aca="false">$D$99*-Y98</f>
        <v>-0</v>
      </c>
      <c r="Z99" s="130" t="n">
        <f aca="false">$D$99*-Z98</f>
        <v>-0</v>
      </c>
      <c r="AA99" s="130" t="n">
        <f aca="false">$D$99*-AA98</f>
        <v>-0</v>
      </c>
      <c r="AB99" s="130" t="n">
        <f aca="false">$D$99*-AB98</f>
        <v>-0</v>
      </c>
      <c r="AC99" s="130" t="n">
        <f aca="false">$D$99*-AC98</f>
        <v>-0</v>
      </c>
      <c r="AD99" s="130" t="n">
        <f aca="false">$D$99*-AD98</f>
        <v>-0</v>
      </c>
      <c r="AE99" s="130" t="n">
        <f aca="false">$D$99*-AE98</f>
        <v>-0</v>
      </c>
      <c r="AF99" s="130" t="n">
        <f aca="false">$D$99*-AF98</f>
        <v>-0</v>
      </c>
      <c r="AG99" s="130" t="n">
        <f aca="false">$D$99*-AG98</f>
        <v>-0</v>
      </c>
      <c r="AH99" s="130" t="n">
        <f aca="false">$D$99*-AH98</f>
        <v>-0</v>
      </c>
      <c r="AI99" s="130"/>
      <c r="AJ99" s="130"/>
      <c r="AK99" s="130"/>
      <c r="AL99" s="130"/>
      <c r="AM99" s="130"/>
      <c r="AN99" s="130"/>
      <c r="AO99" s="130"/>
      <c r="AP99" s="130"/>
      <c r="AQ99" s="130"/>
      <c r="AR99" s="130"/>
      <c r="AS99" s="130"/>
      <c r="AT99" s="130"/>
      <c r="AU99" s="130"/>
      <c r="AV99" s="130"/>
      <c r="AW99" s="130"/>
      <c r="AX99" s="130"/>
      <c r="AY99" s="130"/>
      <c r="AZ99" s="130"/>
      <c r="BA99" s="130"/>
      <c r="BB99" s="130"/>
      <c r="BC99" s="130"/>
      <c r="BD99" s="130"/>
      <c r="BE99" s="130"/>
      <c r="BF99" s="130"/>
      <c r="BG99" s="130"/>
      <c r="BH99" s="130"/>
      <c r="BI99" s="130"/>
      <c r="BJ99" s="130"/>
      <c r="BK99" s="130"/>
      <c r="BL99" s="130"/>
      <c r="BM99" s="130"/>
      <c r="BN99" s="130"/>
      <c r="BO99" s="130"/>
      <c r="BP99" s="130"/>
      <c r="BQ99" s="130"/>
      <c r="BR99" s="130"/>
      <c r="BS99" s="130"/>
      <c r="BT99" s="130"/>
      <c r="BU99" s="130"/>
      <c r="BV99" s="130"/>
      <c r="BW99" s="130"/>
      <c r="BX99" s="130"/>
      <c r="BY99" s="130"/>
      <c r="BZ99" s="130"/>
      <c r="CA99" s="130"/>
      <c r="CB99" s="130"/>
      <c r="CC99" s="130"/>
      <c r="CD99" s="130"/>
      <c r="CE99" s="130"/>
      <c r="CF99" s="130"/>
      <c r="CG99" s="130"/>
      <c r="CH99" s="130"/>
      <c r="CI99" s="130"/>
      <c r="CJ99" s="130"/>
      <c r="CK99" s="130"/>
      <c r="CL99" s="130"/>
      <c r="CM99" s="130"/>
      <c r="CN99" s="130"/>
      <c r="CO99" s="130"/>
      <c r="CP99" s="130"/>
      <c r="CQ99" s="130"/>
      <c r="CR99" s="130"/>
      <c r="CS99" s="130"/>
      <c r="CT99" s="130"/>
      <c r="CU99" s="130"/>
      <c r="CV99" s="130"/>
      <c r="CW99" s="130"/>
      <c r="CX99" s="130"/>
      <c r="CY99" s="130"/>
      <c r="CZ99" s="130"/>
      <c r="DA99" s="130"/>
      <c r="DB99" s="130"/>
      <c r="DC99" s="130"/>
      <c r="DD99" s="130"/>
      <c r="DE99" s="130"/>
      <c r="DF99" s="130"/>
      <c r="DG99" s="130"/>
      <c r="DH99" s="130"/>
      <c r="DI99" s="130"/>
      <c r="DJ99" s="130"/>
      <c r="DK99" s="130"/>
      <c r="DL99" s="130"/>
      <c r="DM99" s="130"/>
      <c r="DN99" s="130"/>
      <c r="DO99" s="130"/>
      <c r="DP99" s="130"/>
      <c r="DQ99" s="130"/>
      <c r="DR99" s="130"/>
      <c r="DS99" s="130"/>
      <c r="DT99" s="130"/>
      <c r="DU99" s="130"/>
      <c r="DV99" s="130"/>
      <c r="DW99" s="130"/>
      <c r="DX99" s="130"/>
      <c r="DY99" s="130"/>
      <c r="DZ99" s="130"/>
      <c r="EA99" s="130"/>
      <c r="EB99" s="130"/>
      <c r="EC99" s="130"/>
      <c r="ED99" s="130"/>
      <c r="EE99" s="130"/>
      <c r="EF99" s="130"/>
      <c r="EG99" s="130"/>
      <c r="EH99" s="130"/>
      <c r="EI99" s="130"/>
      <c r="EJ99" s="130"/>
      <c r="EK99" s="130"/>
      <c r="EL99" s="130"/>
      <c r="EM99" s="130"/>
      <c r="EN99" s="130"/>
      <c r="EO99" s="130"/>
      <c r="EP99" s="130"/>
      <c r="EQ99" s="130"/>
      <c r="ER99" s="130"/>
      <c r="ES99" s="130"/>
      <c r="ET99" s="130"/>
      <c r="EU99" s="130"/>
      <c r="EV99" s="130"/>
      <c r="EW99" s="130"/>
      <c r="EX99" s="130"/>
      <c r="EY99" s="130"/>
      <c r="EZ99" s="130"/>
      <c r="FA99" s="130"/>
      <c r="FB99" s="130"/>
      <c r="FC99" s="130"/>
      <c r="FD99" s="130"/>
      <c r="FE99" s="130"/>
      <c r="FF99" s="130"/>
      <c r="FG99" s="130"/>
      <c r="FH99" s="130"/>
      <c r="FI99" s="130"/>
      <c r="FJ99" s="130"/>
      <c r="FK99" s="130"/>
      <c r="FL99" s="130"/>
      <c r="FM99" s="130"/>
      <c r="FN99" s="130"/>
      <c r="FO99" s="130"/>
      <c r="FP99" s="130"/>
      <c r="FQ99" s="130"/>
      <c r="FR99" s="130"/>
      <c r="FS99" s="130"/>
      <c r="FT99" s="130"/>
      <c r="FU99" s="130"/>
      <c r="FV99" s="130"/>
      <c r="FW99" s="130"/>
      <c r="FX99" s="130"/>
      <c r="FY99" s="130"/>
      <c r="FZ99" s="130"/>
      <c r="GA99" s="130"/>
      <c r="GB99" s="130"/>
      <c r="GC99" s="130"/>
      <c r="GD99" s="130"/>
      <c r="GE99" s="130"/>
      <c r="GF99" s="130"/>
      <c r="GG99" s="130"/>
      <c r="GH99" s="130"/>
      <c r="GI99" s="130"/>
      <c r="GJ99" s="130"/>
      <c r="GK99" s="130"/>
      <c r="GL99" s="130"/>
      <c r="GM99" s="130"/>
      <c r="GN99" s="130"/>
      <c r="GO99" s="130"/>
      <c r="GP99" s="130"/>
      <c r="GQ99" s="130"/>
      <c r="GR99" s="130"/>
      <c r="GS99" s="130"/>
      <c r="GT99" s="130"/>
      <c r="GU99" s="130"/>
      <c r="GV99" s="130"/>
      <c r="GW99" s="130"/>
      <c r="GX99" s="130"/>
      <c r="GY99" s="130"/>
      <c r="GZ99" s="130"/>
      <c r="HA99" s="130"/>
      <c r="HB99" s="130"/>
      <c r="HC99" s="130"/>
      <c r="HD99" s="130"/>
      <c r="HE99" s="130"/>
      <c r="HF99" s="130"/>
      <c r="HG99" s="130"/>
      <c r="HH99" s="130"/>
      <c r="HI99" s="130"/>
      <c r="HJ99" s="130"/>
      <c r="HK99" s="130"/>
      <c r="HL99" s="130"/>
      <c r="HM99" s="130"/>
      <c r="HN99" s="130"/>
      <c r="HO99" s="130"/>
      <c r="HP99" s="130"/>
      <c r="HQ99" s="130"/>
      <c r="HR99" s="130"/>
      <c r="HS99" s="130"/>
      <c r="HT99" s="130"/>
      <c r="HU99" s="130"/>
      <c r="HV99" s="130"/>
      <c r="HW99" s="130"/>
      <c r="HX99" s="130"/>
      <c r="HY99" s="130"/>
      <c r="HZ99" s="130"/>
      <c r="IA99" s="130"/>
      <c r="IB99" s="130"/>
      <c r="IC99" s="130"/>
      <c r="ID99" s="130"/>
      <c r="IE99" s="130"/>
      <c r="IF99" s="130"/>
      <c r="IG99" s="130"/>
      <c r="IH99" s="130"/>
      <c r="II99" s="130"/>
      <c r="IJ99" s="130"/>
      <c r="IK99" s="130"/>
      <c r="IL99" s="130"/>
      <c r="IM99" s="130"/>
      <c r="IN99" s="130"/>
      <c r="IO99" s="130"/>
      <c r="IP99" s="130"/>
      <c r="IQ99" s="130"/>
      <c r="IR99" s="130"/>
      <c r="IS99" s="130"/>
      <c r="IT99" s="130"/>
      <c r="IU99" s="130"/>
      <c r="IV99" s="130"/>
      <c r="IW99" s="130"/>
    </row>
    <row r="113" customFormat="false" ht="12.75" hidden="false" customHeight="false" outlineLevel="0" collapsed="false">
      <c r="A113" s="1269"/>
      <c r="B113" s="1246"/>
      <c r="C113" s="1246"/>
      <c r="D113" s="1246"/>
      <c r="E113" s="1246"/>
      <c r="F113" s="1246"/>
      <c r="G113" s="1246"/>
      <c r="H113" s="1246"/>
      <c r="I113" s="1246"/>
      <c r="J113" s="1246"/>
      <c r="K113" s="1246"/>
      <c r="L113" s="1246"/>
      <c r="M113" s="1246"/>
      <c r="N113" s="1246"/>
      <c r="O113" s="1246"/>
      <c r="P113" s="1246"/>
      <c r="Q113" s="1246"/>
      <c r="R113" s="1246"/>
      <c r="S113" s="1246"/>
      <c r="T113" s="1246"/>
      <c r="U113" s="1246"/>
      <c r="V113" s="1246"/>
      <c r="W113" s="1246"/>
      <c r="X113" s="1246"/>
      <c r="Y113" s="1246"/>
      <c r="Z113" s="1246"/>
      <c r="AA113" s="1246"/>
      <c r="AB113" s="1246"/>
      <c r="AC113" s="1246"/>
      <c r="AD113" s="1246"/>
      <c r="AE113" s="1246"/>
      <c r="AF113" s="1246"/>
      <c r="AG113" s="1246"/>
      <c r="AH113" s="1246"/>
      <c r="AI113" s="1246"/>
      <c r="AJ113" s="1246"/>
      <c r="AK113" s="1246"/>
      <c r="AL113" s="1246"/>
      <c r="AM113" s="1246"/>
      <c r="AN113" s="1246"/>
      <c r="AO113" s="1246"/>
      <c r="AP113" s="1246"/>
      <c r="AQ113" s="1246"/>
      <c r="AR113" s="1246"/>
      <c r="AS113" s="1246"/>
      <c r="AT113" s="1246"/>
      <c r="AU113" s="1246"/>
      <c r="AV113" s="1246"/>
      <c r="AW113" s="1246"/>
      <c r="AX113" s="1246"/>
      <c r="AY113" s="1246"/>
      <c r="AZ113" s="1246"/>
      <c r="BA113" s="1246"/>
      <c r="BB113" s="1246"/>
      <c r="BC113" s="1246"/>
      <c r="BD113" s="1246"/>
      <c r="BE113" s="1246"/>
      <c r="BF113" s="1246"/>
      <c r="BG113" s="1246"/>
      <c r="BH113" s="1246"/>
      <c r="BI113" s="1246"/>
      <c r="BJ113" s="1246"/>
      <c r="BK113" s="1246"/>
      <c r="BL113" s="1246"/>
      <c r="BM113" s="1246"/>
      <c r="BN113" s="1246"/>
      <c r="BO113" s="1246"/>
      <c r="BP113" s="1246"/>
      <c r="BQ113" s="1246"/>
      <c r="BR113" s="1246"/>
      <c r="BS113" s="1246"/>
      <c r="BT113" s="1246"/>
      <c r="BU113" s="1246"/>
      <c r="BV113" s="1246"/>
      <c r="BW113" s="1246"/>
      <c r="BX113" s="1246"/>
      <c r="BY113" s="1246"/>
      <c r="BZ113" s="1246"/>
      <c r="CA113" s="1246"/>
      <c r="CB113" s="1246"/>
      <c r="CC113" s="1246"/>
      <c r="CD113" s="1246"/>
      <c r="CE113" s="1246"/>
      <c r="CF113" s="1246"/>
      <c r="CG113" s="1246"/>
      <c r="CH113" s="1246"/>
      <c r="CI113" s="1246"/>
      <c r="CJ113" s="1246"/>
      <c r="CK113" s="1246"/>
      <c r="CL113" s="1246"/>
      <c r="CM113" s="1246"/>
      <c r="CN113" s="1246"/>
      <c r="CO113" s="1246"/>
      <c r="CP113" s="1246"/>
      <c r="CQ113" s="1246"/>
      <c r="CR113" s="1246"/>
      <c r="CS113" s="1246"/>
      <c r="CT113" s="1246"/>
      <c r="CU113" s="1246"/>
      <c r="CV113" s="1246"/>
      <c r="CW113" s="1246"/>
      <c r="CX113" s="1246"/>
      <c r="CY113" s="1246"/>
      <c r="CZ113" s="1246"/>
      <c r="DA113" s="1246"/>
      <c r="DB113" s="1246"/>
      <c r="DC113" s="1246"/>
      <c r="DD113" s="1246"/>
      <c r="DE113" s="1246"/>
      <c r="DF113" s="1246"/>
      <c r="DG113" s="1246"/>
      <c r="DH113" s="1246"/>
      <c r="DI113" s="1246"/>
      <c r="DJ113" s="1246"/>
      <c r="DK113" s="1246"/>
      <c r="DL113" s="1246"/>
      <c r="DM113" s="1246"/>
      <c r="DN113" s="1246"/>
      <c r="DO113" s="1246"/>
      <c r="DP113" s="1246"/>
      <c r="DQ113" s="1246"/>
      <c r="DR113" s="1246"/>
      <c r="DS113" s="1246"/>
      <c r="DT113" s="1246"/>
      <c r="DU113" s="1246"/>
      <c r="DV113" s="1246"/>
      <c r="DW113" s="1246"/>
      <c r="DX113" s="1246"/>
      <c r="DY113" s="1246"/>
      <c r="DZ113" s="1246"/>
      <c r="EA113" s="1246"/>
      <c r="EB113" s="1246"/>
      <c r="EC113" s="1246"/>
      <c r="ED113" s="1246"/>
      <c r="EE113" s="1246"/>
      <c r="EF113" s="1246"/>
      <c r="EG113" s="1246"/>
      <c r="EH113" s="1246"/>
      <c r="EI113" s="1246"/>
      <c r="EJ113" s="1246"/>
      <c r="EK113" s="1246"/>
      <c r="EL113" s="1246"/>
      <c r="EM113" s="1246"/>
      <c r="EN113" s="1246"/>
      <c r="EO113" s="21"/>
      <c r="EP113" s="21"/>
      <c r="EQ113" s="21"/>
      <c r="ER113" s="21"/>
      <c r="ES113" s="21"/>
      <c r="ET113" s="21"/>
      <c r="EU113" s="21"/>
      <c r="EV113" s="21"/>
      <c r="EW113" s="21"/>
      <c r="EX113" s="21"/>
      <c r="EY113" s="21"/>
      <c r="EZ113" s="21"/>
      <c r="FA113" s="21"/>
      <c r="FB113" s="21"/>
      <c r="FC113" s="21"/>
      <c r="FD113" s="21"/>
      <c r="FE113" s="21"/>
      <c r="FF113" s="21"/>
      <c r="FG113" s="21"/>
      <c r="FH113" s="21"/>
      <c r="FI113" s="21"/>
      <c r="FJ113" s="21"/>
      <c r="FK113" s="21"/>
      <c r="FL113" s="21"/>
      <c r="FM113" s="21"/>
      <c r="FN113" s="21"/>
      <c r="FO113" s="21"/>
      <c r="FP113" s="21"/>
      <c r="FQ113" s="21"/>
      <c r="FR113" s="21"/>
      <c r="FS113" s="21"/>
      <c r="FT113" s="21"/>
      <c r="FU113" s="21"/>
      <c r="FV113" s="21"/>
      <c r="FW113" s="21"/>
      <c r="FX113" s="21"/>
      <c r="FY113" s="21"/>
      <c r="FZ113" s="21"/>
      <c r="GA113" s="21"/>
      <c r="GB113" s="21"/>
      <c r="GC113" s="21"/>
      <c r="GD113" s="21"/>
      <c r="GE113" s="21"/>
      <c r="GF113" s="21"/>
      <c r="GG113" s="21"/>
      <c r="GH113" s="21"/>
      <c r="GI113" s="21"/>
      <c r="GJ113" s="21"/>
      <c r="GK113" s="21"/>
      <c r="GL113" s="21"/>
      <c r="GM113" s="21"/>
      <c r="GN113" s="21"/>
      <c r="GO113" s="21"/>
      <c r="GP113" s="21"/>
      <c r="GQ113" s="21"/>
      <c r="GR113" s="21"/>
      <c r="GS113" s="21"/>
      <c r="GT113" s="21"/>
      <c r="GU113" s="21"/>
      <c r="GV113" s="21"/>
      <c r="GW113" s="21"/>
      <c r="GX113" s="21"/>
      <c r="GY113" s="21"/>
      <c r="GZ113" s="21"/>
      <c r="HA113" s="21"/>
      <c r="HB113" s="21"/>
      <c r="HC113" s="21"/>
      <c r="HD113" s="21"/>
      <c r="HE113" s="21"/>
      <c r="HF113" s="21"/>
      <c r="HG113" s="21"/>
      <c r="HH113" s="21"/>
      <c r="HI113" s="21"/>
      <c r="HJ113" s="21"/>
      <c r="HK113" s="21"/>
      <c r="HL113" s="21"/>
      <c r="HM113" s="21"/>
      <c r="HN113" s="21"/>
      <c r="HO113" s="21"/>
      <c r="HP113" s="21"/>
      <c r="HQ113" s="21"/>
      <c r="HR113" s="21"/>
      <c r="HS113" s="21"/>
      <c r="HT113" s="21"/>
      <c r="HU113" s="21"/>
      <c r="HV113" s="21"/>
      <c r="HW113" s="21"/>
      <c r="HX113" s="21"/>
      <c r="HY113" s="21"/>
      <c r="HZ113" s="21"/>
      <c r="IA113" s="21"/>
      <c r="IB113" s="21"/>
      <c r="IC113" s="21"/>
      <c r="ID113" s="21"/>
      <c r="IE113" s="21"/>
      <c r="IF113" s="21"/>
      <c r="IG113" s="21"/>
      <c r="IH113" s="21"/>
      <c r="II113" s="21"/>
      <c r="IJ113" s="21"/>
      <c r="IK113" s="21"/>
      <c r="IL113" s="21"/>
      <c r="IM113" s="21"/>
      <c r="IN113" s="21"/>
      <c r="IO113" s="21"/>
      <c r="IP113" s="21"/>
      <c r="IQ113" s="21"/>
      <c r="IR113" s="21"/>
      <c r="IS113" s="21"/>
      <c r="IT113" s="21"/>
      <c r="IU113" s="21"/>
      <c r="IV113" s="21"/>
      <c r="IW113" s="21"/>
    </row>
    <row r="114" customFormat="false" ht="12.75" hidden="false" customHeight="false" outlineLevel="0" collapsed="false">
      <c r="A114" s="1269"/>
      <c r="B114" s="1246"/>
      <c r="C114" s="1246"/>
      <c r="D114" s="1246"/>
      <c r="E114" s="1246"/>
      <c r="F114" s="1246"/>
      <c r="G114" s="1246"/>
      <c r="H114" s="1246"/>
      <c r="I114" s="1246"/>
      <c r="J114" s="1246"/>
      <c r="K114" s="1246"/>
      <c r="L114" s="1246"/>
      <c r="M114" s="1246"/>
      <c r="N114" s="1246"/>
      <c r="O114" s="1246"/>
      <c r="P114" s="1246"/>
      <c r="Q114" s="1246"/>
      <c r="R114" s="1246"/>
      <c r="S114" s="1246"/>
      <c r="T114" s="1246"/>
      <c r="U114" s="1246"/>
      <c r="V114" s="1246"/>
      <c r="W114" s="1246"/>
      <c r="X114" s="1246"/>
      <c r="Y114" s="1246"/>
      <c r="Z114" s="1246"/>
      <c r="AA114" s="1246"/>
      <c r="AB114" s="1246"/>
      <c r="AC114" s="1246"/>
      <c r="AD114" s="1246"/>
      <c r="AE114" s="1246"/>
      <c r="AF114" s="1246"/>
      <c r="AG114" s="1246"/>
      <c r="AH114" s="1246"/>
      <c r="AI114" s="1246"/>
      <c r="AJ114" s="1246"/>
      <c r="AK114" s="1246"/>
      <c r="AL114" s="1246"/>
      <c r="AM114" s="1246"/>
      <c r="AN114" s="1246"/>
      <c r="AO114" s="1246"/>
      <c r="AP114" s="1246"/>
      <c r="AQ114" s="1246"/>
      <c r="AR114" s="1246"/>
      <c r="AS114" s="1246"/>
      <c r="AT114" s="1246"/>
      <c r="AU114" s="1246"/>
      <c r="AV114" s="1246"/>
      <c r="AW114" s="1246"/>
      <c r="AX114" s="1246"/>
      <c r="AY114" s="1246"/>
      <c r="AZ114" s="1246"/>
      <c r="BA114" s="1246"/>
      <c r="BB114" s="1246"/>
      <c r="BC114" s="1246"/>
      <c r="BD114" s="1246"/>
      <c r="BE114" s="1246"/>
      <c r="BF114" s="1246"/>
      <c r="BG114" s="1246"/>
      <c r="BH114" s="1246"/>
      <c r="BI114" s="1246"/>
      <c r="BJ114" s="1246"/>
      <c r="BK114" s="1246"/>
      <c r="BL114" s="1246"/>
      <c r="BM114" s="1246"/>
      <c r="BN114" s="1246"/>
      <c r="BO114" s="1246"/>
      <c r="BP114" s="1246"/>
      <c r="BQ114" s="1246"/>
      <c r="BR114" s="1246"/>
      <c r="BS114" s="1246"/>
      <c r="BT114" s="1246"/>
      <c r="BU114" s="1246"/>
      <c r="BV114" s="1246"/>
      <c r="BW114" s="1246"/>
      <c r="BX114" s="1246"/>
      <c r="BY114" s="1246"/>
      <c r="BZ114" s="1246"/>
      <c r="CA114" s="1246"/>
      <c r="CB114" s="1246"/>
      <c r="CC114" s="1246"/>
      <c r="CD114" s="1246"/>
      <c r="CE114" s="1246"/>
      <c r="CF114" s="1246"/>
      <c r="CG114" s="1246"/>
      <c r="CH114" s="1246"/>
      <c r="CI114" s="1246"/>
      <c r="CJ114" s="1246"/>
      <c r="CK114" s="1246"/>
      <c r="CL114" s="1246"/>
      <c r="CM114" s="1246"/>
      <c r="CN114" s="1246"/>
      <c r="CO114" s="1246"/>
      <c r="CP114" s="1246"/>
      <c r="CQ114" s="1246"/>
      <c r="CR114" s="1246"/>
      <c r="CS114" s="1246"/>
      <c r="CT114" s="1246"/>
      <c r="CU114" s="1246"/>
      <c r="CV114" s="1246"/>
      <c r="CW114" s="1246"/>
      <c r="CX114" s="1246"/>
      <c r="CY114" s="1246"/>
      <c r="CZ114" s="1246"/>
      <c r="DA114" s="1246"/>
      <c r="DB114" s="1246"/>
      <c r="DC114" s="1246"/>
      <c r="DD114" s="1246"/>
      <c r="DE114" s="1246"/>
      <c r="DF114" s="1246"/>
      <c r="DG114" s="1246"/>
      <c r="DH114" s="1246"/>
      <c r="DI114" s="1246"/>
      <c r="DJ114" s="1246"/>
      <c r="DK114" s="1246"/>
      <c r="DL114" s="1246"/>
      <c r="DM114" s="1246"/>
      <c r="DN114" s="1246"/>
      <c r="DO114" s="1246"/>
      <c r="DP114" s="1246"/>
      <c r="DQ114" s="1246"/>
      <c r="DR114" s="1246"/>
      <c r="DS114" s="1246"/>
      <c r="DT114" s="1246"/>
      <c r="DU114" s="1246"/>
      <c r="DV114" s="1246"/>
      <c r="DW114" s="1246"/>
      <c r="DX114" s="1246"/>
      <c r="DY114" s="1246"/>
      <c r="DZ114" s="1246"/>
      <c r="EA114" s="1246"/>
      <c r="EB114" s="1246"/>
      <c r="EC114" s="1246"/>
      <c r="ED114" s="1246"/>
      <c r="EE114" s="1246"/>
      <c r="EF114" s="1246"/>
      <c r="EG114" s="1246"/>
      <c r="EH114" s="1246"/>
      <c r="EI114" s="1246"/>
      <c r="EJ114" s="1246"/>
      <c r="EK114" s="1246"/>
      <c r="EL114" s="1246"/>
      <c r="EM114" s="1246"/>
      <c r="EN114" s="1246"/>
      <c r="EO114" s="21"/>
      <c r="EP114" s="21"/>
      <c r="EQ114" s="21"/>
      <c r="ER114" s="21"/>
      <c r="ES114" s="21"/>
      <c r="ET114" s="21"/>
      <c r="EU114" s="21"/>
      <c r="EV114" s="21"/>
      <c r="EW114" s="21"/>
      <c r="EX114" s="21"/>
      <c r="EY114" s="21"/>
      <c r="EZ114" s="21"/>
      <c r="FA114" s="21"/>
      <c r="FB114" s="21"/>
      <c r="FC114" s="21"/>
      <c r="FD114" s="21"/>
      <c r="FE114" s="21"/>
      <c r="FF114" s="21"/>
      <c r="FG114" s="21"/>
      <c r="FH114" s="21"/>
      <c r="FI114" s="21"/>
      <c r="FJ114" s="21"/>
      <c r="FK114" s="21"/>
      <c r="FL114" s="21"/>
      <c r="FM114" s="21"/>
      <c r="FN114" s="21"/>
      <c r="FO114" s="21"/>
      <c r="FP114" s="21"/>
      <c r="FQ114" s="21"/>
      <c r="FR114" s="21"/>
      <c r="FS114" s="21"/>
      <c r="FT114" s="21"/>
      <c r="FU114" s="21"/>
      <c r="FV114" s="21"/>
      <c r="FW114" s="21"/>
      <c r="FX114" s="21"/>
      <c r="FY114" s="21"/>
      <c r="FZ114" s="21"/>
      <c r="GA114" s="21"/>
      <c r="GB114" s="21"/>
      <c r="GC114" s="21"/>
      <c r="GD114" s="21"/>
      <c r="GE114" s="21"/>
      <c r="GF114" s="21"/>
      <c r="GG114" s="21"/>
      <c r="GH114" s="21"/>
      <c r="GI114" s="21"/>
      <c r="GJ114" s="21"/>
      <c r="GK114" s="21"/>
      <c r="GL114" s="21"/>
      <c r="GM114" s="21"/>
      <c r="GN114" s="21"/>
      <c r="GO114" s="21"/>
      <c r="GP114" s="21"/>
      <c r="GQ114" s="21"/>
      <c r="GR114" s="21"/>
      <c r="GS114" s="21"/>
      <c r="GT114" s="21"/>
      <c r="GU114" s="21"/>
      <c r="GV114" s="21"/>
      <c r="GW114" s="21"/>
      <c r="GX114" s="21"/>
      <c r="GY114" s="21"/>
      <c r="GZ114" s="21"/>
      <c r="HA114" s="21"/>
      <c r="HB114" s="21"/>
      <c r="HC114" s="21"/>
      <c r="HD114" s="21"/>
      <c r="HE114" s="21"/>
      <c r="HF114" s="21"/>
      <c r="HG114" s="21"/>
      <c r="HH114" s="21"/>
      <c r="HI114" s="21"/>
      <c r="HJ114" s="21"/>
      <c r="HK114" s="21"/>
      <c r="HL114" s="21"/>
      <c r="HM114" s="21"/>
      <c r="HN114" s="21"/>
      <c r="HO114" s="21"/>
      <c r="HP114" s="21"/>
      <c r="HQ114" s="21"/>
      <c r="HR114" s="21"/>
      <c r="HS114" s="21"/>
      <c r="HT114" s="21"/>
      <c r="HU114" s="21"/>
      <c r="HV114" s="21"/>
      <c r="HW114" s="21"/>
      <c r="HX114" s="21"/>
      <c r="HY114" s="21"/>
      <c r="HZ114" s="21"/>
      <c r="IA114" s="21"/>
      <c r="IB114" s="21"/>
      <c r="IC114" s="21"/>
      <c r="ID114" s="21"/>
      <c r="IE114" s="21"/>
      <c r="IF114" s="21"/>
      <c r="IG114" s="21"/>
      <c r="IH114" s="21"/>
      <c r="II114" s="21"/>
      <c r="IJ114" s="21"/>
      <c r="IK114" s="21"/>
      <c r="IL114" s="21"/>
      <c r="IM114" s="21"/>
      <c r="IN114" s="21"/>
      <c r="IO114" s="21"/>
      <c r="IP114" s="21"/>
      <c r="IQ114" s="21"/>
      <c r="IR114" s="21"/>
      <c r="IS114" s="21"/>
      <c r="IT114" s="21"/>
      <c r="IU114" s="21"/>
      <c r="IV114" s="21"/>
      <c r="IW114" s="21"/>
    </row>
    <row r="115" customFormat="false" ht="12.75" hidden="false" customHeight="false" outlineLevel="0" collapsed="false">
      <c r="A115" s="1269"/>
      <c r="B115" s="1246"/>
      <c r="C115" s="1246"/>
      <c r="D115" s="1246"/>
      <c r="E115" s="1246"/>
      <c r="F115" s="1246"/>
      <c r="G115" s="1246"/>
      <c r="H115" s="1246"/>
      <c r="I115" s="1246"/>
      <c r="J115" s="1246"/>
      <c r="K115" s="1246"/>
      <c r="L115" s="1246"/>
      <c r="M115" s="1246"/>
      <c r="N115" s="1246"/>
      <c r="O115" s="1246"/>
      <c r="P115" s="1246"/>
      <c r="Q115" s="1246"/>
      <c r="R115" s="1246"/>
      <c r="S115" s="1246"/>
      <c r="T115" s="1246"/>
      <c r="U115" s="1246"/>
      <c r="V115" s="1246"/>
      <c r="W115" s="1246"/>
      <c r="X115" s="1246"/>
      <c r="Y115" s="1246"/>
      <c r="Z115" s="1246"/>
      <c r="AA115" s="1246"/>
      <c r="AB115" s="1246"/>
      <c r="AC115" s="1246"/>
      <c r="AD115" s="1246"/>
      <c r="AE115" s="1246"/>
      <c r="AF115" s="1246"/>
      <c r="AG115" s="1246"/>
      <c r="AH115" s="1246"/>
      <c r="AI115" s="1246"/>
      <c r="AJ115" s="1246"/>
      <c r="AK115" s="1246"/>
      <c r="AL115" s="1246"/>
      <c r="AM115" s="1246"/>
      <c r="AN115" s="1246"/>
      <c r="AO115" s="1246"/>
      <c r="AP115" s="1246"/>
      <c r="AQ115" s="1246"/>
      <c r="AR115" s="1246"/>
      <c r="AS115" s="1246"/>
      <c r="AT115" s="1246"/>
      <c r="AU115" s="1246"/>
      <c r="AV115" s="1246"/>
      <c r="AW115" s="1246"/>
      <c r="AX115" s="1246"/>
      <c r="AY115" s="1246"/>
      <c r="AZ115" s="1246"/>
      <c r="BA115" s="1246"/>
      <c r="BB115" s="1246"/>
      <c r="BC115" s="1246"/>
      <c r="BD115" s="1246"/>
      <c r="BE115" s="1246"/>
      <c r="BF115" s="1246"/>
      <c r="BG115" s="1246"/>
      <c r="BH115" s="1246"/>
      <c r="BI115" s="1246"/>
      <c r="BJ115" s="1246"/>
      <c r="BK115" s="1246"/>
      <c r="BL115" s="1246"/>
      <c r="BM115" s="1246"/>
      <c r="BN115" s="1246"/>
      <c r="BO115" s="1246"/>
      <c r="BP115" s="1246"/>
      <c r="BQ115" s="1246"/>
      <c r="BR115" s="1246"/>
      <c r="BS115" s="1246"/>
      <c r="BT115" s="1246"/>
      <c r="BU115" s="1246"/>
      <c r="BV115" s="1246"/>
      <c r="BW115" s="1246"/>
      <c r="BX115" s="1246"/>
      <c r="BY115" s="1246"/>
      <c r="BZ115" s="1246"/>
      <c r="CA115" s="1246"/>
      <c r="CB115" s="1246"/>
      <c r="CC115" s="1246"/>
      <c r="CD115" s="1246"/>
      <c r="CE115" s="1246"/>
      <c r="CF115" s="1246"/>
      <c r="CG115" s="1246"/>
      <c r="CH115" s="1246"/>
      <c r="CI115" s="1246"/>
      <c r="CJ115" s="1246"/>
      <c r="CK115" s="1246"/>
      <c r="CL115" s="1246"/>
      <c r="CM115" s="1246"/>
      <c r="CN115" s="1246"/>
      <c r="CO115" s="1246"/>
      <c r="CP115" s="1246"/>
      <c r="CQ115" s="1246"/>
      <c r="CR115" s="1246"/>
      <c r="CS115" s="1246"/>
      <c r="CT115" s="1246"/>
      <c r="CU115" s="1246"/>
      <c r="CV115" s="1246"/>
      <c r="CW115" s="1246"/>
      <c r="CX115" s="1246"/>
      <c r="CY115" s="1246"/>
      <c r="CZ115" s="1246"/>
      <c r="DA115" s="1246"/>
      <c r="DB115" s="1246"/>
      <c r="DC115" s="1246"/>
      <c r="DD115" s="1246"/>
      <c r="DE115" s="1246"/>
      <c r="DF115" s="1246"/>
      <c r="DG115" s="1246"/>
      <c r="DH115" s="1246"/>
      <c r="DI115" s="1246"/>
      <c r="DJ115" s="1246"/>
      <c r="DK115" s="1246"/>
      <c r="DL115" s="1246"/>
      <c r="DM115" s="1246"/>
      <c r="DN115" s="1246"/>
      <c r="DO115" s="1246"/>
      <c r="DP115" s="1246"/>
      <c r="DQ115" s="1246"/>
      <c r="DR115" s="1246"/>
      <c r="DS115" s="1246"/>
      <c r="DT115" s="1246"/>
      <c r="DU115" s="1246"/>
      <c r="DV115" s="1246"/>
      <c r="DW115" s="1246"/>
      <c r="DX115" s="1246"/>
      <c r="DY115" s="1246"/>
      <c r="DZ115" s="1246"/>
      <c r="EA115" s="1246"/>
      <c r="EB115" s="1246"/>
      <c r="EC115" s="1246"/>
      <c r="ED115" s="1246"/>
      <c r="EE115" s="1246"/>
      <c r="EF115" s="1246"/>
      <c r="EG115" s="1246"/>
      <c r="EH115" s="1246"/>
      <c r="EI115" s="1246"/>
      <c r="EJ115" s="1246"/>
      <c r="EK115" s="1246"/>
      <c r="EL115" s="1246"/>
      <c r="EM115" s="1246"/>
      <c r="EN115" s="1246"/>
      <c r="EO115" s="21"/>
      <c r="EP115" s="21"/>
      <c r="EQ115" s="21"/>
      <c r="ER115" s="21"/>
      <c r="ES115" s="21"/>
      <c r="ET115" s="21"/>
      <c r="EU115" s="21"/>
      <c r="EV115" s="21"/>
      <c r="EW115" s="21"/>
      <c r="EX115" s="21"/>
      <c r="EY115" s="21"/>
      <c r="EZ115" s="21"/>
      <c r="FA115" s="21"/>
      <c r="FB115" s="21"/>
      <c r="FC115" s="21"/>
      <c r="FD115" s="21"/>
      <c r="FE115" s="21"/>
      <c r="FF115" s="21"/>
      <c r="FG115" s="21"/>
      <c r="FH115" s="21"/>
      <c r="FI115" s="21"/>
      <c r="FJ115" s="21"/>
      <c r="FK115" s="21"/>
      <c r="FL115" s="21"/>
      <c r="FM115" s="21"/>
      <c r="FN115" s="21"/>
      <c r="FO115" s="21"/>
      <c r="FP115" s="21"/>
      <c r="FQ115" s="21"/>
      <c r="FR115" s="21"/>
      <c r="FS115" s="21"/>
      <c r="FT115" s="21"/>
      <c r="FU115" s="21"/>
      <c r="FV115" s="21"/>
      <c r="FW115" s="21"/>
      <c r="FX115" s="21"/>
      <c r="FY115" s="21"/>
      <c r="FZ115" s="21"/>
      <c r="GA115" s="21"/>
      <c r="GB115" s="21"/>
      <c r="GC115" s="21"/>
      <c r="GD115" s="21"/>
      <c r="GE115" s="21"/>
      <c r="GF115" s="21"/>
      <c r="GG115" s="21"/>
      <c r="GH115" s="21"/>
      <c r="GI115" s="21"/>
      <c r="GJ115" s="21"/>
      <c r="GK115" s="21"/>
      <c r="GL115" s="21"/>
      <c r="GM115" s="21"/>
      <c r="GN115" s="21"/>
      <c r="GO115" s="21"/>
      <c r="GP115" s="21"/>
      <c r="GQ115" s="21"/>
      <c r="GR115" s="21"/>
      <c r="GS115" s="21"/>
      <c r="GT115" s="21"/>
      <c r="GU115" s="21"/>
      <c r="GV115" s="21"/>
      <c r="GW115" s="21"/>
      <c r="GX115" s="21"/>
      <c r="GY115" s="21"/>
      <c r="GZ115" s="21"/>
      <c r="HA115" s="21"/>
      <c r="HB115" s="21"/>
      <c r="HC115" s="21"/>
      <c r="HD115" s="21"/>
      <c r="HE115" s="21"/>
      <c r="HF115" s="21"/>
      <c r="HG115" s="21"/>
      <c r="HH115" s="21"/>
      <c r="HI115" s="21"/>
      <c r="HJ115" s="21"/>
      <c r="HK115" s="21"/>
      <c r="HL115" s="21"/>
      <c r="HM115" s="21"/>
      <c r="HN115" s="21"/>
      <c r="HO115" s="21"/>
      <c r="HP115" s="21"/>
      <c r="HQ115" s="21"/>
      <c r="HR115" s="21"/>
      <c r="HS115" s="21"/>
      <c r="HT115" s="21"/>
      <c r="HU115" s="21"/>
      <c r="HV115" s="21"/>
      <c r="HW115" s="21"/>
      <c r="HX115" s="21"/>
      <c r="HY115" s="21"/>
      <c r="HZ115" s="21"/>
      <c r="IA115" s="21"/>
      <c r="IB115" s="21"/>
      <c r="IC115" s="21"/>
      <c r="ID115" s="21"/>
      <c r="IE115" s="21"/>
      <c r="IF115" s="21"/>
      <c r="IG115" s="21"/>
      <c r="IH115" s="21"/>
      <c r="II115" s="21"/>
      <c r="IJ115" s="21"/>
      <c r="IK115" s="21"/>
      <c r="IL115" s="21"/>
      <c r="IM115" s="21"/>
      <c r="IN115" s="21"/>
      <c r="IO115" s="21"/>
      <c r="IP115" s="21"/>
      <c r="IQ115" s="21"/>
      <c r="IR115" s="21"/>
      <c r="IS115" s="21"/>
      <c r="IT115" s="21"/>
      <c r="IU115" s="21"/>
      <c r="IV115" s="21"/>
      <c r="IW115" s="21"/>
    </row>
    <row r="116" customFormat="false" ht="12.75" hidden="false" customHeight="false" outlineLevel="0" collapsed="false">
      <c r="A116" s="1269"/>
      <c r="B116" s="1246"/>
      <c r="C116" s="1246"/>
      <c r="D116" s="1246"/>
      <c r="E116" s="1246"/>
      <c r="F116" s="1246"/>
      <c r="G116" s="1246"/>
      <c r="H116" s="1246"/>
      <c r="I116" s="1246"/>
      <c r="J116" s="1246"/>
      <c r="K116" s="1246"/>
      <c r="L116" s="1246"/>
      <c r="M116" s="1246"/>
      <c r="N116" s="1246"/>
      <c r="O116" s="1246"/>
      <c r="P116" s="1246"/>
      <c r="Q116" s="1246"/>
      <c r="R116" s="1246"/>
      <c r="S116" s="1246"/>
      <c r="T116" s="1246"/>
      <c r="U116" s="1246"/>
      <c r="V116" s="1246"/>
      <c r="W116" s="1246"/>
      <c r="X116" s="1246"/>
      <c r="Y116" s="1246"/>
      <c r="Z116" s="1246"/>
      <c r="AA116" s="1246"/>
      <c r="AB116" s="1246"/>
      <c r="AC116" s="1246"/>
      <c r="AD116" s="1246"/>
      <c r="AE116" s="1246"/>
      <c r="AF116" s="1246"/>
      <c r="AG116" s="1246"/>
      <c r="AH116" s="1246"/>
      <c r="AI116" s="1246"/>
      <c r="AJ116" s="1246"/>
      <c r="AK116" s="1246"/>
      <c r="AL116" s="1246"/>
      <c r="AM116" s="1246"/>
      <c r="AN116" s="1246"/>
      <c r="AO116" s="1246"/>
      <c r="AP116" s="1246"/>
      <c r="AQ116" s="1246"/>
      <c r="AR116" s="1246"/>
      <c r="AS116" s="1246"/>
      <c r="AT116" s="1246"/>
      <c r="AU116" s="1246"/>
      <c r="AV116" s="1246"/>
      <c r="AW116" s="1246"/>
      <c r="AX116" s="1246"/>
      <c r="AY116" s="1246"/>
      <c r="AZ116" s="1246"/>
      <c r="BA116" s="1246"/>
      <c r="BB116" s="1246"/>
      <c r="BC116" s="1246"/>
      <c r="BD116" s="1246"/>
      <c r="BE116" s="1246"/>
      <c r="BF116" s="1246"/>
      <c r="BG116" s="1246"/>
      <c r="BH116" s="1246"/>
      <c r="BI116" s="1246"/>
      <c r="BJ116" s="1246"/>
      <c r="BK116" s="1246"/>
      <c r="BL116" s="1246"/>
      <c r="BM116" s="1246"/>
      <c r="BN116" s="1246"/>
      <c r="BO116" s="1246"/>
      <c r="BP116" s="1246"/>
      <c r="BQ116" s="1246"/>
      <c r="BR116" s="1246"/>
      <c r="BS116" s="1246"/>
      <c r="BT116" s="1246"/>
      <c r="BU116" s="1246"/>
      <c r="BV116" s="1246"/>
      <c r="BW116" s="1246"/>
      <c r="BX116" s="1246"/>
      <c r="BY116" s="1246"/>
      <c r="BZ116" s="1246"/>
      <c r="CA116" s="1246"/>
      <c r="CB116" s="1246"/>
      <c r="CC116" s="1246"/>
      <c r="CD116" s="1246"/>
      <c r="CE116" s="1246"/>
      <c r="CF116" s="1246"/>
      <c r="CG116" s="1246"/>
      <c r="CH116" s="1246"/>
      <c r="CI116" s="1246"/>
      <c r="CJ116" s="1246"/>
      <c r="CK116" s="1246"/>
      <c r="CL116" s="1246"/>
      <c r="CM116" s="1246"/>
      <c r="CN116" s="1246"/>
      <c r="CO116" s="1246"/>
      <c r="CP116" s="1246"/>
      <c r="CQ116" s="1246"/>
      <c r="CR116" s="1246"/>
      <c r="CS116" s="1246"/>
      <c r="CT116" s="1246"/>
      <c r="CU116" s="1246"/>
      <c r="CV116" s="1246"/>
      <c r="CW116" s="1246"/>
      <c r="CX116" s="1246"/>
      <c r="CY116" s="1246"/>
      <c r="CZ116" s="1246"/>
      <c r="DA116" s="1246"/>
      <c r="DB116" s="1246"/>
      <c r="DC116" s="1246"/>
      <c r="DD116" s="1246"/>
      <c r="DE116" s="1246"/>
      <c r="DF116" s="1246"/>
      <c r="DG116" s="1246"/>
      <c r="DH116" s="1246"/>
      <c r="DI116" s="1246"/>
      <c r="DJ116" s="1246"/>
      <c r="DK116" s="1246"/>
      <c r="DL116" s="1246"/>
      <c r="DM116" s="1246"/>
      <c r="DN116" s="1246"/>
      <c r="DO116" s="1246"/>
      <c r="DP116" s="1246"/>
      <c r="DQ116" s="1246"/>
      <c r="DR116" s="1246"/>
      <c r="DS116" s="1246"/>
      <c r="DT116" s="1246"/>
      <c r="DU116" s="1246"/>
      <c r="DV116" s="1246"/>
      <c r="DW116" s="1246"/>
      <c r="DX116" s="1246"/>
      <c r="DY116" s="1246"/>
      <c r="DZ116" s="1246"/>
      <c r="EA116" s="1246"/>
      <c r="EB116" s="1246"/>
      <c r="EC116" s="1246"/>
      <c r="ED116" s="1246"/>
      <c r="EE116" s="1246"/>
      <c r="EF116" s="1246"/>
      <c r="EG116" s="1246"/>
      <c r="EH116" s="1246"/>
      <c r="EI116" s="1246"/>
      <c r="EJ116" s="1246"/>
      <c r="EK116" s="1246"/>
      <c r="EL116" s="1246"/>
      <c r="EM116" s="1246"/>
      <c r="EN116" s="1246"/>
      <c r="EO116" s="21"/>
      <c r="EP116" s="21"/>
      <c r="EQ116" s="21"/>
      <c r="ER116" s="21"/>
      <c r="ES116" s="21"/>
      <c r="ET116" s="21"/>
      <c r="EU116" s="21"/>
      <c r="EV116" s="21"/>
      <c r="EW116" s="21"/>
      <c r="EX116" s="21"/>
      <c r="EY116" s="21"/>
      <c r="EZ116" s="21"/>
      <c r="FA116" s="21"/>
      <c r="FB116" s="21"/>
      <c r="FC116" s="21"/>
      <c r="FD116" s="21"/>
      <c r="FE116" s="21"/>
      <c r="FF116" s="21"/>
      <c r="FG116" s="21"/>
      <c r="FH116" s="21"/>
      <c r="FI116" s="21"/>
      <c r="FJ116" s="21"/>
      <c r="FK116" s="21"/>
      <c r="FL116" s="21"/>
      <c r="FM116" s="21"/>
      <c r="FN116" s="21"/>
      <c r="FO116" s="21"/>
      <c r="FP116" s="21"/>
      <c r="FQ116" s="21"/>
      <c r="FR116" s="21"/>
      <c r="FS116" s="21"/>
      <c r="FT116" s="21"/>
      <c r="FU116" s="21"/>
      <c r="FV116" s="21"/>
      <c r="FW116" s="21"/>
      <c r="FX116" s="21"/>
      <c r="FY116" s="21"/>
      <c r="FZ116" s="21"/>
      <c r="GA116" s="21"/>
      <c r="GB116" s="21"/>
      <c r="GC116" s="21"/>
      <c r="GD116" s="21"/>
      <c r="GE116" s="21"/>
      <c r="GF116" s="21"/>
      <c r="GG116" s="21"/>
      <c r="GH116" s="21"/>
      <c r="GI116" s="21"/>
      <c r="GJ116" s="21"/>
      <c r="GK116" s="21"/>
      <c r="GL116" s="21"/>
      <c r="GM116" s="21"/>
      <c r="GN116" s="21"/>
      <c r="GO116" s="21"/>
      <c r="GP116" s="21"/>
      <c r="GQ116" s="21"/>
      <c r="GR116" s="21"/>
      <c r="GS116" s="21"/>
      <c r="GT116" s="21"/>
      <c r="GU116" s="21"/>
      <c r="GV116" s="21"/>
      <c r="GW116" s="21"/>
      <c r="GX116" s="21"/>
      <c r="GY116" s="21"/>
      <c r="GZ116" s="21"/>
      <c r="HA116" s="21"/>
      <c r="HB116" s="21"/>
      <c r="HC116" s="21"/>
      <c r="HD116" s="21"/>
      <c r="HE116" s="21"/>
      <c r="HF116" s="21"/>
      <c r="HG116" s="21"/>
      <c r="HH116" s="21"/>
      <c r="HI116" s="21"/>
      <c r="HJ116" s="21"/>
      <c r="HK116" s="21"/>
      <c r="HL116" s="21"/>
      <c r="HM116" s="21"/>
      <c r="HN116" s="21"/>
      <c r="HO116" s="21"/>
      <c r="HP116" s="21"/>
      <c r="HQ116" s="21"/>
      <c r="HR116" s="21"/>
      <c r="HS116" s="21"/>
      <c r="HT116" s="21"/>
      <c r="HU116" s="21"/>
      <c r="HV116" s="21"/>
      <c r="HW116" s="21"/>
      <c r="HX116" s="21"/>
      <c r="HY116" s="21"/>
      <c r="HZ116" s="21"/>
      <c r="IA116" s="21"/>
      <c r="IB116" s="21"/>
      <c r="IC116" s="21"/>
      <c r="ID116" s="21"/>
      <c r="IE116" s="21"/>
      <c r="IF116" s="21"/>
      <c r="IG116" s="21"/>
      <c r="IH116" s="21"/>
      <c r="II116" s="21"/>
      <c r="IJ116" s="21"/>
      <c r="IK116" s="21"/>
      <c r="IL116" s="21"/>
      <c r="IM116" s="21"/>
      <c r="IN116" s="21"/>
      <c r="IO116" s="21"/>
      <c r="IP116" s="21"/>
      <c r="IQ116" s="21"/>
      <c r="IR116" s="21"/>
      <c r="IS116" s="21"/>
      <c r="IT116" s="21"/>
      <c r="IU116" s="21"/>
      <c r="IV116" s="21"/>
      <c r="IW116" s="21"/>
    </row>
    <row r="117" customFormat="false" ht="12.75" hidden="false" customHeight="false" outlineLevel="0" collapsed="false">
      <c r="A117" s="1269"/>
      <c r="B117" s="1246"/>
      <c r="C117" s="1246"/>
      <c r="D117" s="1246"/>
      <c r="E117" s="1246"/>
      <c r="F117" s="1246"/>
      <c r="G117" s="1246"/>
      <c r="H117" s="1246"/>
      <c r="I117" s="1246"/>
      <c r="J117" s="1246"/>
      <c r="K117" s="1246"/>
      <c r="L117" s="1246"/>
      <c r="M117" s="1246"/>
      <c r="N117" s="1246"/>
      <c r="O117" s="1246"/>
      <c r="P117" s="1246"/>
      <c r="Q117" s="1246"/>
      <c r="R117" s="1246"/>
      <c r="S117" s="1246"/>
      <c r="T117" s="1246"/>
      <c r="U117" s="1246"/>
      <c r="V117" s="1246"/>
      <c r="W117" s="1246"/>
      <c r="X117" s="1246"/>
      <c r="Y117" s="1246"/>
      <c r="Z117" s="1246"/>
      <c r="AA117" s="1246"/>
      <c r="AB117" s="1246"/>
      <c r="AC117" s="1246"/>
      <c r="AD117" s="1246"/>
      <c r="AE117" s="1246"/>
      <c r="AF117" s="1246"/>
      <c r="AG117" s="1246"/>
      <c r="AH117" s="1246"/>
      <c r="AI117" s="1246"/>
      <c r="AJ117" s="1246"/>
      <c r="AK117" s="1246"/>
      <c r="AL117" s="1246"/>
      <c r="AM117" s="1246"/>
      <c r="AN117" s="1246"/>
      <c r="AO117" s="1246"/>
      <c r="AP117" s="1246"/>
      <c r="AQ117" s="1246"/>
      <c r="AR117" s="1246"/>
      <c r="AS117" s="1246"/>
      <c r="AT117" s="1246"/>
      <c r="AU117" s="1246"/>
      <c r="AV117" s="1246"/>
      <c r="AW117" s="1246"/>
      <c r="AX117" s="1246"/>
      <c r="AY117" s="1246"/>
      <c r="AZ117" s="1246"/>
      <c r="BA117" s="1246"/>
      <c r="BB117" s="1246"/>
      <c r="BC117" s="1246"/>
      <c r="BD117" s="1246"/>
      <c r="BE117" s="1246"/>
      <c r="BF117" s="1246"/>
      <c r="BG117" s="1246"/>
      <c r="BH117" s="1246"/>
      <c r="BI117" s="1246"/>
      <c r="BJ117" s="1246"/>
      <c r="BK117" s="1246"/>
      <c r="BL117" s="1246"/>
      <c r="BM117" s="1246"/>
      <c r="BN117" s="1246"/>
      <c r="BO117" s="1246"/>
      <c r="BP117" s="1246"/>
      <c r="BQ117" s="1246"/>
      <c r="BR117" s="1246"/>
      <c r="BS117" s="1246"/>
      <c r="BT117" s="1246"/>
      <c r="BU117" s="1246"/>
      <c r="BV117" s="1246"/>
      <c r="BW117" s="1246"/>
      <c r="BX117" s="1246"/>
      <c r="BY117" s="1246"/>
      <c r="BZ117" s="1246"/>
      <c r="CA117" s="1246"/>
      <c r="CB117" s="1246"/>
      <c r="CC117" s="1246"/>
      <c r="CD117" s="1246"/>
      <c r="CE117" s="1246"/>
      <c r="CF117" s="1246"/>
      <c r="CG117" s="1246"/>
      <c r="CH117" s="1246"/>
      <c r="CI117" s="1246"/>
      <c r="CJ117" s="1246"/>
      <c r="CK117" s="1246"/>
      <c r="CL117" s="1246"/>
      <c r="CM117" s="1246"/>
      <c r="CN117" s="1246"/>
      <c r="CO117" s="1246"/>
      <c r="CP117" s="1246"/>
      <c r="CQ117" s="1246"/>
      <c r="CR117" s="1246"/>
      <c r="CS117" s="1246"/>
      <c r="CT117" s="1246"/>
      <c r="CU117" s="1246"/>
      <c r="CV117" s="1246"/>
      <c r="CW117" s="1246"/>
      <c r="CX117" s="1246"/>
      <c r="CY117" s="1246"/>
      <c r="CZ117" s="1246"/>
      <c r="DA117" s="1246"/>
      <c r="DB117" s="1246"/>
      <c r="DC117" s="1246"/>
      <c r="DD117" s="1246"/>
      <c r="DE117" s="1246"/>
      <c r="DF117" s="1246"/>
      <c r="DG117" s="1246"/>
      <c r="DH117" s="1246"/>
      <c r="DI117" s="1246"/>
      <c r="DJ117" s="1246"/>
      <c r="DK117" s="1246"/>
      <c r="DL117" s="1246"/>
      <c r="DM117" s="1246"/>
      <c r="DN117" s="1246"/>
      <c r="DO117" s="1246"/>
      <c r="DP117" s="1246"/>
      <c r="DQ117" s="1246"/>
      <c r="DR117" s="1246"/>
      <c r="DS117" s="1246"/>
      <c r="DT117" s="1246"/>
      <c r="DU117" s="1246"/>
      <c r="DV117" s="1246"/>
      <c r="DW117" s="1246"/>
      <c r="DX117" s="1246"/>
      <c r="DY117" s="1246"/>
      <c r="DZ117" s="1246"/>
      <c r="EA117" s="1246"/>
      <c r="EB117" s="1246"/>
      <c r="EC117" s="1246"/>
      <c r="ED117" s="1246"/>
      <c r="EE117" s="1246"/>
      <c r="EF117" s="1246"/>
      <c r="EG117" s="1246"/>
      <c r="EH117" s="1246"/>
      <c r="EI117" s="1246"/>
      <c r="EJ117" s="1246"/>
      <c r="EK117" s="1246"/>
      <c r="EL117" s="1246"/>
      <c r="EM117" s="1246"/>
      <c r="EN117" s="1246"/>
      <c r="EO117" s="21"/>
      <c r="EP117" s="21"/>
      <c r="EQ117" s="21"/>
      <c r="ER117" s="21"/>
      <c r="ES117" s="21"/>
      <c r="ET117" s="21"/>
      <c r="EU117" s="21"/>
      <c r="EV117" s="21"/>
      <c r="EW117" s="21"/>
      <c r="EX117" s="21"/>
      <c r="EY117" s="21"/>
      <c r="EZ117" s="21"/>
      <c r="FA117" s="21"/>
      <c r="FB117" s="21"/>
      <c r="FC117" s="21"/>
      <c r="FD117" s="21"/>
      <c r="FE117" s="21"/>
      <c r="FF117" s="21"/>
      <c r="FG117" s="21"/>
      <c r="FH117" s="21"/>
      <c r="FI117" s="21"/>
      <c r="FJ117" s="21"/>
      <c r="FK117" s="21"/>
      <c r="FL117" s="21"/>
      <c r="FM117" s="21"/>
      <c r="FN117" s="21"/>
      <c r="FO117" s="21"/>
      <c r="FP117" s="21"/>
      <c r="FQ117" s="21"/>
      <c r="FR117" s="21"/>
      <c r="FS117" s="21"/>
      <c r="FT117" s="21"/>
      <c r="FU117" s="21"/>
      <c r="FV117" s="21"/>
      <c r="FW117" s="21"/>
      <c r="FX117" s="21"/>
      <c r="FY117" s="21"/>
      <c r="FZ117" s="21"/>
      <c r="GA117" s="21"/>
      <c r="GB117" s="21"/>
      <c r="GC117" s="21"/>
      <c r="GD117" s="21"/>
      <c r="GE117" s="21"/>
      <c r="GF117" s="21"/>
      <c r="GG117" s="21"/>
      <c r="GH117" s="21"/>
      <c r="GI117" s="21"/>
      <c r="GJ117" s="21"/>
      <c r="GK117" s="21"/>
      <c r="GL117" s="21"/>
      <c r="GM117" s="21"/>
      <c r="GN117" s="21"/>
      <c r="GO117" s="21"/>
      <c r="GP117" s="21"/>
      <c r="GQ117" s="21"/>
      <c r="GR117" s="21"/>
      <c r="GS117" s="21"/>
      <c r="GT117" s="21"/>
      <c r="GU117" s="21"/>
      <c r="GV117" s="21"/>
      <c r="GW117" s="21"/>
      <c r="GX117" s="21"/>
      <c r="GY117" s="21"/>
      <c r="GZ117" s="21"/>
      <c r="HA117" s="21"/>
      <c r="HB117" s="21"/>
      <c r="HC117" s="21"/>
      <c r="HD117" s="21"/>
      <c r="HE117" s="21"/>
      <c r="HF117" s="21"/>
      <c r="HG117" s="21"/>
      <c r="HH117" s="21"/>
      <c r="HI117" s="21"/>
      <c r="HJ117" s="21"/>
      <c r="HK117" s="21"/>
      <c r="HL117" s="21"/>
      <c r="HM117" s="21"/>
      <c r="HN117" s="21"/>
      <c r="HO117" s="21"/>
      <c r="HP117" s="21"/>
      <c r="HQ117" s="21"/>
      <c r="HR117" s="21"/>
      <c r="HS117" s="21"/>
      <c r="HT117" s="21"/>
      <c r="HU117" s="21"/>
      <c r="HV117" s="21"/>
      <c r="HW117" s="21"/>
      <c r="HX117" s="21"/>
      <c r="HY117" s="21"/>
      <c r="HZ117" s="21"/>
      <c r="IA117" s="21"/>
      <c r="IB117" s="21"/>
      <c r="IC117" s="21"/>
      <c r="ID117" s="21"/>
      <c r="IE117" s="21"/>
      <c r="IF117" s="21"/>
      <c r="IG117" s="21"/>
      <c r="IH117" s="21"/>
      <c r="II117" s="21"/>
      <c r="IJ117" s="21"/>
      <c r="IK117" s="21"/>
      <c r="IL117" s="21"/>
      <c r="IM117" s="21"/>
      <c r="IN117" s="21"/>
      <c r="IO117" s="21"/>
      <c r="IP117" s="21"/>
      <c r="IQ117" s="21"/>
      <c r="IR117" s="21"/>
      <c r="IS117" s="21"/>
      <c r="IT117" s="21"/>
      <c r="IU117" s="21"/>
      <c r="IV117" s="21"/>
      <c r="IW117" s="21"/>
    </row>
    <row r="118" customFormat="false" ht="12.75" hidden="false" customHeight="false" outlineLevel="0" collapsed="false">
      <c r="A118" s="1269"/>
      <c r="B118" s="1246"/>
      <c r="C118" s="1246"/>
      <c r="D118" s="1246"/>
      <c r="E118" s="1246"/>
      <c r="F118" s="1246"/>
      <c r="G118" s="1246"/>
      <c r="H118" s="1246"/>
      <c r="I118" s="1246"/>
      <c r="J118" s="1246"/>
      <c r="K118" s="1246"/>
      <c r="L118" s="1246"/>
      <c r="M118" s="1246"/>
      <c r="N118" s="1246"/>
      <c r="O118" s="1246"/>
      <c r="P118" s="1246"/>
      <c r="Q118" s="1246"/>
      <c r="R118" s="1246"/>
      <c r="S118" s="1246"/>
      <c r="T118" s="1246"/>
      <c r="U118" s="1246"/>
      <c r="V118" s="1246"/>
      <c r="W118" s="1246"/>
      <c r="X118" s="1246"/>
      <c r="Y118" s="1246"/>
      <c r="Z118" s="1246"/>
      <c r="AA118" s="1246"/>
      <c r="AB118" s="1246"/>
      <c r="AC118" s="1246"/>
      <c r="AD118" s="1246"/>
      <c r="AE118" s="1246"/>
      <c r="AF118" s="1246"/>
      <c r="AG118" s="1246"/>
      <c r="AH118" s="1246"/>
      <c r="AI118" s="1246"/>
      <c r="AJ118" s="1246"/>
      <c r="AK118" s="1246"/>
      <c r="AL118" s="1246"/>
      <c r="AM118" s="1246"/>
      <c r="AN118" s="1246"/>
      <c r="AO118" s="1246"/>
      <c r="AP118" s="1246"/>
      <c r="AQ118" s="1246"/>
      <c r="AR118" s="1246"/>
      <c r="AS118" s="1246"/>
      <c r="AT118" s="1246"/>
      <c r="AU118" s="1246"/>
      <c r="AV118" s="1246"/>
      <c r="AW118" s="1246"/>
      <c r="AX118" s="1246"/>
      <c r="AY118" s="1246"/>
      <c r="AZ118" s="1246"/>
      <c r="BA118" s="1246"/>
      <c r="BB118" s="1246"/>
      <c r="BC118" s="1246"/>
      <c r="BD118" s="1246"/>
      <c r="BE118" s="1246"/>
      <c r="BF118" s="1246"/>
      <c r="BG118" s="1246"/>
      <c r="BH118" s="1246"/>
      <c r="BI118" s="1246"/>
      <c r="BJ118" s="1246"/>
      <c r="BK118" s="1246"/>
      <c r="BL118" s="1246"/>
      <c r="BM118" s="1246"/>
      <c r="BN118" s="1246"/>
      <c r="BO118" s="1246"/>
      <c r="BP118" s="1246"/>
      <c r="BQ118" s="1246"/>
      <c r="BR118" s="1246"/>
      <c r="BS118" s="1246"/>
      <c r="BT118" s="1246"/>
      <c r="BU118" s="1246"/>
      <c r="BV118" s="1246"/>
      <c r="BW118" s="1246"/>
      <c r="BX118" s="1246"/>
      <c r="BY118" s="1246"/>
      <c r="BZ118" s="1246"/>
      <c r="CA118" s="1246"/>
      <c r="CB118" s="1246"/>
      <c r="CC118" s="1246"/>
      <c r="CD118" s="1246"/>
      <c r="CE118" s="1246"/>
      <c r="CF118" s="1246"/>
      <c r="CG118" s="1246"/>
      <c r="CH118" s="1246"/>
      <c r="CI118" s="1246"/>
      <c r="CJ118" s="1246"/>
      <c r="CK118" s="1246"/>
      <c r="CL118" s="1246"/>
      <c r="CM118" s="1246"/>
      <c r="CN118" s="1246"/>
      <c r="CO118" s="1246"/>
      <c r="CP118" s="1246"/>
      <c r="CQ118" s="1246"/>
      <c r="CR118" s="1246"/>
      <c r="CS118" s="1246"/>
      <c r="CT118" s="1246"/>
      <c r="CU118" s="1246"/>
      <c r="CV118" s="1246"/>
      <c r="CW118" s="1246"/>
      <c r="CX118" s="1246"/>
      <c r="CY118" s="1246"/>
      <c r="CZ118" s="1246"/>
      <c r="DA118" s="1246"/>
      <c r="DB118" s="1246"/>
      <c r="DC118" s="1246"/>
      <c r="DD118" s="1246"/>
      <c r="DE118" s="1246"/>
      <c r="DF118" s="1246"/>
      <c r="DG118" s="1246"/>
      <c r="DH118" s="1246"/>
      <c r="DI118" s="1246"/>
      <c r="DJ118" s="1246"/>
      <c r="DK118" s="1246"/>
      <c r="DL118" s="1246"/>
      <c r="DM118" s="1246"/>
      <c r="DN118" s="1246"/>
      <c r="DO118" s="1246"/>
      <c r="DP118" s="1246"/>
      <c r="DQ118" s="1246"/>
      <c r="DR118" s="1246"/>
      <c r="DS118" s="1246"/>
      <c r="DT118" s="1246"/>
      <c r="DU118" s="1246"/>
      <c r="DV118" s="1246"/>
      <c r="DW118" s="1246"/>
      <c r="DX118" s="1246"/>
      <c r="DY118" s="1246"/>
      <c r="DZ118" s="1246"/>
      <c r="EA118" s="1246"/>
      <c r="EB118" s="1246"/>
      <c r="EC118" s="1246"/>
      <c r="ED118" s="1246"/>
      <c r="EE118" s="1246"/>
      <c r="EF118" s="1246"/>
      <c r="EG118" s="1246"/>
      <c r="EH118" s="1246"/>
      <c r="EI118" s="1246"/>
      <c r="EJ118" s="1246"/>
      <c r="EK118" s="1246"/>
      <c r="EL118" s="1246"/>
      <c r="EM118" s="1246"/>
      <c r="EN118" s="1246"/>
      <c r="EO118" s="21"/>
      <c r="EP118" s="21"/>
      <c r="EQ118" s="21"/>
      <c r="ER118" s="21"/>
      <c r="ES118" s="21"/>
      <c r="ET118" s="21"/>
      <c r="EU118" s="21"/>
      <c r="EV118" s="21"/>
      <c r="EW118" s="21"/>
      <c r="EX118" s="21"/>
      <c r="EY118" s="21"/>
      <c r="EZ118" s="21"/>
      <c r="FA118" s="21"/>
      <c r="FB118" s="21"/>
      <c r="FC118" s="21"/>
      <c r="FD118" s="21"/>
      <c r="FE118" s="21"/>
      <c r="FF118" s="21"/>
      <c r="FG118" s="21"/>
      <c r="FH118" s="21"/>
      <c r="FI118" s="21"/>
      <c r="FJ118" s="21"/>
      <c r="FK118" s="21"/>
      <c r="FL118" s="21"/>
      <c r="FM118" s="21"/>
      <c r="FN118" s="21"/>
      <c r="FO118" s="21"/>
      <c r="FP118" s="21"/>
      <c r="FQ118" s="21"/>
      <c r="FR118" s="21"/>
      <c r="FS118" s="21"/>
      <c r="FT118" s="21"/>
      <c r="FU118" s="21"/>
      <c r="FV118" s="21"/>
      <c r="FW118" s="21"/>
      <c r="FX118" s="21"/>
      <c r="FY118" s="21"/>
      <c r="FZ118" s="21"/>
      <c r="GA118" s="21"/>
      <c r="GB118" s="21"/>
      <c r="GC118" s="21"/>
      <c r="GD118" s="21"/>
      <c r="GE118" s="21"/>
      <c r="GF118" s="21"/>
      <c r="GG118" s="21"/>
      <c r="GH118" s="21"/>
      <c r="GI118" s="21"/>
      <c r="GJ118" s="21"/>
      <c r="GK118" s="21"/>
      <c r="GL118" s="21"/>
      <c r="GM118" s="21"/>
      <c r="GN118" s="21"/>
      <c r="GO118" s="21"/>
      <c r="GP118" s="21"/>
      <c r="GQ118" s="21"/>
      <c r="GR118" s="21"/>
      <c r="GS118" s="21"/>
      <c r="GT118" s="21"/>
      <c r="GU118" s="21"/>
      <c r="GV118" s="21"/>
      <c r="GW118" s="21"/>
      <c r="GX118" s="21"/>
      <c r="GY118" s="21"/>
      <c r="GZ118" s="21"/>
      <c r="HA118" s="21"/>
      <c r="HB118" s="21"/>
      <c r="HC118" s="21"/>
      <c r="HD118" s="21"/>
      <c r="HE118" s="21"/>
      <c r="HF118" s="21"/>
      <c r="HG118" s="21"/>
      <c r="HH118" s="21"/>
      <c r="HI118" s="21"/>
      <c r="HJ118" s="21"/>
      <c r="HK118" s="21"/>
      <c r="HL118" s="21"/>
      <c r="HM118" s="21"/>
      <c r="HN118" s="21"/>
      <c r="HO118" s="21"/>
      <c r="HP118" s="21"/>
      <c r="HQ118" s="21"/>
      <c r="HR118" s="21"/>
      <c r="HS118" s="21"/>
      <c r="HT118" s="21"/>
      <c r="HU118" s="21"/>
      <c r="HV118" s="21"/>
      <c r="HW118" s="21"/>
      <c r="HX118" s="21"/>
      <c r="HY118" s="21"/>
      <c r="HZ118" s="21"/>
      <c r="IA118" s="21"/>
      <c r="IB118" s="21"/>
      <c r="IC118" s="21"/>
      <c r="ID118" s="21"/>
      <c r="IE118" s="21"/>
      <c r="IF118" s="21"/>
      <c r="IG118" s="21"/>
      <c r="IH118" s="21"/>
      <c r="II118" s="21"/>
      <c r="IJ118" s="21"/>
      <c r="IK118" s="21"/>
      <c r="IL118" s="21"/>
      <c r="IM118" s="21"/>
      <c r="IN118" s="21"/>
      <c r="IO118" s="21"/>
      <c r="IP118" s="21"/>
      <c r="IQ118" s="21"/>
      <c r="IR118" s="21"/>
      <c r="IS118" s="21"/>
      <c r="IT118" s="21"/>
      <c r="IU118" s="21"/>
      <c r="IV118" s="21"/>
      <c r="IW118" s="21"/>
    </row>
    <row r="119" customFormat="false" ht="12.75" hidden="false" customHeight="false" outlineLevel="0" collapsed="false">
      <c r="A119" s="1269"/>
      <c r="B119" s="1246"/>
      <c r="C119" s="1246"/>
      <c r="D119" s="1246"/>
      <c r="E119" s="1246"/>
      <c r="F119" s="1246"/>
      <c r="G119" s="1246"/>
      <c r="H119" s="1246"/>
      <c r="I119" s="1246"/>
      <c r="J119" s="1246"/>
      <c r="K119" s="1246"/>
      <c r="L119" s="1246"/>
      <c r="M119" s="1246"/>
      <c r="N119" s="1246"/>
      <c r="O119" s="1246"/>
      <c r="P119" s="1246"/>
      <c r="Q119" s="1246"/>
      <c r="R119" s="1246"/>
      <c r="S119" s="1246"/>
      <c r="T119" s="1246"/>
      <c r="U119" s="1246"/>
      <c r="V119" s="1246"/>
      <c r="W119" s="1246"/>
      <c r="X119" s="1246"/>
      <c r="Y119" s="1246"/>
      <c r="Z119" s="1246"/>
      <c r="AA119" s="1246"/>
      <c r="AB119" s="1246"/>
      <c r="AC119" s="1246"/>
      <c r="AD119" s="1246"/>
      <c r="AE119" s="1246"/>
      <c r="AF119" s="1246"/>
      <c r="AG119" s="1246"/>
      <c r="AH119" s="1246"/>
      <c r="AI119" s="1246"/>
      <c r="AJ119" s="1246"/>
      <c r="AK119" s="1246"/>
      <c r="AL119" s="1246"/>
      <c r="AM119" s="1246"/>
      <c r="AN119" s="1246"/>
      <c r="AO119" s="1246"/>
      <c r="AP119" s="1246"/>
      <c r="AQ119" s="1246"/>
      <c r="AR119" s="1246"/>
      <c r="AS119" s="1246"/>
      <c r="AT119" s="1246"/>
      <c r="AU119" s="1246"/>
      <c r="AV119" s="1246"/>
      <c r="AW119" s="1246"/>
      <c r="AX119" s="1246"/>
      <c r="AY119" s="1246"/>
      <c r="AZ119" s="1246"/>
      <c r="BA119" s="1246"/>
      <c r="BB119" s="1246"/>
      <c r="BC119" s="1246"/>
      <c r="BD119" s="1246"/>
      <c r="BE119" s="1246"/>
      <c r="BF119" s="1246"/>
      <c r="BG119" s="1246"/>
      <c r="BH119" s="1246"/>
      <c r="BI119" s="1246"/>
      <c r="BJ119" s="1246"/>
      <c r="BK119" s="1246"/>
      <c r="BL119" s="1246"/>
      <c r="BM119" s="1246"/>
      <c r="BN119" s="1246"/>
      <c r="BO119" s="1246"/>
      <c r="BP119" s="1246"/>
      <c r="BQ119" s="1246"/>
      <c r="BR119" s="1246"/>
      <c r="BS119" s="1246"/>
      <c r="BT119" s="1246"/>
      <c r="BU119" s="1246"/>
      <c r="BV119" s="1246"/>
      <c r="BW119" s="1246"/>
      <c r="BX119" s="1246"/>
      <c r="BY119" s="1246"/>
      <c r="BZ119" s="1246"/>
      <c r="CA119" s="1246"/>
      <c r="CB119" s="1246"/>
      <c r="CC119" s="1246"/>
      <c r="CD119" s="1246"/>
      <c r="CE119" s="1246"/>
      <c r="CF119" s="1246"/>
      <c r="CG119" s="1246"/>
      <c r="CH119" s="1246"/>
      <c r="CI119" s="1246"/>
      <c r="CJ119" s="1246"/>
      <c r="CK119" s="1246"/>
      <c r="CL119" s="1246"/>
      <c r="CM119" s="1246"/>
      <c r="CN119" s="1246"/>
      <c r="CO119" s="1246"/>
      <c r="CP119" s="1246"/>
      <c r="CQ119" s="1246"/>
      <c r="CR119" s="1246"/>
      <c r="CS119" s="1246"/>
      <c r="CT119" s="1246"/>
      <c r="CU119" s="1246"/>
      <c r="CV119" s="1246"/>
      <c r="CW119" s="1246"/>
      <c r="CX119" s="1246"/>
      <c r="CY119" s="1246"/>
      <c r="CZ119" s="1246"/>
      <c r="DA119" s="1246"/>
      <c r="DB119" s="1246"/>
      <c r="DC119" s="1246"/>
      <c r="DD119" s="1246"/>
      <c r="DE119" s="1246"/>
      <c r="DF119" s="1246"/>
      <c r="DG119" s="1246"/>
      <c r="DH119" s="1246"/>
      <c r="DI119" s="1246"/>
      <c r="DJ119" s="1246"/>
      <c r="DK119" s="1246"/>
      <c r="DL119" s="1246"/>
      <c r="DM119" s="1246"/>
      <c r="DN119" s="1246"/>
      <c r="DO119" s="1246"/>
      <c r="DP119" s="1246"/>
      <c r="DQ119" s="1246"/>
      <c r="DR119" s="1246"/>
      <c r="DS119" s="1246"/>
      <c r="DT119" s="1246"/>
      <c r="DU119" s="1246"/>
      <c r="DV119" s="1246"/>
      <c r="DW119" s="1246"/>
      <c r="DX119" s="1246"/>
      <c r="DY119" s="1246"/>
      <c r="DZ119" s="1246"/>
      <c r="EA119" s="1246"/>
      <c r="EB119" s="1246"/>
      <c r="EC119" s="1246"/>
      <c r="ED119" s="1246"/>
      <c r="EE119" s="1246"/>
      <c r="EF119" s="1246"/>
      <c r="EG119" s="1246"/>
      <c r="EH119" s="1246"/>
      <c r="EI119" s="1246"/>
      <c r="EJ119" s="1246"/>
      <c r="EK119" s="1246"/>
      <c r="EL119" s="1246"/>
      <c r="EM119" s="1246"/>
      <c r="EN119" s="1246"/>
      <c r="EO119" s="21"/>
      <c r="EP119" s="21"/>
      <c r="EQ119" s="21"/>
      <c r="ER119" s="21"/>
      <c r="ES119" s="21"/>
      <c r="ET119" s="21"/>
      <c r="EU119" s="21"/>
      <c r="EV119" s="21"/>
      <c r="EW119" s="21"/>
      <c r="EX119" s="21"/>
      <c r="EY119" s="21"/>
      <c r="EZ119" s="21"/>
      <c r="FA119" s="21"/>
      <c r="FB119" s="21"/>
      <c r="FC119" s="21"/>
      <c r="FD119" s="21"/>
      <c r="FE119" s="21"/>
      <c r="FF119" s="21"/>
      <c r="FG119" s="21"/>
      <c r="FH119" s="21"/>
      <c r="FI119" s="21"/>
      <c r="FJ119" s="21"/>
      <c r="FK119" s="21"/>
      <c r="FL119" s="21"/>
      <c r="FM119" s="21"/>
      <c r="FN119" s="21"/>
      <c r="FO119" s="21"/>
      <c r="FP119" s="21"/>
      <c r="FQ119" s="21"/>
      <c r="FR119" s="21"/>
      <c r="FS119" s="21"/>
      <c r="FT119" s="21"/>
      <c r="FU119" s="21"/>
      <c r="FV119" s="21"/>
      <c r="FW119" s="21"/>
      <c r="FX119" s="21"/>
      <c r="FY119" s="21"/>
      <c r="FZ119" s="21"/>
      <c r="GA119" s="21"/>
      <c r="GB119" s="21"/>
      <c r="GC119" s="21"/>
      <c r="GD119" s="21"/>
      <c r="GE119" s="21"/>
      <c r="GF119" s="21"/>
      <c r="GG119" s="21"/>
      <c r="GH119" s="21"/>
      <c r="GI119" s="21"/>
      <c r="GJ119" s="21"/>
      <c r="GK119" s="21"/>
      <c r="GL119" s="21"/>
      <c r="GM119" s="21"/>
      <c r="GN119" s="21"/>
      <c r="GO119" s="21"/>
      <c r="GP119" s="21"/>
      <c r="GQ119" s="21"/>
      <c r="GR119" s="21"/>
      <c r="GS119" s="21"/>
      <c r="GT119" s="21"/>
      <c r="GU119" s="21"/>
      <c r="GV119" s="21"/>
      <c r="GW119" s="21"/>
      <c r="GX119" s="21"/>
      <c r="GY119" s="21"/>
      <c r="GZ119" s="21"/>
      <c r="HA119" s="21"/>
      <c r="HB119" s="21"/>
      <c r="HC119" s="21"/>
      <c r="HD119" s="21"/>
      <c r="HE119" s="21"/>
      <c r="HF119" s="21"/>
      <c r="HG119" s="21"/>
      <c r="HH119" s="21"/>
      <c r="HI119" s="21"/>
      <c r="HJ119" s="21"/>
      <c r="HK119" s="21"/>
      <c r="HL119" s="21"/>
      <c r="HM119" s="21"/>
      <c r="HN119" s="21"/>
      <c r="HO119" s="21"/>
      <c r="HP119" s="21"/>
      <c r="HQ119" s="21"/>
      <c r="HR119" s="21"/>
      <c r="HS119" s="21"/>
      <c r="HT119" s="21"/>
      <c r="HU119" s="21"/>
      <c r="HV119" s="21"/>
      <c r="HW119" s="21"/>
      <c r="HX119" s="21"/>
      <c r="HY119" s="21"/>
      <c r="HZ119" s="21"/>
      <c r="IA119" s="21"/>
      <c r="IB119" s="21"/>
      <c r="IC119" s="21"/>
      <c r="ID119" s="21"/>
      <c r="IE119" s="21"/>
      <c r="IF119" s="21"/>
      <c r="IG119" s="21"/>
      <c r="IH119" s="21"/>
      <c r="II119" s="21"/>
      <c r="IJ119" s="21"/>
      <c r="IK119" s="21"/>
      <c r="IL119" s="21"/>
      <c r="IM119" s="21"/>
      <c r="IN119" s="21"/>
      <c r="IO119" s="21"/>
      <c r="IP119" s="21"/>
      <c r="IQ119" s="21"/>
      <c r="IR119" s="21"/>
      <c r="IS119" s="21"/>
      <c r="IT119" s="21"/>
      <c r="IU119" s="21"/>
      <c r="IV119" s="21"/>
      <c r="IW119" s="21"/>
    </row>
    <row r="120" customFormat="false" ht="12.75" hidden="false" customHeight="false" outlineLevel="0" collapsed="false">
      <c r="A120" s="1269"/>
      <c r="B120" s="1246"/>
      <c r="C120" s="1246"/>
      <c r="D120" s="1246"/>
      <c r="E120" s="1246"/>
      <c r="F120" s="1246"/>
      <c r="G120" s="1246"/>
      <c r="H120" s="1246"/>
      <c r="I120" s="1246"/>
      <c r="J120" s="1246"/>
      <c r="K120" s="1246"/>
      <c r="L120" s="1246"/>
      <c r="M120" s="1246"/>
      <c r="N120" s="1246"/>
      <c r="O120" s="1246"/>
      <c r="P120" s="1246"/>
      <c r="Q120" s="1246"/>
      <c r="R120" s="1246"/>
      <c r="S120" s="1246"/>
      <c r="T120" s="1246"/>
      <c r="U120" s="1246"/>
      <c r="V120" s="1246"/>
      <c r="W120" s="1246"/>
      <c r="X120" s="1246"/>
      <c r="Y120" s="1246"/>
      <c r="Z120" s="1246"/>
      <c r="AA120" s="1246"/>
      <c r="AB120" s="1246"/>
      <c r="AC120" s="1246"/>
      <c r="AD120" s="1246"/>
      <c r="AE120" s="1246"/>
      <c r="AF120" s="1246"/>
      <c r="AG120" s="1246"/>
      <c r="AH120" s="1246"/>
      <c r="AI120" s="1246"/>
      <c r="AJ120" s="1246"/>
      <c r="AK120" s="1246"/>
      <c r="AL120" s="1246"/>
      <c r="AM120" s="1246"/>
      <c r="AN120" s="1246"/>
      <c r="AO120" s="1246"/>
      <c r="AP120" s="1246"/>
      <c r="AQ120" s="1246"/>
      <c r="AR120" s="1246"/>
      <c r="AS120" s="1246"/>
      <c r="AT120" s="1246"/>
      <c r="AU120" s="1246"/>
      <c r="AV120" s="1246"/>
      <c r="AW120" s="1246"/>
      <c r="AX120" s="1246"/>
      <c r="AY120" s="1246"/>
      <c r="AZ120" s="1246"/>
      <c r="BA120" s="1246"/>
      <c r="BB120" s="1246"/>
      <c r="BC120" s="1246"/>
      <c r="BD120" s="1246"/>
      <c r="BE120" s="1246"/>
      <c r="BF120" s="1246"/>
      <c r="BG120" s="1246"/>
      <c r="BH120" s="1246"/>
      <c r="BI120" s="1246"/>
      <c r="BJ120" s="1246"/>
      <c r="BK120" s="1246"/>
      <c r="BL120" s="1246"/>
      <c r="BM120" s="1246"/>
      <c r="BN120" s="1246"/>
      <c r="BO120" s="1246"/>
      <c r="BP120" s="1246"/>
      <c r="BQ120" s="1246"/>
      <c r="BR120" s="1246"/>
      <c r="BS120" s="1246"/>
      <c r="BT120" s="1246"/>
      <c r="BU120" s="1246"/>
      <c r="BV120" s="1246"/>
      <c r="BW120" s="1246"/>
      <c r="BX120" s="1246"/>
      <c r="BY120" s="1246"/>
      <c r="BZ120" s="1246"/>
      <c r="CA120" s="1246"/>
      <c r="CB120" s="1246"/>
      <c r="CC120" s="1246"/>
      <c r="CD120" s="1246"/>
      <c r="CE120" s="1246"/>
      <c r="CF120" s="1246"/>
      <c r="CG120" s="1246"/>
      <c r="CH120" s="1246"/>
      <c r="CI120" s="1246"/>
      <c r="CJ120" s="1246"/>
      <c r="CK120" s="1246"/>
      <c r="CL120" s="1246"/>
      <c r="CM120" s="1246"/>
      <c r="CN120" s="1246"/>
      <c r="CO120" s="1246"/>
      <c r="CP120" s="1246"/>
      <c r="CQ120" s="1246"/>
      <c r="CR120" s="1246"/>
      <c r="CS120" s="1246"/>
      <c r="CT120" s="1246"/>
      <c r="CU120" s="1246"/>
      <c r="CV120" s="1246"/>
      <c r="CW120" s="1246"/>
      <c r="CX120" s="1246"/>
      <c r="CY120" s="1246"/>
      <c r="CZ120" s="1246"/>
      <c r="DA120" s="1246"/>
      <c r="DB120" s="1246"/>
      <c r="DC120" s="1246"/>
      <c r="DD120" s="1246"/>
      <c r="DE120" s="1246"/>
      <c r="DF120" s="1246"/>
      <c r="DG120" s="1246"/>
      <c r="DH120" s="1246"/>
      <c r="DI120" s="1246"/>
      <c r="DJ120" s="1246"/>
      <c r="DK120" s="1246"/>
      <c r="DL120" s="1246"/>
      <c r="DM120" s="1246"/>
      <c r="DN120" s="1246"/>
      <c r="DO120" s="1246"/>
      <c r="DP120" s="1246"/>
      <c r="DQ120" s="1246"/>
      <c r="DR120" s="1246"/>
      <c r="DS120" s="1246"/>
      <c r="DT120" s="1246"/>
      <c r="DU120" s="1246"/>
      <c r="DV120" s="1246"/>
      <c r="DW120" s="1246"/>
      <c r="DX120" s="1246"/>
      <c r="DY120" s="1246"/>
      <c r="DZ120" s="1246"/>
      <c r="EA120" s="1246"/>
      <c r="EB120" s="1246"/>
      <c r="EC120" s="1246"/>
      <c r="ED120" s="1246"/>
      <c r="EE120" s="1246"/>
      <c r="EF120" s="1246"/>
      <c r="EG120" s="1246"/>
      <c r="EH120" s="1246"/>
      <c r="EI120" s="1246"/>
      <c r="EJ120" s="1246"/>
      <c r="EK120" s="1246"/>
      <c r="EL120" s="1246"/>
      <c r="EM120" s="1246"/>
      <c r="EN120" s="1246"/>
      <c r="EO120" s="21"/>
      <c r="EP120" s="21"/>
      <c r="EQ120" s="21"/>
      <c r="ER120" s="21"/>
      <c r="ES120" s="21"/>
      <c r="ET120" s="21"/>
      <c r="EU120" s="21"/>
      <c r="EV120" s="21"/>
      <c r="EW120" s="21"/>
      <c r="EX120" s="21"/>
      <c r="EY120" s="21"/>
      <c r="EZ120" s="21"/>
      <c r="FA120" s="21"/>
      <c r="FB120" s="21"/>
      <c r="FC120" s="21"/>
      <c r="FD120" s="21"/>
      <c r="FE120" s="21"/>
      <c r="FF120" s="21"/>
      <c r="FG120" s="21"/>
      <c r="FH120" s="21"/>
      <c r="FI120" s="21"/>
      <c r="FJ120" s="21"/>
      <c r="FK120" s="21"/>
      <c r="FL120" s="21"/>
      <c r="FM120" s="21"/>
      <c r="FN120" s="21"/>
      <c r="FO120" s="21"/>
      <c r="FP120" s="21"/>
      <c r="FQ120" s="21"/>
      <c r="FR120" s="21"/>
      <c r="FS120" s="21"/>
      <c r="FT120" s="21"/>
      <c r="FU120" s="21"/>
      <c r="FV120" s="21"/>
      <c r="FW120" s="21"/>
      <c r="FX120" s="21"/>
      <c r="FY120" s="21"/>
      <c r="FZ120" s="21"/>
      <c r="GA120" s="21"/>
      <c r="GB120" s="21"/>
      <c r="GC120" s="21"/>
      <c r="GD120" s="21"/>
      <c r="GE120" s="21"/>
      <c r="GF120" s="21"/>
      <c r="GG120" s="21"/>
      <c r="GH120" s="21"/>
      <c r="GI120" s="21"/>
      <c r="GJ120" s="21"/>
      <c r="GK120" s="21"/>
      <c r="GL120" s="21"/>
      <c r="GM120" s="21"/>
      <c r="GN120" s="21"/>
      <c r="GO120" s="21"/>
      <c r="GP120" s="21"/>
      <c r="GQ120" s="21"/>
      <c r="GR120" s="21"/>
      <c r="GS120" s="21"/>
      <c r="GT120" s="21"/>
      <c r="GU120" s="21"/>
      <c r="GV120" s="21"/>
      <c r="GW120" s="21"/>
      <c r="GX120" s="21"/>
      <c r="GY120" s="21"/>
      <c r="GZ120" s="21"/>
      <c r="HA120" s="21"/>
      <c r="HB120" s="21"/>
      <c r="HC120" s="21"/>
      <c r="HD120" s="21"/>
      <c r="HE120" s="21"/>
      <c r="HF120" s="21"/>
      <c r="HG120" s="21"/>
      <c r="HH120" s="21"/>
      <c r="HI120" s="21"/>
      <c r="HJ120" s="21"/>
      <c r="HK120" s="21"/>
      <c r="HL120" s="21"/>
      <c r="HM120" s="21"/>
      <c r="HN120" s="21"/>
      <c r="HO120" s="21"/>
      <c r="HP120" s="21"/>
      <c r="HQ120" s="21"/>
      <c r="HR120" s="21"/>
      <c r="HS120" s="21"/>
      <c r="HT120" s="21"/>
      <c r="HU120" s="21"/>
      <c r="HV120" s="21"/>
      <c r="HW120" s="21"/>
      <c r="HX120" s="21"/>
      <c r="HY120" s="21"/>
      <c r="HZ120" s="21"/>
      <c r="IA120" s="21"/>
      <c r="IB120" s="21"/>
      <c r="IC120" s="21"/>
      <c r="ID120" s="21"/>
      <c r="IE120" s="21"/>
      <c r="IF120" s="21"/>
      <c r="IG120" s="21"/>
      <c r="IH120" s="21"/>
      <c r="II120" s="21"/>
      <c r="IJ120" s="21"/>
      <c r="IK120" s="21"/>
      <c r="IL120" s="21"/>
      <c r="IM120" s="21"/>
      <c r="IN120" s="21"/>
      <c r="IO120" s="21"/>
      <c r="IP120" s="21"/>
      <c r="IQ120" s="21"/>
      <c r="IR120" s="21"/>
      <c r="IS120" s="21"/>
      <c r="IT120" s="21"/>
      <c r="IU120" s="21"/>
      <c r="IV120" s="21"/>
      <c r="IW120" s="21"/>
    </row>
    <row r="121" customFormat="false" ht="12.75" hidden="false" customHeight="false" outlineLevel="0" collapsed="false">
      <c r="A121" s="1269"/>
      <c r="B121" s="1246"/>
      <c r="C121" s="1246"/>
      <c r="D121" s="1246"/>
      <c r="E121" s="1246"/>
      <c r="F121" s="1246"/>
      <c r="G121" s="1246"/>
      <c r="H121" s="1246"/>
      <c r="I121" s="1246"/>
      <c r="J121" s="1246"/>
      <c r="K121" s="1246"/>
      <c r="L121" s="1246"/>
      <c r="M121" s="1246"/>
      <c r="N121" s="1246"/>
      <c r="O121" s="1246"/>
      <c r="P121" s="1246"/>
      <c r="Q121" s="1246"/>
      <c r="R121" s="1246"/>
      <c r="S121" s="1246"/>
      <c r="T121" s="1246"/>
      <c r="U121" s="1246"/>
      <c r="V121" s="1246"/>
      <c r="W121" s="1246"/>
      <c r="X121" s="1246"/>
      <c r="Y121" s="1246"/>
      <c r="Z121" s="1246"/>
      <c r="AA121" s="1246"/>
      <c r="AB121" s="1246"/>
      <c r="AC121" s="1246"/>
      <c r="AD121" s="1246"/>
      <c r="AE121" s="1246"/>
      <c r="AF121" s="1246"/>
      <c r="AG121" s="1246"/>
      <c r="AH121" s="1246"/>
      <c r="AI121" s="1246"/>
      <c r="AJ121" s="1246"/>
      <c r="AK121" s="1246"/>
      <c r="AL121" s="1246"/>
      <c r="AM121" s="1246"/>
      <c r="AN121" s="1246"/>
      <c r="AO121" s="1246"/>
      <c r="AP121" s="1246"/>
      <c r="AQ121" s="1246"/>
      <c r="AR121" s="1246"/>
      <c r="AS121" s="1246"/>
      <c r="AT121" s="1246"/>
      <c r="AU121" s="1246"/>
      <c r="AV121" s="1246"/>
      <c r="AW121" s="1246"/>
      <c r="AX121" s="1246"/>
      <c r="AY121" s="1246"/>
      <c r="AZ121" s="1246"/>
      <c r="BA121" s="1246"/>
      <c r="BB121" s="1246"/>
      <c r="BC121" s="1246"/>
      <c r="BD121" s="1246"/>
      <c r="BE121" s="1246"/>
      <c r="BF121" s="1246"/>
      <c r="BG121" s="1246"/>
      <c r="BH121" s="1246"/>
      <c r="BI121" s="1246"/>
      <c r="BJ121" s="1246"/>
      <c r="BK121" s="1246"/>
      <c r="BL121" s="1246"/>
      <c r="BM121" s="1246"/>
      <c r="BN121" s="1246"/>
      <c r="BO121" s="1246"/>
      <c r="BP121" s="1246"/>
      <c r="BQ121" s="1246"/>
      <c r="BR121" s="1246"/>
      <c r="BS121" s="1246"/>
      <c r="BT121" s="1246"/>
      <c r="BU121" s="1246"/>
      <c r="BV121" s="1246"/>
      <c r="BW121" s="1246"/>
      <c r="BX121" s="1246"/>
      <c r="BY121" s="1246"/>
      <c r="BZ121" s="1246"/>
      <c r="CA121" s="1246"/>
      <c r="CB121" s="1246"/>
      <c r="CC121" s="1246"/>
      <c r="CD121" s="1246"/>
      <c r="CE121" s="1246"/>
      <c r="CF121" s="1246"/>
      <c r="CG121" s="1246"/>
      <c r="CH121" s="1246"/>
      <c r="CI121" s="1246"/>
      <c r="CJ121" s="1246"/>
      <c r="CK121" s="1246"/>
      <c r="CL121" s="1246"/>
      <c r="CM121" s="1246"/>
      <c r="CN121" s="1246"/>
      <c r="CO121" s="1246"/>
      <c r="CP121" s="1246"/>
      <c r="CQ121" s="1246"/>
      <c r="CR121" s="1246"/>
      <c r="CS121" s="1246"/>
      <c r="CT121" s="1246"/>
      <c r="CU121" s="1246"/>
      <c r="CV121" s="1246"/>
      <c r="CW121" s="1246"/>
      <c r="CX121" s="1246"/>
      <c r="CY121" s="1246"/>
      <c r="CZ121" s="1246"/>
      <c r="DA121" s="1246"/>
      <c r="DB121" s="1246"/>
      <c r="DC121" s="1246"/>
      <c r="DD121" s="1246"/>
      <c r="DE121" s="1246"/>
      <c r="DF121" s="1246"/>
      <c r="DG121" s="1246"/>
      <c r="DH121" s="1246"/>
      <c r="DI121" s="1246"/>
      <c r="DJ121" s="1246"/>
      <c r="DK121" s="1246"/>
      <c r="DL121" s="1246"/>
      <c r="DM121" s="1246"/>
      <c r="DN121" s="1246"/>
      <c r="DO121" s="1246"/>
      <c r="DP121" s="1246"/>
      <c r="DQ121" s="1246"/>
      <c r="DR121" s="1246"/>
      <c r="DS121" s="1246"/>
      <c r="DT121" s="1246"/>
      <c r="DU121" s="1246"/>
      <c r="DV121" s="1246"/>
      <c r="DW121" s="1246"/>
      <c r="DX121" s="1246"/>
      <c r="DY121" s="1246"/>
      <c r="DZ121" s="1246"/>
      <c r="EA121" s="1246"/>
      <c r="EB121" s="1246"/>
      <c r="EC121" s="1246"/>
      <c r="ED121" s="1246"/>
      <c r="EE121" s="1246"/>
      <c r="EF121" s="1246"/>
      <c r="EG121" s="1246"/>
      <c r="EH121" s="1246"/>
      <c r="EI121" s="1246"/>
      <c r="EJ121" s="1246"/>
      <c r="EK121" s="1246"/>
      <c r="EL121" s="1246"/>
      <c r="EM121" s="1246"/>
      <c r="EN121" s="1246"/>
      <c r="EO121" s="21"/>
      <c r="EP121" s="21"/>
      <c r="EQ121" s="21"/>
      <c r="ER121" s="21"/>
      <c r="ES121" s="21"/>
      <c r="ET121" s="21"/>
      <c r="EU121" s="21"/>
      <c r="EV121" s="21"/>
      <c r="EW121" s="21"/>
      <c r="EX121" s="21"/>
      <c r="EY121" s="21"/>
      <c r="EZ121" s="21"/>
      <c r="FA121" s="21"/>
      <c r="FB121" s="21"/>
      <c r="FC121" s="21"/>
      <c r="FD121" s="21"/>
      <c r="FE121" s="21"/>
      <c r="FF121" s="21"/>
      <c r="FG121" s="21"/>
      <c r="FH121" s="21"/>
      <c r="FI121" s="21"/>
      <c r="FJ121" s="21"/>
      <c r="FK121" s="21"/>
      <c r="FL121" s="21"/>
      <c r="FM121" s="21"/>
      <c r="FN121" s="21"/>
      <c r="FO121" s="21"/>
      <c r="FP121" s="21"/>
      <c r="FQ121" s="21"/>
      <c r="FR121" s="21"/>
      <c r="FS121" s="21"/>
      <c r="FT121" s="21"/>
      <c r="FU121" s="21"/>
      <c r="FV121" s="21"/>
      <c r="FW121" s="21"/>
      <c r="FX121" s="21"/>
      <c r="FY121" s="21"/>
      <c r="FZ121" s="21"/>
      <c r="GA121" s="21"/>
      <c r="GB121" s="21"/>
      <c r="GC121" s="21"/>
      <c r="GD121" s="21"/>
      <c r="GE121" s="21"/>
      <c r="GF121" s="21"/>
      <c r="GG121" s="21"/>
      <c r="GH121" s="21"/>
      <c r="GI121" s="21"/>
      <c r="GJ121" s="21"/>
      <c r="GK121" s="21"/>
      <c r="GL121" s="21"/>
      <c r="GM121" s="21"/>
      <c r="GN121" s="21"/>
      <c r="GO121" s="21"/>
      <c r="GP121" s="21"/>
      <c r="GQ121" s="21"/>
      <c r="GR121" s="21"/>
      <c r="GS121" s="21"/>
      <c r="GT121" s="21"/>
      <c r="GU121" s="21"/>
      <c r="GV121" s="21"/>
      <c r="GW121" s="21"/>
      <c r="GX121" s="21"/>
      <c r="GY121" s="21"/>
      <c r="GZ121" s="21"/>
      <c r="HA121" s="21"/>
      <c r="HB121" s="21"/>
      <c r="HC121" s="21"/>
      <c r="HD121" s="21"/>
      <c r="HE121" s="21"/>
      <c r="HF121" s="21"/>
      <c r="HG121" s="21"/>
      <c r="HH121" s="21"/>
      <c r="HI121" s="21"/>
      <c r="HJ121" s="21"/>
      <c r="HK121" s="21"/>
      <c r="HL121" s="21"/>
      <c r="HM121" s="21"/>
      <c r="HN121" s="21"/>
      <c r="HO121" s="21"/>
      <c r="HP121" s="21"/>
      <c r="HQ121" s="21"/>
      <c r="HR121" s="21"/>
      <c r="HS121" s="21"/>
      <c r="HT121" s="21"/>
      <c r="HU121" s="21"/>
      <c r="HV121" s="21"/>
      <c r="HW121" s="21"/>
      <c r="HX121" s="21"/>
      <c r="HY121" s="21"/>
      <c r="HZ121" s="21"/>
      <c r="IA121" s="21"/>
      <c r="IB121" s="21"/>
      <c r="IC121" s="21"/>
      <c r="ID121" s="21"/>
      <c r="IE121" s="21"/>
      <c r="IF121" s="21"/>
      <c r="IG121" s="21"/>
      <c r="IH121" s="21"/>
      <c r="II121" s="21"/>
      <c r="IJ121" s="21"/>
      <c r="IK121" s="21"/>
      <c r="IL121" s="21"/>
      <c r="IM121" s="21"/>
      <c r="IN121" s="21"/>
      <c r="IO121" s="21"/>
      <c r="IP121" s="21"/>
      <c r="IQ121" s="21"/>
      <c r="IR121" s="21"/>
      <c r="IS121" s="21"/>
      <c r="IT121" s="21"/>
      <c r="IU121" s="21"/>
      <c r="IV121" s="21"/>
      <c r="IW121" s="21"/>
    </row>
    <row r="122" customFormat="false" ht="12.75" hidden="false" customHeight="false" outlineLevel="0" collapsed="false">
      <c r="A122" s="1269"/>
      <c r="B122" s="1246"/>
      <c r="C122" s="1246"/>
      <c r="D122" s="1246"/>
      <c r="E122" s="1246"/>
      <c r="F122" s="1246"/>
      <c r="G122" s="1246"/>
      <c r="H122" s="1246"/>
      <c r="I122" s="1246"/>
      <c r="J122" s="1246"/>
      <c r="K122" s="1246"/>
      <c r="L122" s="1246"/>
      <c r="M122" s="1246"/>
      <c r="N122" s="1246"/>
      <c r="O122" s="1246"/>
      <c r="P122" s="1246"/>
      <c r="Q122" s="1246"/>
      <c r="R122" s="1246"/>
      <c r="S122" s="1246"/>
      <c r="T122" s="1246"/>
      <c r="U122" s="1246"/>
      <c r="V122" s="1246"/>
      <c r="W122" s="1246"/>
      <c r="X122" s="1246"/>
      <c r="Y122" s="1246"/>
      <c r="Z122" s="1246"/>
      <c r="AA122" s="1246"/>
      <c r="AB122" s="1246"/>
      <c r="AC122" s="1246"/>
      <c r="AD122" s="1246"/>
      <c r="AE122" s="1246"/>
      <c r="AF122" s="1246"/>
      <c r="AG122" s="1246"/>
      <c r="AH122" s="1246"/>
      <c r="AI122" s="1246"/>
      <c r="AJ122" s="1246"/>
      <c r="AK122" s="1246"/>
      <c r="AL122" s="1246"/>
      <c r="AM122" s="1246"/>
      <c r="AN122" s="1246"/>
      <c r="AO122" s="1246"/>
      <c r="AP122" s="1246"/>
      <c r="AQ122" s="1246"/>
      <c r="AR122" s="1246"/>
      <c r="AS122" s="1246"/>
      <c r="AT122" s="1246"/>
      <c r="AU122" s="1246"/>
      <c r="AV122" s="1246"/>
      <c r="AW122" s="1246"/>
      <c r="AX122" s="1246"/>
      <c r="AY122" s="1246"/>
      <c r="AZ122" s="1246"/>
      <c r="BA122" s="1246"/>
      <c r="BB122" s="1246"/>
      <c r="BC122" s="1246"/>
      <c r="BD122" s="1246"/>
      <c r="BE122" s="1246"/>
      <c r="BF122" s="1246"/>
      <c r="BG122" s="1246"/>
      <c r="BH122" s="1246"/>
      <c r="BI122" s="1246"/>
      <c r="BJ122" s="1246"/>
      <c r="BK122" s="1246"/>
      <c r="BL122" s="1246"/>
      <c r="BM122" s="1246"/>
      <c r="BN122" s="1246"/>
      <c r="BO122" s="1246"/>
      <c r="BP122" s="1246"/>
      <c r="BQ122" s="1246"/>
      <c r="BR122" s="1246"/>
      <c r="BS122" s="1246"/>
      <c r="BT122" s="1246"/>
      <c r="BU122" s="1246"/>
      <c r="BV122" s="1246"/>
      <c r="BW122" s="1246"/>
      <c r="BX122" s="1246"/>
      <c r="BY122" s="1246"/>
      <c r="BZ122" s="1246"/>
      <c r="CA122" s="1246"/>
      <c r="CB122" s="1246"/>
      <c r="CC122" s="1246"/>
      <c r="CD122" s="1246"/>
      <c r="CE122" s="1246"/>
      <c r="CF122" s="1246"/>
      <c r="CG122" s="1246"/>
      <c r="CH122" s="1246"/>
      <c r="CI122" s="1246"/>
      <c r="CJ122" s="1246"/>
      <c r="CK122" s="1246"/>
      <c r="CL122" s="1246"/>
      <c r="CM122" s="1246"/>
      <c r="CN122" s="1246"/>
      <c r="CO122" s="1246"/>
      <c r="CP122" s="1246"/>
      <c r="CQ122" s="1246"/>
      <c r="CR122" s="1246"/>
      <c r="CS122" s="1246"/>
      <c r="CT122" s="1246"/>
      <c r="CU122" s="1246"/>
      <c r="CV122" s="1246"/>
      <c r="CW122" s="1246"/>
      <c r="CX122" s="1246"/>
      <c r="CY122" s="1246"/>
      <c r="CZ122" s="1246"/>
      <c r="DA122" s="1246"/>
      <c r="DB122" s="1246"/>
      <c r="DC122" s="1246"/>
      <c r="DD122" s="1246"/>
      <c r="DE122" s="1246"/>
      <c r="DF122" s="1246"/>
      <c r="DG122" s="1246"/>
      <c r="DH122" s="1246"/>
      <c r="DI122" s="1246"/>
      <c r="DJ122" s="1246"/>
      <c r="DK122" s="1246"/>
      <c r="DL122" s="1246"/>
      <c r="DM122" s="1246"/>
      <c r="DN122" s="1246"/>
      <c r="DO122" s="1246"/>
      <c r="DP122" s="1246"/>
      <c r="DQ122" s="1246"/>
      <c r="DR122" s="1246"/>
      <c r="DS122" s="1246"/>
      <c r="DT122" s="1246"/>
      <c r="DU122" s="1246"/>
      <c r="DV122" s="1246"/>
      <c r="DW122" s="1246"/>
      <c r="DX122" s="1246"/>
      <c r="DY122" s="1246"/>
      <c r="DZ122" s="1246"/>
      <c r="EA122" s="1246"/>
      <c r="EB122" s="1246"/>
      <c r="EC122" s="1246"/>
      <c r="ED122" s="1246"/>
      <c r="EE122" s="1246"/>
      <c r="EF122" s="1246"/>
      <c r="EG122" s="1246"/>
      <c r="EH122" s="1246"/>
      <c r="EI122" s="1246"/>
      <c r="EJ122" s="1246"/>
      <c r="EK122" s="1246"/>
      <c r="EL122" s="1246"/>
      <c r="EM122" s="1246"/>
      <c r="EN122" s="1246"/>
      <c r="EO122" s="21"/>
      <c r="EP122" s="21"/>
      <c r="EQ122" s="21"/>
      <c r="ER122" s="21"/>
      <c r="ES122" s="21"/>
      <c r="ET122" s="21"/>
      <c r="EU122" s="21"/>
      <c r="EV122" s="21"/>
      <c r="EW122" s="21"/>
      <c r="EX122" s="21"/>
      <c r="EY122" s="21"/>
      <c r="EZ122" s="21"/>
      <c r="FA122" s="21"/>
      <c r="FB122" s="21"/>
      <c r="FC122" s="21"/>
      <c r="FD122" s="21"/>
      <c r="FE122" s="21"/>
      <c r="FF122" s="21"/>
      <c r="FG122" s="21"/>
      <c r="FH122" s="21"/>
      <c r="FI122" s="21"/>
      <c r="FJ122" s="21"/>
      <c r="FK122" s="21"/>
      <c r="FL122" s="21"/>
      <c r="FM122" s="21"/>
      <c r="FN122" s="21"/>
      <c r="FO122" s="21"/>
      <c r="FP122" s="21"/>
      <c r="FQ122" s="21"/>
      <c r="FR122" s="21"/>
      <c r="FS122" s="21"/>
      <c r="FT122" s="21"/>
      <c r="FU122" s="21"/>
      <c r="FV122" s="21"/>
      <c r="FW122" s="21"/>
      <c r="FX122" s="21"/>
      <c r="FY122" s="21"/>
      <c r="FZ122" s="21"/>
      <c r="GA122" s="21"/>
      <c r="GB122" s="21"/>
      <c r="GC122" s="21"/>
      <c r="GD122" s="21"/>
      <c r="GE122" s="21"/>
      <c r="GF122" s="21"/>
      <c r="GG122" s="21"/>
      <c r="GH122" s="21"/>
      <c r="GI122" s="21"/>
      <c r="GJ122" s="21"/>
      <c r="GK122" s="21"/>
      <c r="GL122" s="21"/>
      <c r="GM122" s="21"/>
      <c r="GN122" s="21"/>
      <c r="GO122" s="21"/>
      <c r="GP122" s="21"/>
      <c r="GQ122" s="21"/>
      <c r="GR122" s="21"/>
      <c r="GS122" s="21"/>
      <c r="GT122" s="21"/>
      <c r="GU122" s="21"/>
      <c r="GV122" s="21"/>
      <c r="GW122" s="21"/>
      <c r="GX122" s="21"/>
      <c r="GY122" s="21"/>
      <c r="GZ122" s="21"/>
      <c r="HA122" s="21"/>
      <c r="HB122" s="21"/>
      <c r="HC122" s="21"/>
      <c r="HD122" s="21"/>
      <c r="HE122" s="21"/>
      <c r="HF122" s="21"/>
      <c r="HG122" s="21"/>
      <c r="HH122" s="21"/>
      <c r="HI122" s="21"/>
      <c r="HJ122" s="21"/>
      <c r="HK122" s="21"/>
      <c r="HL122" s="21"/>
      <c r="HM122" s="21"/>
      <c r="HN122" s="21"/>
      <c r="HO122" s="21"/>
      <c r="HP122" s="21"/>
      <c r="HQ122" s="21"/>
      <c r="HR122" s="21"/>
      <c r="HS122" s="21"/>
      <c r="HT122" s="21"/>
      <c r="HU122" s="21"/>
      <c r="HV122" s="21"/>
      <c r="HW122" s="21"/>
      <c r="HX122" s="21"/>
      <c r="HY122" s="21"/>
      <c r="HZ122" s="21"/>
      <c r="IA122" s="21"/>
      <c r="IB122" s="21"/>
      <c r="IC122" s="21"/>
      <c r="ID122" s="21"/>
      <c r="IE122" s="21"/>
      <c r="IF122" s="21"/>
      <c r="IG122" s="21"/>
      <c r="IH122" s="21"/>
      <c r="II122" s="21"/>
      <c r="IJ122" s="21"/>
      <c r="IK122" s="21"/>
      <c r="IL122" s="21"/>
      <c r="IM122" s="21"/>
      <c r="IN122" s="21"/>
      <c r="IO122" s="21"/>
      <c r="IP122" s="21"/>
      <c r="IQ122" s="21"/>
      <c r="IR122" s="21"/>
      <c r="IS122" s="21"/>
      <c r="IT122" s="21"/>
      <c r="IU122" s="21"/>
      <c r="IV122" s="21"/>
      <c r="IW122" s="21"/>
    </row>
    <row r="123" customFormat="false" ht="12.75" hidden="false" customHeight="false" outlineLevel="0" collapsed="false">
      <c r="A123" s="1269"/>
      <c r="B123" s="1246"/>
      <c r="C123" s="1246"/>
      <c r="D123" s="1246"/>
      <c r="E123" s="1246"/>
      <c r="F123" s="1246"/>
      <c r="G123" s="1246"/>
      <c r="H123" s="1246"/>
      <c r="I123" s="1246"/>
      <c r="J123" s="1246"/>
      <c r="K123" s="1246"/>
      <c r="L123" s="1246"/>
      <c r="M123" s="1246"/>
      <c r="N123" s="1246"/>
      <c r="O123" s="1246"/>
      <c r="P123" s="1246"/>
      <c r="Q123" s="1246"/>
      <c r="R123" s="1246"/>
      <c r="S123" s="1246"/>
      <c r="T123" s="1246"/>
      <c r="U123" s="1246"/>
      <c r="V123" s="1246"/>
      <c r="W123" s="1246"/>
      <c r="X123" s="1246"/>
      <c r="Y123" s="1246"/>
      <c r="Z123" s="1246"/>
      <c r="AA123" s="1246"/>
      <c r="AB123" s="1246"/>
      <c r="AC123" s="1246"/>
      <c r="AD123" s="1246"/>
      <c r="AE123" s="1246"/>
      <c r="AF123" s="1246"/>
      <c r="AG123" s="1246"/>
      <c r="AH123" s="1246"/>
      <c r="AI123" s="1246"/>
      <c r="AJ123" s="1246"/>
      <c r="AK123" s="1246"/>
      <c r="AL123" s="1246"/>
      <c r="AM123" s="1246"/>
      <c r="AN123" s="1246"/>
      <c r="AO123" s="1246"/>
      <c r="AP123" s="1246"/>
      <c r="AQ123" s="1246"/>
      <c r="AR123" s="1246"/>
      <c r="AS123" s="1246"/>
      <c r="AT123" s="1246"/>
      <c r="AU123" s="1246"/>
      <c r="AV123" s="1246"/>
      <c r="AW123" s="1246"/>
      <c r="AX123" s="1246"/>
      <c r="AY123" s="1246"/>
      <c r="AZ123" s="1246"/>
      <c r="BA123" s="1246"/>
      <c r="BB123" s="1246"/>
      <c r="BC123" s="1246"/>
      <c r="BD123" s="1246"/>
      <c r="BE123" s="1246"/>
      <c r="BF123" s="1246"/>
      <c r="BG123" s="1246"/>
      <c r="BH123" s="1246"/>
      <c r="BI123" s="1246"/>
      <c r="BJ123" s="1246"/>
      <c r="BK123" s="1246"/>
      <c r="BL123" s="1246"/>
      <c r="BM123" s="1246"/>
      <c r="BN123" s="1246"/>
      <c r="BO123" s="1246"/>
      <c r="BP123" s="1246"/>
      <c r="BQ123" s="1246"/>
      <c r="BR123" s="1246"/>
      <c r="BS123" s="1246"/>
      <c r="BT123" s="1246"/>
      <c r="BU123" s="1246"/>
      <c r="BV123" s="1246"/>
      <c r="BW123" s="1246"/>
      <c r="BX123" s="1246"/>
      <c r="BY123" s="1246"/>
      <c r="BZ123" s="1246"/>
      <c r="CA123" s="1246"/>
      <c r="CB123" s="1246"/>
      <c r="CC123" s="1246"/>
      <c r="CD123" s="1246"/>
      <c r="CE123" s="1246"/>
      <c r="CF123" s="1246"/>
      <c r="CG123" s="1246"/>
      <c r="CH123" s="1246"/>
      <c r="CI123" s="1246"/>
      <c r="CJ123" s="1246"/>
      <c r="CK123" s="1246"/>
      <c r="CL123" s="1246"/>
      <c r="CM123" s="1246"/>
      <c r="CN123" s="1246"/>
      <c r="CO123" s="1246"/>
      <c r="CP123" s="1246"/>
      <c r="CQ123" s="1246"/>
      <c r="CR123" s="1246"/>
      <c r="CS123" s="1246"/>
      <c r="CT123" s="1246"/>
      <c r="CU123" s="1246"/>
      <c r="CV123" s="1246"/>
      <c r="CW123" s="1246"/>
      <c r="CX123" s="1246"/>
      <c r="CY123" s="1246"/>
      <c r="CZ123" s="1246"/>
      <c r="DA123" s="1246"/>
      <c r="DB123" s="1246"/>
      <c r="DC123" s="1246"/>
      <c r="DD123" s="1246"/>
      <c r="DE123" s="1246"/>
      <c r="DF123" s="1246"/>
      <c r="DG123" s="1246"/>
      <c r="DH123" s="1246"/>
      <c r="DI123" s="1246"/>
      <c r="DJ123" s="1246"/>
      <c r="DK123" s="1246"/>
      <c r="DL123" s="1246"/>
      <c r="DM123" s="1246"/>
      <c r="DN123" s="1246"/>
      <c r="DO123" s="1246"/>
      <c r="DP123" s="1246"/>
      <c r="DQ123" s="1246"/>
      <c r="DR123" s="1246"/>
      <c r="DS123" s="1246"/>
      <c r="DT123" s="1246"/>
      <c r="DU123" s="1246"/>
      <c r="DV123" s="1246"/>
      <c r="DW123" s="1246"/>
      <c r="DX123" s="1246"/>
      <c r="DY123" s="1246"/>
      <c r="DZ123" s="1246"/>
      <c r="EA123" s="1246"/>
      <c r="EB123" s="1246"/>
      <c r="EC123" s="1246"/>
      <c r="ED123" s="1246"/>
      <c r="EE123" s="1246"/>
      <c r="EF123" s="1246"/>
      <c r="EG123" s="1246"/>
      <c r="EH123" s="1246"/>
      <c r="EI123" s="1246"/>
      <c r="EJ123" s="1246"/>
      <c r="EK123" s="1246"/>
      <c r="EL123" s="1246"/>
      <c r="EM123" s="1246"/>
      <c r="EN123" s="1246"/>
      <c r="EO123" s="21"/>
      <c r="EP123" s="21"/>
      <c r="EQ123" s="21"/>
      <c r="ER123" s="21"/>
      <c r="ES123" s="21"/>
      <c r="ET123" s="21"/>
      <c r="EU123" s="21"/>
      <c r="EV123" s="21"/>
      <c r="EW123" s="21"/>
      <c r="EX123" s="21"/>
      <c r="EY123" s="21"/>
      <c r="EZ123" s="21"/>
      <c r="FA123" s="21"/>
      <c r="FB123" s="21"/>
      <c r="FC123" s="21"/>
      <c r="FD123" s="21"/>
      <c r="FE123" s="21"/>
      <c r="FF123" s="21"/>
      <c r="FG123" s="21"/>
      <c r="FH123" s="21"/>
      <c r="FI123" s="21"/>
      <c r="FJ123" s="21"/>
      <c r="FK123" s="21"/>
      <c r="FL123" s="21"/>
      <c r="FM123" s="21"/>
      <c r="FN123" s="21"/>
      <c r="FO123" s="21"/>
      <c r="FP123" s="21"/>
      <c r="FQ123" s="21"/>
      <c r="FR123" s="21"/>
      <c r="FS123" s="21"/>
      <c r="FT123" s="21"/>
      <c r="FU123" s="21"/>
      <c r="FV123" s="21"/>
      <c r="FW123" s="21"/>
      <c r="FX123" s="21"/>
      <c r="FY123" s="21"/>
      <c r="FZ123" s="21"/>
      <c r="GA123" s="21"/>
      <c r="GB123" s="21"/>
      <c r="GC123" s="21"/>
      <c r="GD123" s="21"/>
      <c r="GE123" s="21"/>
      <c r="GF123" s="21"/>
      <c r="GG123" s="21"/>
      <c r="GH123" s="21"/>
      <c r="GI123" s="21"/>
      <c r="GJ123" s="21"/>
      <c r="GK123" s="21"/>
      <c r="GL123" s="21"/>
      <c r="GM123" s="21"/>
      <c r="GN123" s="21"/>
      <c r="GO123" s="21"/>
      <c r="GP123" s="21"/>
      <c r="GQ123" s="21"/>
      <c r="GR123" s="21"/>
      <c r="GS123" s="21"/>
      <c r="GT123" s="21"/>
      <c r="GU123" s="21"/>
      <c r="GV123" s="21"/>
      <c r="GW123" s="21"/>
      <c r="GX123" s="21"/>
      <c r="GY123" s="21"/>
      <c r="GZ123" s="21"/>
      <c r="HA123" s="21"/>
      <c r="HB123" s="21"/>
      <c r="HC123" s="21"/>
      <c r="HD123" s="21"/>
      <c r="HE123" s="21"/>
      <c r="HF123" s="21"/>
      <c r="HG123" s="21"/>
      <c r="HH123" s="21"/>
      <c r="HI123" s="21"/>
      <c r="HJ123" s="21"/>
      <c r="HK123" s="21"/>
      <c r="HL123" s="21"/>
      <c r="HM123" s="21"/>
      <c r="HN123" s="21"/>
      <c r="HO123" s="21"/>
      <c r="HP123" s="21"/>
      <c r="HQ123" s="21"/>
      <c r="HR123" s="21"/>
      <c r="HS123" s="21"/>
      <c r="HT123" s="21"/>
      <c r="HU123" s="21"/>
      <c r="HV123" s="21"/>
      <c r="HW123" s="21"/>
      <c r="HX123" s="21"/>
      <c r="HY123" s="21"/>
      <c r="HZ123" s="21"/>
      <c r="IA123" s="21"/>
      <c r="IB123" s="21"/>
      <c r="IC123" s="21"/>
      <c r="ID123" s="21"/>
      <c r="IE123" s="21"/>
      <c r="IF123" s="21"/>
      <c r="IG123" s="21"/>
      <c r="IH123" s="21"/>
      <c r="II123" s="21"/>
      <c r="IJ123" s="21"/>
      <c r="IK123" s="21"/>
      <c r="IL123" s="21"/>
      <c r="IM123" s="21"/>
      <c r="IN123" s="21"/>
      <c r="IO123" s="21"/>
      <c r="IP123" s="21"/>
      <c r="IQ123" s="21"/>
      <c r="IR123" s="21"/>
      <c r="IS123" s="21"/>
      <c r="IT123" s="21"/>
      <c r="IU123" s="21"/>
      <c r="IV123" s="21"/>
      <c r="IW123" s="21"/>
    </row>
    <row r="124" customFormat="false" ht="12.75" hidden="false" customHeight="false" outlineLevel="0" collapsed="false">
      <c r="A124" s="1269"/>
      <c r="B124" s="1246"/>
      <c r="C124" s="1246"/>
      <c r="D124" s="1246"/>
      <c r="E124" s="1246"/>
      <c r="F124" s="1246"/>
      <c r="G124" s="1246"/>
      <c r="H124" s="1246"/>
      <c r="I124" s="1246"/>
      <c r="J124" s="1246"/>
      <c r="K124" s="1246"/>
      <c r="L124" s="1246"/>
      <c r="M124" s="1246"/>
      <c r="N124" s="1246"/>
      <c r="O124" s="1246"/>
      <c r="P124" s="1246"/>
      <c r="Q124" s="1246"/>
      <c r="R124" s="1246"/>
      <c r="S124" s="1246"/>
      <c r="T124" s="1246"/>
      <c r="U124" s="1246"/>
      <c r="V124" s="1246"/>
      <c r="W124" s="1246"/>
      <c r="X124" s="1246"/>
      <c r="Y124" s="1246"/>
      <c r="Z124" s="1246"/>
      <c r="AA124" s="1246"/>
      <c r="AB124" s="1246"/>
      <c r="AC124" s="1246"/>
      <c r="AD124" s="1246"/>
      <c r="AE124" s="1246"/>
      <c r="AF124" s="1246"/>
      <c r="AG124" s="1246"/>
      <c r="AH124" s="1246"/>
      <c r="AI124" s="1246"/>
      <c r="AJ124" s="1246"/>
      <c r="AK124" s="1246"/>
      <c r="AL124" s="1246"/>
      <c r="AM124" s="1246"/>
      <c r="AN124" s="1246"/>
      <c r="AO124" s="1246"/>
      <c r="AP124" s="1246"/>
      <c r="AQ124" s="1246"/>
      <c r="AR124" s="1246"/>
      <c r="AS124" s="1246"/>
      <c r="AT124" s="1246"/>
      <c r="AU124" s="1246"/>
      <c r="AV124" s="1246"/>
      <c r="AW124" s="1246"/>
      <c r="AX124" s="1246"/>
      <c r="AY124" s="1246"/>
      <c r="AZ124" s="1246"/>
      <c r="BA124" s="1246"/>
      <c r="BB124" s="1246"/>
      <c r="BC124" s="1246"/>
      <c r="BD124" s="1246"/>
      <c r="BE124" s="1246"/>
      <c r="BF124" s="1246"/>
      <c r="BG124" s="1246"/>
      <c r="BH124" s="1246"/>
      <c r="BI124" s="1246"/>
      <c r="BJ124" s="1246"/>
      <c r="BK124" s="1246"/>
      <c r="BL124" s="1246"/>
      <c r="BM124" s="1246"/>
      <c r="BN124" s="1246"/>
      <c r="BO124" s="1246"/>
      <c r="BP124" s="1246"/>
      <c r="BQ124" s="1246"/>
      <c r="BR124" s="1246"/>
      <c r="BS124" s="1246"/>
      <c r="BT124" s="1246"/>
      <c r="BU124" s="1246"/>
      <c r="BV124" s="1246"/>
      <c r="BW124" s="1246"/>
      <c r="BX124" s="1246"/>
      <c r="BY124" s="1246"/>
      <c r="BZ124" s="1246"/>
      <c r="CA124" s="1246"/>
      <c r="CB124" s="1246"/>
      <c r="CC124" s="1246"/>
      <c r="CD124" s="1246"/>
      <c r="CE124" s="1246"/>
      <c r="CF124" s="1246"/>
      <c r="CG124" s="1246"/>
      <c r="CH124" s="1246"/>
      <c r="CI124" s="1246"/>
      <c r="CJ124" s="1246"/>
      <c r="CK124" s="1246"/>
      <c r="CL124" s="1246"/>
      <c r="CM124" s="1246"/>
      <c r="CN124" s="1246"/>
      <c r="CO124" s="1246"/>
      <c r="CP124" s="1246"/>
      <c r="CQ124" s="1246"/>
      <c r="CR124" s="1246"/>
      <c r="CS124" s="1246"/>
      <c r="CT124" s="1246"/>
      <c r="CU124" s="1246"/>
      <c r="CV124" s="1246"/>
      <c r="CW124" s="1246"/>
      <c r="CX124" s="1246"/>
      <c r="CY124" s="1246"/>
      <c r="CZ124" s="1246"/>
      <c r="DA124" s="1246"/>
      <c r="DB124" s="1246"/>
      <c r="DC124" s="1246"/>
      <c r="DD124" s="1246"/>
      <c r="DE124" s="1246"/>
      <c r="DF124" s="1246"/>
      <c r="DG124" s="1246"/>
      <c r="DH124" s="1246"/>
      <c r="DI124" s="1246"/>
      <c r="DJ124" s="1246"/>
      <c r="DK124" s="1246"/>
      <c r="DL124" s="1246"/>
      <c r="DM124" s="1246"/>
      <c r="DN124" s="1246"/>
      <c r="DO124" s="1246"/>
      <c r="DP124" s="1246"/>
      <c r="DQ124" s="1246"/>
      <c r="DR124" s="1246"/>
      <c r="DS124" s="1246"/>
      <c r="DT124" s="1246"/>
      <c r="DU124" s="1246"/>
      <c r="DV124" s="1246"/>
      <c r="DW124" s="1246"/>
      <c r="DX124" s="1246"/>
      <c r="DY124" s="1246"/>
      <c r="DZ124" s="1246"/>
      <c r="EA124" s="1246"/>
      <c r="EB124" s="1246"/>
      <c r="EC124" s="1246"/>
      <c r="ED124" s="1246"/>
      <c r="EE124" s="1246"/>
      <c r="EF124" s="1246"/>
      <c r="EG124" s="1246"/>
      <c r="EH124" s="1246"/>
      <c r="EI124" s="1246"/>
      <c r="EJ124" s="1246"/>
      <c r="EK124" s="1246"/>
      <c r="EL124" s="1246"/>
      <c r="EM124" s="1246"/>
      <c r="EN124" s="1246"/>
      <c r="EO124" s="21"/>
      <c r="EP124" s="21"/>
      <c r="EQ124" s="21"/>
      <c r="ER124" s="21"/>
      <c r="ES124" s="21"/>
      <c r="ET124" s="21"/>
      <c r="EU124" s="21"/>
      <c r="EV124" s="21"/>
      <c r="EW124" s="21"/>
      <c r="EX124" s="21"/>
      <c r="EY124" s="21"/>
      <c r="EZ124" s="21"/>
      <c r="FA124" s="21"/>
      <c r="FB124" s="21"/>
      <c r="FC124" s="21"/>
      <c r="FD124" s="21"/>
      <c r="FE124" s="21"/>
      <c r="FF124" s="21"/>
      <c r="FG124" s="21"/>
      <c r="FH124" s="21"/>
      <c r="FI124" s="21"/>
      <c r="FJ124" s="21"/>
      <c r="FK124" s="21"/>
      <c r="FL124" s="21"/>
      <c r="FM124" s="21"/>
      <c r="FN124" s="21"/>
      <c r="FO124" s="21"/>
      <c r="FP124" s="21"/>
      <c r="FQ124" s="21"/>
      <c r="FR124" s="21"/>
      <c r="FS124" s="21"/>
      <c r="FT124" s="21"/>
      <c r="FU124" s="21"/>
      <c r="FV124" s="21"/>
      <c r="FW124" s="21"/>
      <c r="FX124" s="21"/>
      <c r="FY124" s="21"/>
      <c r="FZ124" s="21"/>
      <c r="GA124" s="21"/>
      <c r="GB124" s="21"/>
      <c r="GC124" s="21"/>
      <c r="GD124" s="21"/>
      <c r="GE124" s="21"/>
      <c r="GF124" s="21"/>
      <c r="GG124" s="21"/>
      <c r="GH124" s="21"/>
      <c r="GI124" s="21"/>
      <c r="GJ124" s="21"/>
      <c r="GK124" s="21"/>
      <c r="GL124" s="21"/>
      <c r="GM124" s="21"/>
      <c r="GN124" s="21"/>
      <c r="GO124" s="21"/>
      <c r="GP124" s="21"/>
      <c r="GQ124" s="21"/>
      <c r="GR124" s="21"/>
      <c r="GS124" s="21"/>
      <c r="GT124" s="21"/>
      <c r="GU124" s="21"/>
      <c r="GV124" s="21"/>
      <c r="GW124" s="21"/>
      <c r="GX124" s="21"/>
      <c r="GY124" s="21"/>
      <c r="GZ124" s="21"/>
      <c r="HA124" s="21"/>
      <c r="HB124" s="21"/>
      <c r="HC124" s="21"/>
      <c r="HD124" s="21"/>
      <c r="HE124" s="21"/>
      <c r="HF124" s="21"/>
      <c r="HG124" s="21"/>
      <c r="HH124" s="21"/>
      <c r="HI124" s="21"/>
      <c r="HJ124" s="21"/>
      <c r="HK124" s="21"/>
      <c r="HL124" s="21"/>
      <c r="HM124" s="21"/>
      <c r="HN124" s="21"/>
      <c r="HO124" s="21"/>
      <c r="HP124" s="21"/>
      <c r="HQ124" s="21"/>
      <c r="HR124" s="21"/>
      <c r="HS124" s="21"/>
      <c r="HT124" s="21"/>
      <c r="HU124" s="21"/>
      <c r="HV124" s="21"/>
      <c r="HW124" s="21"/>
      <c r="HX124" s="21"/>
      <c r="HY124" s="21"/>
      <c r="HZ124" s="21"/>
      <c r="IA124" s="21"/>
      <c r="IB124" s="21"/>
      <c r="IC124" s="21"/>
      <c r="ID124" s="21"/>
      <c r="IE124" s="21"/>
      <c r="IF124" s="21"/>
      <c r="IG124" s="21"/>
      <c r="IH124" s="21"/>
      <c r="II124" s="21"/>
      <c r="IJ124" s="21"/>
      <c r="IK124" s="21"/>
      <c r="IL124" s="21"/>
      <c r="IM124" s="21"/>
      <c r="IN124" s="21"/>
      <c r="IO124" s="21"/>
      <c r="IP124" s="21"/>
      <c r="IQ124" s="21"/>
      <c r="IR124" s="21"/>
      <c r="IS124" s="21"/>
      <c r="IT124" s="21"/>
      <c r="IU124" s="21"/>
      <c r="IV124" s="21"/>
      <c r="IW124" s="21"/>
    </row>
    <row r="125" customFormat="false" ht="12.75" hidden="false" customHeight="false" outlineLevel="0" collapsed="false">
      <c r="A125" s="1269"/>
      <c r="B125" s="1246"/>
      <c r="C125" s="1246"/>
      <c r="D125" s="1246"/>
      <c r="E125" s="1246"/>
      <c r="F125" s="1246"/>
      <c r="G125" s="1246"/>
      <c r="H125" s="1246"/>
      <c r="I125" s="1246"/>
      <c r="J125" s="1246"/>
      <c r="K125" s="1246"/>
      <c r="L125" s="1246"/>
      <c r="M125" s="1246"/>
      <c r="N125" s="1246"/>
      <c r="O125" s="1246"/>
      <c r="P125" s="1246"/>
      <c r="Q125" s="1246"/>
      <c r="R125" s="1246"/>
      <c r="S125" s="1246"/>
      <c r="T125" s="1246"/>
      <c r="U125" s="1246"/>
      <c r="V125" s="1246"/>
      <c r="W125" s="1246"/>
      <c r="X125" s="1246"/>
      <c r="Y125" s="1246"/>
      <c r="Z125" s="1246"/>
      <c r="AA125" s="1246"/>
      <c r="AB125" s="1246"/>
      <c r="AC125" s="1246"/>
      <c r="AD125" s="1246"/>
      <c r="AE125" s="1246"/>
      <c r="AF125" s="1246"/>
      <c r="AG125" s="1246"/>
      <c r="AH125" s="1246"/>
      <c r="AI125" s="1246"/>
      <c r="AJ125" s="1246"/>
      <c r="AK125" s="1246"/>
      <c r="AL125" s="1246"/>
      <c r="AM125" s="1246"/>
      <c r="AN125" s="1246"/>
      <c r="AO125" s="1246"/>
      <c r="AP125" s="1246"/>
      <c r="AQ125" s="1246"/>
      <c r="AR125" s="1246"/>
      <c r="AS125" s="1246"/>
      <c r="AT125" s="1246"/>
      <c r="AU125" s="1246"/>
      <c r="AV125" s="1246"/>
      <c r="AW125" s="1246"/>
      <c r="AX125" s="1246"/>
      <c r="AY125" s="1246"/>
      <c r="AZ125" s="1246"/>
      <c r="BA125" s="1246"/>
      <c r="BB125" s="1246"/>
      <c r="BC125" s="1246"/>
      <c r="BD125" s="1246"/>
      <c r="BE125" s="1246"/>
      <c r="BF125" s="1246"/>
      <c r="BG125" s="1246"/>
      <c r="BH125" s="1246"/>
      <c r="BI125" s="1246"/>
      <c r="BJ125" s="1246"/>
      <c r="BK125" s="1246"/>
      <c r="BL125" s="1246"/>
      <c r="BM125" s="1246"/>
      <c r="BN125" s="1246"/>
      <c r="BO125" s="1246"/>
      <c r="BP125" s="1246"/>
      <c r="BQ125" s="1246"/>
      <c r="BR125" s="1246"/>
      <c r="BS125" s="1246"/>
      <c r="BT125" s="1246"/>
      <c r="BU125" s="1246"/>
      <c r="BV125" s="1246"/>
      <c r="BW125" s="1246"/>
      <c r="BX125" s="1246"/>
      <c r="BY125" s="1246"/>
      <c r="BZ125" s="1246"/>
      <c r="CA125" s="1246"/>
      <c r="CB125" s="1246"/>
      <c r="CC125" s="1246"/>
      <c r="CD125" s="1246"/>
      <c r="CE125" s="1246"/>
      <c r="CF125" s="1246"/>
      <c r="CG125" s="1246"/>
      <c r="CH125" s="1246"/>
      <c r="CI125" s="1246"/>
      <c r="CJ125" s="1246"/>
      <c r="CK125" s="1246"/>
      <c r="CL125" s="1246"/>
      <c r="CM125" s="1246"/>
      <c r="CN125" s="1246"/>
      <c r="CO125" s="1246"/>
      <c r="CP125" s="1246"/>
      <c r="CQ125" s="1246"/>
      <c r="CR125" s="1246"/>
      <c r="CS125" s="1246"/>
      <c r="CT125" s="1246"/>
      <c r="CU125" s="1246"/>
      <c r="CV125" s="1246"/>
      <c r="CW125" s="1246"/>
      <c r="CX125" s="1246"/>
      <c r="CY125" s="1246"/>
      <c r="CZ125" s="1246"/>
      <c r="DA125" s="1246"/>
      <c r="DB125" s="1246"/>
      <c r="DC125" s="1246"/>
      <c r="DD125" s="1246"/>
      <c r="DE125" s="1246"/>
      <c r="DF125" s="1246"/>
      <c r="DG125" s="1246"/>
      <c r="DH125" s="1246"/>
      <c r="DI125" s="1246"/>
      <c r="DJ125" s="1246"/>
      <c r="DK125" s="1246"/>
      <c r="DL125" s="1246"/>
      <c r="DM125" s="1246"/>
      <c r="DN125" s="1246"/>
      <c r="DO125" s="1246"/>
      <c r="DP125" s="1246"/>
      <c r="DQ125" s="1246"/>
      <c r="DR125" s="1246"/>
      <c r="DS125" s="1246"/>
      <c r="DT125" s="1246"/>
      <c r="DU125" s="1246"/>
      <c r="DV125" s="1246"/>
      <c r="DW125" s="1246"/>
      <c r="DX125" s="1246"/>
      <c r="DY125" s="1246"/>
      <c r="DZ125" s="1246"/>
      <c r="EA125" s="1246"/>
      <c r="EB125" s="1246"/>
      <c r="EC125" s="1246"/>
      <c r="ED125" s="1246"/>
      <c r="EE125" s="1246"/>
      <c r="EF125" s="1246"/>
      <c r="EG125" s="1246"/>
      <c r="EH125" s="1246"/>
      <c r="EI125" s="1246"/>
      <c r="EJ125" s="1246"/>
      <c r="EK125" s="1246"/>
      <c r="EL125" s="1246"/>
      <c r="EM125" s="1246"/>
      <c r="EN125" s="1246"/>
      <c r="EO125" s="21"/>
      <c r="EP125" s="21"/>
      <c r="EQ125" s="21"/>
      <c r="ER125" s="21"/>
      <c r="ES125" s="21"/>
      <c r="ET125" s="21"/>
      <c r="EU125" s="21"/>
      <c r="EV125" s="21"/>
      <c r="EW125" s="21"/>
      <c r="EX125" s="21"/>
      <c r="EY125" s="21"/>
      <c r="EZ125" s="21"/>
      <c r="FA125" s="21"/>
      <c r="FB125" s="21"/>
      <c r="FC125" s="21"/>
      <c r="FD125" s="21"/>
      <c r="FE125" s="21"/>
      <c r="FF125" s="21"/>
      <c r="FG125" s="21"/>
      <c r="FH125" s="21"/>
      <c r="FI125" s="21"/>
      <c r="FJ125" s="21"/>
      <c r="FK125" s="21"/>
      <c r="FL125" s="21"/>
      <c r="FM125" s="21"/>
      <c r="FN125" s="21"/>
      <c r="FO125" s="21"/>
      <c r="FP125" s="21"/>
      <c r="FQ125" s="21"/>
      <c r="FR125" s="21"/>
      <c r="FS125" s="21"/>
      <c r="FT125" s="21"/>
      <c r="FU125" s="21"/>
      <c r="FV125" s="21"/>
      <c r="FW125" s="21"/>
      <c r="FX125" s="21"/>
      <c r="FY125" s="21"/>
      <c r="FZ125" s="21"/>
      <c r="GA125" s="21"/>
      <c r="GB125" s="21"/>
      <c r="GC125" s="21"/>
      <c r="GD125" s="21"/>
      <c r="GE125" s="21"/>
      <c r="GF125" s="21"/>
      <c r="GG125" s="21"/>
      <c r="GH125" s="21"/>
      <c r="GI125" s="21"/>
      <c r="GJ125" s="21"/>
      <c r="GK125" s="21"/>
      <c r="GL125" s="21"/>
      <c r="GM125" s="21"/>
      <c r="GN125" s="21"/>
      <c r="GO125" s="21"/>
      <c r="GP125" s="21"/>
      <c r="GQ125" s="21"/>
      <c r="GR125" s="21"/>
      <c r="GS125" s="21"/>
      <c r="GT125" s="21"/>
      <c r="GU125" s="21"/>
      <c r="GV125" s="21"/>
      <c r="GW125" s="21"/>
      <c r="GX125" s="21"/>
      <c r="GY125" s="21"/>
      <c r="GZ125" s="21"/>
      <c r="HA125" s="21"/>
      <c r="HB125" s="21"/>
      <c r="HC125" s="21"/>
      <c r="HD125" s="21"/>
      <c r="HE125" s="21"/>
      <c r="HF125" s="21"/>
      <c r="HG125" s="21"/>
      <c r="HH125" s="21"/>
      <c r="HI125" s="21"/>
      <c r="HJ125" s="21"/>
      <c r="HK125" s="21"/>
      <c r="HL125" s="21"/>
      <c r="HM125" s="21"/>
      <c r="HN125" s="21"/>
      <c r="HO125" s="21"/>
      <c r="HP125" s="21"/>
      <c r="HQ125" s="21"/>
      <c r="HR125" s="21"/>
      <c r="HS125" s="21"/>
      <c r="HT125" s="21"/>
      <c r="HU125" s="21"/>
      <c r="HV125" s="21"/>
      <c r="HW125" s="21"/>
      <c r="HX125" s="21"/>
      <c r="HY125" s="21"/>
      <c r="HZ125" s="21"/>
      <c r="IA125" s="21"/>
      <c r="IB125" s="21"/>
      <c r="IC125" s="21"/>
      <c r="ID125" s="21"/>
      <c r="IE125" s="21"/>
      <c r="IF125" s="21"/>
      <c r="IG125" s="21"/>
      <c r="IH125" s="21"/>
      <c r="II125" s="21"/>
      <c r="IJ125" s="21"/>
      <c r="IK125" s="21"/>
      <c r="IL125" s="21"/>
      <c r="IM125" s="21"/>
      <c r="IN125" s="21"/>
      <c r="IO125" s="21"/>
      <c r="IP125" s="21"/>
      <c r="IQ125" s="21"/>
      <c r="IR125" s="21"/>
      <c r="IS125" s="21"/>
      <c r="IT125" s="21"/>
      <c r="IU125" s="21"/>
      <c r="IV125" s="21"/>
      <c r="IW125" s="21"/>
    </row>
    <row r="126" customFormat="false" ht="12.75" hidden="false" customHeight="false" outlineLevel="0" collapsed="false">
      <c r="A126" s="1269"/>
      <c r="B126" s="1246"/>
      <c r="C126" s="1246"/>
      <c r="D126" s="1246"/>
      <c r="E126" s="1246"/>
      <c r="F126" s="1246"/>
      <c r="G126" s="1246"/>
      <c r="H126" s="1246"/>
      <c r="I126" s="1246"/>
      <c r="J126" s="1246"/>
      <c r="K126" s="1246"/>
      <c r="L126" s="1246"/>
      <c r="M126" s="1246"/>
      <c r="N126" s="1246"/>
      <c r="O126" s="1246"/>
      <c r="P126" s="1246"/>
      <c r="Q126" s="1246"/>
      <c r="R126" s="1246"/>
      <c r="S126" s="1246"/>
      <c r="T126" s="1246"/>
      <c r="U126" s="1246"/>
      <c r="V126" s="1246"/>
      <c r="W126" s="1246"/>
      <c r="X126" s="1246"/>
      <c r="Y126" s="1246"/>
      <c r="Z126" s="1246"/>
      <c r="AA126" s="1246"/>
      <c r="AB126" s="1246"/>
      <c r="AC126" s="1246"/>
      <c r="AD126" s="1246"/>
      <c r="AE126" s="1246"/>
      <c r="AF126" s="1246"/>
      <c r="AG126" s="1246"/>
      <c r="AH126" s="1246"/>
      <c r="AI126" s="1246"/>
      <c r="AJ126" s="1246"/>
      <c r="AK126" s="1246"/>
      <c r="AL126" s="1246"/>
      <c r="AM126" s="1246"/>
      <c r="AN126" s="1246"/>
      <c r="AO126" s="1246"/>
      <c r="AP126" s="1246"/>
      <c r="AQ126" s="1246"/>
      <c r="AR126" s="1246"/>
      <c r="AS126" s="1246"/>
      <c r="AT126" s="1246"/>
      <c r="AU126" s="1246"/>
      <c r="AV126" s="1246"/>
      <c r="AW126" s="1246"/>
      <c r="AX126" s="1246"/>
      <c r="AY126" s="1246"/>
      <c r="AZ126" s="1246"/>
      <c r="BA126" s="1246"/>
      <c r="BB126" s="1246"/>
      <c r="BC126" s="1246"/>
      <c r="BD126" s="1246"/>
      <c r="BE126" s="1246"/>
      <c r="BF126" s="1246"/>
      <c r="BG126" s="1246"/>
      <c r="BH126" s="1246"/>
      <c r="BI126" s="1246"/>
      <c r="BJ126" s="1246"/>
      <c r="BK126" s="1246"/>
      <c r="BL126" s="1246"/>
      <c r="BM126" s="1246"/>
      <c r="BN126" s="1246"/>
      <c r="BO126" s="1246"/>
      <c r="BP126" s="1246"/>
      <c r="BQ126" s="1246"/>
      <c r="BR126" s="1246"/>
      <c r="BS126" s="1246"/>
      <c r="BT126" s="1246"/>
      <c r="BU126" s="1246"/>
      <c r="BV126" s="1246"/>
      <c r="BW126" s="1246"/>
      <c r="BX126" s="1246"/>
      <c r="BY126" s="1246"/>
      <c r="BZ126" s="1246"/>
      <c r="CA126" s="1246"/>
      <c r="CB126" s="1246"/>
      <c r="CC126" s="1246"/>
      <c r="CD126" s="1246"/>
      <c r="CE126" s="1246"/>
      <c r="CF126" s="1246"/>
      <c r="CG126" s="1246"/>
      <c r="CH126" s="1246"/>
      <c r="CI126" s="1246"/>
      <c r="CJ126" s="1246"/>
      <c r="CK126" s="1246"/>
      <c r="CL126" s="1246"/>
      <c r="CM126" s="1246"/>
      <c r="CN126" s="1246"/>
      <c r="CO126" s="1246"/>
      <c r="CP126" s="1246"/>
      <c r="CQ126" s="1246"/>
      <c r="CR126" s="1246"/>
      <c r="CS126" s="1246"/>
      <c r="CT126" s="1246"/>
      <c r="CU126" s="1246"/>
      <c r="CV126" s="1246"/>
      <c r="CW126" s="1246"/>
      <c r="CX126" s="1246"/>
      <c r="CY126" s="1246"/>
      <c r="CZ126" s="1246"/>
      <c r="DA126" s="1246"/>
      <c r="DB126" s="1246"/>
      <c r="DC126" s="1246"/>
      <c r="DD126" s="1246"/>
      <c r="DE126" s="1246"/>
      <c r="DF126" s="1246"/>
      <c r="DG126" s="1246"/>
      <c r="DH126" s="1246"/>
      <c r="DI126" s="1246"/>
      <c r="DJ126" s="1246"/>
      <c r="DK126" s="1246"/>
      <c r="DL126" s="1246"/>
      <c r="DM126" s="1246"/>
      <c r="DN126" s="1246"/>
      <c r="DO126" s="1246"/>
      <c r="DP126" s="1246"/>
      <c r="DQ126" s="1246"/>
      <c r="DR126" s="1246"/>
      <c r="DS126" s="1246"/>
      <c r="DT126" s="1246"/>
      <c r="DU126" s="1246"/>
      <c r="DV126" s="1246"/>
      <c r="DW126" s="1246"/>
      <c r="DX126" s="1246"/>
      <c r="DY126" s="1246"/>
      <c r="DZ126" s="1246"/>
      <c r="EA126" s="1246"/>
      <c r="EB126" s="1246"/>
      <c r="EC126" s="1246"/>
      <c r="ED126" s="1246"/>
      <c r="EE126" s="1246"/>
      <c r="EF126" s="1246"/>
      <c r="EG126" s="1246"/>
      <c r="EH126" s="1246"/>
      <c r="EI126" s="1246"/>
      <c r="EJ126" s="1246"/>
      <c r="EK126" s="1246"/>
      <c r="EL126" s="1246"/>
      <c r="EM126" s="1246"/>
      <c r="EN126" s="1246"/>
      <c r="EO126" s="21"/>
      <c r="EP126" s="21"/>
      <c r="EQ126" s="21"/>
      <c r="ER126" s="21"/>
      <c r="ES126" s="21"/>
      <c r="ET126" s="21"/>
      <c r="EU126" s="21"/>
      <c r="EV126" s="21"/>
      <c r="EW126" s="21"/>
      <c r="EX126" s="21"/>
      <c r="EY126" s="21"/>
      <c r="EZ126" s="21"/>
      <c r="FA126" s="21"/>
      <c r="FB126" s="21"/>
      <c r="FC126" s="21"/>
      <c r="FD126" s="21"/>
      <c r="FE126" s="21"/>
      <c r="FF126" s="21"/>
      <c r="FG126" s="21"/>
      <c r="FH126" s="21"/>
      <c r="FI126" s="21"/>
      <c r="FJ126" s="21"/>
      <c r="FK126" s="21"/>
      <c r="FL126" s="21"/>
      <c r="FM126" s="21"/>
      <c r="FN126" s="21"/>
      <c r="FO126" s="21"/>
      <c r="FP126" s="21"/>
      <c r="FQ126" s="21"/>
      <c r="FR126" s="21"/>
      <c r="FS126" s="21"/>
      <c r="FT126" s="21"/>
      <c r="FU126" s="21"/>
      <c r="FV126" s="21"/>
      <c r="FW126" s="21"/>
      <c r="FX126" s="21"/>
      <c r="FY126" s="21"/>
      <c r="FZ126" s="21"/>
      <c r="GA126" s="21"/>
      <c r="GB126" s="21"/>
      <c r="GC126" s="21"/>
      <c r="GD126" s="21"/>
      <c r="GE126" s="21"/>
      <c r="GF126" s="21"/>
      <c r="GG126" s="21"/>
      <c r="GH126" s="21"/>
      <c r="GI126" s="21"/>
      <c r="GJ126" s="21"/>
      <c r="GK126" s="21"/>
      <c r="GL126" s="21"/>
      <c r="GM126" s="21"/>
      <c r="GN126" s="21"/>
      <c r="GO126" s="21"/>
      <c r="GP126" s="21"/>
      <c r="GQ126" s="21"/>
      <c r="GR126" s="21"/>
      <c r="GS126" s="21"/>
      <c r="GT126" s="21"/>
      <c r="GU126" s="21"/>
      <c r="GV126" s="21"/>
      <c r="GW126" s="21"/>
      <c r="GX126" s="21"/>
      <c r="GY126" s="21"/>
      <c r="GZ126" s="21"/>
      <c r="HA126" s="21"/>
      <c r="HB126" s="21"/>
      <c r="HC126" s="21"/>
      <c r="HD126" s="21"/>
      <c r="HE126" s="21"/>
      <c r="HF126" s="21"/>
      <c r="HG126" s="21"/>
      <c r="HH126" s="21"/>
      <c r="HI126" s="21"/>
      <c r="HJ126" s="21"/>
      <c r="HK126" s="21"/>
      <c r="HL126" s="21"/>
      <c r="HM126" s="21"/>
      <c r="HN126" s="21"/>
      <c r="HO126" s="21"/>
      <c r="HP126" s="21"/>
      <c r="HQ126" s="21"/>
      <c r="HR126" s="21"/>
      <c r="HS126" s="21"/>
      <c r="HT126" s="21"/>
      <c r="HU126" s="21"/>
      <c r="HV126" s="21"/>
      <c r="HW126" s="21"/>
      <c r="HX126" s="21"/>
      <c r="HY126" s="21"/>
      <c r="HZ126" s="21"/>
      <c r="IA126" s="21"/>
      <c r="IB126" s="21"/>
      <c r="IC126" s="21"/>
      <c r="ID126" s="21"/>
      <c r="IE126" s="21"/>
      <c r="IF126" s="21"/>
      <c r="IG126" s="21"/>
      <c r="IH126" s="21"/>
      <c r="II126" s="21"/>
      <c r="IJ126" s="21"/>
      <c r="IK126" s="21"/>
      <c r="IL126" s="21"/>
      <c r="IM126" s="21"/>
      <c r="IN126" s="21"/>
      <c r="IO126" s="21"/>
      <c r="IP126" s="21"/>
      <c r="IQ126" s="21"/>
      <c r="IR126" s="21"/>
      <c r="IS126" s="21"/>
      <c r="IT126" s="21"/>
      <c r="IU126" s="21"/>
      <c r="IV126" s="21"/>
      <c r="IW126" s="21"/>
    </row>
    <row r="127" customFormat="false" ht="12.75" hidden="false" customHeight="false" outlineLevel="0" collapsed="false">
      <c r="A127" s="1269"/>
      <c r="B127" s="1246"/>
      <c r="C127" s="1246"/>
      <c r="D127" s="1246"/>
      <c r="E127" s="1246"/>
      <c r="F127" s="1246"/>
      <c r="G127" s="1246"/>
      <c r="H127" s="1246"/>
      <c r="I127" s="1246"/>
      <c r="J127" s="1246"/>
      <c r="K127" s="1246"/>
      <c r="L127" s="1246"/>
      <c r="M127" s="1246"/>
      <c r="N127" s="1246"/>
      <c r="O127" s="1246"/>
      <c r="P127" s="1246"/>
      <c r="Q127" s="1246"/>
      <c r="R127" s="1246"/>
      <c r="S127" s="1246"/>
      <c r="T127" s="1246"/>
      <c r="U127" s="1246"/>
      <c r="V127" s="1246"/>
      <c r="W127" s="1246"/>
      <c r="X127" s="1246"/>
      <c r="Y127" s="1246"/>
      <c r="Z127" s="1246"/>
      <c r="AA127" s="1246"/>
      <c r="AB127" s="1246"/>
      <c r="AC127" s="1246"/>
      <c r="AD127" s="1246"/>
      <c r="AE127" s="1246"/>
      <c r="AF127" s="1246"/>
      <c r="AG127" s="1246"/>
      <c r="AH127" s="1246"/>
      <c r="AI127" s="1246"/>
      <c r="AJ127" s="1246"/>
      <c r="AK127" s="1246"/>
      <c r="AL127" s="1246"/>
      <c r="AM127" s="1246"/>
      <c r="AN127" s="1246"/>
      <c r="AO127" s="1246"/>
      <c r="AP127" s="1246"/>
      <c r="AQ127" s="1246"/>
      <c r="AR127" s="1246"/>
      <c r="AS127" s="1246"/>
      <c r="AT127" s="1246"/>
      <c r="AU127" s="1246"/>
      <c r="AV127" s="1246"/>
      <c r="AW127" s="1246"/>
      <c r="AX127" s="1246"/>
      <c r="AY127" s="1246"/>
      <c r="AZ127" s="1246"/>
      <c r="BA127" s="1246"/>
      <c r="BB127" s="1246"/>
      <c r="BC127" s="1246"/>
      <c r="BD127" s="1246"/>
      <c r="BE127" s="1246"/>
      <c r="BF127" s="1246"/>
      <c r="BG127" s="1246"/>
      <c r="BH127" s="1246"/>
      <c r="BI127" s="1246"/>
      <c r="BJ127" s="1246"/>
      <c r="BK127" s="1246"/>
      <c r="BL127" s="1246"/>
      <c r="BM127" s="1246"/>
      <c r="BN127" s="1246"/>
      <c r="BO127" s="1246"/>
      <c r="BP127" s="1246"/>
      <c r="BQ127" s="1246"/>
      <c r="BR127" s="1246"/>
      <c r="BS127" s="1246"/>
      <c r="BT127" s="1246"/>
      <c r="BU127" s="1246"/>
      <c r="BV127" s="1246"/>
      <c r="BW127" s="1246"/>
      <c r="BX127" s="1246"/>
      <c r="BY127" s="1246"/>
      <c r="BZ127" s="1246"/>
      <c r="CA127" s="1246"/>
      <c r="CB127" s="1246"/>
      <c r="CC127" s="1246"/>
      <c r="CD127" s="1246"/>
      <c r="CE127" s="1246"/>
      <c r="CF127" s="1246"/>
      <c r="CG127" s="1246"/>
      <c r="CH127" s="1246"/>
      <c r="CI127" s="1246"/>
      <c r="CJ127" s="1246"/>
      <c r="CK127" s="1246"/>
      <c r="CL127" s="1246"/>
      <c r="CM127" s="1246"/>
      <c r="CN127" s="1246"/>
      <c r="CO127" s="1246"/>
      <c r="CP127" s="1246"/>
      <c r="CQ127" s="1246"/>
      <c r="CR127" s="1246"/>
      <c r="CS127" s="1246"/>
      <c r="CT127" s="1246"/>
      <c r="CU127" s="1246"/>
      <c r="CV127" s="1246"/>
      <c r="CW127" s="1246"/>
      <c r="CX127" s="1246"/>
      <c r="CY127" s="1246"/>
      <c r="CZ127" s="1246"/>
      <c r="DA127" s="1246"/>
      <c r="DB127" s="1246"/>
      <c r="DC127" s="1246"/>
      <c r="DD127" s="1246"/>
      <c r="DE127" s="1246"/>
      <c r="DF127" s="1246"/>
      <c r="DG127" s="1246"/>
      <c r="DH127" s="1246"/>
      <c r="DI127" s="1246"/>
      <c r="DJ127" s="1246"/>
      <c r="DK127" s="1246"/>
      <c r="DL127" s="1246"/>
      <c r="DM127" s="1246"/>
      <c r="DN127" s="1246"/>
      <c r="DO127" s="1246"/>
      <c r="DP127" s="1246"/>
      <c r="DQ127" s="1246"/>
      <c r="DR127" s="1246"/>
      <c r="DS127" s="1246"/>
      <c r="DT127" s="1246"/>
      <c r="DU127" s="1246"/>
      <c r="DV127" s="1246"/>
      <c r="DW127" s="1246"/>
      <c r="DX127" s="1246"/>
      <c r="DY127" s="1246"/>
      <c r="DZ127" s="1246"/>
      <c r="EA127" s="1246"/>
      <c r="EB127" s="1246"/>
      <c r="EC127" s="1246"/>
      <c r="ED127" s="1246"/>
      <c r="EE127" s="1246"/>
      <c r="EF127" s="1246"/>
      <c r="EG127" s="1246"/>
      <c r="EH127" s="1246"/>
      <c r="EI127" s="1246"/>
      <c r="EJ127" s="1246"/>
      <c r="EK127" s="1246"/>
      <c r="EL127" s="1246"/>
      <c r="EM127" s="1246"/>
      <c r="EN127" s="1246"/>
      <c r="EO127" s="21"/>
      <c r="EP127" s="21"/>
      <c r="EQ127" s="21"/>
      <c r="ER127" s="21"/>
      <c r="ES127" s="21"/>
      <c r="ET127" s="21"/>
      <c r="EU127" s="21"/>
      <c r="EV127" s="21"/>
      <c r="EW127" s="21"/>
      <c r="EX127" s="21"/>
      <c r="EY127" s="21"/>
      <c r="EZ127" s="21"/>
      <c r="FA127" s="21"/>
      <c r="FB127" s="21"/>
      <c r="FC127" s="21"/>
      <c r="FD127" s="21"/>
      <c r="FE127" s="21"/>
      <c r="FF127" s="21"/>
      <c r="FG127" s="21"/>
      <c r="FH127" s="21"/>
      <c r="FI127" s="21"/>
      <c r="FJ127" s="21"/>
      <c r="FK127" s="21"/>
      <c r="FL127" s="21"/>
      <c r="FM127" s="21"/>
      <c r="FN127" s="21"/>
      <c r="FO127" s="21"/>
      <c r="FP127" s="21"/>
      <c r="FQ127" s="21"/>
      <c r="FR127" s="21"/>
      <c r="FS127" s="21"/>
      <c r="FT127" s="21"/>
      <c r="FU127" s="21"/>
      <c r="FV127" s="21"/>
      <c r="FW127" s="21"/>
      <c r="FX127" s="21"/>
      <c r="FY127" s="21"/>
      <c r="FZ127" s="21"/>
      <c r="GA127" s="21"/>
      <c r="GB127" s="21"/>
      <c r="GC127" s="21"/>
      <c r="GD127" s="21"/>
      <c r="GE127" s="21"/>
      <c r="GF127" s="21"/>
      <c r="GG127" s="21"/>
      <c r="GH127" s="21"/>
      <c r="GI127" s="21"/>
      <c r="GJ127" s="21"/>
      <c r="GK127" s="21"/>
      <c r="GL127" s="21"/>
      <c r="GM127" s="21"/>
      <c r="GN127" s="21"/>
      <c r="GO127" s="21"/>
      <c r="GP127" s="21"/>
      <c r="GQ127" s="21"/>
      <c r="GR127" s="21"/>
      <c r="GS127" s="21"/>
      <c r="GT127" s="21"/>
      <c r="GU127" s="21"/>
      <c r="GV127" s="21"/>
      <c r="GW127" s="21"/>
      <c r="GX127" s="21"/>
      <c r="GY127" s="21"/>
      <c r="GZ127" s="21"/>
      <c r="HA127" s="21"/>
      <c r="HB127" s="21"/>
      <c r="HC127" s="21"/>
      <c r="HD127" s="21"/>
      <c r="HE127" s="21"/>
      <c r="HF127" s="21"/>
      <c r="HG127" s="21"/>
      <c r="HH127" s="21"/>
      <c r="HI127" s="21"/>
      <c r="HJ127" s="21"/>
      <c r="HK127" s="21"/>
      <c r="HL127" s="21"/>
      <c r="HM127" s="21"/>
      <c r="HN127" s="21"/>
      <c r="HO127" s="21"/>
      <c r="HP127" s="21"/>
      <c r="HQ127" s="21"/>
      <c r="HR127" s="21"/>
      <c r="HS127" s="21"/>
      <c r="HT127" s="21"/>
      <c r="HU127" s="21"/>
      <c r="HV127" s="21"/>
      <c r="HW127" s="21"/>
      <c r="HX127" s="21"/>
      <c r="HY127" s="21"/>
      <c r="HZ127" s="21"/>
      <c r="IA127" s="21"/>
      <c r="IB127" s="21"/>
      <c r="IC127" s="21"/>
      <c r="ID127" s="21"/>
      <c r="IE127" s="21"/>
      <c r="IF127" s="21"/>
      <c r="IG127" s="21"/>
      <c r="IH127" s="21"/>
      <c r="II127" s="21"/>
      <c r="IJ127" s="21"/>
      <c r="IK127" s="21"/>
      <c r="IL127" s="21"/>
      <c r="IM127" s="21"/>
      <c r="IN127" s="21"/>
      <c r="IO127" s="21"/>
      <c r="IP127" s="21"/>
      <c r="IQ127" s="21"/>
      <c r="IR127" s="21"/>
      <c r="IS127" s="21"/>
      <c r="IT127" s="21"/>
      <c r="IU127" s="21"/>
      <c r="IV127" s="21"/>
      <c r="IW127" s="21"/>
    </row>
    <row r="128" customFormat="false" ht="12.75" hidden="false" customHeight="false" outlineLevel="0" collapsed="false">
      <c r="A128" s="1269"/>
      <c r="B128" s="1246"/>
      <c r="C128" s="1246"/>
      <c r="D128" s="1246"/>
      <c r="E128" s="1246"/>
      <c r="F128" s="1246"/>
      <c r="G128" s="1246"/>
      <c r="H128" s="1246"/>
      <c r="I128" s="1246"/>
      <c r="J128" s="1246"/>
      <c r="K128" s="1246"/>
      <c r="L128" s="1246"/>
      <c r="M128" s="1246"/>
      <c r="N128" s="1246"/>
      <c r="O128" s="1246"/>
      <c r="P128" s="1246"/>
      <c r="Q128" s="1246"/>
      <c r="R128" s="1246"/>
      <c r="S128" s="1246"/>
      <c r="T128" s="1246"/>
      <c r="U128" s="1246"/>
      <c r="V128" s="1246"/>
      <c r="W128" s="1246"/>
      <c r="X128" s="1246"/>
      <c r="Y128" s="1246"/>
      <c r="Z128" s="1246"/>
      <c r="AA128" s="1246"/>
      <c r="AB128" s="1246"/>
      <c r="AC128" s="1246"/>
      <c r="AD128" s="1246"/>
      <c r="AE128" s="1246"/>
      <c r="AF128" s="1246"/>
      <c r="AG128" s="1246"/>
      <c r="AH128" s="1246"/>
      <c r="AI128" s="1246"/>
      <c r="AJ128" s="1246"/>
      <c r="AK128" s="1246"/>
      <c r="AL128" s="1246"/>
      <c r="AM128" s="1246"/>
      <c r="AN128" s="1246"/>
      <c r="AO128" s="1246"/>
      <c r="AP128" s="1246"/>
      <c r="AQ128" s="1246"/>
      <c r="AR128" s="1246"/>
      <c r="AS128" s="1246"/>
      <c r="AT128" s="1246"/>
      <c r="AU128" s="1246"/>
      <c r="AV128" s="1246"/>
      <c r="AW128" s="1246"/>
      <c r="AX128" s="1246"/>
      <c r="AY128" s="1246"/>
      <c r="AZ128" s="1246"/>
      <c r="BA128" s="1246"/>
      <c r="BB128" s="1246"/>
      <c r="BC128" s="1246"/>
      <c r="BD128" s="1246"/>
      <c r="BE128" s="1246"/>
      <c r="BF128" s="1246"/>
      <c r="BG128" s="1246"/>
      <c r="BH128" s="1246"/>
      <c r="BI128" s="1246"/>
      <c r="BJ128" s="1246"/>
      <c r="BK128" s="1246"/>
      <c r="BL128" s="1246"/>
      <c r="BM128" s="1246"/>
      <c r="BN128" s="1246"/>
      <c r="BO128" s="1246"/>
      <c r="BP128" s="1246"/>
      <c r="BQ128" s="1246"/>
      <c r="BR128" s="1246"/>
      <c r="BS128" s="1246"/>
      <c r="BT128" s="1246"/>
      <c r="BU128" s="1246"/>
      <c r="BV128" s="1246"/>
      <c r="BW128" s="1246"/>
      <c r="BX128" s="1246"/>
      <c r="BY128" s="1246"/>
      <c r="BZ128" s="1246"/>
      <c r="CA128" s="1246"/>
      <c r="CB128" s="1246"/>
      <c r="CC128" s="1246"/>
      <c r="CD128" s="1246"/>
      <c r="CE128" s="1246"/>
      <c r="CF128" s="1246"/>
      <c r="CG128" s="1246"/>
      <c r="CH128" s="1246"/>
      <c r="CI128" s="1246"/>
      <c r="CJ128" s="1246"/>
      <c r="CK128" s="1246"/>
      <c r="CL128" s="1246"/>
      <c r="CM128" s="1246"/>
      <c r="CN128" s="1246"/>
      <c r="CO128" s="1246"/>
      <c r="CP128" s="1246"/>
      <c r="CQ128" s="1246"/>
      <c r="CR128" s="1246"/>
      <c r="CS128" s="1246"/>
      <c r="CT128" s="1246"/>
      <c r="CU128" s="1246"/>
      <c r="CV128" s="1246"/>
      <c r="CW128" s="1246"/>
      <c r="CX128" s="1246"/>
      <c r="CY128" s="1246"/>
      <c r="CZ128" s="1246"/>
      <c r="DA128" s="1246"/>
      <c r="DB128" s="1246"/>
      <c r="DC128" s="1246"/>
      <c r="DD128" s="1246"/>
      <c r="DE128" s="1246"/>
      <c r="DF128" s="1246"/>
      <c r="DG128" s="1246"/>
      <c r="DH128" s="1246"/>
      <c r="DI128" s="1246"/>
      <c r="DJ128" s="1246"/>
      <c r="DK128" s="1246"/>
      <c r="DL128" s="1246"/>
      <c r="DM128" s="1246"/>
      <c r="DN128" s="1246"/>
      <c r="DO128" s="1246"/>
      <c r="DP128" s="1246"/>
      <c r="DQ128" s="1246"/>
      <c r="DR128" s="1246"/>
      <c r="DS128" s="1246"/>
      <c r="DT128" s="1246"/>
      <c r="DU128" s="1246"/>
      <c r="DV128" s="1246"/>
      <c r="DW128" s="1246"/>
      <c r="DX128" s="1246"/>
      <c r="DY128" s="1246"/>
      <c r="DZ128" s="1246"/>
      <c r="EA128" s="1246"/>
      <c r="EB128" s="1246"/>
      <c r="EC128" s="1246"/>
      <c r="ED128" s="1246"/>
      <c r="EE128" s="1246"/>
      <c r="EF128" s="1246"/>
      <c r="EG128" s="1246"/>
      <c r="EH128" s="1246"/>
      <c r="EI128" s="1246"/>
      <c r="EJ128" s="1246"/>
      <c r="EK128" s="1246"/>
      <c r="EL128" s="1246"/>
      <c r="EM128" s="1246"/>
      <c r="EN128" s="1246"/>
      <c r="EO128" s="21"/>
      <c r="EP128" s="21"/>
      <c r="EQ128" s="21"/>
      <c r="ER128" s="21"/>
      <c r="ES128" s="21"/>
      <c r="ET128" s="21"/>
      <c r="EU128" s="21"/>
      <c r="EV128" s="21"/>
      <c r="EW128" s="21"/>
      <c r="EX128" s="21"/>
      <c r="EY128" s="21"/>
      <c r="EZ128" s="21"/>
      <c r="FA128" s="21"/>
      <c r="FB128" s="21"/>
      <c r="FC128" s="21"/>
      <c r="FD128" s="21"/>
      <c r="FE128" s="21"/>
      <c r="FF128" s="21"/>
      <c r="FG128" s="21"/>
      <c r="FH128" s="21"/>
      <c r="FI128" s="21"/>
      <c r="FJ128" s="21"/>
      <c r="FK128" s="21"/>
      <c r="FL128" s="21"/>
      <c r="FM128" s="21"/>
      <c r="FN128" s="21"/>
      <c r="FO128" s="21"/>
      <c r="FP128" s="21"/>
      <c r="FQ128" s="21"/>
      <c r="FR128" s="21"/>
      <c r="FS128" s="21"/>
      <c r="FT128" s="21"/>
      <c r="FU128" s="21"/>
      <c r="FV128" s="21"/>
      <c r="FW128" s="21"/>
      <c r="FX128" s="21"/>
      <c r="FY128" s="21"/>
      <c r="FZ128" s="21"/>
      <c r="GA128" s="21"/>
      <c r="GB128" s="21"/>
      <c r="GC128" s="21"/>
      <c r="GD128" s="21"/>
      <c r="GE128" s="21"/>
      <c r="GF128" s="21"/>
      <c r="GG128" s="21"/>
      <c r="GH128" s="21"/>
      <c r="GI128" s="21"/>
      <c r="GJ128" s="21"/>
      <c r="GK128" s="21"/>
      <c r="GL128" s="21"/>
      <c r="GM128" s="21"/>
      <c r="GN128" s="21"/>
      <c r="GO128" s="21"/>
      <c r="GP128" s="21"/>
      <c r="GQ128" s="21"/>
      <c r="GR128" s="21"/>
      <c r="GS128" s="21"/>
      <c r="GT128" s="21"/>
      <c r="GU128" s="21"/>
      <c r="GV128" s="21"/>
      <c r="GW128" s="21"/>
      <c r="GX128" s="21"/>
      <c r="GY128" s="21"/>
      <c r="GZ128" s="21"/>
      <c r="HA128" s="21"/>
      <c r="HB128" s="21"/>
      <c r="HC128" s="21"/>
      <c r="HD128" s="21"/>
      <c r="HE128" s="21"/>
      <c r="HF128" s="21"/>
      <c r="HG128" s="21"/>
      <c r="HH128" s="21"/>
      <c r="HI128" s="21"/>
      <c r="HJ128" s="21"/>
      <c r="HK128" s="21"/>
      <c r="HL128" s="21"/>
      <c r="HM128" s="21"/>
      <c r="HN128" s="21"/>
      <c r="HO128" s="21"/>
      <c r="HP128" s="21"/>
      <c r="HQ128" s="21"/>
      <c r="HR128" s="21"/>
      <c r="HS128" s="21"/>
      <c r="HT128" s="21"/>
      <c r="HU128" s="21"/>
      <c r="HV128" s="21"/>
      <c r="HW128" s="21"/>
      <c r="HX128" s="21"/>
      <c r="HY128" s="21"/>
      <c r="HZ128" s="21"/>
      <c r="IA128" s="21"/>
      <c r="IB128" s="21"/>
      <c r="IC128" s="21"/>
      <c r="ID128" s="21"/>
      <c r="IE128" s="21"/>
      <c r="IF128" s="21"/>
      <c r="IG128" s="21"/>
      <c r="IH128" s="21"/>
      <c r="II128" s="21"/>
      <c r="IJ128" s="21"/>
      <c r="IK128" s="21"/>
      <c r="IL128" s="21"/>
      <c r="IM128" s="21"/>
      <c r="IN128" s="21"/>
      <c r="IO128" s="21"/>
      <c r="IP128" s="21"/>
      <c r="IQ128" s="21"/>
      <c r="IR128" s="21"/>
      <c r="IS128" s="21"/>
      <c r="IT128" s="21"/>
      <c r="IU128" s="21"/>
      <c r="IV128" s="21"/>
      <c r="IW128" s="21"/>
    </row>
    <row r="129" customFormat="false" ht="12.75" hidden="false" customHeight="false" outlineLevel="0" collapsed="false">
      <c r="A129" s="1269"/>
      <c r="B129" s="1246"/>
      <c r="C129" s="1246"/>
      <c r="D129" s="1246"/>
      <c r="E129" s="1246"/>
      <c r="F129" s="1246"/>
      <c r="G129" s="1246"/>
      <c r="H129" s="1246"/>
      <c r="I129" s="1246"/>
      <c r="J129" s="1246"/>
      <c r="K129" s="1246"/>
      <c r="L129" s="1246"/>
      <c r="M129" s="1246"/>
      <c r="N129" s="1246"/>
      <c r="O129" s="1246"/>
      <c r="P129" s="1246"/>
      <c r="Q129" s="1246"/>
      <c r="R129" s="1246"/>
      <c r="S129" s="1246"/>
      <c r="T129" s="1246"/>
      <c r="U129" s="1246"/>
      <c r="V129" s="1246"/>
      <c r="W129" s="1246"/>
      <c r="X129" s="1246"/>
      <c r="Y129" s="1246"/>
      <c r="Z129" s="1246"/>
      <c r="AA129" s="1246"/>
      <c r="AB129" s="1246"/>
      <c r="AC129" s="1246"/>
      <c r="AD129" s="1246"/>
      <c r="AE129" s="1246"/>
      <c r="AF129" s="1246"/>
      <c r="AG129" s="1246"/>
      <c r="AH129" s="1246"/>
      <c r="AI129" s="1246"/>
      <c r="AJ129" s="1246"/>
      <c r="AK129" s="1246"/>
      <c r="AL129" s="1246"/>
      <c r="AM129" s="1246"/>
      <c r="AN129" s="1246"/>
      <c r="AO129" s="1246"/>
      <c r="AP129" s="1246"/>
      <c r="AQ129" s="1246"/>
      <c r="AR129" s="1246"/>
      <c r="AS129" s="1246"/>
      <c r="AT129" s="1246"/>
      <c r="AU129" s="1246"/>
      <c r="AV129" s="1246"/>
      <c r="AW129" s="1246"/>
      <c r="AX129" s="1246"/>
      <c r="AY129" s="1246"/>
      <c r="AZ129" s="1246"/>
      <c r="BA129" s="1246"/>
      <c r="BB129" s="1246"/>
      <c r="BC129" s="1246"/>
      <c r="BD129" s="1246"/>
      <c r="BE129" s="1246"/>
      <c r="BF129" s="1246"/>
      <c r="BG129" s="1246"/>
      <c r="BH129" s="1246"/>
      <c r="BI129" s="1246"/>
      <c r="BJ129" s="1246"/>
      <c r="BK129" s="1246"/>
      <c r="BL129" s="1246"/>
      <c r="BM129" s="1246"/>
      <c r="BN129" s="1246"/>
      <c r="BO129" s="1246"/>
      <c r="BP129" s="1246"/>
      <c r="BQ129" s="1246"/>
      <c r="BR129" s="1246"/>
      <c r="BS129" s="1246"/>
      <c r="BT129" s="1246"/>
      <c r="BU129" s="1246"/>
      <c r="BV129" s="1246"/>
      <c r="BW129" s="1246"/>
      <c r="BX129" s="1246"/>
      <c r="BY129" s="1246"/>
      <c r="BZ129" s="1246"/>
      <c r="CA129" s="1246"/>
      <c r="CB129" s="1246"/>
      <c r="CC129" s="1246"/>
      <c r="CD129" s="1246"/>
      <c r="CE129" s="1246"/>
      <c r="CF129" s="1246"/>
      <c r="CG129" s="1246"/>
      <c r="CH129" s="1246"/>
      <c r="CI129" s="1246"/>
      <c r="CJ129" s="1246"/>
      <c r="CK129" s="1246"/>
      <c r="CL129" s="1246"/>
      <c r="CM129" s="1246"/>
      <c r="CN129" s="1246"/>
      <c r="CO129" s="1246"/>
      <c r="CP129" s="1246"/>
      <c r="CQ129" s="1246"/>
      <c r="CR129" s="1246"/>
      <c r="CS129" s="1246"/>
      <c r="CT129" s="1246"/>
      <c r="CU129" s="1246"/>
      <c r="CV129" s="1246"/>
      <c r="CW129" s="1246"/>
      <c r="CX129" s="1246"/>
      <c r="CY129" s="1246"/>
      <c r="CZ129" s="1246"/>
      <c r="DA129" s="1246"/>
      <c r="DB129" s="1246"/>
      <c r="DC129" s="1246"/>
      <c r="DD129" s="1246"/>
      <c r="DE129" s="1246"/>
      <c r="DF129" s="1246"/>
      <c r="DG129" s="1246"/>
      <c r="DH129" s="1246"/>
      <c r="DI129" s="1246"/>
      <c r="DJ129" s="1246"/>
      <c r="DK129" s="1246"/>
      <c r="DL129" s="1246"/>
      <c r="DM129" s="1246"/>
      <c r="DN129" s="1246"/>
      <c r="DO129" s="1246"/>
      <c r="DP129" s="1246"/>
      <c r="DQ129" s="1246"/>
      <c r="DR129" s="1246"/>
      <c r="DS129" s="1246"/>
      <c r="DT129" s="1246"/>
      <c r="DU129" s="1246"/>
      <c r="DV129" s="1246"/>
      <c r="DW129" s="1246"/>
      <c r="DX129" s="1246"/>
      <c r="DY129" s="1246"/>
      <c r="DZ129" s="1246"/>
      <c r="EA129" s="1246"/>
      <c r="EB129" s="1246"/>
      <c r="EC129" s="1246"/>
      <c r="ED129" s="1246"/>
      <c r="EE129" s="1246"/>
      <c r="EF129" s="1246"/>
      <c r="EG129" s="1246"/>
      <c r="EH129" s="1246"/>
      <c r="EI129" s="1246"/>
      <c r="EJ129" s="1246"/>
      <c r="EK129" s="1246"/>
      <c r="EL129" s="1246"/>
      <c r="EM129" s="1246"/>
      <c r="EN129" s="1246"/>
      <c r="EO129" s="21"/>
      <c r="EP129" s="21"/>
      <c r="EQ129" s="21"/>
      <c r="ER129" s="21"/>
      <c r="ES129" s="21"/>
      <c r="ET129" s="21"/>
      <c r="EU129" s="21"/>
      <c r="EV129" s="21"/>
      <c r="EW129" s="21"/>
      <c r="EX129" s="21"/>
      <c r="EY129" s="21"/>
      <c r="EZ129" s="21"/>
      <c r="FA129" s="21"/>
      <c r="FB129" s="21"/>
      <c r="FC129" s="21"/>
      <c r="FD129" s="21"/>
      <c r="FE129" s="21"/>
      <c r="FF129" s="21"/>
      <c r="FG129" s="21"/>
      <c r="FH129" s="21"/>
      <c r="FI129" s="21"/>
      <c r="FJ129" s="21"/>
      <c r="FK129" s="21"/>
      <c r="FL129" s="21"/>
      <c r="FM129" s="21"/>
      <c r="FN129" s="21"/>
      <c r="FO129" s="21"/>
      <c r="FP129" s="21"/>
      <c r="FQ129" s="21"/>
      <c r="FR129" s="21"/>
      <c r="FS129" s="21"/>
      <c r="FT129" s="21"/>
      <c r="FU129" s="21"/>
      <c r="FV129" s="21"/>
      <c r="FW129" s="21"/>
      <c r="FX129" s="21"/>
      <c r="FY129" s="21"/>
      <c r="FZ129" s="21"/>
      <c r="GA129" s="21"/>
      <c r="GB129" s="21"/>
      <c r="GC129" s="21"/>
      <c r="GD129" s="21"/>
      <c r="GE129" s="21"/>
      <c r="GF129" s="21"/>
      <c r="GG129" s="21"/>
      <c r="GH129" s="21"/>
      <c r="GI129" s="21"/>
      <c r="GJ129" s="21"/>
      <c r="GK129" s="21"/>
      <c r="GL129" s="21"/>
      <c r="GM129" s="21"/>
      <c r="GN129" s="21"/>
      <c r="GO129" s="21"/>
      <c r="GP129" s="21"/>
      <c r="GQ129" s="21"/>
      <c r="GR129" s="21"/>
      <c r="GS129" s="21"/>
      <c r="GT129" s="21"/>
      <c r="GU129" s="21"/>
      <c r="GV129" s="21"/>
      <c r="GW129" s="21"/>
      <c r="GX129" s="21"/>
      <c r="GY129" s="21"/>
      <c r="GZ129" s="21"/>
      <c r="HA129" s="21"/>
      <c r="HB129" s="21"/>
      <c r="HC129" s="21"/>
      <c r="HD129" s="21"/>
      <c r="HE129" s="21"/>
      <c r="HF129" s="21"/>
      <c r="HG129" s="21"/>
      <c r="HH129" s="21"/>
      <c r="HI129" s="21"/>
      <c r="HJ129" s="21"/>
      <c r="HK129" s="21"/>
      <c r="HL129" s="21"/>
      <c r="HM129" s="21"/>
      <c r="HN129" s="21"/>
      <c r="HO129" s="21"/>
      <c r="HP129" s="21"/>
      <c r="HQ129" s="21"/>
      <c r="HR129" s="21"/>
      <c r="HS129" s="21"/>
      <c r="HT129" s="21"/>
      <c r="HU129" s="21"/>
      <c r="HV129" s="21"/>
      <c r="HW129" s="21"/>
      <c r="HX129" s="21"/>
      <c r="HY129" s="21"/>
      <c r="HZ129" s="21"/>
      <c r="IA129" s="21"/>
      <c r="IB129" s="21"/>
      <c r="IC129" s="21"/>
      <c r="ID129" s="21"/>
      <c r="IE129" s="21"/>
      <c r="IF129" s="21"/>
      <c r="IG129" s="21"/>
      <c r="IH129" s="21"/>
      <c r="II129" s="21"/>
      <c r="IJ129" s="21"/>
      <c r="IK129" s="21"/>
      <c r="IL129" s="21"/>
      <c r="IM129" s="21"/>
      <c r="IN129" s="21"/>
      <c r="IO129" s="21"/>
      <c r="IP129" s="21"/>
      <c r="IQ129" s="21"/>
      <c r="IR129" s="21"/>
      <c r="IS129" s="21"/>
      <c r="IT129" s="21"/>
      <c r="IU129" s="21"/>
      <c r="IV129" s="21"/>
      <c r="IW129" s="21"/>
    </row>
    <row r="130" customFormat="false" ht="12.75" hidden="false" customHeight="false" outlineLevel="0" collapsed="false">
      <c r="A130" s="1269"/>
      <c r="B130" s="1246"/>
      <c r="C130" s="1246"/>
      <c r="D130" s="1246"/>
      <c r="E130" s="1246"/>
      <c r="F130" s="1246"/>
      <c r="G130" s="1246"/>
      <c r="H130" s="1246"/>
      <c r="I130" s="1246"/>
      <c r="J130" s="1246"/>
      <c r="K130" s="1246"/>
      <c r="L130" s="1246"/>
      <c r="M130" s="1246"/>
      <c r="N130" s="1246"/>
      <c r="O130" s="1246"/>
      <c r="P130" s="1246"/>
      <c r="Q130" s="1246"/>
      <c r="R130" s="1246"/>
      <c r="S130" s="1246"/>
      <c r="T130" s="1246"/>
      <c r="U130" s="1246"/>
      <c r="V130" s="1246"/>
      <c r="W130" s="1246"/>
      <c r="X130" s="1246"/>
      <c r="Y130" s="1246"/>
      <c r="Z130" s="1246"/>
      <c r="AA130" s="1246"/>
      <c r="AB130" s="1246"/>
      <c r="AC130" s="1246"/>
      <c r="AD130" s="1246"/>
      <c r="AE130" s="1246"/>
      <c r="AF130" s="1246"/>
      <c r="AG130" s="1246"/>
      <c r="AH130" s="1246"/>
      <c r="AI130" s="1246"/>
      <c r="AJ130" s="1246"/>
      <c r="AK130" s="1246"/>
      <c r="AL130" s="1246"/>
      <c r="AM130" s="1246"/>
      <c r="AN130" s="1246"/>
      <c r="AO130" s="1246"/>
      <c r="AP130" s="1246"/>
      <c r="AQ130" s="1246"/>
      <c r="AR130" s="1246"/>
      <c r="AS130" s="1246"/>
      <c r="AT130" s="1246"/>
      <c r="AU130" s="1246"/>
      <c r="AV130" s="1246"/>
      <c r="AW130" s="1246"/>
      <c r="AX130" s="1246"/>
      <c r="AY130" s="1246"/>
      <c r="AZ130" s="1246"/>
      <c r="BA130" s="1246"/>
      <c r="BB130" s="1246"/>
      <c r="BC130" s="1246"/>
      <c r="BD130" s="1246"/>
      <c r="BE130" s="1246"/>
      <c r="BF130" s="1246"/>
      <c r="BG130" s="1246"/>
      <c r="BH130" s="1246"/>
      <c r="BI130" s="1246"/>
      <c r="BJ130" s="1246"/>
      <c r="BK130" s="1246"/>
      <c r="BL130" s="1246"/>
      <c r="BM130" s="1246"/>
      <c r="BN130" s="1246"/>
      <c r="BO130" s="1246"/>
      <c r="BP130" s="1246"/>
      <c r="BQ130" s="1246"/>
      <c r="BR130" s="1246"/>
      <c r="BS130" s="1246"/>
      <c r="BT130" s="1246"/>
      <c r="BU130" s="1246"/>
      <c r="BV130" s="1246"/>
      <c r="BW130" s="1246"/>
      <c r="BX130" s="1246"/>
      <c r="BY130" s="1246"/>
      <c r="BZ130" s="1246"/>
      <c r="CA130" s="1246"/>
      <c r="CB130" s="1246"/>
      <c r="CC130" s="1246"/>
      <c r="CD130" s="1246"/>
      <c r="CE130" s="1246"/>
      <c r="CF130" s="1246"/>
      <c r="CG130" s="1246"/>
      <c r="CH130" s="1246"/>
      <c r="CI130" s="1246"/>
      <c r="CJ130" s="1246"/>
      <c r="CK130" s="1246"/>
      <c r="CL130" s="1246"/>
      <c r="CM130" s="1246"/>
      <c r="CN130" s="1246"/>
      <c r="CO130" s="1246"/>
      <c r="CP130" s="1246"/>
      <c r="CQ130" s="1246"/>
      <c r="CR130" s="1246"/>
      <c r="CS130" s="1246"/>
      <c r="CT130" s="1246"/>
      <c r="CU130" s="1246"/>
      <c r="CV130" s="1246"/>
      <c r="CW130" s="1246"/>
      <c r="CX130" s="1246"/>
      <c r="CY130" s="1246"/>
      <c r="CZ130" s="1246"/>
      <c r="DA130" s="1246"/>
      <c r="DB130" s="1246"/>
      <c r="DC130" s="1246"/>
      <c r="DD130" s="1246"/>
      <c r="DE130" s="1246"/>
      <c r="DF130" s="1246"/>
      <c r="DG130" s="1246"/>
      <c r="DH130" s="1246"/>
      <c r="DI130" s="1246"/>
      <c r="DJ130" s="1246"/>
      <c r="DK130" s="1246"/>
      <c r="DL130" s="1246"/>
      <c r="DM130" s="1246"/>
      <c r="DN130" s="1246"/>
      <c r="DO130" s="1246"/>
      <c r="DP130" s="1246"/>
      <c r="DQ130" s="1246"/>
      <c r="DR130" s="1246"/>
      <c r="DS130" s="1246"/>
      <c r="DT130" s="1246"/>
      <c r="DU130" s="1246"/>
      <c r="DV130" s="1246"/>
      <c r="DW130" s="1246"/>
      <c r="DX130" s="1246"/>
      <c r="DY130" s="1246"/>
      <c r="DZ130" s="1246"/>
      <c r="EA130" s="1246"/>
      <c r="EB130" s="1246"/>
      <c r="EC130" s="1246"/>
      <c r="ED130" s="1246"/>
      <c r="EE130" s="1246"/>
      <c r="EF130" s="1246"/>
      <c r="EG130" s="1246"/>
      <c r="EH130" s="1246"/>
      <c r="EI130" s="1246"/>
      <c r="EJ130" s="1246"/>
      <c r="EK130" s="1246"/>
      <c r="EL130" s="1246"/>
      <c r="EM130" s="1246"/>
      <c r="EN130" s="1246"/>
      <c r="EO130" s="21"/>
      <c r="EP130" s="21"/>
      <c r="EQ130" s="21"/>
      <c r="ER130" s="21"/>
      <c r="ES130" s="21"/>
      <c r="ET130" s="21"/>
      <c r="EU130" s="21"/>
      <c r="EV130" s="21"/>
      <c r="EW130" s="21"/>
      <c r="EX130" s="21"/>
      <c r="EY130" s="21"/>
      <c r="EZ130" s="21"/>
      <c r="FA130" s="21"/>
      <c r="FB130" s="21"/>
      <c r="FC130" s="21"/>
      <c r="FD130" s="21"/>
      <c r="FE130" s="21"/>
      <c r="FF130" s="21"/>
      <c r="FG130" s="21"/>
      <c r="FH130" s="21"/>
      <c r="FI130" s="21"/>
      <c r="FJ130" s="21"/>
      <c r="FK130" s="21"/>
      <c r="FL130" s="21"/>
      <c r="FM130" s="21"/>
      <c r="FN130" s="21"/>
      <c r="FO130" s="21"/>
      <c r="FP130" s="21"/>
      <c r="FQ130" s="21"/>
      <c r="FR130" s="21"/>
      <c r="FS130" s="21"/>
      <c r="FT130" s="21"/>
      <c r="FU130" s="21"/>
      <c r="FV130" s="21"/>
      <c r="FW130" s="21"/>
      <c r="FX130" s="21"/>
      <c r="FY130" s="21"/>
      <c r="FZ130" s="21"/>
      <c r="GA130" s="21"/>
      <c r="GB130" s="21"/>
      <c r="GC130" s="21"/>
      <c r="GD130" s="21"/>
      <c r="GE130" s="21"/>
      <c r="GF130" s="21"/>
      <c r="GG130" s="21"/>
      <c r="GH130" s="21"/>
      <c r="GI130" s="21"/>
      <c r="GJ130" s="21"/>
      <c r="GK130" s="21"/>
      <c r="GL130" s="21"/>
      <c r="GM130" s="21"/>
      <c r="GN130" s="21"/>
      <c r="GO130" s="21"/>
      <c r="GP130" s="21"/>
      <c r="GQ130" s="21"/>
      <c r="GR130" s="21"/>
      <c r="GS130" s="21"/>
      <c r="GT130" s="21"/>
      <c r="GU130" s="21"/>
      <c r="GV130" s="21"/>
      <c r="GW130" s="21"/>
      <c r="GX130" s="21"/>
      <c r="GY130" s="21"/>
      <c r="GZ130" s="21"/>
      <c r="HA130" s="21"/>
      <c r="HB130" s="21"/>
      <c r="HC130" s="21"/>
      <c r="HD130" s="21"/>
      <c r="HE130" s="21"/>
      <c r="HF130" s="21"/>
      <c r="HG130" s="21"/>
      <c r="HH130" s="21"/>
      <c r="HI130" s="21"/>
      <c r="HJ130" s="21"/>
      <c r="HK130" s="21"/>
      <c r="HL130" s="21"/>
      <c r="HM130" s="21"/>
      <c r="HN130" s="21"/>
      <c r="HO130" s="21"/>
      <c r="HP130" s="21"/>
      <c r="HQ130" s="21"/>
      <c r="HR130" s="21"/>
      <c r="HS130" s="21"/>
      <c r="HT130" s="21"/>
      <c r="HU130" s="21"/>
      <c r="HV130" s="21"/>
      <c r="HW130" s="21"/>
      <c r="HX130" s="21"/>
      <c r="HY130" s="21"/>
      <c r="HZ130" s="21"/>
      <c r="IA130" s="21"/>
      <c r="IB130" s="21"/>
      <c r="IC130" s="21"/>
      <c r="ID130" s="21"/>
      <c r="IE130" s="21"/>
      <c r="IF130" s="21"/>
      <c r="IG130" s="21"/>
      <c r="IH130" s="21"/>
      <c r="II130" s="21"/>
      <c r="IJ130" s="21"/>
      <c r="IK130" s="21"/>
      <c r="IL130" s="21"/>
      <c r="IM130" s="21"/>
      <c r="IN130" s="21"/>
      <c r="IO130" s="21"/>
      <c r="IP130" s="21"/>
      <c r="IQ130" s="21"/>
      <c r="IR130" s="21"/>
      <c r="IS130" s="21"/>
      <c r="IT130" s="21"/>
      <c r="IU130" s="21"/>
      <c r="IV130" s="21"/>
      <c r="IW130" s="21"/>
    </row>
    <row r="131" customFormat="false" ht="12.75" hidden="false" customHeight="false" outlineLevel="0" collapsed="false">
      <c r="A131" s="1269"/>
      <c r="B131" s="1246"/>
      <c r="C131" s="1246"/>
      <c r="D131" s="1246"/>
      <c r="E131" s="1246"/>
      <c r="F131" s="1246"/>
      <c r="G131" s="1246"/>
      <c r="H131" s="1246"/>
      <c r="I131" s="1246"/>
      <c r="J131" s="1246"/>
      <c r="K131" s="1246"/>
      <c r="L131" s="1246"/>
      <c r="M131" s="1246"/>
      <c r="N131" s="1246"/>
      <c r="O131" s="1246"/>
      <c r="P131" s="1246"/>
      <c r="Q131" s="1246"/>
      <c r="R131" s="1246"/>
      <c r="S131" s="1246"/>
      <c r="T131" s="1246"/>
      <c r="U131" s="1246"/>
      <c r="V131" s="1246"/>
      <c r="W131" s="1246"/>
      <c r="X131" s="1246"/>
      <c r="Y131" s="1246"/>
      <c r="Z131" s="1246"/>
      <c r="AA131" s="1246"/>
      <c r="AB131" s="1246"/>
      <c r="AC131" s="1246"/>
      <c r="AD131" s="1246"/>
      <c r="AE131" s="1246"/>
      <c r="AF131" s="1246"/>
      <c r="AG131" s="1246"/>
      <c r="AH131" s="1246"/>
      <c r="AI131" s="1246"/>
      <c r="AJ131" s="1246"/>
      <c r="AK131" s="1246"/>
      <c r="AL131" s="1246"/>
      <c r="AM131" s="1246"/>
      <c r="AN131" s="1246"/>
      <c r="AO131" s="1246"/>
      <c r="AP131" s="1246"/>
      <c r="AQ131" s="1246"/>
      <c r="AR131" s="1246"/>
      <c r="AS131" s="1246"/>
      <c r="AT131" s="1246"/>
      <c r="AU131" s="1246"/>
      <c r="AV131" s="1246"/>
      <c r="AW131" s="1246"/>
      <c r="AX131" s="1246"/>
      <c r="AY131" s="1246"/>
      <c r="AZ131" s="1246"/>
      <c r="BA131" s="1246"/>
      <c r="BB131" s="1246"/>
      <c r="BC131" s="1246"/>
      <c r="BD131" s="1246"/>
      <c r="BE131" s="1246"/>
      <c r="BF131" s="1246"/>
      <c r="BG131" s="1246"/>
      <c r="BH131" s="1246"/>
      <c r="BI131" s="1246"/>
      <c r="BJ131" s="1246"/>
      <c r="BK131" s="1246"/>
      <c r="BL131" s="1246"/>
      <c r="BM131" s="1246"/>
      <c r="BN131" s="1246"/>
      <c r="BO131" s="1246"/>
      <c r="BP131" s="1246"/>
      <c r="BQ131" s="1246"/>
      <c r="BR131" s="1246"/>
      <c r="BS131" s="1246"/>
      <c r="BT131" s="1246"/>
      <c r="BU131" s="1246"/>
      <c r="BV131" s="1246"/>
      <c r="BW131" s="1246"/>
      <c r="BX131" s="1246"/>
      <c r="BY131" s="1246"/>
      <c r="BZ131" s="1246"/>
      <c r="CA131" s="1246"/>
      <c r="CB131" s="1246"/>
      <c r="CC131" s="1246"/>
      <c r="CD131" s="1246"/>
      <c r="CE131" s="1246"/>
      <c r="CF131" s="1246"/>
      <c r="CG131" s="1246"/>
      <c r="CH131" s="1246"/>
      <c r="CI131" s="1246"/>
      <c r="CJ131" s="1246"/>
      <c r="CK131" s="1246"/>
      <c r="CL131" s="1246"/>
      <c r="CM131" s="1246"/>
      <c r="CN131" s="1246"/>
      <c r="CO131" s="1246"/>
      <c r="CP131" s="1246"/>
      <c r="CQ131" s="1246"/>
      <c r="CR131" s="1246"/>
      <c r="CS131" s="1246"/>
      <c r="CT131" s="1246"/>
      <c r="CU131" s="1246"/>
      <c r="CV131" s="1246"/>
      <c r="CW131" s="1246"/>
      <c r="CX131" s="1246"/>
      <c r="CY131" s="1246"/>
      <c r="CZ131" s="1246"/>
      <c r="DA131" s="1246"/>
      <c r="DB131" s="1246"/>
      <c r="DC131" s="1246"/>
      <c r="DD131" s="1246"/>
      <c r="DE131" s="1246"/>
      <c r="DF131" s="1246"/>
      <c r="DG131" s="1246"/>
      <c r="DH131" s="1246"/>
      <c r="DI131" s="1246"/>
      <c r="DJ131" s="1246"/>
      <c r="DK131" s="1246"/>
      <c r="DL131" s="1246"/>
      <c r="DM131" s="1246"/>
      <c r="DN131" s="1246"/>
      <c r="DO131" s="1246"/>
      <c r="DP131" s="1246"/>
      <c r="DQ131" s="1246"/>
      <c r="DR131" s="1246"/>
      <c r="DS131" s="1246"/>
      <c r="DT131" s="1246"/>
      <c r="DU131" s="1246"/>
      <c r="DV131" s="1246"/>
      <c r="DW131" s="1246"/>
      <c r="DX131" s="1246"/>
      <c r="DY131" s="1246"/>
      <c r="DZ131" s="1246"/>
      <c r="EA131" s="1246"/>
      <c r="EB131" s="1246"/>
      <c r="EC131" s="1246"/>
      <c r="ED131" s="1246"/>
      <c r="EE131" s="1246"/>
      <c r="EF131" s="1246"/>
      <c r="EG131" s="1246"/>
      <c r="EH131" s="1246"/>
      <c r="EI131" s="1246"/>
      <c r="EJ131" s="1246"/>
      <c r="EK131" s="1246"/>
      <c r="EL131" s="1246"/>
      <c r="EM131" s="1246"/>
      <c r="EN131" s="1246"/>
      <c r="EO131" s="21"/>
      <c r="EP131" s="21"/>
      <c r="EQ131" s="21"/>
      <c r="ER131" s="21"/>
      <c r="ES131" s="21"/>
      <c r="ET131" s="21"/>
      <c r="EU131" s="21"/>
      <c r="EV131" s="21"/>
      <c r="EW131" s="21"/>
      <c r="EX131" s="21"/>
      <c r="EY131" s="21"/>
      <c r="EZ131" s="21"/>
      <c r="FA131" s="21"/>
      <c r="FB131" s="21"/>
      <c r="FC131" s="21"/>
      <c r="FD131" s="21"/>
      <c r="FE131" s="21"/>
      <c r="FF131" s="21"/>
      <c r="FG131" s="21"/>
      <c r="FH131" s="21"/>
      <c r="FI131" s="21"/>
      <c r="FJ131" s="21"/>
      <c r="FK131" s="21"/>
      <c r="FL131" s="21"/>
      <c r="FM131" s="21"/>
      <c r="FN131" s="21"/>
      <c r="FO131" s="21"/>
      <c r="FP131" s="21"/>
      <c r="FQ131" s="21"/>
      <c r="FR131" s="21"/>
      <c r="FS131" s="21"/>
      <c r="FT131" s="21"/>
      <c r="FU131" s="21"/>
      <c r="FV131" s="21"/>
      <c r="FW131" s="21"/>
      <c r="FX131" s="21"/>
      <c r="FY131" s="21"/>
      <c r="FZ131" s="21"/>
      <c r="GA131" s="21"/>
      <c r="GB131" s="21"/>
      <c r="GC131" s="21"/>
      <c r="GD131" s="21"/>
      <c r="GE131" s="21"/>
      <c r="GF131" s="21"/>
      <c r="GG131" s="21"/>
      <c r="GH131" s="21"/>
      <c r="GI131" s="21"/>
      <c r="GJ131" s="21"/>
      <c r="GK131" s="21"/>
      <c r="GL131" s="21"/>
      <c r="GM131" s="21"/>
      <c r="GN131" s="21"/>
      <c r="GO131" s="21"/>
      <c r="GP131" s="21"/>
      <c r="GQ131" s="21"/>
      <c r="GR131" s="21"/>
      <c r="GS131" s="21"/>
      <c r="GT131" s="21"/>
      <c r="GU131" s="21"/>
      <c r="GV131" s="21"/>
      <c r="GW131" s="21"/>
      <c r="GX131" s="21"/>
      <c r="GY131" s="21"/>
      <c r="GZ131" s="21"/>
      <c r="HA131" s="21"/>
      <c r="HB131" s="21"/>
      <c r="HC131" s="21"/>
      <c r="HD131" s="21"/>
      <c r="HE131" s="21"/>
      <c r="HF131" s="21"/>
      <c r="HG131" s="21"/>
      <c r="HH131" s="21"/>
      <c r="HI131" s="21"/>
      <c r="HJ131" s="21"/>
      <c r="HK131" s="21"/>
      <c r="HL131" s="21"/>
      <c r="HM131" s="21"/>
      <c r="HN131" s="21"/>
      <c r="HO131" s="21"/>
      <c r="HP131" s="21"/>
      <c r="HQ131" s="21"/>
      <c r="HR131" s="21"/>
      <c r="HS131" s="21"/>
      <c r="HT131" s="21"/>
      <c r="HU131" s="21"/>
      <c r="HV131" s="21"/>
      <c r="HW131" s="21"/>
      <c r="HX131" s="21"/>
      <c r="HY131" s="21"/>
      <c r="HZ131" s="21"/>
      <c r="IA131" s="21"/>
      <c r="IB131" s="21"/>
      <c r="IC131" s="21"/>
      <c r="ID131" s="21"/>
      <c r="IE131" s="21"/>
      <c r="IF131" s="21"/>
      <c r="IG131" s="21"/>
      <c r="IH131" s="21"/>
      <c r="II131" s="21"/>
      <c r="IJ131" s="21"/>
      <c r="IK131" s="21"/>
      <c r="IL131" s="21"/>
      <c r="IM131" s="21"/>
      <c r="IN131" s="21"/>
      <c r="IO131" s="21"/>
      <c r="IP131" s="21"/>
      <c r="IQ131" s="21"/>
      <c r="IR131" s="21"/>
      <c r="IS131" s="21"/>
      <c r="IT131" s="21"/>
      <c r="IU131" s="21"/>
      <c r="IV131" s="21"/>
      <c r="IW131" s="21"/>
    </row>
    <row r="132" customFormat="false" ht="12.75" hidden="false" customHeight="false" outlineLevel="0" collapsed="false">
      <c r="A132" s="1269"/>
      <c r="B132" s="1246"/>
      <c r="C132" s="1246"/>
      <c r="D132" s="1246"/>
      <c r="E132" s="1246"/>
      <c r="F132" s="1246"/>
      <c r="G132" s="1246"/>
      <c r="H132" s="1246"/>
      <c r="I132" s="1246"/>
      <c r="J132" s="1246"/>
      <c r="K132" s="1246"/>
      <c r="L132" s="1246"/>
      <c r="M132" s="1246"/>
      <c r="N132" s="1246"/>
      <c r="O132" s="1246"/>
      <c r="P132" s="1246"/>
      <c r="Q132" s="1246"/>
      <c r="R132" s="1246"/>
      <c r="S132" s="1246"/>
      <c r="T132" s="1246"/>
      <c r="U132" s="1246"/>
      <c r="V132" s="1246"/>
      <c r="W132" s="1246"/>
      <c r="X132" s="1246"/>
      <c r="Y132" s="1246"/>
      <c r="Z132" s="1246"/>
      <c r="AA132" s="1246"/>
      <c r="AB132" s="1246"/>
      <c r="AC132" s="1246"/>
      <c r="AD132" s="1246"/>
      <c r="AE132" s="1246"/>
      <c r="AF132" s="1246"/>
      <c r="AG132" s="1246"/>
      <c r="AH132" s="1246"/>
      <c r="AI132" s="1246"/>
      <c r="AJ132" s="1246"/>
      <c r="AK132" s="1246"/>
      <c r="AL132" s="1246"/>
      <c r="AM132" s="1246"/>
      <c r="AN132" s="1246"/>
      <c r="AO132" s="1246"/>
      <c r="AP132" s="1246"/>
      <c r="AQ132" s="1246"/>
      <c r="AR132" s="1246"/>
      <c r="AS132" s="1246"/>
      <c r="AT132" s="1246"/>
      <c r="AU132" s="1246"/>
      <c r="AV132" s="1246"/>
      <c r="AW132" s="1246"/>
      <c r="AX132" s="1246"/>
      <c r="AY132" s="1246"/>
      <c r="AZ132" s="1246"/>
      <c r="BA132" s="1246"/>
      <c r="BB132" s="1246"/>
      <c r="BC132" s="1246"/>
      <c r="BD132" s="1246"/>
      <c r="BE132" s="1246"/>
      <c r="BF132" s="1246"/>
      <c r="BG132" s="1246"/>
      <c r="BH132" s="1246"/>
      <c r="BI132" s="1246"/>
      <c r="BJ132" s="1246"/>
      <c r="BK132" s="1246"/>
      <c r="BL132" s="1246"/>
      <c r="BM132" s="1246"/>
      <c r="BN132" s="1246"/>
      <c r="BO132" s="1246"/>
      <c r="BP132" s="1246"/>
      <c r="BQ132" s="1246"/>
      <c r="BR132" s="1246"/>
      <c r="BS132" s="1246"/>
      <c r="BT132" s="1246"/>
      <c r="BU132" s="1246"/>
      <c r="BV132" s="1246"/>
      <c r="BW132" s="1246"/>
      <c r="BX132" s="1246"/>
      <c r="BY132" s="1246"/>
      <c r="BZ132" s="1246"/>
      <c r="CA132" s="1246"/>
      <c r="CB132" s="1246"/>
      <c r="CC132" s="1246"/>
      <c r="CD132" s="1246"/>
      <c r="CE132" s="1246"/>
      <c r="CF132" s="1246"/>
      <c r="CG132" s="1246"/>
      <c r="CH132" s="1246"/>
      <c r="CI132" s="1246"/>
      <c r="CJ132" s="1246"/>
      <c r="CK132" s="1246"/>
      <c r="CL132" s="1246"/>
      <c r="CM132" s="1246"/>
      <c r="CN132" s="1246"/>
      <c r="CO132" s="1246"/>
      <c r="CP132" s="1246"/>
      <c r="CQ132" s="1246"/>
      <c r="CR132" s="1246"/>
      <c r="CS132" s="1246"/>
      <c r="CT132" s="1246"/>
      <c r="CU132" s="1246"/>
      <c r="CV132" s="1246"/>
      <c r="CW132" s="1246"/>
      <c r="CX132" s="1246"/>
      <c r="CY132" s="1246"/>
      <c r="CZ132" s="1246"/>
      <c r="DA132" s="1246"/>
      <c r="DB132" s="1246"/>
      <c r="DC132" s="1246"/>
      <c r="DD132" s="1246"/>
      <c r="DE132" s="1246"/>
      <c r="DF132" s="1246"/>
      <c r="DG132" s="1246"/>
      <c r="DH132" s="1246"/>
      <c r="DI132" s="1246"/>
      <c r="DJ132" s="1246"/>
      <c r="DK132" s="1246"/>
      <c r="DL132" s="1246"/>
      <c r="DM132" s="1246"/>
      <c r="DN132" s="1246"/>
      <c r="DO132" s="1246"/>
      <c r="DP132" s="1246"/>
      <c r="DQ132" s="1246"/>
      <c r="DR132" s="1246"/>
      <c r="DS132" s="1246"/>
      <c r="DT132" s="1246"/>
      <c r="DU132" s="1246"/>
      <c r="DV132" s="1246"/>
      <c r="DW132" s="1246"/>
      <c r="DX132" s="1246"/>
      <c r="DY132" s="1246"/>
      <c r="DZ132" s="1246"/>
      <c r="EA132" s="1246"/>
      <c r="EB132" s="1246"/>
      <c r="EC132" s="1246"/>
      <c r="ED132" s="1246"/>
      <c r="EE132" s="1246"/>
      <c r="EF132" s="1246"/>
      <c r="EG132" s="1246"/>
      <c r="EH132" s="1246"/>
      <c r="EI132" s="1246"/>
      <c r="EJ132" s="1246"/>
      <c r="EK132" s="1246"/>
      <c r="EL132" s="1246"/>
      <c r="EM132" s="1246"/>
      <c r="EN132" s="1246"/>
      <c r="EO132" s="21"/>
      <c r="EP132" s="21"/>
      <c r="EQ132" s="21"/>
      <c r="ER132" s="21"/>
      <c r="ES132" s="21"/>
      <c r="ET132" s="21"/>
      <c r="EU132" s="21"/>
      <c r="EV132" s="21"/>
      <c r="EW132" s="21"/>
      <c r="EX132" s="21"/>
      <c r="EY132" s="21"/>
      <c r="EZ132" s="21"/>
      <c r="FA132" s="21"/>
      <c r="FB132" s="21"/>
      <c r="FC132" s="21"/>
      <c r="FD132" s="21"/>
      <c r="FE132" s="21"/>
      <c r="FF132" s="21"/>
      <c r="FG132" s="21"/>
      <c r="FH132" s="21"/>
      <c r="FI132" s="21"/>
      <c r="FJ132" s="21"/>
      <c r="FK132" s="21"/>
      <c r="FL132" s="21"/>
      <c r="FM132" s="21"/>
      <c r="FN132" s="21"/>
      <c r="FO132" s="21"/>
      <c r="FP132" s="21"/>
      <c r="FQ132" s="21"/>
      <c r="FR132" s="21"/>
      <c r="FS132" s="21"/>
      <c r="FT132" s="21"/>
      <c r="FU132" s="21"/>
      <c r="FV132" s="21"/>
      <c r="FW132" s="21"/>
      <c r="FX132" s="21"/>
      <c r="FY132" s="21"/>
      <c r="FZ132" s="21"/>
      <c r="GA132" s="21"/>
      <c r="GB132" s="21"/>
      <c r="GC132" s="21"/>
      <c r="GD132" s="21"/>
      <c r="GE132" s="21"/>
      <c r="GF132" s="21"/>
      <c r="GG132" s="21"/>
      <c r="GH132" s="21"/>
      <c r="GI132" s="21"/>
      <c r="GJ132" s="21"/>
      <c r="GK132" s="21"/>
      <c r="GL132" s="21"/>
      <c r="GM132" s="21"/>
      <c r="GN132" s="21"/>
      <c r="GO132" s="21"/>
      <c r="GP132" s="21"/>
      <c r="GQ132" s="21"/>
      <c r="GR132" s="21"/>
      <c r="GS132" s="21"/>
      <c r="GT132" s="21"/>
      <c r="GU132" s="21"/>
      <c r="GV132" s="21"/>
      <c r="GW132" s="21"/>
      <c r="GX132" s="21"/>
      <c r="GY132" s="21"/>
      <c r="GZ132" s="21"/>
      <c r="HA132" s="21"/>
      <c r="HB132" s="21"/>
      <c r="HC132" s="21"/>
      <c r="HD132" s="21"/>
      <c r="HE132" s="21"/>
      <c r="HF132" s="21"/>
      <c r="HG132" s="21"/>
      <c r="HH132" s="21"/>
      <c r="HI132" s="21"/>
      <c r="HJ132" s="21"/>
      <c r="HK132" s="21"/>
      <c r="HL132" s="21"/>
      <c r="HM132" s="21"/>
      <c r="HN132" s="21"/>
      <c r="HO132" s="21"/>
      <c r="HP132" s="21"/>
      <c r="HQ132" s="21"/>
      <c r="HR132" s="21"/>
      <c r="HS132" s="21"/>
      <c r="HT132" s="21"/>
      <c r="HU132" s="21"/>
      <c r="HV132" s="21"/>
      <c r="HW132" s="21"/>
      <c r="HX132" s="21"/>
      <c r="HY132" s="21"/>
      <c r="HZ132" s="21"/>
      <c r="IA132" s="21"/>
      <c r="IB132" s="21"/>
      <c r="IC132" s="21"/>
      <c r="ID132" s="21"/>
      <c r="IE132" s="21"/>
      <c r="IF132" s="21"/>
      <c r="IG132" s="21"/>
      <c r="IH132" s="21"/>
      <c r="II132" s="21"/>
      <c r="IJ132" s="21"/>
      <c r="IK132" s="21"/>
      <c r="IL132" s="21"/>
      <c r="IM132" s="21"/>
      <c r="IN132" s="21"/>
      <c r="IO132" s="21"/>
      <c r="IP132" s="21"/>
      <c r="IQ132" s="21"/>
      <c r="IR132" s="21"/>
      <c r="IS132" s="21"/>
      <c r="IT132" s="21"/>
      <c r="IU132" s="21"/>
      <c r="IV132" s="21"/>
      <c r="IW132" s="21"/>
    </row>
    <row r="133" customFormat="false" ht="12.75" hidden="false" customHeight="false" outlineLevel="0" collapsed="false">
      <c r="A133" s="21"/>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c r="AC133" s="21"/>
      <c r="AD133" s="21"/>
      <c r="AE133" s="21"/>
      <c r="AF133" s="21"/>
      <c r="AG133" s="21"/>
      <c r="AH133" s="21"/>
      <c r="AI133" s="21"/>
      <c r="AJ133" s="21"/>
      <c r="AK133" s="21"/>
      <c r="AL133" s="21"/>
      <c r="AM133" s="21"/>
      <c r="AN133" s="21"/>
      <c r="AO133" s="21"/>
      <c r="AP133" s="21"/>
      <c r="AQ133" s="21"/>
      <c r="AR133" s="21"/>
      <c r="AS133" s="21"/>
      <c r="AT133" s="21"/>
      <c r="AU133" s="21"/>
      <c r="AV133" s="21"/>
      <c r="AW133" s="21"/>
      <c r="AX133" s="21"/>
      <c r="AY133" s="21"/>
      <c r="AZ133" s="21"/>
      <c r="BA133" s="21"/>
      <c r="BB133" s="21"/>
      <c r="BC133" s="21"/>
      <c r="BD133" s="21"/>
      <c r="BE133" s="21"/>
      <c r="BF133" s="21"/>
      <c r="BG133" s="21"/>
      <c r="BH133" s="21"/>
      <c r="BI133" s="21"/>
      <c r="BJ133" s="21"/>
      <c r="BK133" s="21"/>
      <c r="BL133" s="21"/>
      <c r="BM133" s="21"/>
      <c r="BN133" s="21"/>
      <c r="BO133" s="21"/>
      <c r="BP133" s="21"/>
      <c r="BQ133" s="21"/>
      <c r="BR133" s="21"/>
      <c r="BS133" s="21"/>
      <c r="BT133" s="21"/>
      <c r="BU133" s="21"/>
      <c r="BV133" s="21"/>
      <c r="BW133" s="21"/>
      <c r="BX133" s="21"/>
      <c r="BY133" s="21"/>
      <c r="BZ133" s="21"/>
      <c r="CA133" s="21"/>
      <c r="CB133" s="21"/>
      <c r="CC133" s="21"/>
      <c r="CD133" s="21"/>
      <c r="CE133" s="21"/>
      <c r="CF133" s="21"/>
      <c r="CG133" s="21"/>
      <c r="CH133" s="21"/>
      <c r="CI133" s="21"/>
      <c r="CJ133" s="21"/>
      <c r="CK133" s="21"/>
      <c r="CL133" s="21"/>
      <c r="CM133" s="21"/>
      <c r="CN133" s="21"/>
      <c r="CO133" s="21"/>
      <c r="CP133" s="21"/>
      <c r="CQ133" s="21"/>
      <c r="CR133" s="21"/>
      <c r="CS133" s="21"/>
      <c r="CT133" s="21"/>
      <c r="CU133" s="21"/>
      <c r="CV133" s="21"/>
      <c r="CW133" s="21"/>
      <c r="CX133" s="21"/>
      <c r="CY133" s="21"/>
      <c r="CZ133" s="21"/>
      <c r="DA133" s="21"/>
      <c r="DB133" s="21"/>
      <c r="DC133" s="21"/>
      <c r="DD133" s="21"/>
      <c r="DE133" s="21"/>
      <c r="DF133" s="21"/>
      <c r="DG133" s="21"/>
      <c r="DH133" s="21"/>
      <c r="DI133" s="21"/>
      <c r="DJ133" s="21"/>
      <c r="DK133" s="21"/>
      <c r="DL133" s="21"/>
      <c r="DM133" s="21"/>
      <c r="DN133" s="21"/>
      <c r="DO133" s="21"/>
      <c r="DP133" s="21"/>
      <c r="DQ133" s="21"/>
      <c r="DR133" s="21"/>
      <c r="DS133" s="21"/>
      <c r="DT133" s="21"/>
      <c r="DU133" s="21"/>
      <c r="DV133" s="21"/>
      <c r="DW133" s="21"/>
      <c r="DX133" s="21"/>
      <c r="DY133" s="21"/>
      <c r="DZ133" s="21"/>
      <c r="EA133" s="21"/>
      <c r="EB133" s="21"/>
      <c r="EC133" s="21"/>
      <c r="ED133" s="21"/>
      <c r="EE133" s="21"/>
      <c r="EF133" s="21"/>
      <c r="EG133" s="21"/>
      <c r="EH133" s="21"/>
      <c r="EI133" s="21"/>
      <c r="EJ133" s="21"/>
      <c r="EK133" s="21"/>
      <c r="EL133" s="21"/>
      <c r="EM133" s="21"/>
      <c r="EN133" s="21"/>
      <c r="EO133" s="21"/>
      <c r="EP133" s="21"/>
      <c r="EQ133" s="21"/>
      <c r="ER133" s="21"/>
      <c r="ES133" s="21"/>
      <c r="ET133" s="21"/>
      <c r="EU133" s="21"/>
      <c r="EV133" s="21"/>
      <c r="EW133" s="21"/>
      <c r="EX133" s="21"/>
      <c r="EY133" s="21"/>
      <c r="EZ133" s="21"/>
      <c r="FA133" s="21"/>
      <c r="FB133" s="21"/>
      <c r="FC133" s="21"/>
      <c r="FD133" s="21"/>
      <c r="FE133" s="21"/>
      <c r="FF133" s="21"/>
      <c r="FG133" s="21"/>
      <c r="FH133" s="21"/>
      <c r="FI133" s="21"/>
      <c r="FJ133" s="21"/>
      <c r="FK133" s="21"/>
      <c r="FL133" s="21"/>
      <c r="FM133" s="21"/>
      <c r="FN133" s="21"/>
      <c r="FO133" s="21"/>
      <c r="FP133" s="21"/>
      <c r="FQ133" s="21"/>
      <c r="FR133" s="21"/>
      <c r="FS133" s="21"/>
      <c r="FT133" s="21"/>
      <c r="FU133" s="21"/>
      <c r="FV133" s="21"/>
      <c r="FW133" s="21"/>
      <c r="FX133" s="21"/>
      <c r="FY133" s="21"/>
      <c r="FZ133" s="21"/>
      <c r="GA133" s="21"/>
      <c r="GB133" s="21"/>
      <c r="GC133" s="21"/>
      <c r="GD133" s="21"/>
      <c r="GE133" s="21"/>
      <c r="GF133" s="21"/>
      <c r="GG133" s="21"/>
      <c r="GH133" s="21"/>
      <c r="GI133" s="21"/>
      <c r="GJ133" s="21"/>
      <c r="GK133" s="21"/>
      <c r="GL133" s="21"/>
      <c r="GM133" s="21"/>
      <c r="GN133" s="21"/>
      <c r="GO133" s="21"/>
      <c r="GP133" s="21"/>
      <c r="GQ133" s="21"/>
      <c r="GR133" s="21"/>
      <c r="GS133" s="21"/>
      <c r="GT133" s="21"/>
      <c r="GU133" s="21"/>
      <c r="GV133" s="21"/>
      <c r="GW133" s="21"/>
      <c r="GX133" s="21"/>
      <c r="GY133" s="21"/>
      <c r="GZ133" s="21"/>
      <c r="HA133" s="21"/>
      <c r="HB133" s="21"/>
      <c r="HC133" s="21"/>
      <c r="HD133" s="21"/>
      <c r="HE133" s="21"/>
      <c r="HF133" s="21"/>
      <c r="HG133" s="21"/>
      <c r="HH133" s="21"/>
      <c r="HI133" s="21"/>
      <c r="HJ133" s="21"/>
      <c r="HK133" s="21"/>
      <c r="HL133" s="21"/>
      <c r="HM133" s="21"/>
      <c r="HN133" s="21"/>
      <c r="HO133" s="21"/>
      <c r="HP133" s="21"/>
      <c r="HQ133" s="21"/>
      <c r="HR133" s="21"/>
      <c r="HS133" s="21"/>
      <c r="HT133" s="21"/>
      <c r="HU133" s="21"/>
      <c r="HV133" s="21"/>
      <c r="HW133" s="21"/>
      <c r="HX133" s="21"/>
      <c r="HY133" s="21"/>
      <c r="HZ133" s="21"/>
      <c r="IA133" s="21"/>
      <c r="IB133" s="21"/>
      <c r="IC133" s="21"/>
      <c r="ID133" s="21"/>
      <c r="IE133" s="21"/>
      <c r="IF133" s="21"/>
      <c r="IG133" s="21"/>
      <c r="IH133" s="21"/>
      <c r="II133" s="21"/>
      <c r="IJ133" s="21"/>
      <c r="IK133" s="21"/>
      <c r="IL133" s="21"/>
      <c r="IM133" s="21"/>
      <c r="IN133" s="21"/>
      <c r="IO133" s="21"/>
      <c r="IP133" s="21"/>
      <c r="IQ133" s="21"/>
      <c r="IR133" s="21"/>
      <c r="IS133" s="21"/>
      <c r="IT133" s="21"/>
      <c r="IU133" s="21"/>
      <c r="IV133" s="21"/>
      <c r="IW133" s="21"/>
    </row>
    <row r="134" customFormat="false" ht="12.75" hidden="false" customHeight="false" outlineLevel="0" collapsed="false">
      <c r="A134" s="21"/>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c r="AC134" s="21"/>
      <c r="AD134" s="21"/>
      <c r="AE134" s="21"/>
      <c r="AF134" s="21"/>
      <c r="AG134" s="21"/>
      <c r="AH134" s="21"/>
      <c r="AI134" s="21"/>
      <c r="AJ134" s="21"/>
      <c r="AK134" s="21"/>
      <c r="AL134" s="21"/>
      <c r="AM134" s="21"/>
      <c r="AN134" s="21"/>
      <c r="AO134" s="21"/>
      <c r="AP134" s="21"/>
      <c r="AQ134" s="21"/>
      <c r="AR134" s="21"/>
      <c r="AS134" s="21"/>
      <c r="AT134" s="21"/>
      <c r="AU134" s="21"/>
      <c r="AV134" s="21"/>
      <c r="AW134" s="21"/>
      <c r="AX134" s="21"/>
      <c r="AY134" s="21"/>
      <c r="AZ134" s="21"/>
      <c r="BA134" s="21"/>
      <c r="BB134" s="21"/>
      <c r="BC134" s="21"/>
      <c r="BD134" s="21"/>
      <c r="BE134" s="21"/>
      <c r="BF134" s="21"/>
      <c r="BG134" s="21"/>
      <c r="BH134" s="21"/>
      <c r="BI134" s="21"/>
      <c r="BJ134" s="21"/>
      <c r="BK134" s="21"/>
      <c r="BL134" s="21"/>
      <c r="BM134" s="21"/>
      <c r="BN134" s="21"/>
      <c r="BO134" s="21"/>
      <c r="BP134" s="21"/>
      <c r="BQ134" s="21"/>
      <c r="BR134" s="21"/>
      <c r="BS134" s="21"/>
      <c r="BT134" s="21"/>
      <c r="BU134" s="21"/>
      <c r="BV134" s="21"/>
      <c r="BW134" s="21"/>
      <c r="BX134" s="21"/>
      <c r="BY134" s="21"/>
      <c r="BZ134" s="21"/>
      <c r="CA134" s="21"/>
      <c r="CB134" s="21"/>
      <c r="CC134" s="21"/>
      <c r="CD134" s="21"/>
      <c r="CE134" s="21"/>
      <c r="CF134" s="21"/>
      <c r="CG134" s="21"/>
      <c r="CH134" s="21"/>
      <c r="CI134" s="21"/>
      <c r="CJ134" s="21"/>
      <c r="CK134" s="21"/>
      <c r="CL134" s="21"/>
      <c r="CM134" s="21"/>
      <c r="CN134" s="21"/>
      <c r="CO134" s="21"/>
      <c r="CP134" s="21"/>
      <c r="CQ134" s="21"/>
      <c r="CR134" s="21"/>
      <c r="CS134" s="21"/>
      <c r="CT134" s="21"/>
      <c r="CU134" s="21"/>
      <c r="CV134" s="21"/>
      <c r="CW134" s="21"/>
      <c r="CX134" s="21"/>
      <c r="CY134" s="21"/>
      <c r="CZ134" s="21"/>
      <c r="DA134" s="21"/>
      <c r="DB134" s="21"/>
      <c r="DC134" s="21"/>
      <c r="DD134" s="21"/>
      <c r="DE134" s="21"/>
      <c r="DF134" s="21"/>
      <c r="DG134" s="21"/>
      <c r="DH134" s="21"/>
      <c r="DI134" s="21"/>
      <c r="DJ134" s="21"/>
      <c r="DK134" s="21"/>
      <c r="DL134" s="21"/>
      <c r="DM134" s="21"/>
      <c r="DN134" s="21"/>
      <c r="DO134" s="21"/>
      <c r="DP134" s="21"/>
      <c r="DQ134" s="21"/>
      <c r="DR134" s="21"/>
      <c r="DS134" s="21"/>
      <c r="DT134" s="21"/>
      <c r="DU134" s="21"/>
      <c r="DV134" s="21"/>
      <c r="DW134" s="21"/>
      <c r="DX134" s="21"/>
      <c r="DY134" s="21"/>
      <c r="DZ134" s="21"/>
      <c r="EA134" s="21"/>
      <c r="EB134" s="21"/>
      <c r="EC134" s="21"/>
      <c r="ED134" s="21"/>
      <c r="EE134" s="21"/>
      <c r="EF134" s="21"/>
      <c r="EG134" s="21"/>
      <c r="EH134" s="21"/>
      <c r="EI134" s="21"/>
      <c r="EJ134" s="21"/>
      <c r="EK134" s="21"/>
      <c r="EL134" s="21"/>
      <c r="EM134" s="21"/>
      <c r="EN134" s="21"/>
      <c r="EO134" s="21"/>
      <c r="EP134" s="21"/>
      <c r="EQ134" s="21"/>
      <c r="ER134" s="21"/>
      <c r="ES134" s="21"/>
      <c r="ET134" s="21"/>
      <c r="EU134" s="21"/>
      <c r="EV134" s="21"/>
      <c r="EW134" s="21"/>
      <c r="EX134" s="21"/>
      <c r="EY134" s="21"/>
      <c r="EZ134" s="21"/>
      <c r="FA134" s="21"/>
      <c r="FB134" s="21"/>
      <c r="FC134" s="21"/>
      <c r="FD134" s="21"/>
      <c r="FE134" s="21"/>
      <c r="FF134" s="21"/>
      <c r="FG134" s="21"/>
      <c r="FH134" s="21"/>
      <c r="FI134" s="21"/>
      <c r="FJ134" s="21"/>
      <c r="FK134" s="21"/>
      <c r="FL134" s="21"/>
      <c r="FM134" s="21"/>
      <c r="FN134" s="21"/>
      <c r="FO134" s="21"/>
      <c r="FP134" s="21"/>
      <c r="FQ134" s="21"/>
      <c r="FR134" s="21"/>
      <c r="FS134" s="21"/>
      <c r="FT134" s="21"/>
      <c r="FU134" s="21"/>
      <c r="FV134" s="21"/>
      <c r="FW134" s="21"/>
      <c r="FX134" s="21"/>
      <c r="FY134" s="21"/>
      <c r="FZ134" s="21"/>
      <c r="GA134" s="21"/>
      <c r="GB134" s="21"/>
      <c r="GC134" s="21"/>
      <c r="GD134" s="21"/>
      <c r="GE134" s="21"/>
      <c r="GF134" s="21"/>
      <c r="GG134" s="21"/>
      <c r="GH134" s="21"/>
      <c r="GI134" s="21"/>
      <c r="GJ134" s="21"/>
      <c r="GK134" s="21"/>
      <c r="GL134" s="21"/>
      <c r="GM134" s="21"/>
      <c r="GN134" s="21"/>
      <c r="GO134" s="21"/>
      <c r="GP134" s="21"/>
      <c r="GQ134" s="21"/>
      <c r="GR134" s="21"/>
      <c r="GS134" s="21"/>
      <c r="GT134" s="21"/>
      <c r="GU134" s="21"/>
      <c r="GV134" s="21"/>
      <c r="GW134" s="21"/>
      <c r="GX134" s="21"/>
      <c r="GY134" s="21"/>
      <c r="GZ134" s="21"/>
      <c r="HA134" s="21"/>
      <c r="HB134" s="21"/>
      <c r="HC134" s="21"/>
      <c r="HD134" s="21"/>
      <c r="HE134" s="21"/>
      <c r="HF134" s="21"/>
      <c r="HG134" s="21"/>
      <c r="HH134" s="21"/>
      <c r="HI134" s="21"/>
      <c r="HJ134" s="21"/>
      <c r="HK134" s="21"/>
      <c r="HL134" s="21"/>
      <c r="HM134" s="21"/>
      <c r="HN134" s="21"/>
      <c r="HO134" s="21"/>
      <c r="HP134" s="21"/>
      <c r="HQ134" s="21"/>
      <c r="HR134" s="21"/>
      <c r="HS134" s="21"/>
      <c r="HT134" s="21"/>
      <c r="HU134" s="21"/>
      <c r="HV134" s="21"/>
      <c r="HW134" s="21"/>
      <c r="HX134" s="21"/>
      <c r="HY134" s="21"/>
      <c r="HZ134" s="21"/>
      <c r="IA134" s="21"/>
      <c r="IB134" s="21"/>
      <c r="IC134" s="21"/>
      <c r="ID134" s="21"/>
      <c r="IE134" s="21"/>
      <c r="IF134" s="21"/>
      <c r="IG134" s="21"/>
      <c r="IH134" s="21"/>
      <c r="II134" s="21"/>
      <c r="IJ134" s="21"/>
      <c r="IK134" s="21"/>
      <c r="IL134" s="21"/>
      <c r="IM134" s="21"/>
      <c r="IN134" s="21"/>
      <c r="IO134" s="21"/>
      <c r="IP134" s="21"/>
      <c r="IQ134" s="21"/>
      <c r="IR134" s="21"/>
      <c r="IS134" s="21"/>
      <c r="IT134" s="21"/>
      <c r="IU134" s="21"/>
      <c r="IV134" s="21"/>
      <c r="IW134" s="21"/>
    </row>
    <row r="135" customFormat="false" ht="12.75" hidden="false" customHeight="false" outlineLevel="0" collapsed="false">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c r="AC135" s="21"/>
      <c r="AD135" s="21"/>
      <c r="AE135" s="21"/>
      <c r="AF135" s="21"/>
      <c r="AG135" s="21"/>
      <c r="AH135" s="21"/>
      <c r="AI135" s="21"/>
      <c r="AJ135" s="21"/>
      <c r="AK135" s="21"/>
      <c r="AL135" s="21"/>
      <c r="AM135" s="21"/>
      <c r="AN135" s="21"/>
      <c r="AO135" s="21"/>
      <c r="AP135" s="21"/>
      <c r="AQ135" s="21"/>
      <c r="AR135" s="21"/>
      <c r="AS135" s="21"/>
      <c r="AT135" s="21"/>
      <c r="AU135" s="21"/>
      <c r="AV135" s="21"/>
      <c r="AW135" s="21"/>
      <c r="AX135" s="21"/>
      <c r="AY135" s="21"/>
      <c r="AZ135" s="21"/>
      <c r="BA135" s="21"/>
      <c r="BB135" s="21"/>
      <c r="BC135" s="21"/>
      <c r="BD135" s="21"/>
      <c r="BE135" s="21"/>
      <c r="BF135" s="21"/>
      <c r="BG135" s="21"/>
      <c r="BH135" s="21"/>
      <c r="BI135" s="21"/>
      <c r="BJ135" s="21"/>
      <c r="BK135" s="21"/>
      <c r="BL135" s="21"/>
      <c r="BM135" s="21"/>
      <c r="BN135" s="21"/>
      <c r="BO135" s="21"/>
      <c r="BP135" s="21"/>
      <c r="BQ135" s="21"/>
      <c r="BR135" s="21"/>
      <c r="BS135" s="21"/>
      <c r="BT135" s="21"/>
      <c r="BU135" s="21"/>
      <c r="BV135" s="21"/>
      <c r="BW135" s="21"/>
      <c r="BX135" s="21"/>
      <c r="BY135" s="21"/>
      <c r="BZ135" s="21"/>
      <c r="CA135" s="21"/>
      <c r="CB135" s="21"/>
      <c r="CC135" s="21"/>
      <c r="CD135" s="21"/>
      <c r="CE135" s="21"/>
      <c r="CF135" s="21"/>
      <c r="CG135" s="21"/>
      <c r="CH135" s="21"/>
      <c r="CI135" s="21"/>
      <c r="CJ135" s="21"/>
      <c r="CK135" s="21"/>
      <c r="CL135" s="21"/>
      <c r="CM135" s="21"/>
      <c r="CN135" s="21"/>
      <c r="CO135" s="21"/>
      <c r="CP135" s="21"/>
      <c r="CQ135" s="21"/>
      <c r="CR135" s="21"/>
      <c r="CS135" s="21"/>
      <c r="CT135" s="21"/>
      <c r="CU135" s="21"/>
      <c r="CV135" s="21"/>
      <c r="CW135" s="21"/>
      <c r="CX135" s="21"/>
      <c r="CY135" s="21"/>
      <c r="CZ135" s="21"/>
      <c r="DA135" s="21"/>
      <c r="DB135" s="21"/>
      <c r="DC135" s="21"/>
      <c r="DD135" s="21"/>
      <c r="DE135" s="21"/>
      <c r="DF135" s="21"/>
      <c r="DG135" s="21"/>
      <c r="DH135" s="21"/>
      <c r="DI135" s="21"/>
      <c r="DJ135" s="21"/>
      <c r="DK135" s="21"/>
      <c r="DL135" s="21"/>
      <c r="DM135" s="21"/>
      <c r="DN135" s="21"/>
      <c r="DO135" s="21"/>
      <c r="DP135" s="21"/>
      <c r="DQ135" s="21"/>
      <c r="DR135" s="21"/>
      <c r="DS135" s="21"/>
      <c r="DT135" s="21"/>
      <c r="DU135" s="21"/>
      <c r="DV135" s="21"/>
      <c r="DW135" s="21"/>
      <c r="DX135" s="21"/>
      <c r="DY135" s="21"/>
      <c r="DZ135" s="21"/>
      <c r="EA135" s="21"/>
      <c r="EB135" s="21"/>
      <c r="EC135" s="21"/>
      <c r="ED135" s="21"/>
      <c r="EE135" s="21"/>
      <c r="EF135" s="21"/>
      <c r="EG135" s="21"/>
      <c r="EH135" s="21"/>
      <c r="EI135" s="21"/>
      <c r="EJ135" s="21"/>
      <c r="EK135" s="21"/>
      <c r="EL135" s="21"/>
      <c r="EM135" s="21"/>
      <c r="EN135" s="21"/>
      <c r="EO135" s="21"/>
      <c r="EP135" s="21"/>
      <c r="EQ135" s="21"/>
      <c r="ER135" s="21"/>
      <c r="ES135" s="21"/>
      <c r="ET135" s="21"/>
      <c r="EU135" s="21"/>
      <c r="EV135" s="21"/>
      <c r="EW135" s="21"/>
      <c r="EX135" s="21"/>
      <c r="EY135" s="21"/>
      <c r="EZ135" s="21"/>
      <c r="FA135" s="21"/>
      <c r="FB135" s="21"/>
      <c r="FC135" s="21"/>
      <c r="FD135" s="21"/>
      <c r="FE135" s="21"/>
      <c r="FF135" s="21"/>
      <c r="FG135" s="21"/>
      <c r="FH135" s="21"/>
      <c r="FI135" s="21"/>
      <c r="FJ135" s="21"/>
      <c r="FK135" s="21"/>
      <c r="FL135" s="21"/>
      <c r="FM135" s="21"/>
      <c r="FN135" s="21"/>
      <c r="FO135" s="21"/>
      <c r="FP135" s="21"/>
      <c r="FQ135" s="21"/>
      <c r="FR135" s="21"/>
      <c r="FS135" s="21"/>
      <c r="FT135" s="21"/>
      <c r="FU135" s="21"/>
      <c r="FV135" s="21"/>
      <c r="FW135" s="21"/>
      <c r="FX135" s="21"/>
      <c r="FY135" s="21"/>
      <c r="FZ135" s="21"/>
      <c r="GA135" s="21"/>
      <c r="GB135" s="21"/>
      <c r="GC135" s="21"/>
      <c r="GD135" s="21"/>
      <c r="GE135" s="21"/>
      <c r="GF135" s="21"/>
      <c r="GG135" s="21"/>
      <c r="GH135" s="21"/>
      <c r="GI135" s="21"/>
      <c r="GJ135" s="21"/>
      <c r="GK135" s="21"/>
      <c r="GL135" s="21"/>
      <c r="GM135" s="21"/>
      <c r="GN135" s="21"/>
      <c r="GO135" s="21"/>
      <c r="GP135" s="21"/>
      <c r="GQ135" s="21"/>
      <c r="GR135" s="21"/>
      <c r="GS135" s="21"/>
      <c r="GT135" s="21"/>
      <c r="GU135" s="21"/>
      <c r="GV135" s="21"/>
      <c r="GW135" s="21"/>
      <c r="GX135" s="21"/>
      <c r="GY135" s="21"/>
      <c r="GZ135" s="21"/>
      <c r="HA135" s="21"/>
      <c r="HB135" s="21"/>
      <c r="HC135" s="21"/>
      <c r="HD135" s="21"/>
      <c r="HE135" s="21"/>
      <c r="HF135" s="21"/>
      <c r="HG135" s="21"/>
      <c r="HH135" s="21"/>
      <c r="HI135" s="21"/>
      <c r="HJ135" s="21"/>
      <c r="HK135" s="21"/>
      <c r="HL135" s="21"/>
      <c r="HM135" s="21"/>
      <c r="HN135" s="21"/>
      <c r="HO135" s="21"/>
      <c r="HP135" s="21"/>
      <c r="HQ135" s="21"/>
      <c r="HR135" s="21"/>
      <c r="HS135" s="21"/>
      <c r="HT135" s="21"/>
      <c r="HU135" s="21"/>
      <c r="HV135" s="21"/>
      <c r="HW135" s="21"/>
      <c r="HX135" s="21"/>
      <c r="HY135" s="21"/>
      <c r="HZ135" s="21"/>
      <c r="IA135" s="21"/>
      <c r="IB135" s="21"/>
      <c r="IC135" s="21"/>
      <c r="ID135" s="21"/>
      <c r="IE135" s="21"/>
      <c r="IF135" s="21"/>
      <c r="IG135" s="21"/>
      <c r="IH135" s="21"/>
      <c r="II135" s="21"/>
      <c r="IJ135" s="21"/>
      <c r="IK135" s="21"/>
      <c r="IL135" s="21"/>
      <c r="IM135" s="21"/>
      <c r="IN135" s="21"/>
      <c r="IO135" s="21"/>
      <c r="IP135" s="21"/>
      <c r="IQ135" s="21"/>
      <c r="IR135" s="21"/>
      <c r="IS135" s="21"/>
      <c r="IT135" s="21"/>
      <c r="IU135" s="21"/>
      <c r="IV135" s="21"/>
      <c r="IW135" s="21"/>
    </row>
  </sheetData>
  <mergeCells count="4">
    <mergeCell ref="D32:E32"/>
    <mergeCell ref="D39:E39"/>
    <mergeCell ref="D62:F62"/>
    <mergeCell ref="D69:F69"/>
  </mergeCells>
  <printOptions headings="true" gridLines="false" gridLinesSet="true" horizontalCentered="false" verticalCentered="false"/>
  <pageMargins left="0.229861111111111" right="0.279861111111111" top="0.409722222222222" bottom="0.629861111111111"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&amp;R&amp;F</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IW164"/>
  <sheetViews>
    <sheetView showFormulas="false" showGridLines="true" showRowColHeaders="true" showZeros="true" rightToLeft="false" tabSelected="false" showOutlineSymbols="true" defaultGridColor="true" view="normal" topLeftCell="A49" colorId="64" zoomScale="75" zoomScaleNormal="75" zoomScalePageLayoutView="100" workbookViewId="0">
      <selection pane="topLeft" activeCell="B62" activeCellId="0" sqref="B62"/>
    </sheetView>
  </sheetViews>
  <sheetFormatPr defaultColWidth="11.41796875" defaultRowHeight="12.75" customHeight="true" zeroHeight="false" outlineLevelRow="0" outlineLevelCol="0"/>
  <cols>
    <col collapsed="false" customWidth="true" hidden="false" outlineLevel="0" max="1" min="1" style="176" width="3.85"/>
    <col collapsed="false" customWidth="true" hidden="false" outlineLevel="0" max="2" min="2" style="0" width="46.7"/>
    <col collapsed="false" customWidth="true" hidden="false" outlineLevel="0" max="5" min="5" style="0" width="12.7"/>
    <col collapsed="false" customWidth="true" hidden="false" outlineLevel="0" max="6" min="6" style="0" width="15.13"/>
  </cols>
  <sheetData>
    <row r="1" customFormat="false" ht="15.75" hidden="false" customHeight="false" outlineLevel="0" collapsed="false">
      <c r="B1" s="2" t="str">
        <f aca="false">ExecSum!$E$4</f>
        <v>SMUD - Solano 34.50MW Project</v>
      </c>
      <c r="D1" s="4" t="n">
        <v>1</v>
      </c>
      <c r="E1" s="5" t="n">
        <v>2</v>
      </c>
      <c r="F1" s="5" t="n">
        <v>3</v>
      </c>
      <c r="G1" s="5" t="n">
        <v>4</v>
      </c>
      <c r="H1" s="5" t="n">
        <v>5</v>
      </c>
      <c r="I1" s="5" t="n">
        <v>6</v>
      </c>
      <c r="J1" s="5" t="n">
        <v>7</v>
      </c>
      <c r="K1" s="5" t="n">
        <v>8</v>
      </c>
      <c r="L1" s="5" t="n">
        <v>9</v>
      </c>
      <c r="M1" s="5" t="n">
        <v>10</v>
      </c>
      <c r="N1" s="5" t="n">
        <v>11</v>
      </c>
      <c r="O1" s="5" t="n">
        <v>12</v>
      </c>
      <c r="P1" s="5" t="n">
        <v>13</v>
      </c>
      <c r="Q1" s="5" t="n">
        <v>14</v>
      </c>
      <c r="R1" s="5" t="n">
        <v>15</v>
      </c>
      <c r="S1" s="5" t="n">
        <v>16</v>
      </c>
      <c r="T1" s="5" t="n">
        <v>17</v>
      </c>
      <c r="U1" s="5" t="n">
        <v>18</v>
      </c>
      <c r="V1" s="5" t="n">
        <v>19</v>
      </c>
      <c r="W1" s="5" t="n">
        <v>20</v>
      </c>
      <c r="X1" s="5" t="n">
        <v>21</v>
      </c>
      <c r="Y1" s="5" t="n">
        <v>22</v>
      </c>
      <c r="Z1" s="5" t="n">
        <v>23</v>
      </c>
      <c r="AA1" s="5" t="n">
        <v>24</v>
      </c>
      <c r="AB1" s="5" t="n">
        <v>25</v>
      </c>
      <c r="AC1" s="5" t="n">
        <v>26</v>
      </c>
      <c r="AD1" s="5" t="n">
        <v>27</v>
      </c>
      <c r="AE1" s="5" t="n">
        <v>28</v>
      </c>
      <c r="AF1" s="5" t="n">
        <v>29</v>
      </c>
      <c r="AG1" s="6" t="n">
        <v>30</v>
      </c>
    </row>
    <row r="2" customFormat="false" ht="15.75" hidden="false" customHeight="false" outlineLevel="0" collapsed="false">
      <c r="B2" s="2" t="s">
        <v>799</v>
      </c>
      <c r="D2" s="7" t="n">
        <f aca="false">Assum!$H$25</f>
        <v>2002</v>
      </c>
      <c r="E2" s="8" t="n">
        <f aca="false">D2+1</f>
        <v>2003</v>
      </c>
      <c r="F2" s="8" t="n">
        <f aca="false">E2+1</f>
        <v>2004</v>
      </c>
      <c r="G2" s="8" t="n">
        <f aca="false">F2+1</f>
        <v>2005</v>
      </c>
      <c r="H2" s="8" t="n">
        <f aca="false">G2+1</f>
        <v>2006</v>
      </c>
      <c r="I2" s="8" t="n">
        <f aca="false">H2+1</f>
        <v>2007</v>
      </c>
      <c r="J2" s="8" t="n">
        <f aca="false">I2+1</f>
        <v>2008</v>
      </c>
      <c r="K2" s="8" t="n">
        <f aca="false">J2+1</f>
        <v>2009</v>
      </c>
      <c r="L2" s="8" t="n">
        <f aca="false">K2+1</f>
        <v>2010</v>
      </c>
      <c r="M2" s="8" t="n">
        <f aca="false">L2+1</f>
        <v>2011</v>
      </c>
      <c r="N2" s="8" t="n">
        <f aca="false">M2+1</f>
        <v>2012</v>
      </c>
      <c r="O2" s="8" t="n">
        <f aca="false">N2+1</f>
        <v>2013</v>
      </c>
      <c r="P2" s="8" t="n">
        <f aca="false">O2+1</f>
        <v>2014</v>
      </c>
      <c r="Q2" s="8" t="n">
        <f aca="false">P2+1</f>
        <v>2015</v>
      </c>
      <c r="R2" s="8" t="n">
        <f aca="false">Q2+1</f>
        <v>2016</v>
      </c>
      <c r="S2" s="8" t="n">
        <f aca="false">R2+1</f>
        <v>2017</v>
      </c>
      <c r="T2" s="8" t="n">
        <f aca="false">S2+1</f>
        <v>2018</v>
      </c>
      <c r="U2" s="8" t="n">
        <f aca="false">T2+1</f>
        <v>2019</v>
      </c>
      <c r="V2" s="8" t="n">
        <f aca="false">U2+1</f>
        <v>2020</v>
      </c>
      <c r="W2" s="8" t="n">
        <f aca="false">V2+1</f>
        <v>2021</v>
      </c>
      <c r="X2" s="8" t="n">
        <f aca="false">W2+1</f>
        <v>2022</v>
      </c>
      <c r="Y2" s="8" t="n">
        <f aca="false">X2+1</f>
        <v>2023</v>
      </c>
      <c r="Z2" s="8" t="n">
        <f aca="false">Y2+1</f>
        <v>2024</v>
      </c>
      <c r="AA2" s="8" t="n">
        <f aca="false">Z2+1</f>
        <v>2025</v>
      </c>
      <c r="AB2" s="8" t="n">
        <f aca="false">AA2+1</f>
        <v>2026</v>
      </c>
      <c r="AC2" s="8" t="n">
        <f aca="false">AB2+1</f>
        <v>2027</v>
      </c>
      <c r="AD2" s="8" t="n">
        <f aca="false">AC2+1</f>
        <v>2028</v>
      </c>
      <c r="AE2" s="8" t="n">
        <f aca="false">AD2+1</f>
        <v>2029</v>
      </c>
      <c r="AF2" s="8" t="n">
        <f aca="false">AE2+1</f>
        <v>2030</v>
      </c>
      <c r="AG2" s="9" t="n">
        <f aca="false">AF2+1</f>
        <v>2031</v>
      </c>
    </row>
    <row r="3" customFormat="false" ht="15.75" hidden="false" customHeight="false" outlineLevel="0" collapsed="false">
      <c r="D3" s="2"/>
    </row>
    <row r="4" customFormat="false" ht="12.75" hidden="false" customHeight="false" outlineLevel="0" collapsed="false">
      <c r="D4" s="1271" t="s">
        <v>800</v>
      </c>
      <c r="E4" s="1272" t="s">
        <v>801</v>
      </c>
      <c r="H4" s="1273" t="s">
        <v>802</v>
      </c>
      <c r="I4" s="0" t="s">
        <v>803</v>
      </c>
    </row>
    <row r="5" customFormat="false" ht="12.75" hidden="false" customHeight="false" outlineLevel="0" collapsed="false">
      <c r="D5" s="1274"/>
      <c r="E5" s="1272" t="s">
        <v>804</v>
      </c>
      <c r="H5" s="1275"/>
      <c r="I5" s="1272" t="s">
        <v>805</v>
      </c>
    </row>
    <row r="8" customFormat="false" ht="12.75" hidden="false" customHeight="false" outlineLevel="0" collapsed="false">
      <c r="B8" s="43" t="s">
        <v>806</v>
      </c>
    </row>
    <row r="9" customFormat="false" ht="12.75" hidden="false" customHeight="false" outlineLevel="0" collapsed="false">
      <c r="B9" s="88" t="s">
        <v>807</v>
      </c>
    </row>
    <row r="10" customFormat="false" ht="12.75" hidden="false" customHeight="false" outlineLevel="0" collapsed="false">
      <c r="B10" s="21" t="s">
        <v>808</v>
      </c>
      <c r="C10" s="0" t="s">
        <v>809</v>
      </c>
      <c r="D10" s="1276" t="n">
        <v>0</v>
      </c>
      <c r="E10" s="0" t="s">
        <v>810</v>
      </c>
    </row>
    <row r="11" customFormat="false" ht="12.75" hidden="false" customHeight="false" outlineLevel="0" collapsed="false">
      <c r="B11" s="21" t="s">
        <v>811</v>
      </c>
      <c r="C11" s="0" t="s">
        <v>809</v>
      </c>
      <c r="D11" s="1276" t="n">
        <v>0</v>
      </c>
    </row>
    <row r="12" customFormat="false" ht="12.75" hidden="false" customHeight="false" outlineLevel="0" collapsed="false">
      <c r="B12" s="21" t="s">
        <v>812</v>
      </c>
      <c r="C12" s="0" t="s">
        <v>809</v>
      </c>
      <c r="D12" s="1276" t="n">
        <v>0</v>
      </c>
    </row>
    <row r="13" customFormat="false" ht="12.75" hidden="false" customHeight="false" outlineLevel="0" collapsed="false">
      <c r="B13" s="21"/>
      <c r="C13" s="100"/>
      <c r="D13" s="100"/>
    </row>
    <row r="14" customFormat="false" ht="12.75" hidden="false" customHeight="false" outlineLevel="0" collapsed="false">
      <c r="B14" s="88" t="s">
        <v>813</v>
      </c>
      <c r="C14" s="100"/>
      <c r="D14" s="100"/>
    </row>
    <row r="15" customFormat="false" ht="12.75" hidden="false" customHeight="false" outlineLevel="0" collapsed="false">
      <c r="B15" s="21" t="s">
        <v>814</v>
      </c>
      <c r="C15" s="0" t="s">
        <v>809</v>
      </c>
      <c r="D15" s="1276" t="n">
        <v>0</v>
      </c>
    </row>
    <row r="16" customFormat="false" ht="13.7" hidden="false" customHeight="true" outlineLevel="0" collapsed="false">
      <c r="D16" s="100"/>
    </row>
    <row r="17" customFormat="false" ht="12.75" hidden="false" customHeight="false" outlineLevel="0" collapsed="false">
      <c r="B17" s="0" t="s">
        <v>815</v>
      </c>
      <c r="D17" s="301" t="n">
        <v>0</v>
      </c>
    </row>
    <row r="18" customFormat="false" ht="13.5" hidden="false" customHeight="false" outlineLevel="0" collapsed="false">
      <c r="D18" s="100"/>
    </row>
    <row r="19" customFormat="false" ht="13.5" hidden="false" customHeight="false" outlineLevel="0" collapsed="false">
      <c r="B19" s="15" t="s">
        <v>816</v>
      </c>
      <c r="C19" s="100"/>
      <c r="D19" s="1277" t="n">
        <f aca="false">SUM(D10:D18)</f>
        <v>0</v>
      </c>
    </row>
    <row r="20" customFormat="false" ht="12.75" hidden="false" customHeight="false" outlineLevel="0" collapsed="false">
      <c r="C20" s="100"/>
      <c r="D20" s="100"/>
    </row>
    <row r="21" customFormat="false" ht="12.75" hidden="false" customHeight="false" outlineLevel="0" collapsed="false">
      <c r="B21" s="88" t="s">
        <v>817</v>
      </c>
      <c r="C21" s="100"/>
      <c r="D21" s="100"/>
    </row>
    <row r="22" customFormat="false" ht="12.75" hidden="false" customHeight="false" outlineLevel="0" collapsed="false">
      <c r="B22" s="0" t="s">
        <v>818</v>
      </c>
      <c r="C22" s="0" t="s">
        <v>809</v>
      </c>
      <c r="D22" s="301" t="n">
        <v>0</v>
      </c>
    </row>
    <row r="27" customFormat="false" ht="12.75" hidden="false" customHeight="false" outlineLevel="0" collapsed="false">
      <c r="B27" s="43" t="s">
        <v>819</v>
      </c>
      <c r="C27" s="100"/>
      <c r="D27" s="1278" t="n">
        <v>1</v>
      </c>
      <c r="E27" s="1279" t="n">
        <v>2</v>
      </c>
      <c r="F27" s="1121" t="n">
        <v>3</v>
      </c>
      <c r="G27" s="1279" t="n">
        <v>4</v>
      </c>
      <c r="H27" s="1121" t="n">
        <v>5</v>
      </c>
      <c r="I27" s="1279" t="n">
        <v>6</v>
      </c>
      <c r="J27" s="1121" t="n">
        <v>7</v>
      </c>
      <c r="K27" s="1279" t="n">
        <v>8</v>
      </c>
      <c r="L27" s="1121" t="n">
        <v>9</v>
      </c>
      <c r="M27" s="1279" t="n">
        <v>10</v>
      </c>
      <c r="N27" s="1121" t="n">
        <v>11</v>
      </c>
      <c r="O27" s="1279" t="n">
        <v>12</v>
      </c>
      <c r="P27" s="1121" t="n">
        <v>13</v>
      </c>
      <c r="Q27" s="1279" t="n">
        <v>14</v>
      </c>
      <c r="R27" s="1121" t="n">
        <v>15</v>
      </c>
      <c r="S27" s="1279" t="n">
        <v>16</v>
      </c>
      <c r="T27" s="1121" t="n">
        <v>17</v>
      </c>
      <c r="U27" s="1279" t="n">
        <v>18</v>
      </c>
      <c r="V27" s="1121" t="n">
        <v>19</v>
      </c>
      <c r="W27" s="1279" t="n">
        <v>20</v>
      </c>
      <c r="X27" s="1121" t="n">
        <v>21</v>
      </c>
      <c r="Y27" s="1279" t="n">
        <v>22</v>
      </c>
      <c r="Z27" s="1121" t="n">
        <v>23</v>
      </c>
      <c r="AA27" s="1279" t="n">
        <v>24</v>
      </c>
      <c r="AB27" s="1121" t="n">
        <v>25</v>
      </c>
      <c r="AC27" s="1279" t="n">
        <v>26</v>
      </c>
      <c r="AD27" s="1121" t="n">
        <v>27</v>
      </c>
      <c r="AE27" s="1279" t="n">
        <v>28</v>
      </c>
      <c r="AF27" s="1121" t="n">
        <v>29</v>
      </c>
      <c r="AG27" s="1279" t="n">
        <v>30</v>
      </c>
      <c r="AH27" s="1280" t="n">
        <v>31</v>
      </c>
    </row>
    <row r="28" customFormat="false" ht="12.75" hidden="false" customHeight="false" outlineLevel="0" collapsed="false">
      <c r="C28" s="100"/>
      <c r="D28" s="1281" t="n">
        <f aca="false">Assum!H25</f>
        <v>2002</v>
      </c>
      <c r="E28" s="1282" t="n">
        <f aca="false">D28+1</f>
        <v>2003</v>
      </c>
      <c r="F28" s="1282" t="n">
        <f aca="false">E28+1</f>
        <v>2004</v>
      </c>
      <c r="G28" s="1282" t="n">
        <f aca="false">F28+1</f>
        <v>2005</v>
      </c>
      <c r="H28" s="1282" t="n">
        <f aca="false">G28+1</f>
        <v>2006</v>
      </c>
      <c r="I28" s="1282" t="n">
        <f aca="false">H28+1</f>
        <v>2007</v>
      </c>
      <c r="J28" s="1282" t="n">
        <f aca="false">I28+1</f>
        <v>2008</v>
      </c>
      <c r="K28" s="1282" t="n">
        <f aca="false">J28+1</f>
        <v>2009</v>
      </c>
      <c r="L28" s="1282" t="n">
        <f aca="false">K28+1</f>
        <v>2010</v>
      </c>
      <c r="M28" s="1282" t="n">
        <f aca="false">L28+1</f>
        <v>2011</v>
      </c>
      <c r="N28" s="1282" t="n">
        <f aca="false">M28+1</f>
        <v>2012</v>
      </c>
      <c r="O28" s="1282" t="n">
        <f aca="false">N28+1</f>
        <v>2013</v>
      </c>
      <c r="P28" s="1282" t="n">
        <f aca="false">O28+1</f>
        <v>2014</v>
      </c>
      <c r="Q28" s="1282" t="n">
        <f aca="false">P28+1</f>
        <v>2015</v>
      </c>
      <c r="R28" s="1282" t="n">
        <f aca="false">Q28+1</f>
        <v>2016</v>
      </c>
      <c r="S28" s="1282" t="n">
        <f aca="false">R28+1</f>
        <v>2017</v>
      </c>
      <c r="T28" s="1282" t="n">
        <f aca="false">S28+1</f>
        <v>2018</v>
      </c>
      <c r="U28" s="1282" t="n">
        <f aca="false">T28+1</f>
        <v>2019</v>
      </c>
      <c r="V28" s="1282" t="n">
        <f aca="false">U28+1</f>
        <v>2020</v>
      </c>
      <c r="W28" s="1282" t="n">
        <f aca="false">V28+1</f>
        <v>2021</v>
      </c>
      <c r="X28" s="1282" t="n">
        <f aca="false">W28+1</f>
        <v>2022</v>
      </c>
      <c r="Y28" s="1282" t="n">
        <f aca="false">X28+1</f>
        <v>2023</v>
      </c>
      <c r="Z28" s="1282" t="n">
        <f aca="false">Y28+1</f>
        <v>2024</v>
      </c>
      <c r="AA28" s="1282" t="n">
        <f aca="false">Z28+1</f>
        <v>2025</v>
      </c>
      <c r="AB28" s="1282" t="n">
        <f aca="false">AA28+1</f>
        <v>2026</v>
      </c>
      <c r="AC28" s="1282" t="n">
        <f aca="false">AB28+1</f>
        <v>2027</v>
      </c>
      <c r="AD28" s="1282" t="n">
        <f aca="false">AC28+1</f>
        <v>2028</v>
      </c>
      <c r="AE28" s="1282" t="n">
        <f aca="false">AD28+1</f>
        <v>2029</v>
      </c>
      <c r="AF28" s="1282" t="n">
        <f aca="false">AE28+1</f>
        <v>2030</v>
      </c>
      <c r="AG28" s="1282" t="n">
        <f aca="false">AF28+1</f>
        <v>2031</v>
      </c>
      <c r="AH28" s="1283" t="n">
        <f aca="false">AG28+1</f>
        <v>2032</v>
      </c>
    </row>
    <row r="29" customFormat="false" ht="12.75" hidden="false" customHeight="false" outlineLevel="0" collapsed="false">
      <c r="C29" s="100"/>
      <c r="D29" s="100"/>
    </row>
    <row r="30" customFormat="false" ht="12.75" hidden="false" customHeight="false" outlineLevel="0" collapsed="false">
      <c r="D30" s="100"/>
    </row>
    <row r="31" customFormat="false" ht="12.75" hidden="false" customHeight="false" outlineLevel="0" collapsed="false">
      <c r="B31" s="21" t="s">
        <v>820</v>
      </c>
      <c r="C31" s="100" t="s">
        <v>821</v>
      </c>
      <c r="D31" s="1284" t="n">
        <v>1</v>
      </c>
      <c r="E31" s="1284" t="n">
        <v>1</v>
      </c>
      <c r="F31" s="1284" t="n">
        <v>1</v>
      </c>
      <c r="G31" s="1284" t="n">
        <v>1</v>
      </c>
      <c r="H31" s="1284" t="n">
        <v>1</v>
      </c>
      <c r="I31" s="1284" t="n">
        <v>1</v>
      </c>
      <c r="J31" s="1284" t="n">
        <v>1</v>
      </c>
      <c r="K31" s="1284" t="n">
        <v>1</v>
      </c>
      <c r="L31" s="1284" t="n">
        <v>1</v>
      </c>
      <c r="M31" s="1284" t="n">
        <v>1</v>
      </c>
      <c r="N31" s="1284" t="n">
        <v>1</v>
      </c>
      <c r="O31" s="1284" t="n">
        <v>1</v>
      </c>
      <c r="P31" s="1284" t="n">
        <v>1</v>
      </c>
      <c r="Q31" s="1284" t="n">
        <v>1</v>
      </c>
      <c r="R31" s="1284" t="n">
        <v>1</v>
      </c>
      <c r="S31" s="1284" t="n">
        <v>1</v>
      </c>
      <c r="T31" s="1284" t="n">
        <v>1</v>
      </c>
      <c r="U31" s="1284" t="n">
        <v>1</v>
      </c>
      <c r="V31" s="1284" t="n">
        <v>1</v>
      </c>
      <c r="W31" s="1284" t="n">
        <v>1</v>
      </c>
      <c r="X31" s="1284" t="n">
        <v>1</v>
      </c>
      <c r="Y31" s="1284" t="n">
        <v>1</v>
      </c>
      <c r="Z31" s="1284" t="n">
        <v>1</v>
      </c>
      <c r="AA31" s="1284" t="n">
        <v>1</v>
      </c>
      <c r="AB31" s="1284" t="n">
        <v>1</v>
      </c>
      <c r="AC31" s="1284" t="n">
        <v>1</v>
      </c>
      <c r="AD31" s="1284" t="n">
        <v>1</v>
      </c>
      <c r="AE31" s="1284" t="n">
        <v>1</v>
      </c>
      <c r="AF31" s="1284" t="n">
        <v>1</v>
      </c>
      <c r="AG31" s="1284" t="n">
        <v>1</v>
      </c>
      <c r="AH31" s="1284" t="n">
        <v>1</v>
      </c>
    </row>
    <row r="32" customFormat="false" ht="12.75" hidden="false" customHeight="false" outlineLevel="0" collapsed="false">
      <c r="C32" s="100" t="s">
        <v>822</v>
      </c>
      <c r="D32" s="301"/>
    </row>
    <row r="33" customFormat="false" ht="12.75" hidden="false" customHeight="false" outlineLevel="0" collapsed="false">
      <c r="C33" s="100"/>
      <c r="D33" s="100"/>
    </row>
    <row r="34" customFormat="false" ht="12.75" hidden="false" customHeight="false" outlineLevel="0" collapsed="false">
      <c r="B34" s="0" t="s">
        <v>823</v>
      </c>
      <c r="C34" s="100" t="s">
        <v>824</v>
      </c>
      <c r="D34" s="301"/>
      <c r="E34" s="1275"/>
      <c r="F34" s="1275"/>
      <c r="G34" s="1275"/>
      <c r="H34" s="1275"/>
      <c r="I34" s="1275"/>
      <c r="J34" s="1275"/>
      <c r="K34" s="1275"/>
      <c r="L34" s="1275"/>
      <c r="M34" s="1275"/>
      <c r="N34" s="1275"/>
      <c r="O34" s="1275"/>
      <c r="P34" s="1275"/>
      <c r="Q34" s="1275"/>
      <c r="R34" s="1275"/>
      <c r="S34" s="1275"/>
      <c r="T34" s="1275"/>
      <c r="U34" s="1275"/>
      <c r="V34" s="1275"/>
      <c r="W34" s="1275"/>
      <c r="X34" s="1275"/>
      <c r="Y34" s="1275"/>
      <c r="Z34" s="1275"/>
      <c r="AA34" s="1275"/>
      <c r="AB34" s="1275"/>
      <c r="AC34" s="1275"/>
      <c r="AD34" s="1275"/>
      <c r="AE34" s="1275"/>
      <c r="AF34" s="1275"/>
      <c r="AG34" s="1275"/>
      <c r="AH34" s="1275"/>
    </row>
    <row r="35" customFormat="false" ht="12.75" hidden="false" customHeight="false" outlineLevel="0" collapsed="false">
      <c r="C35" s="100"/>
      <c r="D35" s="301"/>
    </row>
    <row r="36" customFormat="false" ht="12.75" hidden="false" customHeight="false" outlineLevel="0" collapsed="false">
      <c r="B36" s="0" t="s">
        <v>825</v>
      </c>
      <c r="C36" s="100"/>
      <c r="D36" s="1285" t="n">
        <v>1</v>
      </c>
      <c r="E36" s="1272" t="s">
        <v>826</v>
      </c>
    </row>
    <row r="37" customFormat="false" ht="12.75" hidden="false" customHeight="false" outlineLevel="0" collapsed="false">
      <c r="C37" s="100"/>
      <c r="D37" s="100"/>
    </row>
    <row r="38" customFormat="false" ht="12.75" hidden="false" customHeight="false" outlineLevel="0" collapsed="false">
      <c r="B38" s="0" t="s">
        <v>827</v>
      </c>
      <c r="C38" s="100"/>
      <c r="D38" s="301"/>
      <c r="E38" s="1275"/>
      <c r="F38" s="1275"/>
      <c r="G38" s="1275"/>
      <c r="H38" s="1275"/>
      <c r="I38" s="1275"/>
      <c r="J38" s="1275"/>
      <c r="K38" s="1275"/>
      <c r="L38" s="1275"/>
      <c r="M38" s="1275"/>
      <c r="N38" s="1275"/>
      <c r="O38" s="1275"/>
      <c r="P38" s="1275"/>
      <c r="Q38" s="1275"/>
      <c r="R38" s="1275"/>
      <c r="S38" s="1275"/>
      <c r="T38" s="1275"/>
      <c r="U38" s="1275"/>
      <c r="V38" s="1275"/>
      <c r="W38" s="1275"/>
      <c r="X38" s="1275"/>
      <c r="Y38" s="1275"/>
      <c r="Z38" s="1275"/>
      <c r="AA38" s="1275"/>
      <c r="AB38" s="1275"/>
      <c r="AC38" s="1275"/>
      <c r="AD38" s="1275"/>
      <c r="AE38" s="1275"/>
      <c r="AF38" s="1275"/>
      <c r="AG38" s="1275"/>
      <c r="AH38" s="1275"/>
    </row>
    <row r="39" customFormat="false" ht="12.75" hidden="false" customHeight="false" outlineLevel="0" collapsed="false">
      <c r="C39" s="100"/>
      <c r="D39" s="100"/>
    </row>
    <row r="40" customFormat="false" ht="12.75" hidden="false" customHeight="false" outlineLevel="0" collapsed="false">
      <c r="B40" s="124" t="s">
        <v>828</v>
      </c>
      <c r="C40" s="100"/>
      <c r="D40" s="301"/>
      <c r="E40" s="1275"/>
      <c r="F40" s="1275"/>
      <c r="G40" s="1275"/>
      <c r="H40" s="1275"/>
      <c r="I40" s="1275"/>
      <c r="J40" s="1275"/>
      <c r="K40" s="1275"/>
      <c r="L40" s="1275"/>
      <c r="M40" s="1275"/>
      <c r="N40" s="1275"/>
      <c r="O40" s="1275"/>
      <c r="P40" s="1275"/>
      <c r="Q40" s="1275"/>
      <c r="R40" s="1275"/>
      <c r="S40" s="1275"/>
      <c r="T40" s="1275"/>
      <c r="U40" s="1275"/>
      <c r="V40" s="1275"/>
      <c r="W40" s="1275"/>
      <c r="X40" s="1275"/>
      <c r="Y40" s="1275"/>
      <c r="Z40" s="1275"/>
      <c r="AA40" s="1275"/>
      <c r="AB40" s="1275"/>
      <c r="AC40" s="1275"/>
      <c r="AD40" s="1275"/>
      <c r="AE40" s="1275"/>
      <c r="AF40" s="1275"/>
      <c r="AG40" s="1275"/>
      <c r="AH40" s="1275"/>
    </row>
    <row r="41" customFormat="false" ht="12.75" hidden="false" customHeight="false" outlineLevel="0" collapsed="false">
      <c r="B41" s="124" t="s">
        <v>829</v>
      </c>
      <c r="C41" s="100"/>
      <c r="D41" s="301"/>
      <c r="E41" s="1275"/>
      <c r="F41" s="1275"/>
      <c r="G41" s="1275"/>
      <c r="H41" s="1275"/>
      <c r="I41" s="1275"/>
      <c r="J41" s="1275"/>
      <c r="K41" s="1275"/>
      <c r="L41" s="1275"/>
      <c r="M41" s="1275"/>
      <c r="N41" s="1275"/>
      <c r="O41" s="1275"/>
      <c r="P41" s="1275"/>
      <c r="Q41" s="1275"/>
      <c r="R41" s="1275"/>
      <c r="S41" s="1275"/>
      <c r="T41" s="1275"/>
      <c r="U41" s="1275"/>
      <c r="V41" s="1275"/>
      <c r="W41" s="1275"/>
      <c r="X41" s="1275"/>
      <c r="Y41" s="1275"/>
      <c r="Z41" s="1275"/>
      <c r="AA41" s="1275"/>
      <c r="AB41" s="1275"/>
      <c r="AC41" s="1275"/>
      <c r="AD41" s="1275"/>
      <c r="AE41" s="1275"/>
      <c r="AF41" s="1275"/>
      <c r="AG41" s="1275"/>
      <c r="AH41" s="1275"/>
    </row>
    <row r="42" customFormat="false" ht="12.75" hidden="false" customHeight="false" outlineLevel="0" collapsed="false">
      <c r="B42" s="15" t="s">
        <v>830</v>
      </c>
      <c r="C42" s="313"/>
      <c r="D42" s="1286" t="n">
        <f aca="false">-SUM(D40:D41)</f>
        <v>-0</v>
      </c>
      <c r="E42" s="1286" t="n">
        <f aca="false">-SUM(E40:E41)</f>
        <v>-0</v>
      </c>
      <c r="F42" s="1286" t="n">
        <f aca="false">-SUM(F40:F41)</f>
        <v>-0</v>
      </c>
      <c r="G42" s="1286" t="n">
        <f aca="false">-SUM(G40:G41)</f>
        <v>-0</v>
      </c>
      <c r="H42" s="1286" t="n">
        <f aca="false">-SUM(H40:H41)</f>
        <v>-0</v>
      </c>
      <c r="I42" s="1286" t="n">
        <f aca="false">-SUM(I40:I41)</f>
        <v>-0</v>
      </c>
      <c r="J42" s="1286" t="n">
        <f aca="false">-SUM(J40:J41)</f>
        <v>-0</v>
      </c>
      <c r="K42" s="1286" t="n">
        <f aca="false">-SUM(K40:K41)</f>
        <v>-0</v>
      </c>
      <c r="L42" s="1286" t="n">
        <f aca="false">-SUM(L40:L41)</f>
        <v>-0</v>
      </c>
      <c r="M42" s="1286" t="n">
        <f aca="false">-SUM(M40:M41)</f>
        <v>-0</v>
      </c>
      <c r="N42" s="1286" t="n">
        <f aca="false">-SUM(N40:N41)</f>
        <v>-0</v>
      </c>
      <c r="O42" s="1286" t="n">
        <f aca="false">-SUM(O40:O41)</f>
        <v>-0</v>
      </c>
      <c r="P42" s="1286" t="n">
        <f aca="false">-SUM(P40:P41)</f>
        <v>-0</v>
      </c>
      <c r="Q42" s="1286" t="n">
        <f aca="false">-SUM(Q40:Q41)</f>
        <v>-0</v>
      </c>
      <c r="R42" s="1286" t="n">
        <f aca="false">-SUM(R40:R41)</f>
        <v>-0</v>
      </c>
      <c r="S42" s="1286" t="n">
        <f aca="false">-SUM(S40:S41)</f>
        <v>-0</v>
      </c>
      <c r="T42" s="1286" t="n">
        <f aca="false">-SUM(T40:T41)</f>
        <v>-0</v>
      </c>
      <c r="U42" s="1286" t="n">
        <f aca="false">-SUM(U40:U41)</f>
        <v>-0</v>
      </c>
      <c r="V42" s="1286" t="n">
        <f aca="false">-SUM(V40:V41)</f>
        <v>-0</v>
      </c>
      <c r="W42" s="1286" t="n">
        <f aca="false">-SUM(W40:W41)</f>
        <v>-0</v>
      </c>
      <c r="X42" s="1286" t="n">
        <f aca="false">-SUM(X40:X41)</f>
        <v>-0</v>
      </c>
      <c r="Y42" s="1286" t="n">
        <f aca="false">-SUM(Y40:Y41)</f>
        <v>-0</v>
      </c>
      <c r="Z42" s="1286" t="n">
        <f aca="false">-SUM(Z40:Z41)</f>
        <v>-0</v>
      </c>
      <c r="AA42" s="1286" t="n">
        <f aca="false">-SUM(AA40:AA41)</f>
        <v>-0</v>
      </c>
      <c r="AB42" s="1286" t="n">
        <f aca="false">-SUM(AB40:AB41)</f>
        <v>-0</v>
      </c>
      <c r="AC42" s="1286" t="n">
        <f aca="false">-SUM(AC40:AC41)</f>
        <v>-0</v>
      </c>
      <c r="AD42" s="1286" t="n">
        <f aca="false">-SUM(AD40:AD41)</f>
        <v>-0</v>
      </c>
      <c r="AE42" s="1286" t="n">
        <f aca="false">-SUM(AE40:AE41)</f>
        <v>-0</v>
      </c>
      <c r="AF42" s="1286" t="n">
        <f aca="false">-SUM(AF40:AF41)</f>
        <v>-0</v>
      </c>
      <c r="AG42" s="1286" t="n">
        <f aca="false">-SUM(AG40:AG41)</f>
        <v>-0</v>
      </c>
      <c r="AH42" s="1286" t="n">
        <f aca="false">-SUM(AH40:AH41)</f>
        <v>-0</v>
      </c>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c r="CE42" s="15"/>
      <c r="CF42" s="15"/>
      <c r="CG42" s="15"/>
      <c r="CH42" s="15"/>
      <c r="CI42" s="15"/>
      <c r="CJ42" s="15"/>
      <c r="CK42" s="15"/>
      <c r="CL42" s="15"/>
      <c r="CM42" s="15"/>
      <c r="CN42" s="15"/>
      <c r="CO42" s="15"/>
      <c r="CP42" s="15"/>
      <c r="CQ42" s="15"/>
      <c r="CR42" s="15"/>
      <c r="CS42" s="15"/>
      <c r="CT42" s="15"/>
      <c r="CU42" s="15"/>
      <c r="CV42" s="15"/>
      <c r="CW42" s="15"/>
      <c r="CX42" s="15"/>
      <c r="CY42" s="15"/>
      <c r="CZ42" s="15"/>
      <c r="DA42" s="15"/>
      <c r="DB42" s="15"/>
      <c r="DC42" s="15"/>
      <c r="DD42" s="15"/>
      <c r="DE42" s="15"/>
      <c r="DF42" s="15"/>
      <c r="DG42" s="15"/>
      <c r="DH42" s="15"/>
      <c r="DI42" s="15"/>
      <c r="DJ42" s="15"/>
      <c r="DK42" s="15"/>
      <c r="DL42" s="15"/>
      <c r="DM42" s="15"/>
      <c r="DN42" s="15"/>
      <c r="DO42" s="15"/>
      <c r="DP42" s="15"/>
      <c r="DQ42" s="15"/>
      <c r="DR42" s="15"/>
      <c r="DS42" s="15"/>
      <c r="DT42" s="15"/>
      <c r="DU42" s="15"/>
      <c r="DV42" s="15"/>
      <c r="DW42" s="15"/>
      <c r="DX42" s="15"/>
      <c r="DY42" s="15"/>
      <c r="DZ42" s="15"/>
      <c r="EA42" s="15"/>
      <c r="EB42" s="15"/>
      <c r="EC42" s="15"/>
      <c r="ED42" s="15"/>
      <c r="EE42" s="15"/>
      <c r="EF42" s="15"/>
      <c r="EG42" s="15"/>
      <c r="EH42" s="15"/>
      <c r="EI42" s="15"/>
      <c r="EJ42" s="15"/>
      <c r="EK42" s="15"/>
      <c r="EL42" s="15"/>
      <c r="EM42" s="15"/>
      <c r="EN42" s="15"/>
      <c r="EO42" s="15"/>
      <c r="EP42" s="15"/>
      <c r="EQ42" s="15"/>
      <c r="ER42" s="15"/>
      <c r="ES42" s="15"/>
      <c r="ET42" s="15"/>
      <c r="EU42" s="15"/>
      <c r="EV42" s="15"/>
      <c r="EW42" s="15"/>
      <c r="EX42" s="15"/>
      <c r="EY42" s="15"/>
      <c r="EZ42" s="15"/>
      <c r="FA42" s="15"/>
      <c r="FB42" s="15"/>
      <c r="FC42" s="15"/>
      <c r="FD42" s="15"/>
      <c r="FE42" s="15"/>
      <c r="FF42" s="15"/>
      <c r="FG42" s="15"/>
      <c r="FH42" s="15"/>
      <c r="FI42" s="15"/>
      <c r="FJ42" s="15"/>
      <c r="FK42" s="15"/>
      <c r="FL42" s="15"/>
      <c r="FM42" s="15"/>
      <c r="FN42" s="15"/>
      <c r="FO42" s="15"/>
      <c r="FP42" s="15"/>
      <c r="FQ42" s="15"/>
      <c r="FR42" s="15"/>
      <c r="FS42" s="15"/>
      <c r="FT42" s="15"/>
      <c r="FU42" s="15"/>
      <c r="FV42" s="15"/>
      <c r="FW42" s="15"/>
      <c r="FX42" s="15"/>
      <c r="FY42" s="15"/>
      <c r="FZ42" s="15"/>
      <c r="GA42" s="15"/>
      <c r="GB42" s="15"/>
      <c r="GC42" s="15"/>
      <c r="GD42" s="15"/>
      <c r="GE42" s="15"/>
      <c r="GF42" s="15"/>
      <c r="GG42" s="15"/>
      <c r="GH42" s="15"/>
      <c r="GI42" s="15"/>
      <c r="GJ42" s="15"/>
      <c r="GK42" s="15"/>
      <c r="GL42" s="15"/>
      <c r="GM42" s="15"/>
      <c r="GN42" s="15"/>
      <c r="GO42" s="15"/>
      <c r="GP42" s="15"/>
      <c r="GQ42" s="15"/>
      <c r="GR42" s="15"/>
      <c r="GS42" s="15"/>
      <c r="GT42" s="15"/>
      <c r="GU42" s="15"/>
      <c r="GV42" s="15"/>
      <c r="GW42" s="15"/>
      <c r="GX42" s="15"/>
      <c r="GY42" s="15"/>
      <c r="GZ42" s="15"/>
      <c r="HA42" s="15"/>
      <c r="HB42" s="15"/>
      <c r="HC42" s="15"/>
      <c r="HD42" s="15"/>
      <c r="HE42" s="15"/>
      <c r="HF42" s="15"/>
      <c r="HG42" s="15"/>
      <c r="HH42" s="15"/>
      <c r="HI42" s="15"/>
      <c r="HJ42" s="15"/>
      <c r="HK42" s="15"/>
      <c r="HL42" s="15"/>
      <c r="HM42" s="15"/>
      <c r="HN42" s="15"/>
      <c r="HO42" s="15"/>
      <c r="HP42" s="15"/>
      <c r="HQ42" s="15"/>
      <c r="HR42" s="15"/>
      <c r="HS42" s="15"/>
      <c r="HT42" s="15"/>
      <c r="HU42" s="15"/>
      <c r="HV42" s="15"/>
      <c r="HW42" s="15"/>
      <c r="HX42" s="15"/>
      <c r="HY42" s="15"/>
      <c r="HZ42" s="15"/>
      <c r="IA42" s="15"/>
      <c r="IB42" s="15"/>
      <c r="IC42" s="15"/>
      <c r="ID42" s="15"/>
      <c r="IE42" s="15"/>
      <c r="IF42" s="15"/>
      <c r="IG42" s="15"/>
      <c r="IH42" s="15"/>
      <c r="II42" s="15"/>
      <c r="IJ42" s="15"/>
      <c r="IK42" s="15"/>
      <c r="IL42" s="15"/>
      <c r="IM42" s="15"/>
      <c r="IN42" s="15"/>
      <c r="IO42" s="15"/>
      <c r="IP42" s="15"/>
      <c r="IQ42" s="15"/>
      <c r="IR42" s="15"/>
      <c r="IS42" s="15"/>
      <c r="IT42" s="15"/>
      <c r="IU42" s="15"/>
      <c r="IV42" s="15"/>
      <c r="IW42" s="15"/>
    </row>
    <row r="43" customFormat="false" ht="12.75" hidden="false" customHeight="false" outlineLevel="0" collapsed="false">
      <c r="C43" s="100"/>
      <c r="D43" s="100"/>
    </row>
    <row r="44" customFormat="false" ht="12.75" hidden="false" customHeight="false" outlineLevel="0" collapsed="false">
      <c r="C44" s="100"/>
      <c r="D44" s="100"/>
    </row>
    <row r="46" customFormat="false" ht="12.75" hidden="false" customHeight="false" outlineLevel="0" collapsed="false">
      <c r="C46" s="100"/>
      <c r="D46" s="100"/>
    </row>
    <row r="47" customFormat="false" ht="12.75" hidden="false" customHeight="false" outlineLevel="0" collapsed="false">
      <c r="C47" s="100"/>
      <c r="D47" s="100"/>
    </row>
    <row r="48" customFormat="false" ht="12.75" hidden="false" customHeight="false" outlineLevel="0" collapsed="false">
      <c r="C48" s="100"/>
      <c r="D48" s="100"/>
    </row>
    <row r="49" customFormat="false" ht="12.75" hidden="false" customHeight="false" outlineLevel="0" collapsed="false">
      <c r="B49" s="43" t="s">
        <v>831</v>
      </c>
      <c r="C49" s="100"/>
      <c r="D49" s="100"/>
    </row>
    <row r="50" customFormat="false" ht="12.75" hidden="false" customHeight="false" outlineLevel="0" collapsed="false">
      <c r="C50" s="100"/>
      <c r="D50" s="100"/>
    </row>
    <row r="51" customFormat="false" ht="12.75" hidden="false" customHeight="false" outlineLevel="0" collapsed="false">
      <c r="B51" s="0" t="s">
        <v>832</v>
      </c>
      <c r="C51" s="100"/>
      <c r="D51" s="100"/>
    </row>
    <row r="52" customFormat="false" ht="12.75" hidden="false" customHeight="false" outlineLevel="0" collapsed="false">
      <c r="C52" s="100"/>
      <c r="D52" s="100"/>
    </row>
    <row r="53" customFormat="false" ht="12.75" hidden="false" customHeight="false" outlineLevel="0" collapsed="false">
      <c r="C53" s="100"/>
      <c r="D53" s="100"/>
    </row>
    <row r="54" customFormat="false" ht="12.75" hidden="false" customHeight="false" outlineLevel="0" collapsed="false">
      <c r="C54" s="100"/>
      <c r="D54" s="100"/>
    </row>
    <row r="55" customFormat="false" ht="12.75" hidden="false" customHeight="false" outlineLevel="0" collapsed="false">
      <c r="C55" s="100"/>
      <c r="D55" s="100"/>
    </row>
    <row r="56" customFormat="false" ht="12.75" hidden="false" customHeight="false" outlineLevel="0" collapsed="false">
      <c r="B56" s="43" t="s">
        <v>833</v>
      </c>
      <c r="C56" s="100"/>
      <c r="D56" s="100"/>
    </row>
    <row r="57" customFormat="false" ht="12.75" hidden="false" customHeight="false" outlineLevel="0" collapsed="false">
      <c r="C57" s="100"/>
      <c r="D57" s="100"/>
    </row>
    <row r="58" customFormat="false" ht="12.75" hidden="false" customHeight="false" outlineLevel="0" collapsed="false">
      <c r="C58" s="100"/>
      <c r="D58" s="100"/>
    </row>
    <row r="59" customFormat="false" ht="12.75" hidden="false" customHeight="false" outlineLevel="0" collapsed="false">
      <c r="C59" s="100"/>
      <c r="D59" s="100"/>
    </row>
    <row r="60" customFormat="false" ht="12.75" hidden="false" customHeight="false" outlineLevel="0" collapsed="false">
      <c r="C60" s="100"/>
      <c r="D60" s="100"/>
    </row>
    <row r="61" customFormat="false" ht="12.75" hidden="false" customHeight="false" outlineLevel="0" collapsed="false">
      <c r="C61" s="100"/>
      <c r="D61" s="100"/>
    </row>
    <row r="62" customFormat="false" ht="12.75" hidden="false" customHeight="false" outlineLevel="0" collapsed="false">
      <c r="C62" s="100"/>
      <c r="D62" s="100"/>
    </row>
    <row r="63" customFormat="false" ht="12.75" hidden="false" customHeight="false" outlineLevel="0" collapsed="false">
      <c r="C63" s="100"/>
      <c r="D63" s="100"/>
    </row>
    <row r="64" customFormat="false" ht="12.75" hidden="false" customHeight="false" outlineLevel="0" collapsed="false">
      <c r="C64" s="100"/>
      <c r="D64" s="100"/>
    </row>
    <row r="65" customFormat="false" ht="12.75" hidden="false" customHeight="false" outlineLevel="0" collapsed="false">
      <c r="C65" s="100"/>
      <c r="D65" s="100"/>
    </row>
    <row r="66" customFormat="false" ht="12.75" hidden="false" customHeight="false" outlineLevel="0" collapsed="false">
      <c r="C66" s="100"/>
      <c r="D66" s="100"/>
    </row>
    <row r="67" customFormat="false" ht="12.75" hidden="false" customHeight="false" outlineLevel="0" collapsed="false">
      <c r="C67" s="100"/>
      <c r="D67" s="100"/>
    </row>
    <row r="68" customFormat="false" ht="12.75" hidden="false" customHeight="false" outlineLevel="0" collapsed="false">
      <c r="C68" s="100"/>
      <c r="D68" s="100"/>
    </row>
    <row r="69" customFormat="false" ht="12.75" hidden="false" customHeight="false" outlineLevel="0" collapsed="false">
      <c r="C69" s="100"/>
      <c r="D69" s="100"/>
    </row>
    <row r="70" customFormat="false" ht="12.75" hidden="false" customHeight="false" outlineLevel="0" collapsed="false">
      <c r="C70" s="100"/>
      <c r="D70" s="100"/>
    </row>
    <row r="71" customFormat="false" ht="12.75" hidden="false" customHeight="false" outlineLevel="0" collapsed="false">
      <c r="C71" s="100"/>
      <c r="D71" s="100"/>
    </row>
    <row r="72" customFormat="false" ht="12.75" hidden="false" customHeight="false" outlineLevel="0" collapsed="false">
      <c r="C72" s="100"/>
      <c r="D72" s="100"/>
    </row>
    <row r="73" customFormat="false" ht="12.75" hidden="false" customHeight="false" outlineLevel="0" collapsed="false">
      <c r="C73" s="100"/>
      <c r="D73" s="100"/>
    </row>
    <row r="74" customFormat="false" ht="12.75" hidden="false" customHeight="false" outlineLevel="0" collapsed="false">
      <c r="C74" s="100"/>
      <c r="D74" s="100"/>
    </row>
    <row r="75" customFormat="false" ht="12.75" hidden="false" customHeight="false" outlineLevel="0" collapsed="false">
      <c r="C75" s="100"/>
      <c r="D75" s="100"/>
    </row>
    <row r="76" customFormat="false" ht="12.75" hidden="false" customHeight="false" outlineLevel="0" collapsed="false">
      <c r="C76" s="100"/>
      <c r="D76" s="100"/>
    </row>
    <row r="77" customFormat="false" ht="12.75" hidden="false" customHeight="false" outlineLevel="0" collapsed="false">
      <c r="C77" s="100"/>
      <c r="D77" s="100"/>
    </row>
    <row r="78" customFormat="false" ht="12.75" hidden="false" customHeight="false" outlineLevel="0" collapsed="false">
      <c r="C78" s="100"/>
      <c r="D78" s="100"/>
    </row>
    <row r="79" customFormat="false" ht="12.75" hidden="false" customHeight="false" outlineLevel="0" collapsed="false">
      <c r="C79" s="100"/>
      <c r="D79" s="100"/>
    </row>
    <row r="80" customFormat="false" ht="12.75" hidden="false" customHeight="false" outlineLevel="0" collapsed="false">
      <c r="C80" s="100"/>
      <c r="D80" s="100"/>
    </row>
    <row r="81" customFormat="false" ht="12.75" hidden="false" customHeight="false" outlineLevel="0" collapsed="false">
      <c r="C81" s="100"/>
      <c r="D81" s="100"/>
    </row>
    <row r="82" customFormat="false" ht="12.75" hidden="false" customHeight="false" outlineLevel="0" collapsed="false">
      <c r="C82" s="100"/>
      <c r="D82" s="100"/>
    </row>
    <row r="83" customFormat="false" ht="12.75" hidden="false" customHeight="false" outlineLevel="0" collapsed="false">
      <c r="C83" s="100"/>
      <c r="D83" s="100"/>
    </row>
    <row r="84" customFormat="false" ht="12.75" hidden="false" customHeight="false" outlineLevel="0" collapsed="false">
      <c r="C84" s="100"/>
      <c r="D84" s="100"/>
    </row>
    <row r="85" customFormat="false" ht="12.75" hidden="false" customHeight="false" outlineLevel="0" collapsed="false">
      <c r="C85" s="100"/>
      <c r="D85" s="100"/>
    </row>
    <row r="86" customFormat="false" ht="12.75" hidden="false" customHeight="false" outlineLevel="0" collapsed="false">
      <c r="C86" s="100"/>
      <c r="D86" s="100"/>
    </row>
    <row r="87" customFormat="false" ht="12.75" hidden="false" customHeight="false" outlineLevel="0" collapsed="false">
      <c r="C87" s="100"/>
      <c r="D87" s="100"/>
    </row>
    <row r="88" customFormat="false" ht="12.75" hidden="false" customHeight="false" outlineLevel="0" collapsed="false">
      <c r="C88" s="100"/>
      <c r="D88" s="100"/>
    </row>
    <row r="89" customFormat="false" ht="12.75" hidden="false" customHeight="false" outlineLevel="0" collapsed="false">
      <c r="C89" s="100"/>
      <c r="D89" s="100"/>
    </row>
    <row r="90" customFormat="false" ht="12.75" hidden="false" customHeight="false" outlineLevel="0" collapsed="false">
      <c r="C90" s="100"/>
      <c r="D90" s="100"/>
    </row>
    <row r="91" customFormat="false" ht="12.75" hidden="false" customHeight="false" outlineLevel="0" collapsed="false">
      <c r="C91" s="100"/>
      <c r="D91" s="100"/>
    </row>
    <row r="92" customFormat="false" ht="12.75" hidden="false" customHeight="false" outlineLevel="0" collapsed="false">
      <c r="C92" s="100"/>
      <c r="D92" s="100"/>
    </row>
    <row r="93" customFormat="false" ht="12.75" hidden="false" customHeight="false" outlineLevel="0" collapsed="false">
      <c r="C93" s="100"/>
      <c r="D93" s="100"/>
    </row>
    <row r="94" customFormat="false" ht="12.75" hidden="false" customHeight="false" outlineLevel="0" collapsed="false">
      <c r="C94" s="100"/>
      <c r="D94" s="100"/>
    </row>
    <row r="95" customFormat="false" ht="12.75" hidden="false" customHeight="false" outlineLevel="0" collapsed="false">
      <c r="C95" s="100"/>
      <c r="D95" s="100"/>
    </row>
    <row r="96" customFormat="false" ht="12.75" hidden="false" customHeight="false" outlineLevel="0" collapsed="false">
      <c r="C96" s="100"/>
      <c r="D96" s="100"/>
    </row>
    <row r="97" customFormat="false" ht="12.75" hidden="false" customHeight="false" outlineLevel="0" collapsed="false">
      <c r="C97" s="100"/>
      <c r="D97" s="100"/>
    </row>
    <row r="98" customFormat="false" ht="12.75" hidden="false" customHeight="false" outlineLevel="0" collapsed="false">
      <c r="C98" s="100"/>
      <c r="D98" s="100"/>
    </row>
    <row r="99" customFormat="false" ht="12.75" hidden="false" customHeight="false" outlineLevel="0" collapsed="false">
      <c r="C99" s="100"/>
      <c r="D99" s="100"/>
    </row>
    <row r="100" customFormat="false" ht="12.75" hidden="false" customHeight="false" outlineLevel="0" collapsed="false">
      <c r="C100" s="100"/>
      <c r="D100" s="100"/>
    </row>
    <row r="101" customFormat="false" ht="12.75" hidden="false" customHeight="false" outlineLevel="0" collapsed="false">
      <c r="C101" s="100"/>
      <c r="D101" s="100"/>
    </row>
    <row r="102" customFormat="false" ht="12.75" hidden="false" customHeight="false" outlineLevel="0" collapsed="false">
      <c r="C102" s="100"/>
      <c r="D102" s="100"/>
    </row>
    <row r="103" customFormat="false" ht="12.75" hidden="false" customHeight="false" outlineLevel="0" collapsed="false">
      <c r="C103" s="100"/>
      <c r="D103" s="100"/>
    </row>
    <row r="104" customFormat="false" ht="12.75" hidden="false" customHeight="false" outlineLevel="0" collapsed="false">
      <c r="C104" s="100"/>
      <c r="D104" s="100"/>
    </row>
    <row r="105" customFormat="false" ht="12.75" hidden="false" customHeight="false" outlineLevel="0" collapsed="false">
      <c r="C105" s="100"/>
      <c r="D105" s="100"/>
    </row>
    <row r="106" customFormat="false" ht="12.75" hidden="false" customHeight="false" outlineLevel="0" collapsed="false">
      <c r="C106" s="100"/>
      <c r="D106" s="100"/>
    </row>
    <row r="107" customFormat="false" ht="12.75" hidden="false" customHeight="false" outlineLevel="0" collapsed="false">
      <c r="C107" s="100"/>
      <c r="D107" s="100"/>
    </row>
    <row r="108" customFormat="false" ht="12.75" hidden="false" customHeight="false" outlineLevel="0" collapsed="false">
      <c r="C108" s="100"/>
      <c r="D108" s="100"/>
    </row>
    <row r="109" customFormat="false" ht="12.75" hidden="false" customHeight="false" outlineLevel="0" collapsed="false">
      <c r="C109" s="100"/>
      <c r="D109" s="100"/>
    </row>
    <row r="110" customFormat="false" ht="12.75" hidden="false" customHeight="false" outlineLevel="0" collapsed="false">
      <c r="C110" s="100"/>
      <c r="D110" s="100"/>
    </row>
    <row r="111" customFormat="false" ht="12.75" hidden="false" customHeight="false" outlineLevel="0" collapsed="false">
      <c r="C111" s="100"/>
      <c r="D111" s="100"/>
    </row>
    <row r="112" customFormat="false" ht="12.75" hidden="false" customHeight="false" outlineLevel="0" collapsed="false">
      <c r="C112" s="100"/>
      <c r="D112" s="100"/>
    </row>
    <row r="113" customFormat="false" ht="12.75" hidden="false" customHeight="false" outlineLevel="0" collapsed="false">
      <c r="C113" s="100"/>
      <c r="D113" s="100"/>
    </row>
    <row r="114" customFormat="false" ht="12.75" hidden="false" customHeight="false" outlineLevel="0" collapsed="false">
      <c r="C114" s="100"/>
      <c r="D114" s="100"/>
    </row>
    <row r="115" customFormat="false" ht="12.75" hidden="false" customHeight="false" outlineLevel="0" collapsed="false">
      <c r="C115" s="100"/>
      <c r="D115" s="100"/>
    </row>
    <row r="116" customFormat="false" ht="12.75" hidden="false" customHeight="false" outlineLevel="0" collapsed="false">
      <c r="C116" s="100"/>
      <c r="D116" s="100"/>
    </row>
    <row r="117" customFormat="false" ht="12.75" hidden="false" customHeight="false" outlineLevel="0" collapsed="false">
      <c r="C117" s="100"/>
      <c r="D117" s="100"/>
    </row>
    <row r="118" customFormat="false" ht="12.75" hidden="false" customHeight="false" outlineLevel="0" collapsed="false">
      <c r="C118" s="100"/>
      <c r="D118" s="100"/>
    </row>
    <row r="119" customFormat="false" ht="12.75" hidden="false" customHeight="false" outlineLevel="0" collapsed="false">
      <c r="C119" s="100"/>
      <c r="D119" s="100"/>
    </row>
    <row r="120" customFormat="false" ht="12.75" hidden="false" customHeight="false" outlineLevel="0" collapsed="false">
      <c r="C120" s="100"/>
      <c r="D120" s="100"/>
    </row>
    <row r="121" customFormat="false" ht="12.75" hidden="false" customHeight="false" outlineLevel="0" collapsed="false">
      <c r="C121" s="100"/>
      <c r="D121" s="100"/>
    </row>
    <row r="122" customFormat="false" ht="12.75" hidden="false" customHeight="false" outlineLevel="0" collapsed="false">
      <c r="C122" s="100"/>
      <c r="D122" s="100"/>
    </row>
    <row r="123" customFormat="false" ht="12.75" hidden="false" customHeight="false" outlineLevel="0" collapsed="false">
      <c r="C123" s="100"/>
      <c r="D123" s="100"/>
    </row>
    <row r="124" customFormat="false" ht="12.75" hidden="false" customHeight="false" outlineLevel="0" collapsed="false">
      <c r="C124" s="100"/>
      <c r="D124" s="100"/>
    </row>
    <row r="125" customFormat="false" ht="12.75" hidden="false" customHeight="false" outlineLevel="0" collapsed="false">
      <c r="C125" s="100"/>
      <c r="D125" s="100"/>
    </row>
    <row r="126" customFormat="false" ht="12.75" hidden="false" customHeight="false" outlineLevel="0" collapsed="false">
      <c r="C126" s="100"/>
      <c r="D126" s="100"/>
    </row>
    <row r="127" customFormat="false" ht="12.75" hidden="false" customHeight="false" outlineLevel="0" collapsed="false">
      <c r="C127" s="100"/>
      <c r="D127" s="100"/>
    </row>
    <row r="128" customFormat="false" ht="12.75" hidden="false" customHeight="false" outlineLevel="0" collapsed="false">
      <c r="C128" s="100"/>
      <c r="D128" s="100"/>
    </row>
    <row r="129" customFormat="false" ht="12.75" hidden="false" customHeight="false" outlineLevel="0" collapsed="false">
      <c r="C129" s="100"/>
      <c r="D129" s="100"/>
    </row>
    <row r="130" customFormat="false" ht="12.75" hidden="false" customHeight="false" outlineLevel="0" collapsed="false">
      <c r="C130" s="100"/>
    </row>
    <row r="131" customFormat="false" ht="12.75" hidden="false" customHeight="false" outlineLevel="0" collapsed="false">
      <c r="C131" s="100"/>
    </row>
    <row r="132" customFormat="false" ht="12.75" hidden="false" customHeight="false" outlineLevel="0" collapsed="false">
      <c r="C132" s="100"/>
    </row>
    <row r="133" customFormat="false" ht="12.75" hidden="false" customHeight="false" outlineLevel="0" collapsed="false">
      <c r="C133" s="100"/>
    </row>
    <row r="134" customFormat="false" ht="12.75" hidden="false" customHeight="false" outlineLevel="0" collapsed="false">
      <c r="C134" s="100"/>
    </row>
    <row r="135" customFormat="false" ht="12.75" hidden="false" customHeight="false" outlineLevel="0" collapsed="false">
      <c r="C135" s="100"/>
    </row>
    <row r="136" customFormat="false" ht="12.75" hidden="false" customHeight="false" outlineLevel="0" collapsed="false">
      <c r="C136" s="100"/>
    </row>
    <row r="137" customFormat="false" ht="12.75" hidden="false" customHeight="false" outlineLevel="0" collapsed="false">
      <c r="C137" s="100"/>
    </row>
    <row r="138" customFormat="false" ht="12.75" hidden="false" customHeight="false" outlineLevel="0" collapsed="false">
      <c r="C138" s="100"/>
    </row>
    <row r="139" customFormat="false" ht="12.75" hidden="false" customHeight="false" outlineLevel="0" collapsed="false">
      <c r="C139" s="100"/>
    </row>
    <row r="140" customFormat="false" ht="12.75" hidden="false" customHeight="false" outlineLevel="0" collapsed="false">
      <c r="C140" s="100"/>
    </row>
    <row r="141" customFormat="false" ht="12.75" hidden="false" customHeight="false" outlineLevel="0" collapsed="false">
      <c r="C141" s="100"/>
    </row>
    <row r="142" customFormat="false" ht="12.75" hidden="false" customHeight="false" outlineLevel="0" collapsed="false">
      <c r="C142" s="100"/>
    </row>
    <row r="143" customFormat="false" ht="12.75" hidden="false" customHeight="false" outlineLevel="0" collapsed="false">
      <c r="C143" s="100"/>
    </row>
    <row r="144" customFormat="false" ht="12.75" hidden="false" customHeight="false" outlineLevel="0" collapsed="false">
      <c r="C144" s="100"/>
    </row>
    <row r="145" customFormat="false" ht="12.75" hidden="false" customHeight="false" outlineLevel="0" collapsed="false">
      <c r="C145" s="100"/>
    </row>
    <row r="146" customFormat="false" ht="12.75" hidden="false" customHeight="false" outlineLevel="0" collapsed="false">
      <c r="C146" s="100"/>
    </row>
    <row r="147" customFormat="false" ht="12.75" hidden="false" customHeight="false" outlineLevel="0" collapsed="false">
      <c r="C147" s="100"/>
    </row>
    <row r="148" customFormat="false" ht="12.75" hidden="false" customHeight="false" outlineLevel="0" collapsed="false">
      <c r="C148" s="100"/>
    </row>
    <row r="149" customFormat="false" ht="12.75" hidden="false" customHeight="false" outlineLevel="0" collapsed="false">
      <c r="C149" s="100"/>
    </row>
    <row r="150" customFormat="false" ht="12.75" hidden="false" customHeight="false" outlineLevel="0" collapsed="false">
      <c r="C150" s="100"/>
    </row>
    <row r="151" customFormat="false" ht="12.75" hidden="false" customHeight="false" outlineLevel="0" collapsed="false">
      <c r="C151" s="100"/>
    </row>
    <row r="152" customFormat="false" ht="12.75" hidden="false" customHeight="false" outlineLevel="0" collapsed="false">
      <c r="C152" s="100"/>
    </row>
    <row r="153" customFormat="false" ht="12.75" hidden="false" customHeight="false" outlineLevel="0" collapsed="false">
      <c r="C153" s="100"/>
    </row>
    <row r="154" customFormat="false" ht="12.75" hidden="false" customHeight="false" outlineLevel="0" collapsed="false">
      <c r="C154" s="100"/>
    </row>
    <row r="155" customFormat="false" ht="12.75" hidden="false" customHeight="false" outlineLevel="0" collapsed="false">
      <c r="C155" s="100"/>
    </row>
    <row r="156" customFormat="false" ht="12.75" hidden="false" customHeight="false" outlineLevel="0" collapsed="false">
      <c r="C156" s="100"/>
    </row>
    <row r="157" customFormat="false" ht="12.75" hidden="false" customHeight="false" outlineLevel="0" collapsed="false">
      <c r="C157" s="100"/>
    </row>
    <row r="158" customFormat="false" ht="12.75" hidden="false" customHeight="false" outlineLevel="0" collapsed="false">
      <c r="C158" s="100"/>
    </row>
    <row r="159" customFormat="false" ht="12.75" hidden="false" customHeight="false" outlineLevel="0" collapsed="false">
      <c r="C159" s="100"/>
    </row>
    <row r="160" customFormat="false" ht="12.75" hidden="false" customHeight="false" outlineLevel="0" collapsed="false">
      <c r="C160" s="100"/>
    </row>
    <row r="161" customFormat="false" ht="12.75" hidden="false" customHeight="false" outlineLevel="0" collapsed="false">
      <c r="C161" s="100"/>
    </row>
    <row r="162" customFormat="false" ht="12.75" hidden="false" customHeight="false" outlineLevel="0" collapsed="false">
      <c r="C162" s="100"/>
    </row>
    <row r="163" customFormat="false" ht="12.75" hidden="false" customHeight="false" outlineLevel="0" collapsed="false">
      <c r="C163" s="100"/>
    </row>
    <row r="164" customFormat="false" ht="12.75" hidden="false" customHeight="false" outlineLevel="0" collapsed="false">
      <c r="C164" s="100"/>
    </row>
  </sheetData>
  <printOptions headings="tru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27"/>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C1" activeCellId="0" sqref="C1"/>
    </sheetView>
  </sheetViews>
  <sheetFormatPr defaultColWidth="8.70703125" defaultRowHeight="12.75" customHeight="true" zeroHeight="false" outlineLevelRow="0" outlineLevelCol="0"/>
  <cols>
    <col collapsed="false" customWidth="true" hidden="false" outlineLevel="0" max="1" min="1" style="176" width="3.28"/>
    <col collapsed="false" customWidth="true" hidden="false" outlineLevel="0" max="2" min="2" style="0" width="6.13"/>
    <col collapsed="false" customWidth="true" hidden="false" outlineLevel="0" max="3" min="3" style="0" width="43.41"/>
    <col collapsed="false" customWidth="true" hidden="false" outlineLevel="0" max="19" min="4" style="0" width="9.28"/>
  </cols>
  <sheetData>
    <row r="1" customFormat="false" ht="15.75" hidden="false" customHeight="false" outlineLevel="0" collapsed="false">
      <c r="C1" s="2" t="str">
        <f aca="false">ExecSum!$E$4</f>
        <v>SMUD - Solano 34.50MW Project</v>
      </c>
      <c r="D1" s="4" t="n">
        <v>1</v>
      </c>
      <c r="E1" s="5" t="n">
        <v>2</v>
      </c>
      <c r="F1" s="5" t="n">
        <v>3</v>
      </c>
      <c r="G1" s="5" t="n">
        <v>4</v>
      </c>
      <c r="H1" s="5" t="n">
        <v>5</v>
      </c>
      <c r="I1" s="5" t="n">
        <v>6</v>
      </c>
      <c r="J1" s="5" t="n">
        <v>7</v>
      </c>
      <c r="K1" s="5" t="n">
        <v>8</v>
      </c>
      <c r="L1" s="5" t="n">
        <v>9</v>
      </c>
      <c r="M1" s="5" t="n">
        <v>10</v>
      </c>
      <c r="N1" s="5" t="n">
        <v>11</v>
      </c>
      <c r="O1" s="5" t="n">
        <v>12</v>
      </c>
      <c r="P1" s="5" t="n">
        <v>13</v>
      </c>
      <c r="Q1" s="5" t="n">
        <v>14</v>
      </c>
      <c r="R1" s="5" t="n">
        <v>15</v>
      </c>
      <c r="S1" s="5" t="n">
        <v>16</v>
      </c>
      <c r="T1" s="5" t="n">
        <v>17</v>
      </c>
      <c r="U1" s="5" t="n">
        <v>18</v>
      </c>
      <c r="V1" s="5" t="n">
        <v>19</v>
      </c>
      <c r="W1" s="5" t="n">
        <v>20</v>
      </c>
      <c r="X1" s="5" t="n">
        <v>21</v>
      </c>
      <c r="Y1" s="5" t="n">
        <v>22</v>
      </c>
      <c r="Z1" s="5" t="n">
        <v>23</v>
      </c>
      <c r="AA1" s="5" t="n">
        <v>24</v>
      </c>
      <c r="AB1" s="5" t="n">
        <v>25</v>
      </c>
      <c r="AC1" s="5" t="n">
        <v>26</v>
      </c>
      <c r="AD1" s="5" t="n">
        <v>27</v>
      </c>
      <c r="AE1" s="5" t="n">
        <v>28</v>
      </c>
      <c r="AF1" s="5" t="n">
        <v>29</v>
      </c>
      <c r="AG1" s="6" t="n">
        <v>30</v>
      </c>
    </row>
    <row r="2" customFormat="false" ht="15.75" hidden="false" customHeight="false" outlineLevel="0" collapsed="false">
      <c r="C2" s="2" t="s">
        <v>834</v>
      </c>
      <c r="D2" s="7" t="n">
        <f aca="false">Assum!$H$25</f>
        <v>2002</v>
      </c>
      <c r="E2" s="8" t="n">
        <f aca="false">D2+1</f>
        <v>2003</v>
      </c>
      <c r="F2" s="8" t="n">
        <f aca="false">E2+1</f>
        <v>2004</v>
      </c>
      <c r="G2" s="8" t="n">
        <f aca="false">F2+1</f>
        <v>2005</v>
      </c>
      <c r="H2" s="8" t="n">
        <f aca="false">G2+1</f>
        <v>2006</v>
      </c>
      <c r="I2" s="8" t="n">
        <f aca="false">H2+1</f>
        <v>2007</v>
      </c>
      <c r="J2" s="8" t="n">
        <f aca="false">I2+1</f>
        <v>2008</v>
      </c>
      <c r="K2" s="8" t="n">
        <f aca="false">J2+1</f>
        <v>2009</v>
      </c>
      <c r="L2" s="8" t="n">
        <f aca="false">K2+1</f>
        <v>2010</v>
      </c>
      <c r="M2" s="8" t="n">
        <f aca="false">L2+1</f>
        <v>2011</v>
      </c>
      <c r="N2" s="8" t="n">
        <f aca="false">M2+1</f>
        <v>2012</v>
      </c>
      <c r="O2" s="8" t="n">
        <f aca="false">N2+1</f>
        <v>2013</v>
      </c>
      <c r="P2" s="8" t="n">
        <f aca="false">O2+1</f>
        <v>2014</v>
      </c>
      <c r="Q2" s="8" t="n">
        <f aca="false">P2+1</f>
        <v>2015</v>
      </c>
      <c r="R2" s="8" t="n">
        <f aca="false">Q2+1</f>
        <v>2016</v>
      </c>
      <c r="S2" s="8" t="n">
        <f aca="false">R2+1</f>
        <v>2017</v>
      </c>
      <c r="T2" s="8" t="n">
        <f aca="false">S2+1</f>
        <v>2018</v>
      </c>
      <c r="U2" s="8" t="n">
        <f aca="false">T2+1</f>
        <v>2019</v>
      </c>
      <c r="V2" s="8" t="n">
        <f aca="false">U2+1</f>
        <v>2020</v>
      </c>
      <c r="W2" s="8" t="n">
        <f aca="false">V2+1</f>
        <v>2021</v>
      </c>
      <c r="X2" s="8" t="n">
        <f aca="false">W2+1</f>
        <v>2022</v>
      </c>
      <c r="Y2" s="8" t="n">
        <f aca="false">X2+1</f>
        <v>2023</v>
      </c>
      <c r="Z2" s="8" t="n">
        <f aca="false">Y2+1</f>
        <v>2024</v>
      </c>
      <c r="AA2" s="8" t="n">
        <f aca="false">Z2+1</f>
        <v>2025</v>
      </c>
      <c r="AB2" s="8" t="n">
        <f aca="false">AA2+1</f>
        <v>2026</v>
      </c>
      <c r="AC2" s="8" t="n">
        <f aca="false">AB2+1</f>
        <v>2027</v>
      </c>
      <c r="AD2" s="8" t="n">
        <f aca="false">AC2+1</f>
        <v>2028</v>
      </c>
      <c r="AE2" s="8" t="n">
        <f aca="false">AD2+1</f>
        <v>2029</v>
      </c>
      <c r="AF2" s="8" t="n">
        <f aca="false">AE2+1</f>
        <v>2030</v>
      </c>
      <c r="AG2" s="9" t="n">
        <f aca="false">AF2+1</f>
        <v>2031</v>
      </c>
    </row>
    <row r="4" customFormat="false" ht="12.75" hidden="false" customHeight="false" outlineLevel="0" collapsed="false">
      <c r="A4" s="1287"/>
      <c r="B4" s="1288"/>
      <c r="C4" s="1288"/>
      <c r="D4" s="1288"/>
      <c r="E4" s="1288"/>
      <c r="F4" s="1288"/>
      <c r="G4" s="1288"/>
      <c r="H4" s="1288"/>
      <c r="I4" s="1288"/>
      <c r="J4" s="1288"/>
      <c r="K4" s="1288"/>
      <c r="L4" s="1288"/>
      <c r="M4" s="1288"/>
      <c r="N4" s="1288"/>
      <c r="O4" s="1288"/>
      <c r="P4" s="1288"/>
      <c r="Q4" s="1288"/>
      <c r="R4" s="1288"/>
      <c r="S4" s="1288"/>
      <c r="T4" s="1288"/>
      <c r="U4" s="1288"/>
      <c r="V4" s="1288"/>
      <c r="W4" s="1288"/>
      <c r="X4" s="1288"/>
      <c r="Y4" s="1288"/>
      <c r="Z4" s="1288"/>
      <c r="AA4" s="1288"/>
      <c r="AB4" s="1288"/>
      <c r="AC4" s="1288"/>
      <c r="AD4" s="1288"/>
      <c r="AE4" s="1288"/>
      <c r="AF4" s="1288"/>
      <c r="AG4" s="1288"/>
      <c r="AH4" s="1288"/>
      <c r="AI4" s="1288"/>
      <c r="AJ4" s="1288"/>
      <c r="AK4" s="1288"/>
      <c r="AL4" s="1288"/>
      <c r="AM4" s="1288"/>
      <c r="AN4" s="1288"/>
      <c r="AO4" s="1288"/>
      <c r="AP4" s="1288"/>
      <c r="AQ4" s="1288"/>
      <c r="AR4" s="1288"/>
      <c r="AS4" s="1288"/>
      <c r="AT4" s="1288"/>
      <c r="AU4" s="1288"/>
      <c r="AV4" s="1288"/>
      <c r="AW4" s="1288"/>
      <c r="AX4" s="1288"/>
      <c r="AY4" s="1288"/>
      <c r="AZ4" s="1288"/>
      <c r="BA4" s="1288"/>
      <c r="BB4" s="1288"/>
      <c r="BC4" s="1288"/>
      <c r="BD4" s="1288"/>
      <c r="BE4" s="1288"/>
      <c r="BF4" s="1288"/>
      <c r="BG4" s="1288"/>
      <c r="BH4" s="1288"/>
      <c r="BI4" s="1288"/>
      <c r="BJ4" s="1288"/>
      <c r="BK4" s="1288"/>
      <c r="BL4" s="1288"/>
      <c r="BM4" s="1288"/>
      <c r="BN4" s="1288"/>
      <c r="BO4" s="1288"/>
      <c r="BP4" s="1288"/>
      <c r="BQ4" s="1288"/>
      <c r="BR4" s="1288"/>
      <c r="BS4" s="1288"/>
      <c r="BT4" s="1288"/>
      <c r="BU4" s="1288"/>
      <c r="BV4" s="1288"/>
      <c r="BW4" s="1288"/>
      <c r="BX4" s="1288"/>
      <c r="BY4" s="1288"/>
      <c r="BZ4" s="1288"/>
      <c r="CA4" s="1288"/>
      <c r="CB4" s="1288"/>
      <c r="CC4" s="1288"/>
      <c r="CD4" s="1288"/>
      <c r="CE4" s="1288"/>
      <c r="CF4" s="1288"/>
      <c r="CG4" s="1288"/>
      <c r="CH4" s="1288"/>
      <c r="CI4" s="1288"/>
      <c r="CJ4" s="1288"/>
      <c r="CK4" s="1288"/>
      <c r="CL4" s="1288"/>
      <c r="CM4" s="1288"/>
      <c r="CN4" s="1288"/>
      <c r="CO4" s="1288"/>
      <c r="CP4" s="1288"/>
      <c r="CQ4" s="1288"/>
      <c r="CR4" s="1288"/>
      <c r="CS4" s="1288"/>
      <c r="CT4" s="1288"/>
      <c r="CU4" s="1288"/>
      <c r="CV4" s="1288"/>
      <c r="CW4" s="1288"/>
      <c r="CX4" s="1288"/>
      <c r="CY4" s="1288"/>
      <c r="CZ4" s="1288"/>
      <c r="DA4" s="1288"/>
      <c r="DB4" s="1288"/>
      <c r="DC4" s="1288"/>
      <c r="DD4" s="1288"/>
      <c r="DE4" s="1288"/>
      <c r="DF4" s="1288"/>
      <c r="DG4" s="1288"/>
      <c r="DH4" s="1288"/>
      <c r="DI4" s="1288"/>
      <c r="DJ4" s="1288"/>
      <c r="DK4" s="1288"/>
      <c r="DL4" s="1288"/>
      <c r="DM4" s="1288"/>
      <c r="DN4" s="1288"/>
      <c r="DO4" s="1288"/>
      <c r="DP4" s="1288"/>
      <c r="DQ4" s="1288"/>
      <c r="DR4" s="1288"/>
      <c r="DS4" s="1288"/>
      <c r="DT4" s="1288"/>
      <c r="DU4" s="1288"/>
      <c r="DV4" s="1288"/>
      <c r="DW4" s="1288"/>
      <c r="DX4" s="1288"/>
      <c r="DY4" s="1288"/>
      <c r="DZ4" s="1288"/>
      <c r="EA4" s="1288"/>
      <c r="EB4" s="1288"/>
      <c r="EC4" s="1288"/>
      <c r="ED4" s="1288"/>
      <c r="EE4" s="1288"/>
      <c r="EF4" s="1288"/>
      <c r="EG4" s="1288"/>
      <c r="EH4" s="1288"/>
      <c r="EI4" s="1288"/>
      <c r="EJ4" s="1288"/>
      <c r="EK4" s="1288"/>
      <c r="EL4" s="1288"/>
      <c r="EM4" s="1288"/>
      <c r="EN4" s="1288"/>
      <c r="EO4" s="1288"/>
      <c r="EP4" s="1288"/>
      <c r="EQ4" s="1288"/>
      <c r="ER4" s="1288"/>
      <c r="ES4" s="1288"/>
      <c r="ET4" s="1288"/>
      <c r="EU4" s="1288"/>
      <c r="EV4" s="1288"/>
      <c r="EW4" s="1288"/>
      <c r="EX4" s="1288"/>
      <c r="EY4" s="1288"/>
      <c r="EZ4" s="1288"/>
      <c r="FA4" s="1288"/>
      <c r="FB4" s="1288"/>
      <c r="FC4" s="1288"/>
      <c r="FD4" s="1288"/>
      <c r="FE4" s="1288"/>
      <c r="FF4" s="1288"/>
      <c r="FG4" s="1288"/>
      <c r="FH4" s="1288"/>
      <c r="FI4" s="1288"/>
      <c r="FJ4" s="1288"/>
      <c r="FK4" s="1288"/>
      <c r="FL4" s="1288"/>
      <c r="FM4" s="1288"/>
      <c r="FN4" s="1288"/>
      <c r="FO4" s="1288"/>
      <c r="FP4" s="1288"/>
      <c r="FQ4" s="1288"/>
      <c r="FR4" s="1288"/>
      <c r="FS4" s="1288"/>
      <c r="FT4" s="1288"/>
      <c r="FU4" s="1288"/>
      <c r="FV4" s="1288"/>
      <c r="FW4" s="1288"/>
      <c r="FX4" s="1288"/>
      <c r="FY4" s="1288"/>
      <c r="FZ4" s="1288"/>
      <c r="GA4" s="1288"/>
      <c r="GB4" s="1288"/>
      <c r="GC4" s="1288"/>
      <c r="GD4" s="1288"/>
      <c r="GE4" s="1288"/>
      <c r="GF4" s="1288"/>
      <c r="GG4" s="1288"/>
      <c r="GH4" s="1288"/>
      <c r="GI4" s="1288"/>
      <c r="GJ4" s="1288"/>
      <c r="GK4" s="1288"/>
      <c r="GL4" s="1288"/>
      <c r="GM4" s="1288"/>
      <c r="GN4" s="1288"/>
      <c r="GO4" s="1288"/>
      <c r="GP4" s="1288"/>
      <c r="GQ4" s="1288"/>
      <c r="GR4" s="1288"/>
      <c r="GS4" s="1288"/>
      <c r="GT4" s="1288"/>
      <c r="GU4" s="1288"/>
      <c r="GV4" s="1288"/>
      <c r="GW4" s="1288"/>
      <c r="GX4" s="1288"/>
      <c r="GY4" s="1288"/>
      <c r="GZ4" s="1288"/>
      <c r="HA4" s="1288"/>
      <c r="HB4" s="1288"/>
      <c r="HC4" s="1288"/>
      <c r="HD4" s="1288"/>
      <c r="HE4" s="1288"/>
      <c r="HF4" s="1288"/>
      <c r="HG4" s="1288"/>
      <c r="HH4" s="1288"/>
      <c r="HI4" s="1288"/>
      <c r="HJ4" s="1288"/>
      <c r="HK4" s="1288"/>
      <c r="HL4" s="1288"/>
      <c r="HM4" s="1288"/>
      <c r="HN4" s="1288"/>
      <c r="HO4" s="1288"/>
      <c r="HP4" s="1288"/>
      <c r="HQ4" s="1288"/>
      <c r="HR4" s="1288"/>
      <c r="HS4" s="1288"/>
      <c r="HT4" s="1288"/>
      <c r="HU4" s="1288"/>
      <c r="HV4" s="1288"/>
      <c r="HW4" s="1288"/>
      <c r="HX4" s="1288"/>
      <c r="HY4" s="1288"/>
      <c r="HZ4" s="1288"/>
      <c r="IA4" s="1288"/>
      <c r="IB4" s="1288"/>
      <c r="IC4" s="1288"/>
      <c r="ID4" s="1288"/>
      <c r="IE4" s="1288"/>
      <c r="IF4" s="1288"/>
      <c r="IG4" s="1288"/>
      <c r="IH4" s="1288"/>
      <c r="II4" s="1288"/>
      <c r="IJ4" s="1288"/>
      <c r="IK4" s="1288"/>
      <c r="IL4" s="1288"/>
      <c r="IM4" s="1288"/>
      <c r="IN4" s="1288"/>
      <c r="IO4" s="1288"/>
      <c r="IP4" s="1288"/>
      <c r="IQ4" s="1288"/>
      <c r="IR4" s="1288"/>
      <c r="IS4" s="1288"/>
      <c r="IT4" s="1288"/>
      <c r="IU4" s="1288"/>
      <c r="IV4" s="1288"/>
      <c r="IW4" s="1288"/>
    </row>
    <row r="5" customFormat="false" ht="18" hidden="false" customHeight="false" outlineLevel="0" collapsed="false">
      <c r="A5" s="1289"/>
      <c r="B5" s="412"/>
      <c r="C5" s="1290" t="s">
        <v>835</v>
      </c>
      <c r="D5" s="1291"/>
      <c r="E5" s="1292"/>
      <c r="F5" s="415"/>
      <c r="G5" s="415"/>
      <c r="H5" s="415"/>
      <c r="I5" s="415"/>
      <c r="J5" s="415"/>
      <c r="K5" s="415"/>
      <c r="L5" s="415"/>
      <c r="M5" s="415"/>
      <c r="N5" s="415"/>
      <c r="O5" s="415"/>
      <c r="P5" s="415"/>
      <c r="Q5" s="415"/>
      <c r="R5" s="415"/>
      <c r="S5" s="415"/>
      <c r="T5" s="415"/>
      <c r="U5" s="415"/>
      <c r="V5" s="415"/>
      <c r="W5" s="415"/>
      <c r="X5" s="415"/>
      <c r="Y5" s="415"/>
      <c r="Z5" s="415"/>
      <c r="AA5" s="415"/>
      <c r="AB5" s="415"/>
      <c r="AC5" s="415"/>
      <c r="AD5" s="415"/>
      <c r="AE5" s="415"/>
      <c r="AF5" s="415"/>
      <c r="AG5" s="415"/>
      <c r="AH5" s="415"/>
      <c r="AI5" s="415"/>
      <c r="AJ5" s="415"/>
      <c r="AK5" s="415"/>
      <c r="AL5" s="415"/>
      <c r="AM5" s="415"/>
      <c r="AN5" s="415"/>
      <c r="AO5" s="415"/>
      <c r="AP5" s="415"/>
      <c r="AQ5" s="415"/>
      <c r="AR5" s="415"/>
      <c r="AS5" s="415"/>
      <c r="AT5" s="415"/>
      <c r="AU5" s="415"/>
      <c r="AV5" s="415"/>
      <c r="AW5" s="415"/>
      <c r="AX5" s="415"/>
      <c r="AY5" s="415"/>
      <c r="AZ5" s="415"/>
      <c r="BA5" s="415"/>
      <c r="BB5" s="415"/>
      <c r="BC5" s="415"/>
      <c r="BD5" s="415"/>
      <c r="BE5" s="415"/>
      <c r="BF5" s="415"/>
      <c r="BG5" s="415"/>
      <c r="BH5" s="415"/>
      <c r="BI5" s="415"/>
      <c r="BJ5" s="415"/>
      <c r="BK5" s="415"/>
      <c r="BL5" s="415"/>
      <c r="BM5" s="415"/>
      <c r="BN5" s="415"/>
      <c r="BO5" s="415"/>
      <c r="BP5" s="415"/>
      <c r="BQ5" s="415"/>
      <c r="BR5" s="415"/>
      <c r="BS5" s="415"/>
      <c r="BT5" s="415"/>
      <c r="BU5" s="415"/>
      <c r="BV5" s="415"/>
      <c r="BW5" s="415"/>
      <c r="BX5" s="415"/>
      <c r="BY5" s="415"/>
      <c r="BZ5" s="415"/>
      <c r="CA5" s="415"/>
      <c r="CB5" s="415"/>
      <c r="CC5" s="415"/>
      <c r="CD5" s="415"/>
      <c r="CE5" s="415"/>
      <c r="CF5" s="415"/>
      <c r="CG5" s="415"/>
      <c r="CH5" s="415"/>
      <c r="CI5" s="415"/>
      <c r="CJ5" s="415"/>
      <c r="CK5" s="415"/>
      <c r="CL5" s="415"/>
      <c r="CM5" s="415"/>
      <c r="CN5" s="415"/>
      <c r="CO5" s="415"/>
      <c r="CP5" s="415"/>
      <c r="CQ5" s="415"/>
      <c r="CR5" s="415"/>
      <c r="CS5" s="415"/>
      <c r="CT5" s="415"/>
      <c r="CU5" s="415"/>
      <c r="CV5" s="415"/>
      <c r="CW5" s="415"/>
      <c r="CX5" s="415"/>
      <c r="CY5" s="415"/>
      <c r="CZ5" s="415"/>
      <c r="DA5" s="415"/>
      <c r="DB5" s="415"/>
      <c r="DC5" s="415"/>
      <c r="DD5" s="415"/>
      <c r="DE5" s="415"/>
      <c r="DF5" s="415"/>
      <c r="DG5" s="415"/>
      <c r="DH5" s="415"/>
      <c r="DI5" s="415"/>
      <c r="DJ5" s="415"/>
      <c r="DK5" s="415"/>
      <c r="DL5" s="415"/>
      <c r="DM5" s="415"/>
      <c r="DN5" s="415"/>
      <c r="DO5" s="415"/>
      <c r="DP5" s="415"/>
      <c r="DQ5" s="415"/>
      <c r="DR5" s="415"/>
      <c r="DS5" s="415"/>
      <c r="DT5" s="415"/>
      <c r="DU5" s="415"/>
      <c r="DV5" s="415"/>
      <c r="DW5" s="415"/>
      <c r="DX5" s="415"/>
      <c r="DY5" s="415"/>
      <c r="DZ5" s="415"/>
      <c r="EA5" s="415"/>
      <c r="EB5" s="415"/>
      <c r="EC5" s="415"/>
      <c r="ED5" s="415"/>
      <c r="EE5" s="415"/>
      <c r="EF5" s="415"/>
      <c r="EG5" s="415"/>
      <c r="EH5" s="415"/>
      <c r="EI5" s="415"/>
      <c r="EJ5" s="415"/>
      <c r="EK5" s="415"/>
      <c r="EL5" s="415"/>
      <c r="EM5" s="416"/>
      <c r="EN5" s="416"/>
      <c r="EO5" s="416"/>
      <c r="EP5" s="416"/>
      <c r="EQ5" s="416"/>
      <c r="ER5" s="416"/>
      <c r="ES5" s="416"/>
      <c r="ET5" s="416"/>
      <c r="EU5" s="416"/>
      <c r="EV5" s="416"/>
      <c r="EW5" s="416"/>
      <c r="EX5" s="416"/>
      <c r="EY5" s="416"/>
      <c r="EZ5" s="416"/>
      <c r="FA5" s="416"/>
      <c r="FB5" s="416"/>
      <c r="FC5" s="416"/>
      <c r="FD5" s="416"/>
      <c r="FE5" s="416"/>
      <c r="FF5" s="416"/>
      <c r="FG5" s="416"/>
      <c r="FH5" s="416"/>
      <c r="FI5" s="416"/>
      <c r="FJ5" s="416"/>
      <c r="FK5" s="416"/>
      <c r="FL5" s="416"/>
      <c r="FM5" s="416"/>
      <c r="FN5" s="416"/>
      <c r="FO5" s="416"/>
      <c r="FP5" s="416"/>
      <c r="FQ5" s="416"/>
      <c r="FR5" s="416"/>
      <c r="FS5" s="416"/>
      <c r="FT5" s="416"/>
      <c r="FU5" s="416"/>
      <c r="FV5" s="416"/>
      <c r="FW5" s="416"/>
      <c r="FX5" s="416"/>
      <c r="FY5" s="416"/>
      <c r="FZ5" s="416"/>
      <c r="GA5" s="416"/>
      <c r="GB5" s="416"/>
      <c r="GC5" s="416"/>
      <c r="GD5" s="416"/>
      <c r="GE5" s="416"/>
      <c r="GF5" s="416"/>
      <c r="GG5" s="416"/>
      <c r="GH5" s="416"/>
      <c r="GI5" s="416"/>
      <c r="GJ5" s="416"/>
      <c r="GK5" s="416"/>
      <c r="GL5" s="416"/>
      <c r="GM5" s="416"/>
      <c r="GN5" s="416"/>
      <c r="GO5" s="416"/>
      <c r="GP5" s="416"/>
      <c r="GQ5" s="416"/>
      <c r="GR5" s="416"/>
      <c r="GS5" s="416"/>
      <c r="GT5" s="416"/>
      <c r="GU5" s="416"/>
      <c r="GV5" s="416"/>
      <c r="GW5" s="416"/>
      <c r="GX5" s="416"/>
      <c r="GY5" s="416"/>
      <c r="GZ5" s="416"/>
      <c r="HA5" s="416"/>
      <c r="HB5" s="416"/>
      <c r="HC5" s="416"/>
      <c r="HD5" s="416"/>
      <c r="HE5" s="416"/>
      <c r="HF5" s="416"/>
      <c r="HG5" s="416"/>
      <c r="HH5" s="416"/>
      <c r="HI5" s="416"/>
      <c r="HJ5" s="416"/>
      <c r="HK5" s="416"/>
      <c r="HL5" s="416"/>
      <c r="HM5" s="416"/>
      <c r="HN5" s="416"/>
      <c r="HO5" s="416"/>
      <c r="HP5" s="416"/>
      <c r="HQ5" s="416"/>
      <c r="HR5" s="416"/>
      <c r="HS5" s="416"/>
      <c r="HT5" s="416"/>
      <c r="HU5" s="416"/>
      <c r="HV5" s="416"/>
      <c r="HW5" s="416"/>
      <c r="HX5" s="416"/>
      <c r="HY5" s="416"/>
      <c r="HZ5" s="416"/>
      <c r="IA5" s="416"/>
      <c r="IB5" s="416"/>
      <c r="IC5" s="416"/>
      <c r="ID5" s="416"/>
      <c r="IE5" s="416"/>
      <c r="IF5" s="416"/>
      <c r="IG5" s="416"/>
      <c r="IH5" s="416"/>
      <c r="II5" s="416"/>
      <c r="IJ5" s="416"/>
      <c r="IK5" s="416"/>
      <c r="IL5" s="416"/>
      <c r="IM5" s="416"/>
      <c r="IN5" s="416"/>
      <c r="IO5" s="416"/>
      <c r="IP5" s="416"/>
      <c r="IQ5" s="416"/>
      <c r="IR5" s="416"/>
      <c r="IS5" s="416"/>
      <c r="IT5" s="416"/>
      <c r="IU5" s="416"/>
      <c r="IV5" s="416"/>
      <c r="IW5" s="416"/>
    </row>
    <row r="6" customFormat="false" ht="12.75" hidden="false" customHeight="false" outlineLevel="0" collapsed="false">
      <c r="A6" s="1289"/>
      <c r="B6" s="412"/>
      <c r="C6" s="412"/>
      <c r="D6" s="1291"/>
      <c r="E6" s="1292"/>
      <c r="F6" s="415"/>
      <c r="G6" s="415"/>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5"/>
      <c r="AY6" s="415"/>
      <c r="AZ6" s="415"/>
      <c r="BA6" s="415"/>
      <c r="BB6" s="415"/>
      <c r="BC6" s="415"/>
      <c r="BD6" s="415"/>
      <c r="BE6" s="415"/>
      <c r="BF6" s="415"/>
      <c r="BG6" s="415"/>
      <c r="BH6" s="415"/>
      <c r="BI6" s="415"/>
      <c r="BJ6" s="415"/>
      <c r="BK6" s="415"/>
      <c r="BL6" s="415"/>
      <c r="BM6" s="415"/>
      <c r="BN6" s="415"/>
      <c r="BO6" s="415"/>
      <c r="BP6" s="415"/>
      <c r="BQ6" s="415"/>
      <c r="BR6" s="415"/>
      <c r="BS6" s="415"/>
      <c r="BT6" s="415"/>
      <c r="BU6" s="415"/>
      <c r="BV6" s="415"/>
      <c r="BW6" s="415"/>
      <c r="BX6" s="415"/>
      <c r="BY6" s="415"/>
      <c r="BZ6" s="415"/>
      <c r="CA6" s="415"/>
      <c r="CB6" s="415"/>
      <c r="CC6" s="415"/>
      <c r="CD6" s="415"/>
      <c r="CE6" s="415"/>
      <c r="CF6" s="415"/>
      <c r="CG6" s="415"/>
      <c r="CH6" s="415"/>
      <c r="CI6" s="415"/>
      <c r="CJ6" s="415"/>
      <c r="CK6" s="415"/>
      <c r="CL6" s="415"/>
      <c r="CM6" s="415"/>
      <c r="CN6" s="415"/>
      <c r="CO6" s="415"/>
      <c r="CP6" s="415"/>
      <c r="CQ6" s="415"/>
      <c r="CR6" s="415"/>
      <c r="CS6" s="415"/>
      <c r="CT6" s="415"/>
      <c r="CU6" s="415"/>
      <c r="CV6" s="415"/>
      <c r="CW6" s="415"/>
      <c r="CX6" s="415"/>
      <c r="CY6" s="415"/>
      <c r="CZ6" s="415"/>
      <c r="DA6" s="415"/>
      <c r="DB6" s="415"/>
      <c r="DC6" s="415"/>
      <c r="DD6" s="415"/>
      <c r="DE6" s="415"/>
      <c r="DF6" s="415"/>
      <c r="DG6" s="415"/>
      <c r="DH6" s="415"/>
      <c r="DI6" s="415"/>
      <c r="DJ6" s="415"/>
      <c r="DK6" s="415"/>
      <c r="DL6" s="415"/>
      <c r="DM6" s="415"/>
      <c r="DN6" s="415"/>
      <c r="DO6" s="415"/>
      <c r="DP6" s="415"/>
      <c r="DQ6" s="415"/>
      <c r="DR6" s="415"/>
      <c r="DS6" s="415"/>
      <c r="DT6" s="415"/>
      <c r="DU6" s="415"/>
      <c r="DV6" s="415"/>
      <c r="DW6" s="415"/>
      <c r="DX6" s="415"/>
      <c r="DY6" s="415"/>
      <c r="DZ6" s="415"/>
      <c r="EA6" s="415"/>
      <c r="EB6" s="415"/>
      <c r="EC6" s="415"/>
      <c r="ED6" s="415"/>
      <c r="EE6" s="415"/>
      <c r="EF6" s="415"/>
      <c r="EG6" s="415"/>
      <c r="EH6" s="415"/>
      <c r="EI6" s="415"/>
      <c r="EJ6" s="415"/>
      <c r="EK6" s="415"/>
      <c r="EL6" s="415"/>
      <c r="EM6" s="416"/>
      <c r="EN6" s="416"/>
      <c r="EO6" s="416"/>
      <c r="EP6" s="416"/>
      <c r="EQ6" s="416"/>
      <c r="ER6" s="416"/>
      <c r="ES6" s="416"/>
      <c r="ET6" s="416"/>
      <c r="EU6" s="416"/>
      <c r="EV6" s="416"/>
      <c r="EW6" s="416"/>
      <c r="EX6" s="416"/>
      <c r="EY6" s="416"/>
      <c r="EZ6" s="416"/>
      <c r="FA6" s="416"/>
      <c r="FB6" s="416"/>
      <c r="FC6" s="416"/>
      <c r="FD6" s="416"/>
      <c r="FE6" s="416"/>
      <c r="FF6" s="416"/>
      <c r="FG6" s="416"/>
      <c r="FH6" s="416"/>
      <c r="FI6" s="416"/>
      <c r="FJ6" s="416"/>
      <c r="FK6" s="416"/>
      <c r="FL6" s="416"/>
      <c r="FM6" s="416"/>
      <c r="FN6" s="416"/>
      <c r="FO6" s="416"/>
      <c r="FP6" s="416"/>
      <c r="FQ6" s="416"/>
      <c r="FR6" s="416"/>
      <c r="FS6" s="416"/>
      <c r="FT6" s="416"/>
      <c r="FU6" s="416"/>
      <c r="FV6" s="416"/>
      <c r="FW6" s="416"/>
      <c r="FX6" s="416"/>
      <c r="FY6" s="416"/>
      <c r="FZ6" s="416"/>
      <c r="GA6" s="416"/>
      <c r="GB6" s="416"/>
      <c r="GC6" s="416"/>
      <c r="GD6" s="416"/>
      <c r="GE6" s="416"/>
      <c r="GF6" s="416"/>
      <c r="GG6" s="416"/>
      <c r="GH6" s="416"/>
      <c r="GI6" s="416"/>
      <c r="GJ6" s="416"/>
      <c r="GK6" s="416"/>
      <c r="GL6" s="416"/>
      <c r="GM6" s="416"/>
      <c r="GN6" s="416"/>
      <c r="GO6" s="416"/>
      <c r="GP6" s="416"/>
      <c r="GQ6" s="416"/>
      <c r="GR6" s="416"/>
      <c r="GS6" s="416"/>
      <c r="GT6" s="416"/>
      <c r="GU6" s="416"/>
      <c r="GV6" s="416"/>
      <c r="GW6" s="416"/>
      <c r="GX6" s="416"/>
      <c r="GY6" s="416"/>
      <c r="GZ6" s="416"/>
      <c r="HA6" s="416"/>
      <c r="HB6" s="416"/>
      <c r="HC6" s="416"/>
      <c r="HD6" s="416"/>
      <c r="HE6" s="416"/>
      <c r="HF6" s="416"/>
      <c r="HG6" s="416"/>
      <c r="HH6" s="416"/>
      <c r="HI6" s="416"/>
      <c r="HJ6" s="416"/>
      <c r="HK6" s="416"/>
      <c r="HL6" s="416"/>
      <c r="HM6" s="416"/>
      <c r="HN6" s="416"/>
      <c r="HO6" s="416"/>
      <c r="HP6" s="416"/>
      <c r="HQ6" s="416"/>
      <c r="HR6" s="416"/>
      <c r="HS6" s="416"/>
      <c r="HT6" s="416"/>
      <c r="HU6" s="416"/>
      <c r="HV6" s="416"/>
      <c r="HW6" s="416"/>
      <c r="HX6" s="416"/>
      <c r="HY6" s="416"/>
      <c r="HZ6" s="416"/>
      <c r="IA6" s="416"/>
      <c r="IB6" s="416"/>
      <c r="IC6" s="416"/>
      <c r="ID6" s="416"/>
      <c r="IE6" s="416"/>
      <c r="IF6" s="416"/>
      <c r="IG6" s="416"/>
      <c r="IH6" s="416"/>
      <c r="II6" s="416"/>
      <c r="IJ6" s="416"/>
      <c r="IK6" s="416"/>
      <c r="IL6" s="416"/>
      <c r="IM6" s="416"/>
      <c r="IN6" s="416"/>
      <c r="IO6" s="416"/>
      <c r="IP6" s="416"/>
      <c r="IQ6" s="416"/>
      <c r="IR6" s="416"/>
      <c r="IS6" s="416"/>
      <c r="IT6" s="416"/>
      <c r="IU6" s="416"/>
      <c r="IV6" s="416"/>
      <c r="IW6" s="416"/>
    </row>
    <row r="7" customFormat="false" ht="12.75" hidden="false" customHeight="false" outlineLevel="0" collapsed="false">
      <c r="A7" s="1289"/>
      <c r="B7" s="412"/>
      <c r="C7" s="412" t="s">
        <v>836</v>
      </c>
      <c r="D7" s="1291"/>
      <c r="E7" s="424" t="n">
        <v>1</v>
      </c>
      <c r="F7" s="1293" t="n">
        <v>2</v>
      </c>
      <c r="G7" s="1293" t="n">
        <v>3</v>
      </c>
      <c r="H7" s="1293" t="n">
        <v>4</v>
      </c>
      <c r="I7" s="1293" t="n">
        <v>5</v>
      </c>
      <c r="J7" s="1293" t="n">
        <v>6</v>
      </c>
      <c r="K7" s="1293" t="n">
        <v>7</v>
      </c>
      <c r="L7" s="1293" t="n">
        <v>8</v>
      </c>
      <c r="M7" s="1293" t="n">
        <v>9</v>
      </c>
      <c r="N7" s="1293" t="n">
        <v>10</v>
      </c>
      <c r="O7" s="1293" t="n">
        <v>11</v>
      </c>
      <c r="P7" s="1293" t="n">
        <v>12</v>
      </c>
      <c r="Q7" s="1293" t="n">
        <v>13</v>
      </c>
      <c r="R7" s="1293" t="n">
        <v>14</v>
      </c>
      <c r="S7" s="1293" t="n">
        <v>15</v>
      </c>
      <c r="T7" s="1293" t="n">
        <v>16</v>
      </c>
      <c r="U7" s="1293" t="s">
        <v>837</v>
      </c>
      <c r="V7" s="415"/>
      <c r="W7" s="415"/>
      <c r="X7" s="415"/>
      <c r="Y7" s="415"/>
      <c r="Z7" s="415"/>
      <c r="AA7" s="415"/>
      <c r="AB7" s="415"/>
      <c r="AC7" s="415"/>
      <c r="AD7" s="415"/>
      <c r="AE7" s="415"/>
      <c r="AF7" s="415"/>
      <c r="AG7" s="415"/>
      <c r="AH7" s="415"/>
      <c r="AI7" s="415"/>
      <c r="AJ7" s="415"/>
      <c r="AK7" s="415"/>
      <c r="AL7" s="415"/>
      <c r="AM7" s="415"/>
      <c r="AN7" s="415"/>
      <c r="AO7" s="415"/>
      <c r="AP7" s="415"/>
      <c r="AQ7" s="415"/>
      <c r="AR7" s="415"/>
      <c r="AS7" s="415"/>
      <c r="AT7" s="415"/>
      <c r="AU7" s="415"/>
      <c r="AV7" s="415"/>
      <c r="AW7" s="415"/>
      <c r="AX7" s="415"/>
      <c r="AY7" s="415"/>
      <c r="AZ7" s="415"/>
      <c r="BA7" s="415"/>
      <c r="BB7" s="415"/>
      <c r="BC7" s="415"/>
      <c r="BD7" s="415"/>
      <c r="BE7" s="415"/>
      <c r="BF7" s="415"/>
      <c r="BG7" s="415"/>
      <c r="BH7" s="415"/>
      <c r="BI7" s="415"/>
      <c r="BJ7" s="415"/>
      <c r="BK7" s="415"/>
      <c r="BL7" s="415"/>
      <c r="BM7" s="415"/>
      <c r="BN7" s="415"/>
      <c r="BO7" s="415"/>
      <c r="BP7" s="415"/>
      <c r="BQ7" s="415"/>
      <c r="BR7" s="415"/>
      <c r="BS7" s="415"/>
      <c r="BT7" s="415"/>
      <c r="BU7" s="415"/>
      <c r="BV7" s="415"/>
      <c r="BW7" s="415"/>
      <c r="BX7" s="415"/>
      <c r="BY7" s="415"/>
      <c r="BZ7" s="415"/>
      <c r="CA7" s="415"/>
      <c r="CB7" s="415"/>
      <c r="CC7" s="415"/>
      <c r="CD7" s="415"/>
      <c r="CE7" s="415"/>
      <c r="CF7" s="415"/>
      <c r="CG7" s="415"/>
      <c r="CH7" s="415"/>
      <c r="CI7" s="415"/>
      <c r="CJ7" s="415"/>
      <c r="CK7" s="415"/>
      <c r="CL7" s="415"/>
      <c r="CM7" s="415"/>
      <c r="CN7" s="415"/>
      <c r="CO7" s="415"/>
      <c r="CP7" s="415"/>
      <c r="CQ7" s="415"/>
      <c r="CR7" s="415"/>
      <c r="CS7" s="415"/>
      <c r="CT7" s="415"/>
      <c r="CU7" s="415"/>
      <c r="CV7" s="415"/>
      <c r="CW7" s="415"/>
      <c r="CX7" s="415"/>
      <c r="CY7" s="415"/>
      <c r="CZ7" s="415"/>
      <c r="DA7" s="415"/>
      <c r="DB7" s="415"/>
      <c r="DC7" s="415"/>
      <c r="DD7" s="415"/>
      <c r="DE7" s="415"/>
      <c r="DF7" s="415"/>
      <c r="DG7" s="415"/>
      <c r="DH7" s="415"/>
      <c r="DI7" s="415"/>
      <c r="DJ7" s="415"/>
      <c r="DK7" s="415"/>
      <c r="DL7" s="415"/>
      <c r="DM7" s="415"/>
      <c r="DN7" s="415"/>
      <c r="DO7" s="415"/>
      <c r="DP7" s="415"/>
      <c r="DQ7" s="415"/>
      <c r="DR7" s="415"/>
      <c r="DS7" s="415"/>
      <c r="DT7" s="415"/>
      <c r="DU7" s="415"/>
      <c r="DV7" s="415"/>
      <c r="DW7" s="415"/>
      <c r="DX7" s="415"/>
      <c r="DY7" s="415"/>
      <c r="DZ7" s="415"/>
      <c r="EA7" s="415"/>
      <c r="EB7" s="415"/>
      <c r="EC7" s="415"/>
      <c r="ED7" s="415"/>
      <c r="EE7" s="415"/>
      <c r="EF7" s="415"/>
      <c r="EG7" s="415"/>
      <c r="EH7" s="415"/>
      <c r="EI7" s="415"/>
      <c r="EJ7" s="415"/>
      <c r="EK7" s="415"/>
      <c r="EL7" s="415"/>
      <c r="EM7" s="416"/>
      <c r="EN7" s="416"/>
      <c r="EO7" s="416"/>
      <c r="EP7" s="416"/>
      <c r="EQ7" s="416"/>
      <c r="ER7" s="416"/>
      <c r="ES7" s="416"/>
      <c r="ET7" s="416"/>
      <c r="EU7" s="416"/>
      <c r="EV7" s="416"/>
      <c r="EW7" s="416"/>
      <c r="EX7" s="416"/>
      <c r="EY7" s="416"/>
      <c r="EZ7" s="416"/>
      <c r="FA7" s="416"/>
      <c r="FB7" s="416"/>
      <c r="FC7" s="416"/>
      <c r="FD7" s="416"/>
      <c r="FE7" s="416"/>
      <c r="FF7" s="416"/>
      <c r="FG7" s="416"/>
      <c r="FH7" s="416"/>
      <c r="FI7" s="416"/>
      <c r="FJ7" s="416"/>
      <c r="FK7" s="416"/>
      <c r="FL7" s="416"/>
      <c r="FM7" s="416"/>
      <c r="FN7" s="416"/>
      <c r="FO7" s="416"/>
      <c r="FP7" s="416"/>
      <c r="FQ7" s="416"/>
      <c r="FR7" s="416"/>
      <c r="FS7" s="416"/>
      <c r="FT7" s="416"/>
      <c r="FU7" s="416"/>
      <c r="FV7" s="416"/>
      <c r="FW7" s="416"/>
      <c r="FX7" s="416"/>
      <c r="FY7" s="416"/>
      <c r="FZ7" s="416"/>
      <c r="GA7" s="416"/>
      <c r="GB7" s="416"/>
      <c r="GC7" s="416"/>
      <c r="GD7" s="416"/>
      <c r="GE7" s="416"/>
      <c r="GF7" s="416"/>
      <c r="GG7" s="416"/>
      <c r="GH7" s="416"/>
      <c r="GI7" s="416"/>
      <c r="GJ7" s="416"/>
      <c r="GK7" s="416"/>
      <c r="GL7" s="416"/>
      <c r="GM7" s="416"/>
      <c r="GN7" s="416"/>
      <c r="GO7" s="416"/>
      <c r="GP7" s="416"/>
      <c r="GQ7" s="416"/>
      <c r="GR7" s="416"/>
      <c r="GS7" s="416"/>
      <c r="GT7" s="416"/>
      <c r="GU7" s="416"/>
      <c r="GV7" s="416"/>
      <c r="GW7" s="416"/>
      <c r="GX7" s="416"/>
      <c r="GY7" s="416"/>
      <c r="GZ7" s="416"/>
      <c r="HA7" s="416"/>
      <c r="HB7" s="416"/>
      <c r="HC7" s="416"/>
      <c r="HD7" s="416"/>
      <c r="HE7" s="416"/>
      <c r="HF7" s="416"/>
      <c r="HG7" s="416"/>
      <c r="HH7" s="416"/>
      <c r="HI7" s="416"/>
      <c r="HJ7" s="416"/>
      <c r="HK7" s="416"/>
      <c r="HL7" s="416"/>
      <c r="HM7" s="416"/>
      <c r="HN7" s="416"/>
      <c r="HO7" s="416"/>
      <c r="HP7" s="416"/>
      <c r="HQ7" s="416"/>
      <c r="HR7" s="416"/>
      <c r="HS7" s="416"/>
      <c r="HT7" s="416"/>
      <c r="HU7" s="416"/>
      <c r="HV7" s="416"/>
      <c r="HW7" s="416"/>
      <c r="HX7" s="416"/>
      <c r="HY7" s="416"/>
      <c r="HZ7" s="416"/>
      <c r="IA7" s="416"/>
      <c r="IB7" s="416"/>
      <c r="IC7" s="416"/>
      <c r="ID7" s="416"/>
      <c r="IE7" s="416"/>
      <c r="IF7" s="416"/>
      <c r="IG7" s="416"/>
      <c r="IH7" s="416"/>
      <c r="II7" s="416"/>
      <c r="IJ7" s="416"/>
      <c r="IK7" s="416"/>
      <c r="IL7" s="416"/>
      <c r="IM7" s="416"/>
      <c r="IN7" s="416"/>
      <c r="IO7" s="416"/>
      <c r="IP7" s="416"/>
      <c r="IQ7" s="416"/>
      <c r="IR7" s="416"/>
      <c r="IS7" s="416"/>
      <c r="IT7" s="416"/>
      <c r="IU7" s="416"/>
      <c r="IV7" s="416"/>
      <c r="IW7" s="416"/>
    </row>
    <row r="8" customFormat="false" ht="12.75" hidden="false" customHeight="false" outlineLevel="0" collapsed="false">
      <c r="A8" s="1289"/>
      <c r="B8" s="412"/>
      <c r="C8" s="416"/>
      <c r="D8" s="1291"/>
      <c r="E8" s="1294"/>
      <c r="F8" s="1295"/>
      <c r="G8" s="1295"/>
      <c r="H8" s="1295"/>
      <c r="I8" s="1295"/>
      <c r="J8" s="1295"/>
      <c r="K8" s="1295"/>
      <c r="L8" s="1295"/>
      <c r="M8" s="1295"/>
      <c r="N8" s="1295"/>
      <c r="O8" s="1295"/>
      <c r="P8" s="1295"/>
      <c r="Q8" s="1295"/>
      <c r="R8" s="1295"/>
      <c r="S8" s="1295"/>
      <c r="T8" s="1295"/>
      <c r="U8" s="1296"/>
      <c r="V8" s="415"/>
      <c r="W8" s="415"/>
      <c r="X8" s="415"/>
      <c r="Y8" s="415"/>
      <c r="Z8" s="415"/>
      <c r="AA8" s="415"/>
      <c r="AB8" s="415"/>
      <c r="AC8" s="415"/>
      <c r="AD8" s="415"/>
      <c r="AE8" s="415"/>
      <c r="AF8" s="415"/>
      <c r="AG8" s="415"/>
      <c r="AH8" s="415"/>
      <c r="AI8" s="415"/>
      <c r="AJ8" s="415"/>
      <c r="AK8" s="415"/>
      <c r="AL8" s="415"/>
      <c r="AM8" s="415"/>
      <c r="AN8" s="415"/>
      <c r="AO8" s="415"/>
      <c r="AP8" s="415"/>
      <c r="AQ8" s="415"/>
      <c r="AR8" s="415"/>
      <c r="AS8" s="415"/>
      <c r="AT8" s="415"/>
      <c r="AU8" s="415"/>
      <c r="AV8" s="415"/>
      <c r="AW8" s="415"/>
      <c r="AX8" s="415"/>
      <c r="AY8" s="415"/>
      <c r="AZ8" s="415"/>
      <c r="BA8" s="415"/>
      <c r="BB8" s="415"/>
      <c r="BC8" s="415"/>
      <c r="BD8" s="415"/>
      <c r="BE8" s="415"/>
      <c r="BF8" s="415"/>
      <c r="BG8" s="415"/>
      <c r="BH8" s="415"/>
      <c r="BI8" s="415"/>
      <c r="BJ8" s="415"/>
      <c r="BK8" s="415"/>
      <c r="BL8" s="415"/>
      <c r="BM8" s="415"/>
      <c r="BN8" s="415"/>
      <c r="BO8" s="415"/>
      <c r="BP8" s="415"/>
      <c r="BQ8" s="415"/>
      <c r="BR8" s="415"/>
      <c r="BS8" s="415"/>
      <c r="BT8" s="415"/>
      <c r="BU8" s="415"/>
      <c r="BV8" s="415"/>
      <c r="BW8" s="415"/>
      <c r="BX8" s="415"/>
      <c r="BY8" s="415"/>
      <c r="BZ8" s="415"/>
      <c r="CA8" s="415"/>
      <c r="CB8" s="415"/>
      <c r="CC8" s="415"/>
      <c r="CD8" s="415"/>
      <c r="CE8" s="415"/>
      <c r="CF8" s="415"/>
      <c r="CG8" s="415"/>
      <c r="CH8" s="415"/>
      <c r="CI8" s="415"/>
      <c r="CJ8" s="415"/>
      <c r="CK8" s="415"/>
      <c r="CL8" s="415"/>
      <c r="CM8" s="415"/>
      <c r="CN8" s="415"/>
      <c r="CO8" s="415"/>
      <c r="CP8" s="415"/>
      <c r="CQ8" s="415"/>
      <c r="CR8" s="415"/>
      <c r="CS8" s="415"/>
      <c r="CT8" s="415"/>
      <c r="CU8" s="415"/>
      <c r="CV8" s="415"/>
      <c r="CW8" s="415"/>
      <c r="CX8" s="415"/>
      <c r="CY8" s="415"/>
      <c r="CZ8" s="415"/>
      <c r="DA8" s="415"/>
      <c r="DB8" s="415"/>
      <c r="DC8" s="415"/>
      <c r="DD8" s="415"/>
      <c r="DE8" s="415"/>
      <c r="DF8" s="415"/>
      <c r="DG8" s="415"/>
      <c r="DH8" s="415"/>
      <c r="DI8" s="415"/>
      <c r="DJ8" s="415"/>
      <c r="DK8" s="415"/>
      <c r="DL8" s="415"/>
      <c r="DM8" s="415"/>
      <c r="DN8" s="415"/>
      <c r="DO8" s="415"/>
      <c r="DP8" s="415"/>
      <c r="DQ8" s="415"/>
      <c r="DR8" s="415"/>
      <c r="DS8" s="415"/>
      <c r="DT8" s="415"/>
      <c r="DU8" s="415"/>
      <c r="DV8" s="415"/>
      <c r="DW8" s="415"/>
      <c r="DX8" s="415"/>
      <c r="DY8" s="415"/>
      <c r="DZ8" s="415"/>
      <c r="EA8" s="415"/>
      <c r="EB8" s="415"/>
      <c r="EC8" s="415"/>
      <c r="ED8" s="415"/>
      <c r="EE8" s="415"/>
      <c r="EF8" s="415"/>
      <c r="EG8" s="415"/>
      <c r="EH8" s="415"/>
      <c r="EI8" s="415"/>
      <c r="EJ8" s="415"/>
      <c r="EK8" s="415"/>
      <c r="EL8" s="415"/>
      <c r="EM8" s="416"/>
      <c r="EN8" s="416"/>
      <c r="EO8" s="416"/>
      <c r="EP8" s="416"/>
      <c r="EQ8" s="416"/>
      <c r="ER8" s="416"/>
      <c r="ES8" s="416"/>
      <c r="ET8" s="416"/>
      <c r="EU8" s="416"/>
      <c r="EV8" s="416"/>
      <c r="EW8" s="416"/>
      <c r="EX8" s="416"/>
      <c r="EY8" s="416"/>
      <c r="EZ8" s="416"/>
      <c r="FA8" s="416"/>
      <c r="FB8" s="416"/>
      <c r="FC8" s="416"/>
      <c r="FD8" s="416"/>
      <c r="FE8" s="416"/>
      <c r="FF8" s="416"/>
      <c r="FG8" s="416"/>
      <c r="FH8" s="416"/>
      <c r="FI8" s="416"/>
      <c r="FJ8" s="416"/>
      <c r="FK8" s="416"/>
      <c r="FL8" s="416"/>
      <c r="FM8" s="416"/>
      <c r="FN8" s="416"/>
      <c r="FO8" s="416"/>
      <c r="FP8" s="416"/>
      <c r="FQ8" s="416"/>
      <c r="FR8" s="416"/>
      <c r="FS8" s="416"/>
      <c r="FT8" s="416"/>
      <c r="FU8" s="416"/>
      <c r="FV8" s="416"/>
      <c r="FW8" s="416"/>
      <c r="FX8" s="416"/>
      <c r="FY8" s="416"/>
      <c r="FZ8" s="416"/>
      <c r="GA8" s="416"/>
      <c r="GB8" s="416"/>
      <c r="GC8" s="416"/>
      <c r="GD8" s="416"/>
      <c r="GE8" s="416"/>
      <c r="GF8" s="416"/>
      <c r="GG8" s="416"/>
      <c r="GH8" s="416"/>
      <c r="GI8" s="416"/>
      <c r="GJ8" s="416"/>
      <c r="GK8" s="416"/>
      <c r="GL8" s="416"/>
      <c r="GM8" s="416"/>
      <c r="GN8" s="416"/>
      <c r="GO8" s="416"/>
      <c r="GP8" s="416"/>
      <c r="GQ8" s="416"/>
      <c r="GR8" s="416"/>
      <c r="GS8" s="416"/>
      <c r="GT8" s="416"/>
      <c r="GU8" s="416"/>
      <c r="GV8" s="416"/>
      <c r="GW8" s="416"/>
      <c r="GX8" s="416"/>
      <c r="GY8" s="416"/>
      <c r="GZ8" s="416"/>
      <c r="HA8" s="416"/>
      <c r="HB8" s="416"/>
      <c r="HC8" s="416"/>
      <c r="HD8" s="416"/>
      <c r="HE8" s="416"/>
      <c r="HF8" s="416"/>
      <c r="HG8" s="416"/>
      <c r="HH8" s="416"/>
      <c r="HI8" s="416"/>
      <c r="HJ8" s="416"/>
      <c r="HK8" s="416"/>
      <c r="HL8" s="416"/>
      <c r="HM8" s="416"/>
      <c r="HN8" s="416"/>
      <c r="HO8" s="416"/>
      <c r="HP8" s="416"/>
      <c r="HQ8" s="416"/>
      <c r="HR8" s="416"/>
      <c r="HS8" s="416"/>
      <c r="HT8" s="416"/>
      <c r="HU8" s="416"/>
      <c r="HV8" s="416"/>
      <c r="HW8" s="416"/>
      <c r="HX8" s="416"/>
      <c r="HY8" s="416"/>
      <c r="HZ8" s="416"/>
      <c r="IA8" s="416"/>
      <c r="IB8" s="416"/>
      <c r="IC8" s="416"/>
      <c r="ID8" s="416"/>
      <c r="IE8" s="416"/>
      <c r="IF8" s="416"/>
      <c r="IG8" s="416"/>
      <c r="IH8" s="416"/>
      <c r="II8" s="416"/>
      <c r="IJ8" s="416"/>
      <c r="IK8" s="416"/>
      <c r="IL8" s="416"/>
      <c r="IM8" s="416"/>
      <c r="IN8" s="416"/>
      <c r="IO8" s="416"/>
      <c r="IP8" s="416"/>
      <c r="IQ8" s="416"/>
      <c r="IR8" s="416"/>
      <c r="IS8" s="416"/>
      <c r="IT8" s="416"/>
      <c r="IU8" s="416"/>
      <c r="IV8" s="416"/>
      <c r="IW8" s="416"/>
    </row>
    <row r="9" customFormat="false" ht="12.75" hidden="false" customHeight="false" outlineLevel="0" collapsed="false">
      <c r="A9" s="1289"/>
      <c r="B9" s="412"/>
      <c r="C9" s="412" t="s">
        <v>838</v>
      </c>
      <c r="D9" s="1291"/>
      <c r="E9" s="414"/>
      <c r="F9" s="1293"/>
      <c r="G9" s="1293" t="n">
        <v>10</v>
      </c>
      <c r="H9" s="1293" t="n">
        <v>10</v>
      </c>
      <c r="I9" s="1293" t="n">
        <v>10</v>
      </c>
      <c r="J9" s="1293" t="n">
        <v>10</v>
      </c>
      <c r="K9" s="1293" t="n">
        <v>0</v>
      </c>
      <c r="L9" s="1293" t="n">
        <v>0</v>
      </c>
      <c r="M9" s="1293"/>
      <c r="N9" s="1293"/>
      <c r="O9" s="1293"/>
      <c r="P9" s="1293"/>
      <c r="Q9" s="1293"/>
      <c r="R9" s="1293"/>
      <c r="S9" s="1293"/>
      <c r="T9" s="1293"/>
      <c r="U9" s="1293" t="str">
        <f aca="false">IF(SUM(E9:T9)&lt;&gt;Assum!$F$30,"ERROR",SUM(E9:T9))</f>
        <v>ERROR</v>
      </c>
      <c r="V9" s="415"/>
      <c r="W9" s="415"/>
      <c r="X9" s="415"/>
      <c r="Y9" s="415"/>
      <c r="Z9" s="415"/>
      <c r="AA9" s="415"/>
      <c r="AB9" s="415"/>
      <c r="AC9" s="415"/>
      <c r="AD9" s="415"/>
      <c r="AE9" s="415"/>
      <c r="AF9" s="415"/>
      <c r="AG9" s="415"/>
      <c r="AH9" s="415"/>
      <c r="AI9" s="415"/>
      <c r="AJ9" s="415"/>
      <c r="AK9" s="415"/>
      <c r="AL9" s="415"/>
      <c r="AM9" s="415"/>
      <c r="AN9" s="415"/>
      <c r="AO9" s="415"/>
      <c r="AP9" s="415"/>
      <c r="AQ9" s="415"/>
      <c r="AR9" s="415"/>
      <c r="AS9" s="415"/>
      <c r="AT9" s="415"/>
      <c r="AU9" s="415"/>
      <c r="AV9" s="415"/>
      <c r="AW9" s="415"/>
      <c r="AX9" s="415"/>
      <c r="AY9" s="415"/>
      <c r="AZ9" s="415"/>
      <c r="BA9" s="415"/>
      <c r="BB9" s="415"/>
      <c r="BC9" s="415"/>
      <c r="BD9" s="415"/>
      <c r="BE9" s="415"/>
      <c r="BF9" s="415"/>
      <c r="BG9" s="415"/>
      <c r="BH9" s="415"/>
      <c r="BI9" s="415"/>
      <c r="BJ9" s="415"/>
      <c r="BK9" s="415"/>
      <c r="BL9" s="415"/>
      <c r="BM9" s="415"/>
      <c r="BN9" s="415"/>
      <c r="BO9" s="415"/>
      <c r="BP9" s="415"/>
      <c r="BQ9" s="415"/>
      <c r="BR9" s="415"/>
      <c r="BS9" s="415"/>
      <c r="BT9" s="415"/>
      <c r="BU9" s="415"/>
      <c r="BV9" s="415"/>
      <c r="BW9" s="415"/>
      <c r="BX9" s="415"/>
      <c r="BY9" s="415"/>
      <c r="BZ9" s="415"/>
      <c r="CA9" s="415"/>
      <c r="CB9" s="415"/>
      <c r="CC9" s="415"/>
      <c r="CD9" s="415"/>
      <c r="CE9" s="415"/>
      <c r="CF9" s="415"/>
      <c r="CG9" s="415"/>
      <c r="CH9" s="415"/>
      <c r="CI9" s="415"/>
      <c r="CJ9" s="415"/>
      <c r="CK9" s="415"/>
      <c r="CL9" s="415"/>
      <c r="CM9" s="415"/>
      <c r="CN9" s="415"/>
      <c r="CO9" s="415"/>
      <c r="CP9" s="415"/>
      <c r="CQ9" s="415"/>
      <c r="CR9" s="415"/>
      <c r="CS9" s="415"/>
      <c r="CT9" s="415"/>
      <c r="CU9" s="415"/>
      <c r="CV9" s="415"/>
      <c r="CW9" s="415"/>
      <c r="CX9" s="415"/>
      <c r="CY9" s="415"/>
      <c r="CZ9" s="415"/>
      <c r="DA9" s="415"/>
      <c r="DB9" s="415"/>
      <c r="DC9" s="415"/>
      <c r="DD9" s="415"/>
      <c r="DE9" s="415"/>
      <c r="DF9" s="415"/>
      <c r="DG9" s="415"/>
      <c r="DH9" s="415"/>
      <c r="DI9" s="415"/>
      <c r="DJ9" s="415"/>
      <c r="DK9" s="415"/>
      <c r="DL9" s="415"/>
      <c r="DM9" s="415"/>
      <c r="DN9" s="415"/>
      <c r="DO9" s="415"/>
      <c r="DP9" s="415"/>
      <c r="DQ9" s="415"/>
      <c r="DR9" s="415"/>
      <c r="DS9" s="415"/>
      <c r="DT9" s="415"/>
      <c r="DU9" s="415"/>
      <c r="DV9" s="415"/>
      <c r="DW9" s="415"/>
      <c r="DX9" s="415"/>
      <c r="DY9" s="415"/>
      <c r="DZ9" s="415"/>
      <c r="EA9" s="415"/>
      <c r="EB9" s="415"/>
      <c r="EC9" s="415"/>
      <c r="ED9" s="415"/>
      <c r="EE9" s="415"/>
      <c r="EF9" s="415"/>
      <c r="EG9" s="415"/>
      <c r="EH9" s="415"/>
      <c r="EI9" s="415"/>
      <c r="EJ9" s="415"/>
      <c r="EK9" s="415"/>
      <c r="EL9" s="415"/>
      <c r="EM9" s="416"/>
      <c r="EN9" s="416"/>
      <c r="EO9" s="416"/>
      <c r="EP9" s="416"/>
      <c r="EQ9" s="416"/>
      <c r="ER9" s="416"/>
      <c r="ES9" s="416"/>
      <c r="ET9" s="416"/>
      <c r="EU9" s="416"/>
      <c r="EV9" s="416"/>
      <c r="EW9" s="416"/>
      <c r="EX9" s="416"/>
      <c r="EY9" s="416"/>
      <c r="EZ9" s="416"/>
      <c r="FA9" s="416"/>
      <c r="FB9" s="416"/>
      <c r="FC9" s="416"/>
      <c r="FD9" s="416"/>
      <c r="FE9" s="416"/>
      <c r="FF9" s="416"/>
      <c r="FG9" s="416"/>
      <c r="FH9" s="416"/>
      <c r="FI9" s="416"/>
      <c r="FJ9" s="416"/>
      <c r="FK9" s="416"/>
      <c r="FL9" s="416"/>
      <c r="FM9" s="416"/>
      <c r="FN9" s="416"/>
      <c r="FO9" s="416"/>
      <c r="FP9" s="416"/>
      <c r="FQ9" s="416"/>
      <c r="FR9" s="416"/>
      <c r="FS9" s="416"/>
      <c r="FT9" s="416"/>
      <c r="FU9" s="416"/>
      <c r="FV9" s="416"/>
      <c r="FW9" s="416"/>
      <c r="FX9" s="416"/>
      <c r="FY9" s="416"/>
      <c r="FZ9" s="416"/>
      <c r="GA9" s="416"/>
      <c r="GB9" s="416"/>
      <c r="GC9" s="416"/>
      <c r="GD9" s="416"/>
      <c r="GE9" s="416"/>
      <c r="GF9" s="416"/>
      <c r="GG9" s="416"/>
      <c r="GH9" s="416"/>
      <c r="GI9" s="416"/>
      <c r="GJ9" s="416"/>
      <c r="GK9" s="416"/>
      <c r="GL9" s="416"/>
      <c r="GM9" s="416"/>
      <c r="GN9" s="416"/>
      <c r="GO9" s="416"/>
      <c r="GP9" s="416"/>
      <c r="GQ9" s="416"/>
      <c r="GR9" s="416"/>
      <c r="GS9" s="416"/>
      <c r="GT9" s="416"/>
      <c r="GU9" s="416"/>
      <c r="GV9" s="416"/>
      <c r="GW9" s="416"/>
      <c r="GX9" s="416"/>
      <c r="GY9" s="416"/>
      <c r="GZ9" s="416"/>
      <c r="HA9" s="416"/>
      <c r="HB9" s="416"/>
      <c r="HC9" s="416"/>
      <c r="HD9" s="416"/>
      <c r="HE9" s="416"/>
      <c r="HF9" s="416"/>
      <c r="HG9" s="416"/>
      <c r="HH9" s="416"/>
      <c r="HI9" s="416"/>
      <c r="HJ9" s="416"/>
      <c r="HK9" s="416"/>
      <c r="HL9" s="416"/>
      <c r="HM9" s="416"/>
      <c r="HN9" s="416"/>
      <c r="HO9" s="416"/>
      <c r="HP9" s="416"/>
      <c r="HQ9" s="416"/>
      <c r="HR9" s="416"/>
      <c r="HS9" s="416"/>
      <c r="HT9" s="416"/>
      <c r="HU9" s="416"/>
      <c r="HV9" s="416"/>
      <c r="HW9" s="416"/>
      <c r="HX9" s="416"/>
      <c r="HY9" s="416"/>
      <c r="HZ9" s="416"/>
      <c r="IA9" s="416"/>
      <c r="IB9" s="416"/>
      <c r="IC9" s="416"/>
      <c r="ID9" s="416"/>
      <c r="IE9" s="416"/>
      <c r="IF9" s="416"/>
      <c r="IG9" s="416"/>
      <c r="IH9" s="416"/>
      <c r="II9" s="416"/>
      <c r="IJ9" s="416"/>
      <c r="IK9" s="416"/>
      <c r="IL9" s="416"/>
      <c r="IM9" s="416"/>
      <c r="IN9" s="416"/>
      <c r="IO9" s="416"/>
      <c r="IP9" s="416"/>
      <c r="IQ9" s="416"/>
      <c r="IR9" s="416"/>
      <c r="IS9" s="416"/>
      <c r="IT9" s="416"/>
      <c r="IU9" s="416"/>
      <c r="IV9" s="416"/>
      <c r="IW9" s="416"/>
    </row>
    <row r="10" customFormat="false" ht="12.75" hidden="false" customHeight="false" outlineLevel="0" collapsed="false">
      <c r="A10" s="1289"/>
      <c r="B10" s="412"/>
      <c r="C10" s="412" t="s">
        <v>839</v>
      </c>
      <c r="D10" s="1291"/>
      <c r="E10" s="414"/>
      <c r="F10" s="1293"/>
      <c r="G10" s="1293"/>
      <c r="H10" s="1293" t="n">
        <v>10</v>
      </c>
      <c r="I10" s="1293" t="n">
        <v>10</v>
      </c>
      <c r="J10" s="1293" t="n">
        <v>10</v>
      </c>
      <c r="K10" s="1293" t="n">
        <v>10</v>
      </c>
      <c r="L10" s="1293" t="n">
        <v>0</v>
      </c>
      <c r="M10" s="1293" t="n">
        <v>0</v>
      </c>
      <c r="N10" s="1293" t="n">
        <v>0</v>
      </c>
      <c r="O10" s="1293" t="n">
        <v>0</v>
      </c>
      <c r="P10" s="1293"/>
      <c r="Q10" s="1293"/>
      <c r="R10" s="1293"/>
      <c r="S10" s="1293"/>
      <c r="T10" s="1293"/>
      <c r="U10" s="1293" t="str">
        <f aca="false">IF(SUM(E10:T10)&lt;&gt;Assum!$F$30,"ERROR",SUM(E10:T10))</f>
        <v>ERROR</v>
      </c>
      <c r="V10" s="415"/>
      <c r="W10" s="415"/>
      <c r="X10" s="415"/>
      <c r="Y10" s="415"/>
      <c r="Z10" s="415"/>
      <c r="AA10" s="415"/>
      <c r="AB10" s="415"/>
      <c r="AC10" s="415"/>
      <c r="AD10" s="415"/>
      <c r="AE10" s="415"/>
      <c r="AF10" s="415"/>
      <c r="AG10" s="415"/>
      <c r="AH10" s="415"/>
      <c r="AI10" s="415"/>
      <c r="AJ10" s="415"/>
      <c r="AK10" s="415"/>
      <c r="AL10" s="415"/>
      <c r="AM10" s="415"/>
      <c r="AN10" s="415"/>
      <c r="AO10" s="415"/>
      <c r="AP10" s="415"/>
      <c r="AQ10" s="415"/>
      <c r="AR10" s="415"/>
      <c r="AS10" s="415"/>
      <c r="AT10" s="415"/>
      <c r="AU10" s="415"/>
      <c r="AV10" s="415"/>
      <c r="AW10" s="415"/>
      <c r="AX10" s="415"/>
      <c r="AY10" s="415"/>
      <c r="AZ10" s="415"/>
      <c r="BA10" s="415"/>
      <c r="BB10" s="415"/>
      <c r="BC10" s="415"/>
      <c r="BD10" s="415"/>
      <c r="BE10" s="415"/>
      <c r="BF10" s="415"/>
      <c r="BG10" s="415"/>
      <c r="BH10" s="415"/>
      <c r="BI10" s="415"/>
      <c r="BJ10" s="415"/>
      <c r="BK10" s="415"/>
      <c r="BL10" s="415"/>
      <c r="BM10" s="415"/>
      <c r="BN10" s="415"/>
      <c r="BO10" s="415"/>
      <c r="BP10" s="415"/>
      <c r="BQ10" s="415"/>
      <c r="BR10" s="415"/>
      <c r="BS10" s="415"/>
      <c r="BT10" s="415"/>
      <c r="BU10" s="415"/>
      <c r="BV10" s="415"/>
      <c r="BW10" s="415"/>
      <c r="BX10" s="415"/>
      <c r="BY10" s="415"/>
      <c r="BZ10" s="415"/>
      <c r="CA10" s="415"/>
      <c r="CB10" s="415"/>
      <c r="CC10" s="415"/>
      <c r="CD10" s="415"/>
      <c r="CE10" s="415"/>
      <c r="CF10" s="415"/>
      <c r="CG10" s="415"/>
      <c r="CH10" s="415"/>
      <c r="CI10" s="415"/>
      <c r="CJ10" s="415"/>
      <c r="CK10" s="415"/>
      <c r="CL10" s="415"/>
      <c r="CM10" s="415"/>
      <c r="CN10" s="415"/>
      <c r="CO10" s="415"/>
      <c r="CP10" s="415"/>
      <c r="CQ10" s="415"/>
      <c r="CR10" s="415"/>
      <c r="CS10" s="415"/>
      <c r="CT10" s="415"/>
      <c r="CU10" s="415"/>
      <c r="CV10" s="415"/>
      <c r="CW10" s="415"/>
      <c r="CX10" s="415"/>
      <c r="CY10" s="415"/>
      <c r="CZ10" s="415"/>
      <c r="DA10" s="415"/>
      <c r="DB10" s="415"/>
      <c r="DC10" s="415"/>
      <c r="DD10" s="415"/>
      <c r="DE10" s="415"/>
      <c r="DF10" s="415"/>
      <c r="DG10" s="415"/>
      <c r="DH10" s="415"/>
      <c r="DI10" s="415"/>
      <c r="DJ10" s="415"/>
      <c r="DK10" s="415"/>
      <c r="DL10" s="415"/>
      <c r="DM10" s="415"/>
      <c r="DN10" s="415"/>
      <c r="DO10" s="415"/>
      <c r="DP10" s="415"/>
      <c r="DQ10" s="415"/>
      <c r="DR10" s="415"/>
      <c r="DS10" s="415"/>
      <c r="DT10" s="415"/>
      <c r="DU10" s="415"/>
      <c r="DV10" s="415"/>
      <c r="DW10" s="415"/>
      <c r="DX10" s="415"/>
      <c r="DY10" s="415"/>
      <c r="DZ10" s="415"/>
      <c r="EA10" s="415"/>
      <c r="EB10" s="415"/>
      <c r="EC10" s="415"/>
      <c r="ED10" s="415"/>
      <c r="EE10" s="415"/>
      <c r="EF10" s="415"/>
      <c r="EG10" s="415"/>
      <c r="EH10" s="415"/>
      <c r="EI10" s="415"/>
      <c r="EJ10" s="415"/>
      <c r="EK10" s="415"/>
      <c r="EL10" s="415"/>
      <c r="EM10" s="416"/>
      <c r="EN10" s="416"/>
      <c r="EO10" s="416"/>
      <c r="EP10" s="416"/>
      <c r="EQ10" s="416"/>
      <c r="ER10" s="416"/>
      <c r="ES10" s="416"/>
      <c r="ET10" s="416"/>
      <c r="EU10" s="416"/>
      <c r="EV10" s="416"/>
      <c r="EW10" s="416"/>
      <c r="EX10" s="416"/>
      <c r="EY10" s="416"/>
      <c r="EZ10" s="416"/>
      <c r="FA10" s="416"/>
      <c r="FB10" s="416"/>
      <c r="FC10" s="416"/>
      <c r="FD10" s="416"/>
      <c r="FE10" s="416"/>
      <c r="FF10" s="416"/>
      <c r="FG10" s="416"/>
      <c r="FH10" s="416"/>
      <c r="FI10" s="416"/>
      <c r="FJ10" s="416"/>
      <c r="FK10" s="416"/>
      <c r="FL10" s="416"/>
      <c r="FM10" s="416"/>
      <c r="FN10" s="416"/>
      <c r="FO10" s="416"/>
      <c r="FP10" s="416"/>
      <c r="FQ10" s="416"/>
      <c r="FR10" s="416"/>
      <c r="FS10" s="416"/>
      <c r="FT10" s="416"/>
      <c r="FU10" s="416"/>
      <c r="FV10" s="416"/>
      <c r="FW10" s="416"/>
      <c r="FX10" s="416"/>
      <c r="FY10" s="416"/>
      <c r="FZ10" s="416"/>
      <c r="GA10" s="416"/>
      <c r="GB10" s="416"/>
      <c r="GC10" s="416"/>
      <c r="GD10" s="416"/>
      <c r="GE10" s="416"/>
      <c r="GF10" s="416"/>
      <c r="GG10" s="416"/>
      <c r="GH10" s="416"/>
      <c r="GI10" s="416"/>
      <c r="GJ10" s="416"/>
      <c r="GK10" s="416"/>
      <c r="GL10" s="416"/>
      <c r="GM10" s="416"/>
      <c r="GN10" s="416"/>
      <c r="GO10" s="416"/>
      <c r="GP10" s="416"/>
      <c r="GQ10" s="416"/>
      <c r="GR10" s="416"/>
      <c r="GS10" s="416"/>
      <c r="GT10" s="416"/>
      <c r="GU10" s="416"/>
      <c r="GV10" s="416"/>
      <c r="GW10" s="416"/>
      <c r="GX10" s="416"/>
      <c r="GY10" s="416"/>
      <c r="GZ10" s="416"/>
      <c r="HA10" s="416"/>
      <c r="HB10" s="416"/>
      <c r="HC10" s="416"/>
      <c r="HD10" s="416"/>
      <c r="HE10" s="416"/>
      <c r="HF10" s="416"/>
      <c r="HG10" s="416"/>
      <c r="HH10" s="416"/>
      <c r="HI10" s="416"/>
      <c r="HJ10" s="416"/>
      <c r="HK10" s="416"/>
      <c r="HL10" s="416"/>
      <c r="HM10" s="416"/>
      <c r="HN10" s="416"/>
      <c r="HO10" s="416"/>
      <c r="HP10" s="416"/>
      <c r="HQ10" s="416"/>
      <c r="HR10" s="416"/>
      <c r="HS10" s="416"/>
      <c r="HT10" s="416"/>
      <c r="HU10" s="416"/>
      <c r="HV10" s="416"/>
      <c r="HW10" s="416"/>
      <c r="HX10" s="416"/>
      <c r="HY10" s="416"/>
      <c r="HZ10" s="416"/>
      <c r="IA10" s="416"/>
      <c r="IB10" s="416"/>
      <c r="IC10" s="416"/>
      <c r="ID10" s="416"/>
      <c r="IE10" s="416"/>
      <c r="IF10" s="416"/>
      <c r="IG10" s="416"/>
      <c r="IH10" s="416"/>
      <c r="II10" s="416"/>
      <c r="IJ10" s="416"/>
      <c r="IK10" s="416"/>
      <c r="IL10" s="416"/>
      <c r="IM10" s="416"/>
      <c r="IN10" s="416"/>
      <c r="IO10" s="416"/>
      <c r="IP10" s="416"/>
      <c r="IQ10" s="416"/>
      <c r="IR10" s="416"/>
      <c r="IS10" s="416"/>
      <c r="IT10" s="416"/>
      <c r="IU10" s="416"/>
      <c r="IV10" s="416"/>
      <c r="IW10" s="416"/>
    </row>
    <row r="11" customFormat="false" ht="12.75" hidden="false" customHeight="false" outlineLevel="0" collapsed="false">
      <c r="A11" s="1289"/>
      <c r="B11" s="412"/>
      <c r="C11" s="412" t="s">
        <v>840</v>
      </c>
      <c r="D11" s="1291"/>
      <c r="E11" s="424" t="n">
        <f aca="false">Internal!G17</f>
        <v>1500</v>
      </c>
      <c r="F11" s="1297" t="n">
        <f aca="false">E11</f>
        <v>1500</v>
      </c>
      <c r="G11" s="1297" t="n">
        <f aca="false">F11</f>
        <v>1500</v>
      </c>
      <c r="H11" s="1297" t="n">
        <f aca="false">G11</f>
        <v>1500</v>
      </c>
      <c r="I11" s="1297" t="n">
        <f aca="false">H11</f>
        <v>1500</v>
      </c>
      <c r="J11" s="1297" t="n">
        <f aca="false">I11</f>
        <v>1500</v>
      </c>
      <c r="K11" s="1297" t="n">
        <f aca="false">J11</f>
        <v>1500</v>
      </c>
      <c r="L11" s="1297" t="n">
        <f aca="false">K11</f>
        <v>1500</v>
      </c>
      <c r="M11" s="1297" t="n">
        <f aca="false">L11</f>
        <v>1500</v>
      </c>
      <c r="N11" s="1297" t="n">
        <f aca="false">M11</f>
        <v>1500</v>
      </c>
      <c r="O11" s="1297" t="n">
        <f aca="false">N11</f>
        <v>1500</v>
      </c>
      <c r="P11" s="1297" t="n">
        <f aca="false">O11</f>
        <v>1500</v>
      </c>
      <c r="Q11" s="1297" t="n">
        <f aca="false">P11</f>
        <v>1500</v>
      </c>
      <c r="R11" s="1297" t="n">
        <f aca="false">Q11</f>
        <v>1500</v>
      </c>
      <c r="S11" s="1297" t="n">
        <f aca="false">R11</f>
        <v>1500</v>
      </c>
      <c r="T11" s="1297" t="n">
        <f aca="false">S11</f>
        <v>1500</v>
      </c>
      <c r="U11" s="1297"/>
      <c r="V11" s="415"/>
      <c r="W11" s="415"/>
      <c r="X11" s="415"/>
      <c r="Y11" s="415"/>
      <c r="Z11" s="415"/>
      <c r="AA11" s="415"/>
      <c r="AB11" s="415"/>
      <c r="AC11" s="415"/>
      <c r="AD11" s="415"/>
      <c r="AE11" s="415"/>
      <c r="AF11" s="415"/>
      <c r="AG11" s="415"/>
      <c r="AH11" s="415"/>
      <c r="AI11" s="415"/>
      <c r="AJ11" s="415"/>
      <c r="AK11" s="415"/>
      <c r="AL11" s="415"/>
      <c r="AM11" s="415"/>
      <c r="AN11" s="415"/>
      <c r="AO11" s="415"/>
      <c r="AP11" s="415"/>
      <c r="AQ11" s="415"/>
      <c r="AR11" s="415"/>
      <c r="AS11" s="415"/>
      <c r="AT11" s="415"/>
      <c r="AU11" s="415"/>
      <c r="AV11" s="415"/>
      <c r="AW11" s="415"/>
      <c r="AX11" s="415"/>
      <c r="AY11" s="415"/>
      <c r="AZ11" s="415"/>
      <c r="BA11" s="415"/>
      <c r="BB11" s="415"/>
      <c r="BC11" s="415"/>
      <c r="BD11" s="415"/>
      <c r="BE11" s="415"/>
      <c r="BF11" s="415"/>
      <c r="BG11" s="415"/>
      <c r="BH11" s="415"/>
      <c r="BI11" s="415"/>
      <c r="BJ11" s="415"/>
      <c r="BK11" s="415"/>
      <c r="BL11" s="415"/>
      <c r="BM11" s="415"/>
      <c r="BN11" s="415"/>
      <c r="BO11" s="415"/>
      <c r="BP11" s="415"/>
      <c r="BQ11" s="415"/>
      <c r="BR11" s="415"/>
      <c r="BS11" s="415"/>
      <c r="BT11" s="415"/>
      <c r="BU11" s="415"/>
      <c r="BV11" s="415"/>
      <c r="BW11" s="415"/>
      <c r="BX11" s="415"/>
      <c r="BY11" s="415"/>
      <c r="BZ11" s="415"/>
      <c r="CA11" s="415"/>
      <c r="CB11" s="415"/>
      <c r="CC11" s="415"/>
      <c r="CD11" s="415"/>
      <c r="CE11" s="415"/>
      <c r="CF11" s="415"/>
      <c r="CG11" s="415"/>
      <c r="CH11" s="415"/>
      <c r="CI11" s="415"/>
      <c r="CJ11" s="415"/>
      <c r="CK11" s="415"/>
      <c r="CL11" s="415"/>
      <c r="CM11" s="415"/>
      <c r="CN11" s="415"/>
      <c r="CO11" s="415"/>
      <c r="CP11" s="415"/>
      <c r="CQ11" s="415"/>
      <c r="CR11" s="415"/>
      <c r="CS11" s="415"/>
      <c r="CT11" s="415"/>
      <c r="CU11" s="415"/>
      <c r="CV11" s="415"/>
      <c r="CW11" s="415"/>
      <c r="CX11" s="415"/>
      <c r="CY11" s="415"/>
      <c r="CZ11" s="415"/>
      <c r="DA11" s="415"/>
      <c r="DB11" s="415"/>
      <c r="DC11" s="415"/>
      <c r="DD11" s="415"/>
      <c r="DE11" s="415"/>
      <c r="DF11" s="415"/>
      <c r="DG11" s="415"/>
      <c r="DH11" s="415"/>
      <c r="DI11" s="415"/>
      <c r="DJ11" s="415"/>
      <c r="DK11" s="415"/>
      <c r="DL11" s="415"/>
      <c r="DM11" s="415"/>
      <c r="DN11" s="415"/>
      <c r="DO11" s="415"/>
      <c r="DP11" s="415"/>
      <c r="DQ11" s="415"/>
      <c r="DR11" s="415"/>
      <c r="DS11" s="415"/>
      <c r="DT11" s="415"/>
      <c r="DU11" s="415"/>
      <c r="DV11" s="415"/>
      <c r="DW11" s="415"/>
      <c r="DX11" s="415"/>
      <c r="DY11" s="415"/>
      <c r="DZ11" s="415"/>
      <c r="EA11" s="415"/>
      <c r="EB11" s="415"/>
      <c r="EC11" s="415"/>
      <c r="ED11" s="415"/>
      <c r="EE11" s="415"/>
      <c r="EF11" s="415"/>
      <c r="EG11" s="415"/>
      <c r="EH11" s="415"/>
      <c r="EI11" s="415"/>
      <c r="EJ11" s="415"/>
      <c r="EK11" s="415"/>
      <c r="EL11" s="415"/>
      <c r="EM11" s="416"/>
      <c r="EN11" s="416"/>
      <c r="EO11" s="416"/>
      <c r="EP11" s="416"/>
      <c r="EQ11" s="416"/>
      <c r="ER11" s="416"/>
      <c r="ES11" s="416"/>
      <c r="ET11" s="416"/>
      <c r="EU11" s="416"/>
      <c r="EV11" s="416"/>
      <c r="EW11" s="416"/>
      <c r="EX11" s="416"/>
      <c r="EY11" s="416"/>
      <c r="EZ11" s="416"/>
      <c r="FA11" s="416"/>
      <c r="FB11" s="416"/>
      <c r="FC11" s="416"/>
      <c r="FD11" s="416"/>
      <c r="FE11" s="416"/>
      <c r="FF11" s="416"/>
      <c r="FG11" s="416"/>
      <c r="FH11" s="416"/>
      <c r="FI11" s="416"/>
      <c r="FJ11" s="416"/>
      <c r="FK11" s="416"/>
      <c r="FL11" s="416"/>
      <c r="FM11" s="416"/>
      <c r="FN11" s="416"/>
      <c r="FO11" s="416"/>
      <c r="FP11" s="416"/>
      <c r="FQ11" s="416"/>
      <c r="FR11" s="416"/>
      <c r="FS11" s="416"/>
      <c r="FT11" s="416"/>
      <c r="FU11" s="416"/>
      <c r="FV11" s="416"/>
      <c r="FW11" s="416"/>
      <c r="FX11" s="416"/>
      <c r="FY11" s="416"/>
      <c r="FZ11" s="416"/>
      <c r="GA11" s="416"/>
      <c r="GB11" s="416"/>
      <c r="GC11" s="416"/>
      <c r="GD11" s="416"/>
      <c r="GE11" s="416"/>
      <c r="GF11" s="416"/>
      <c r="GG11" s="416"/>
      <c r="GH11" s="416"/>
      <c r="GI11" s="416"/>
      <c r="GJ11" s="416"/>
      <c r="GK11" s="416"/>
      <c r="GL11" s="416"/>
      <c r="GM11" s="416"/>
      <c r="GN11" s="416"/>
      <c r="GO11" s="416"/>
      <c r="GP11" s="416"/>
      <c r="GQ11" s="416"/>
      <c r="GR11" s="416"/>
      <c r="GS11" s="416"/>
      <c r="GT11" s="416"/>
      <c r="GU11" s="416"/>
      <c r="GV11" s="416"/>
      <c r="GW11" s="416"/>
      <c r="GX11" s="416"/>
      <c r="GY11" s="416"/>
      <c r="GZ11" s="416"/>
      <c r="HA11" s="416"/>
      <c r="HB11" s="416"/>
      <c r="HC11" s="416"/>
      <c r="HD11" s="416"/>
      <c r="HE11" s="416"/>
      <c r="HF11" s="416"/>
      <c r="HG11" s="416"/>
      <c r="HH11" s="416"/>
      <c r="HI11" s="416"/>
      <c r="HJ11" s="416"/>
      <c r="HK11" s="416"/>
      <c r="HL11" s="416"/>
      <c r="HM11" s="416"/>
      <c r="HN11" s="416"/>
      <c r="HO11" s="416"/>
      <c r="HP11" s="416"/>
      <c r="HQ11" s="416"/>
      <c r="HR11" s="416"/>
      <c r="HS11" s="416"/>
      <c r="HT11" s="416"/>
      <c r="HU11" s="416"/>
      <c r="HV11" s="416"/>
      <c r="HW11" s="416"/>
      <c r="HX11" s="416"/>
      <c r="HY11" s="416"/>
      <c r="HZ11" s="416"/>
      <c r="IA11" s="416"/>
      <c r="IB11" s="416"/>
      <c r="IC11" s="416"/>
      <c r="ID11" s="416"/>
      <c r="IE11" s="416"/>
      <c r="IF11" s="416"/>
      <c r="IG11" s="416"/>
      <c r="IH11" s="416"/>
      <c r="II11" s="416"/>
      <c r="IJ11" s="416"/>
      <c r="IK11" s="416"/>
      <c r="IL11" s="416"/>
      <c r="IM11" s="416"/>
      <c r="IN11" s="416"/>
      <c r="IO11" s="416"/>
      <c r="IP11" s="416"/>
      <c r="IQ11" s="416"/>
      <c r="IR11" s="416"/>
      <c r="IS11" s="416"/>
      <c r="IT11" s="416"/>
      <c r="IU11" s="416"/>
      <c r="IV11" s="416"/>
      <c r="IW11" s="416"/>
    </row>
    <row r="12" customFormat="false" ht="12.75" hidden="false" customHeight="false" outlineLevel="0" collapsed="false">
      <c r="A12" s="1289"/>
      <c r="B12" s="412"/>
      <c r="C12" s="412" t="s">
        <v>841</v>
      </c>
      <c r="D12" s="1291"/>
      <c r="E12" s="414" t="n">
        <f aca="false">IF(E7&lt;=Assum!$P$57,1/Assum!$P$57,0)</f>
        <v>0.25</v>
      </c>
      <c r="F12" s="414" t="n">
        <f aca="false">IF(F7&lt;=Assum!$P$57,1/Assum!$P$57,0)</f>
        <v>0.25</v>
      </c>
      <c r="G12" s="414" t="n">
        <f aca="false">IF(G7&lt;=Assum!$P$57,1/Assum!$P$57,0)</f>
        <v>0.25</v>
      </c>
      <c r="H12" s="414" t="n">
        <f aca="false">IF(H7&lt;=Assum!$P$57,1/Assum!$P$57,0)</f>
        <v>0.25</v>
      </c>
      <c r="I12" s="414" t="n">
        <f aca="false">IF(I7&lt;=Assum!$P$57,1/Assum!$P$57,0)</f>
        <v>0</v>
      </c>
      <c r="J12" s="414" t="n">
        <f aca="false">IF(J7&lt;=Assum!$P$57,1/Assum!$P$57,0)</f>
        <v>0</v>
      </c>
      <c r="K12" s="414" t="n">
        <f aca="false">IF(K7&lt;=Assum!$P$57,1/Assum!$P$57,0)</f>
        <v>0</v>
      </c>
      <c r="L12" s="414" t="n">
        <f aca="false">IF(L7&lt;=Assum!$P$57,1/Assum!$P$57,0)</f>
        <v>0</v>
      </c>
      <c r="M12" s="414" t="n">
        <f aca="false">IF(M7&lt;=Assum!$P$57,1/Assum!$P$57,0)</f>
        <v>0</v>
      </c>
      <c r="N12" s="414" t="n">
        <f aca="false">IF(N7&lt;=Assum!$P$57,1/Assum!$P$57,0)</f>
        <v>0</v>
      </c>
      <c r="O12" s="414" t="n">
        <f aca="false">IF(O7&lt;=Assum!$P$57,1/Assum!$P$57,0)</f>
        <v>0</v>
      </c>
      <c r="P12" s="414" t="n">
        <f aca="false">IF(P7&lt;=Assum!$P$57,1/Assum!$P$57,0)</f>
        <v>0</v>
      </c>
      <c r="Q12" s="414" t="n">
        <f aca="false">IF(Q7&lt;=Assum!$P$57,1/Assum!$P$57,0)</f>
        <v>0</v>
      </c>
      <c r="R12" s="414" t="n">
        <f aca="false">IF(R7&lt;=Assum!$P$57,1/Assum!$P$57,0)</f>
        <v>0</v>
      </c>
      <c r="S12" s="414" t="n">
        <f aca="false">IF(S7&lt;=Assum!$P$57,1/Assum!$P$57,0)</f>
        <v>0</v>
      </c>
      <c r="T12" s="414" t="n">
        <f aca="false">IF(T7&lt;=Assum!$P$57,1/Assum!$P$57,0)</f>
        <v>0</v>
      </c>
      <c r="U12" s="414"/>
      <c r="V12" s="415"/>
      <c r="W12" s="415"/>
      <c r="X12" s="415"/>
      <c r="Y12" s="415"/>
      <c r="Z12" s="415"/>
      <c r="AA12" s="415"/>
      <c r="AB12" s="415"/>
      <c r="AC12" s="415"/>
      <c r="AD12" s="415"/>
      <c r="AE12" s="415"/>
      <c r="AF12" s="415"/>
      <c r="AG12" s="415"/>
      <c r="AH12" s="415"/>
      <c r="AI12" s="415"/>
      <c r="AJ12" s="415"/>
      <c r="AK12" s="415"/>
      <c r="AL12" s="415"/>
      <c r="AM12" s="415"/>
      <c r="AN12" s="415"/>
      <c r="AO12" s="415"/>
      <c r="AP12" s="415"/>
      <c r="AQ12" s="415"/>
      <c r="AR12" s="415"/>
      <c r="AS12" s="415"/>
      <c r="AT12" s="415"/>
      <c r="AU12" s="415"/>
      <c r="AV12" s="415"/>
      <c r="AW12" s="415"/>
      <c r="AX12" s="415"/>
      <c r="AY12" s="415"/>
      <c r="AZ12" s="415"/>
      <c r="BA12" s="415"/>
      <c r="BB12" s="415"/>
      <c r="BC12" s="415"/>
      <c r="BD12" s="415"/>
      <c r="BE12" s="415"/>
      <c r="BF12" s="415"/>
      <c r="BG12" s="415"/>
      <c r="BH12" s="415"/>
      <c r="BI12" s="415"/>
      <c r="BJ12" s="415"/>
      <c r="BK12" s="415"/>
      <c r="BL12" s="415"/>
      <c r="BM12" s="415"/>
      <c r="BN12" s="415"/>
      <c r="BO12" s="415"/>
      <c r="BP12" s="415"/>
      <c r="BQ12" s="415"/>
      <c r="BR12" s="415"/>
      <c r="BS12" s="415"/>
      <c r="BT12" s="415"/>
      <c r="BU12" s="415"/>
      <c r="BV12" s="415"/>
      <c r="BW12" s="415"/>
      <c r="BX12" s="415"/>
      <c r="BY12" s="415"/>
      <c r="BZ12" s="415"/>
      <c r="CA12" s="415"/>
      <c r="CB12" s="415"/>
      <c r="CC12" s="415"/>
      <c r="CD12" s="415"/>
      <c r="CE12" s="415"/>
      <c r="CF12" s="415"/>
      <c r="CG12" s="415"/>
      <c r="CH12" s="415"/>
      <c r="CI12" s="415"/>
      <c r="CJ12" s="415"/>
      <c r="CK12" s="415"/>
      <c r="CL12" s="415"/>
      <c r="CM12" s="415"/>
      <c r="CN12" s="415"/>
      <c r="CO12" s="415"/>
      <c r="CP12" s="415"/>
      <c r="CQ12" s="415"/>
      <c r="CR12" s="415"/>
      <c r="CS12" s="415"/>
      <c r="CT12" s="415"/>
      <c r="CU12" s="415"/>
      <c r="CV12" s="415"/>
      <c r="CW12" s="415"/>
      <c r="CX12" s="415"/>
      <c r="CY12" s="415"/>
      <c r="CZ12" s="415"/>
      <c r="DA12" s="415"/>
      <c r="DB12" s="415"/>
      <c r="DC12" s="415"/>
      <c r="DD12" s="415"/>
      <c r="DE12" s="415"/>
      <c r="DF12" s="415"/>
      <c r="DG12" s="415"/>
      <c r="DH12" s="415"/>
      <c r="DI12" s="415"/>
      <c r="DJ12" s="415"/>
      <c r="DK12" s="415"/>
      <c r="DL12" s="415"/>
      <c r="DM12" s="415"/>
      <c r="DN12" s="415"/>
      <c r="DO12" s="415"/>
      <c r="DP12" s="415"/>
      <c r="DQ12" s="415"/>
      <c r="DR12" s="415"/>
      <c r="DS12" s="415"/>
      <c r="DT12" s="415"/>
      <c r="DU12" s="415"/>
      <c r="DV12" s="415"/>
      <c r="DW12" s="415"/>
      <c r="DX12" s="415"/>
      <c r="DY12" s="415"/>
      <c r="DZ12" s="415"/>
      <c r="EA12" s="415"/>
      <c r="EB12" s="415"/>
      <c r="EC12" s="415"/>
      <c r="ED12" s="415"/>
      <c r="EE12" s="415"/>
      <c r="EF12" s="415"/>
      <c r="EG12" s="415"/>
      <c r="EH12" s="415"/>
      <c r="EI12" s="415"/>
      <c r="EJ12" s="415"/>
      <c r="EK12" s="415"/>
      <c r="EL12" s="415"/>
      <c r="EM12" s="416"/>
      <c r="EN12" s="416"/>
      <c r="EO12" s="416"/>
      <c r="EP12" s="416"/>
      <c r="EQ12" s="416"/>
      <c r="ER12" s="416"/>
      <c r="ES12" s="416"/>
      <c r="ET12" s="416"/>
      <c r="EU12" s="416"/>
      <c r="EV12" s="416"/>
      <c r="EW12" s="416"/>
      <c r="EX12" s="416"/>
      <c r="EY12" s="416"/>
      <c r="EZ12" s="416"/>
      <c r="FA12" s="416"/>
      <c r="FB12" s="416"/>
      <c r="FC12" s="416"/>
      <c r="FD12" s="416"/>
      <c r="FE12" s="416"/>
      <c r="FF12" s="416"/>
      <c r="FG12" s="416"/>
      <c r="FH12" s="416"/>
      <c r="FI12" s="416"/>
      <c r="FJ12" s="416"/>
      <c r="FK12" s="416"/>
      <c r="FL12" s="416"/>
      <c r="FM12" s="416"/>
      <c r="FN12" s="416"/>
      <c r="FO12" s="416"/>
      <c r="FP12" s="416"/>
      <c r="FQ12" s="416"/>
      <c r="FR12" s="416"/>
      <c r="FS12" s="416"/>
      <c r="FT12" s="416"/>
      <c r="FU12" s="416"/>
      <c r="FV12" s="416"/>
      <c r="FW12" s="416"/>
      <c r="FX12" s="416"/>
      <c r="FY12" s="416"/>
      <c r="FZ12" s="416"/>
      <c r="GA12" s="416"/>
      <c r="GB12" s="416"/>
      <c r="GC12" s="416"/>
      <c r="GD12" s="416"/>
      <c r="GE12" s="416"/>
      <c r="GF12" s="416"/>
      <c r="GG12" s="416"/>
      <c r="GH12" s="416"/>
      <c r="GI12" s="416"/>
      <c r="GJ12" s="416"/>
      <c r="GK12" s="416"/>
      <c r="GL12" s="416"/>
      <c r="GM12" s="416"/>
      <c r="GN12" s="416"/>
      <c r="GO12" s="416"/>
      <c r="GP12" s="416"/>
      <c r="GQ12" s="416"/>
      <c r="GR12" s="416"/>
      <c r="GS12" s="416"/>
      <c r="GT12" s="416"/>
      <c r="GU12" s="416"/>
      <c r="GV12" s="416"/>
      <c r="GW12" s="416"/>
      <c r="GX12" s="416"/>
      <c r="GY12" s="416"/>
      <c r="GZ12" s="416"/>
      <c r="HA12" s="416"/>
      <c r="HB12" s="416"/>
      <c r="HC12" s="416"/>
      <c r="HD12" s="416"/>
      <c r="HE12" s="416"/>
      <c r="HF12" s="416"/>
      <c r="HG12" s="416"/>
      <c r="HH12" s="416"/>
      <c r="HI12" s="416"/>
      <c r="HJ12" s="416"/>
      <c r="HK12" s="416"/>
      <c r="HL12" s="416"/>
      <c r="HM12" s="416"/>
      <c r="HN12" s="416"/>
      <c r="HO12" s="416"/>
      <c r="HP12" s="416"/>
      <c r="HQ12" s="416"/>
      <c r="HR12" s="416"/>
      <c r="HS12" s="416"/>
      <c r="HT12" s="416"/>
      <c r="HU12" s="416"/>
      <c r="HV12" s="416"/>
      <c r="HW12" s="416"/>
      <c r="HX12" s="416"/>
      <c r="HY12" s="416"/>
      <c r="HZ12" s="416"/>
      <c r="IA12" s="416"/>
      <c r="IB12" s="416"/>
      <c r="IC12" s="416"/>
      <c r="ID12" s="416"/>
      <c r="IE12" s="416"/>
      <c r="IF12" s="416"/>
      <c r="IG12" s="416"/>
      <c r="IH12" s="416"/>
      <c r="II12" s="416"/>
      <c r="IJ12" s="416"/>
      <c r="IK12" s="416"/>
      <c r="IL12" s="416"/>
      <c r="IM12" s="416"/>
      <c r="IN12" s="416"/>
      <c r="IO12" s="416"/>
      <c r="IP12" s="416"/>
      <c r="IQ12" s="416"/>
      <c r="IR12" s="416"/>
      <c r="IS12" s="416"/>
      <c r="IT12" s="416"/>
      <c r="IU12" s="416"/>
      <c r="IV12" s="416"/>
      <c r="IW12" s="416"/>
    </row>
    <row r="13" customFormat="false" ht="12.75" hidden="false" customHeight="false" outlineLevel="0" collapsed="false">
      <c r="A13" s="1289"/>
      <c r="B13" s="412"/>
      <c r="C13" s="412"/>
      <c r="D13" s="1291"/>
      <c r="E13" s="1292"/>
      <c r="F13" s="1298"/>
      <c r="G13" s="1298"/>
      <c r="H13" s="1298"/>
      <c r="I13" s="1298"/>
      <c r="J13" s="1298"/>
      <c r="K13" s="1298"/>
      <c r="L13" s="1298"/>
      <c r="M13" s="1298"/>
      <c r="N13" s="1298"/>
      <c r="O13" s="1298"/>
      <c r="P13" s="1298"/>
      <c r="Q13" s="1298"/>
      <c r="R13" s="1298"/>
      <c r="S13" s="1298"/>
      <c r="T13" s="1298"/>
      <c r="U13" s="1298"/>
      <c r="V13" s="415"/>
      <c r="W13" s="415"/>
      <c r="X13" s="415"/>
      <c r="Y13" s="415"/>
      <c r="Z13" s="415"/>
      <c r="AA13" s="415"/>
      <c r="AB13" s="415"/>
      <c r="AC13" s="415"/>
      <c r="AD13" s="415"/>
      <c r="AE13" s="415"/>
      <c r="AF13" s="415"/>
      <c r="AG13" s="415"/>
      <c r="AH13" s="415"/>
      <c r="AI13" s="415"/>
      <c r="AJ13" s="415"/>
      <c r="AK13" s="415"/>
      <c r="AL13" s="415"/>
      <c r="AM13" s="415"/>
      <c r="AN13" s="415"/>
      <c r="AO13" s="415"/>
      <c r="AP13" s="415"/>
      <c r="AQ13" s="415"/>
      <c r="AR13" s="415"/>
      <c r="AS13" s="415"/>
      <c r="AT13" s="415"/>
      <c r="AU13" s="415"/>
      <c r="AV13" s="415"/>
      <c r="AW13" s="415"/>
      <c r="AX13" s="415"/>
      <c r="AY13" s="415"/>
      <c r="AZ13" s="415"/>
      <c r="BA13" s="415"/>
      <c r="BB13" s="415"/>
      <c r="BC13" s="415"/>
      <c r="BD13" s="415"/>
      <c r="BE13" s="415"/>
      <c r="BF13" s="415"/>
      <c r="BG13" s="415"/>
      <c r="BH13" s="415"/>
      <c r="BI13" s="415"/>
      <c r="BJ13" s="415"/>
      <c r="BK13" s="415"/>
      <c r="BL13" s="415"/>
      <c r="BM13" s="415"/>
      <c r="BN13" s="415"/>
      <c r="BO13" s="415"/>
      <c r="BP13" s="415"/>
      <c r="BQ13" s="415"/>
      <c r="BR13" s="415"/>
      <c r="BS13" s="415"/>
      <c r="BT13" s="415"/>
      <c r="BU13" s="415"/>
      <c r="BV13" s="415"/>
      <c r="BW13" s="415"/>
      <c r="BX13" s="415"/>
      <c r="BY13" s="415"/>
      <c r="BZ13" s="415"/>
      <c r="CA13" s="415"/>
      <c r="CB13" s="415"/>
      <c r="CC13" s="415"/>
      <c r="CD13" s="415"/>
      <c r="CE13" s="415"/>
      <c r="CF13" s="415"/>
      <c r="CG13" s="415"/>
      <c r="CH13" s="415"/>
      <c r="CI13" s="415"/>
      <c r="CJ13" s="415"/>
      <c r="CK13" s="415"/>
      <c r="CL13" s="415"/>
      <c r="CM13" s="415"/>
      <c r="CN13" s="415"/>
      <c r="CO13" s="415"/>
      <c r="CP13" s="415"/>
      <c r="CQ13" s="415"/>
      <c r="CR13" s="415"/>
      <c r="CS13" s="415"/>
      <c r="CT13" s="415"/>
      <c r="CU13" s="415"/>
      <c r="CV13" s="415"/>
      <c r="CW13" s="415"/>
      <c r="CX13" s="415"/>
      <c r="CY13" s="415"/>
      <c r="CZ13" s="415"/>
      <c r="DA13" s="415"/>
      <c r="DB13" s="415"/>
      <c r="DC13" s="415"/>
      <c r="DD13" s="415"/>
      <c r="DE13" s="415"/>
      <c r="DF13" s="415"/>
      <c r="DG13" s="415"/>
      <c r="DH13" s="415"/>
      <c r="DI13" s="415"/>
      <c r="DJ13" s="415"/>
      <c r="DK13" s="415"/>
      <c r="DL13" s="415"/>
      <c r="DM13" s="415"/>
      <c r="DN13" s="415"/>
      <c r="DO13" s="415"/>
      <c r="DP13" s="415"/>
      <c r="DQ13" s="415"/>
      <c r="DR13" s="415"/>
      <c r="DS13" s="415"/>
      <c r="DT13" s="415"/>
      <c r="DU13" s="415"/>
      <c r="DV13" s="415"/>
      <c r="DW13" s="415"/>
      <c r="DX13" s="415"/>
      <c r="DY13" s="415"/>
      <c r="DZ13" s="415"/>
      <c r="EA13" s="415"/>
      <c r="EB13" s="415"/>
      <c r="EC13" s="415"/>
      <c r="ED13" s="415"/>
      <c r="EE13" s="415"/>
      <c r="EF13" s="415"/>
      <c r="EG13" s="415"/>
      <c r="EH13" s="415"/>
      <c r="EI13" s="415"/>
      <c r="EJ13" s="415"/>
      <c r="EK13" s="415"/>
      <c r="EL13" s="415"/>
      <c r="EM13" s="416"/>
      <c r="EN13" s="416"/>
      <c r="EO13" s="416"/>
      <c r="EP13" s="416"/>
      <c r="EQ13" s="416"/>
      <c r="ER13" s="416"/>
      <c r="ES13" s="416"/>
      <c r="ET13" s="416"/>
      <c r="EU13" s="416"/>
      <c r="EV13" s="416"/>
      <c r="EW13" s="416"/>
      <c r="EX13" s="416"/>
      <c r="EY13" s="416"/>
      <c r="EZ13" s="416"/>
      <c r="FA13" s="416"/>
      <c r="FB13" s="416"/>
      <c r="FC13" s="416"/>
      <c r="FD13" s="416"/>
      <c r="FE13" s="416"/>
      <c r="FF13" s="416"/>
      <c r="FG13" s="416"/>
      <c r="FH13" s="416"/>
      <c r="FI13" s="416"/>
      <c r="FJ13" s="416"/>
      <c r="FK13" s="416"/>
      <c r="FL13" s="416"/>
      <c r="FM13" s="416"/>
      <c r="FN13" s="416"/>
      <c r="FO13" s="416"/>
      <c r="FP13" s="416"/>
      <c r="FQ13" s="416"/>
      <c r="FR13" s="416"/>
      <c r="FS13" s="416"/>
      <c r="FT13" s="416"/>
      <c r="FU13" s="416"/>
      <c r="FV13" s="416"/>
      <c r="FW13" s="416"/>
      <c r="FX13" s="416"/>
      <c r="FY13" s="416"/>
      <c r="FZ13" s="416"/>
      <c r="GA13" s="416"/>
      <c r="GB13" s="416"/>
      <c r="GC13" s="416"/>
      <c r="GD13" s="416"/>
      <c r="GE13" s="416"/>
      <c r="GF13" s="416"/>
      <c r="GG13" s="416"/>
      <c r="GH13" s="416"/>
      <c r="GI13" s="416"/>
      <c r="GJ13" s="416"/>
      <c r="GK13" s="416"/>
      <c r="GL13" s="416"/>
      <c r="GM13" s="416"/>
      <c r="GN13" s="416"/>
      <c r="GO13" s="416"/>
      <c r="GP13" s="416"/>
      <c r="GQ13" s="416"/>
      <c r="GR13" s="416"/>
      <c r="GS13" s="416"/>
      <c r="GT13" s="416"/>
      <c r="GU13" s="416"/>
      <c r="GV13" s="416"/>
      <c r="GW13" s="416"/>
      <c r="GX13" s="416"/>
      <c r="GY13" s="416"/>
      <c r="GZ13" s="416"/>
      <c r="HA13" s="416"/>
      <c r="HB13" s="416"/>
      <c r="HC13" s="416"/>
      <c r="HD13" s="416"/>
      <c r="HE13" s="416"/>
      <c r="HF13" s="416"/>
      <c r="HG13" s="416"/>
      <c r="HH13" s="416"/>
      <c r="HI13" s="416"/>
      <c r="HJ13" s="416"/>
      <c r="HK13" s="416"/>
      <c r="HL13" s="416"/>
      <c r="HM13" s="416"/>
      <c r="HN13" s="416"/>
      <c r="HO13" s="416"/>
      <c r="HP13" s="416"/>
      <c r="HQ13" s="416"/>
      <c r="HR13" s="416"/>
      <c r="HS13" s="416"/>
      <c r="HT13" s="416"/>
      <c r="HU13" s="416"/>
      <c r="HV13" s="416"/>
      <c r="HW13" s="416"/>
      <c r="HX13" s="416"/>
      <c r="HY13" s="416"/>
      <c r="HZ13" s="416"/>
      <c r="IA13" s="416"/>
      <c r="IB13" s="416"/>
      <c r="IC13" s="416"/>
      <c r="ID13" s="416"/>
      <c r="IE13" s="416"/>
      <c r="IF13" s="416"/>
      <c r="IG13" s="416"/>
      <c r="IH13" s="416"/>
      <c r="II13" s="416"/>
      <c r="IJ13" s="416"/>
      <c r="IK13" s="416"/>
      <c r="IL13" s="416"/>
      <c r="IM13" s="416"/>
      <c r="IN13" s="416"/>
      <c r="IO13" s="416"/>
      <c r="IP13" s="416"/>
      <c r="IQ13" s="416"/>
      <c r="IR13" s="416"/>
      <c r="IS13" s="416"/>
      <c r="IT13" s="416"/>
      <c r="IU13" s="416"/>
      <c r="IV13" s="416"/>
      <c r="IW13" s="416"/>
    </row>
    <row r="14" customFormat="false" ht="15" hidden="false" customHeight="false" outlineLevel="0" collapsed="false">
      <c r="A14" s="1289"/>
      <c r="B14" s="412"/>
      <c r="C14" s="1299" t="s">
        <v>842</v>
      </c>
      <c r="D14" s="1291"/>
      <c r="E14" s="1292"/>
      <c r="F14" s="415"/>
      <c r="G14" s="415"/>
      <c r="H14" s="415"/>
      <c r="I14" s="415"/>
      <c r="J14" s="415"/>
      <c r="K14" s="415"/>
      <c r="L14" s="415"/>
      <c r="M14" s="415"/>
      <c r="N14" s="415"/>
      <c r="O14" s="415"/>
      <c r="P14" s="415"/>
      <c r="Q14" s="415"/>
      <c r="R14" s="415"/>
      <c r="S14" s="415"/>
      <c r="T14" s="415"/>
      <c r="U14" s="415"/>
      <c r="V14" s="415"/>
      <c r="W14" s="415"/>
      <c r="X14" s="415"/>
      <c r="Y14" s="415"/>
      <c r="Z14" s="415"/>
      <c r="AA14" s="415"/>
      <c r="AB14" s="415"/>
      <c r="AC14" s="415"/>
      <c r="AD14" s="415"/>
      <c r="AE14" s="415"/>
      <c r="AF14" s="415"/>
      <c r="AG14" s="415"/>
      <c r="AH14" s="415"/>
      <c r="AI14" s="415"/>
      <c r="AJ14" s="415"/>
      <c r="AK14" s="415"/>
      <c r="AL14" s="415"/>
      <c r="AM14" s="415"/>
      <c r="AN14" s="415"/>
      <c r="AO14" s="415"/>
      <c r="AP14" s="415"/>
      <c r="AQ14" s="415"/>
      <c r="AR14" s="415"/>
      <c r="AS14" s="415"/>
      <c r="AT14" s="415"/>
      <c r="AU14" s="415"/>
      <c r="AV14" s="415"/>
      <c r="AW14" s="415"/>
      <c r="AX14" s="415"/>
      <c r="AY14" s="415"/>
      <c r="AZ14" s="415"/>
      <c r="BA14" s="415"/>
      <c r="BB14" s="415"/>
      <c r="BC14" s="415"/>
      <c r="BD14" s="415"/>
      <c r="BE14" s="415"/>
      <c r="BF14" s="415"/>
      <c r="BG14" s="415"/>
      <c r="BH14" s="415"/>
      <c r="BI14" s="415"/>
      <c r="BJ14" s="415"/>
      <c r="BK14" s="415"/>
      <c r="BL14" s="415"/>
      <c r="BM14" s="415"/>
      <c r="BN14" s="415"/>
      <c r="BO14" s="415"/>
      <c r="BP14" s="415"/>
      <c r="BQ14" s="415"/>
      <c r="BR14" s="415"/>
      <c r="BS14" s="415"/>
      <c r="BT14" s="415"/>
      <c r="BU14" s="415"/>
      <c r="BV14" s="415"/>
      <c r="BW14" s="415"/>
      <c r="BX14" s="415"/>
      <c r="BY14" s="415"/>
      <c r="BZ14" s="415"/>
      <c r="CA14" s="415"/>
      <c r="CB14" s="415"/>
      <c r="CC14" s="415"/>
      <c r="CD14" s="415"/>
      <c r="CE14" s="415"/>
      <c r="CF14" s="415"/>
      <c r="CG14" s="415"/>
      <c r="CH14" s="415"/>
      <c r="CI14" s="415"/>
      <c r="CJ14" s="415"/>
      <c r="CK14" s="415"/>
      <c r="CL14" s="415"/>
      <c r="CM14" s="415"/>
      <c r="CN14" s="415"/>
      <c r="CO14" s="415"/>
      <c r="CP14" s="415"/>
      <c r="CQ14" s="415"/>
      <c r="CR14" s="415"/>
      <c r="CS14" s="415"/>
      <c r="CT14" s="415"/>
      <c r="CU14" s="415"/>
      <c r="CV14" s="415"/>
      <c r="CW14" s="415"/>
      <c r="CX14" s="415"/>
      <c r="CY14" s="415"/>
      <c r="CZ14" s="415"/>
      <c r="DA14" s="415"/>
      <c r="DB14" s="415"/>
      <c r="DC14" s="415"/>
      <c r="DD14" s="415"/>
      <c r="DE14" s="415"/>
      <c r="DF14" s="415"/>
      <c r="DG14" s="415"/>
      <c r="DH14" s="415"/>
      <c r="DI14" s="415"/>
      <c r="DJ14" s="415"/>
      <c r="DK14" s="415"/>
      <c r="DL14" s="415"/>
      <c r="DM14" s="415"/>
      <c r="DN14" s="415"/>
      <c r="DO14" s="415"/>
      <c r="DP14" s="415"/>
      <c r="DQ14" s="415"/>
      <c r="DR14" s="415"/>
      <c r="DS14" s="415"/>
      <c r="DT14" s="415"/>
      <c r="DU14" s="415"/>
      <c r="DV14" s="415"/>
      <c r="DW14" s="415"/>
      <c r="DX14" s="415"/>
      <c r="DY14" s="415"/>
      <c r="DZ14" s="415"/>
      <c r="EA14" s="415"/>
      <c r="EB14" s="415"/>
      <c r="EC14" s="415"/>
      <c r="ED14" s="415"/>
      <c r="EE14" s="415"/>
      <c r="EF14" s="415"/>
      <c r="EG14" s="415"/>
      <c r="EH14" s="415"/>
      <c r="EI14" s="415"/>
      <c r="EJ14" s="415"/>
      <c r="EK14" s="415"/>
      <c r="EL14" s="415"/>
      <c r="EM14" s="416"/>
      <c r="EN14" s="416"/>
      <c r="EO14" s="416"/>
      <c r="EP14" s="416"/>
      <c r="EQ14" s="416"/>
      <c r="ER14" s="416"/>
      <c r="ES14" s="416"/>
      <c r="ET14" s="416"/>
      <c r="EU14" s="416"/>
      <c r="EV14" s="416"/>
      <c r="EW14" s="416"/>
      <c r="EX14" s="416"/>
      <c r="EY14" s="416"/>
      <c r="EZ14" s="416"/>
      <c r="FA14" s="416"/>
      <c r="FB14" s="416"/>
      <c r="FC14" s="416"/>
      <c r="FD14" s="416"/>
      <c r="FE14" s="416"/>
      <c r="FF14" s="416"/>
      <c r="FG14" s="416"/>
      <c r="FH14" s="416"/>
      <c r="FI14" s="416"/>
      <c r="FJ14" s="416"/>
      <c r="FK14" s="416"/>
      <c r="FL14" s="416"/>
      <c r="FM14" s="416"/>
      <c r="FN14" s="416"/>
      <c r="FO14" s="416"/>
      <c r="FP14" s="416"/>
      <c r="FQ14" s="416"/>
      <c r="FR14" s="416"/>
      <c r="FS14" s="416"/>
      <c r="FT14" s="416"/>
      <c r="FU14" s="416"/>
      <c r="FV14" s="416"/>
      <c r="FW14" s="416"/>
      <c r="FX14" s="416"/>
      <c r="FY14" s="416"/>
      <c r="FZ14" s="416"/>
      <c r="GA14" s="416"/>
      <c r="GB14" s="416"/>
      <c r="GC14" s="416"/>
      <c r="GD14" s="416"/>
      <c r="GE14" s="416"/>
      <c r="GF14" s="416"/>
      <c r="GG14" s="416"/>
      <c r="GH14" s="416"/>
      <c r="GI14" s="416"/>
      <c r="GJ14" s="416"/>
      <c r="GK14" s="416"/>
      <c r="GL14" s="416"/>
      <c r="GM14" s="416"/>
      <c r="GN14" s="416"/>
      <c r="GO14" s="416"/>
      <c r="GP14" s="416"/>
      <c r="GQ14" s="416"/>
      <c r="GR14" s="416"/>
      <c r="GS14" s="416"/>
      <c r="GT14" s="416"/>
      <c r="GU14" s="416"/>
      <c r="GV14" s="416"/>
      <c r="GW14" s="416"/>
      <c r="GX14" s="416"/>
      <c r="GY14" s="416"/>
      <c r="GZ14" s="416"/>
      <c r="HA14" s="416"/>
      <c r="HB14" s="416"/>
      <c r="HC14" s="416"/>
      <c r="HD14" s="416"/>
      <c r="HE14" s="416"/>
      <c r="HF14" s="416"/>
      <c r="HG14" s="416"/>
      <c r="HH14" s="416"/>
      <c r="HI14" s="416"/>
      <c r="HJ14" s="416"/>
      <c r="HK14" s="416"/>
      <c r="HL14" s="416"/>
      <c r="HM14" s="416"/>
      <c r="HN14" s="416"/>
      <c r="HO14" s="416"/>
      <c r="HP14" s="416"/>
      <c r="HQ14" s="416"/>
      <c r="HR14" s="416"/>
      <c r="HS14" s="416"/>
      <c r="HT14" s="416"/>
      <c r="HU14" s="416"/>
      <c r="HV14" s="416"/>
      <c r="HW14" s="416"/>
      <c r="HX14" s="416"/>
      <c r="HY14" s="416"/>
      <c r="HZ14" s="416"/>
      <c r="IA14" s="416"/>
      <c r="IB14" s="416"/>
      <c r="IC14" s="416"/>
      <c r="ID14" s="416"/>
      <c r="IE14" s="416"/>
      <c r="IF14" s="416"/>
      <c r="IG14" s="416"/>
      <c r="IH14" s="416"/>
      <c r="II14" s="416"/>
      <c r="IJ14" s="416"/>
      <c r="IK14" s="416"/>
      <c r="IL14" s="416"/>
      <c r="IM14" s="416"/>
      <c r="IN14" s="416"/>
      <c r="IO14" s="416"/>
      <c r="IP14" s="416"/>
      <c r="IQ14" s="416"/>
      <c r="IR14" s="416"/>
      <c r="IS14" s="416"/>
      <c r="IT14" s="416"/>
      <c r="IU14" s="416"/>
      <c r="IV14" s="416"/>
      <c r="IW14" s="416"/>
    </row>
    <row r="15" customFormat="false" ht="12.75" hidden="false" customHeight="false" outlineLevel="0" collapsed="false">
      <c r="A15" s="1289"/>
      <c r="B15" s="412"/>
      <c r="C15" s="1300" t="str">
        <f aca="false">+Internal!B93</f>
        <v>TURBINE PRICE</v>
      </c>
      <c r="D15" s="1301"/>
      <c r="E15" s="414" t="n">
        <v>0</v>
      </c>
      <c r="F15" s="414" t="n">
        <v>0.05</v>
      </c>
      <c r="G15" s="414" t="n">
        <v>0.1</v>
      </c>
      <c r="H15" s="414" t="n">
        <v>0.1</v>
      </c>
      <c r="I15" s="414" t="n">
        <v>0.2</v>
      </c>
      <c r="J15" s="414" t="n">
        <v>0.2</v>
      </c>
      <c r="K15" s="414" t="n">
        <v>0.2</v>
      </c>
      <c r="L15" s="414" t="n">
        <v>0.15</v>
      </c>
      <c r="M15" s="414" t="n">
        <v>0</v>
      </c>
      <c r="N15" s="414" t="n">
        <v>0</v>
      </c>
      <c r="O15" s="414" t="n">
        <v>0</v>
      </c>
      <c r="P15" s="414" t="n">
        <v>0</v>
      </c>
      <c r="Q15" s="414" t="n">
        <v>0</v>
      </c>
      <c r="R15" s="414" t="n">
        <v>0</v>
      </c>
      <c r="S15" s="414" t="n">
        <v>0</v>
      </c>
      <c r="T15" s="414" t="n">
        <v>0</v>
      </c>
      <c r="U15" s="414" t="n">
        <f aca="false">SUM(E15:T15)</f>
        <v>1</v>
      </c>
      <c r="V15" s="415"/>
      <c r="W15" s="415"/>
      <c r="X15" s="415"/>
      <c r="Y15" s="415"/>
      <c r="Z15" s="415"/>
      <c r="AA15" s="415"/>
      <c r="AB15" s="415"/>
      <c r="AC15" s="415"/>
      <c r="AD15" s="415"/>
      <c r="AE15" s="415"/>
      <c r="AF15" s="415"/>
      <c r="AG15" s="415"/>
      <c r="AH15" s="415"/>
      <c r="AI15" s="415"/>
      <c r="AJ15" s="415"/>
      <c r="AK15" s="415"/>
      <c r="AL15" s="415"/>
      <c r="AM15" s="415"/>
      <c r="AN15" s="415"/>
      <c r="AO15" s="415"/>
      <c r="AP15" s="415"/>
      <c r="AQ15" s="415"/>
      <c r="AR15" s="415"/>
      <c r="AS15" s="415"/>
      <c r="AT15" s="415"/>
      <c r="AU15" s="415"/>
      <c r="AV15" s="415"/>
      <c r="AW15" s="415"/>
      <c r="AX15" s="415"/>
      <c r="AY15" s="415"/>
      <c r="AZ15" s="415"/>
      <c r="BA15" s="415"/>
      <c r="BB15" s="415"/>
      <c r="BC15" s="415"/>
      <c r="BD15" s="415"/>
      <c r="BE15" s="415"/>
      <c r="BF15" s="415"/>
      <c r="BG15" s="415"/>
      <c r="BH15" s="415"/>
      <c r="BI15" s="415"/>
      <c r="BJ15" s="415"/>
      <c r="BK15" s="415"/>
      <c r="BL15" s="415"/>
      <c r="BM15" s="415"/>
      <c r="BN15" s="415"/>
      <c r="BO15" s="415"/>
      <c r="BP15" s="415"/>
      <c r="BQ15" s="415"/>
      <c r="BR15" s="415"/>
      <c r="BS15" s="415"/>
      <c r="BT15" s="415"/>
      <c r="BU15" s="415"/>
      <c r="BV15" s="415"/>
      <c r="BW15" s="415"/>
      <c r="BX15" s="415"/>
      <c r="BY15" s="415"/>
      <c r="BZ15" s="415"/>
      <c r="CA15" s="415"/>
      <c r="CB15" s="415"/>
      <c r="CC15" s="415"/>
      <c r="CD15" s="415"/>
      <c r="CE15" s="415"/>
      <c r="CF15" s="415"/>
      <c r="CG15" s="415"/>
      <c r="CH15" s="415"/>
      <c r="CI15" s="415"/>
      <c r="CJ15" s="415"/>
      <c r="CK15" s="415"/>
      <c r="CL15" s="415"/>
      <c r="CM15" s="415"/>
      <c r="CN15" s="415"/>
      <c r="CO15" s="415"/>
      <c r="CP15" s="415"/>
      <c r="CQ15" s="415"/>
      <c r="CR15" s="415"/>
      <c r="CS15" s="415"/>
      <c r="CT15" s="415"/>
      <c r="CU15" s="415"/>
      <c r="CV15" s="415"/>
      <c r="CW15" s="415"/>
      <c r="CX15" s="415"/>
      <c r="CY15" s="415"/>
      <c r="CZ15" s="415"/>
      <c r="DA15" s="415"/>
      <c r="DB15" s="415"/>
      <c r="DC15" s="415"/>
      <c r="DD15" s="415"/>
      <c r="DE15" s="415"/>
      <c r="DF15" s="415"/>
      <c r="DG15" s="415"/>
      <c r="DH15" s="415"/>
      <c r="DI15" s="415"/>
      <c r="DJ15" s="415"/>
      <c r="DK15" s="415"/>
      <c r="DL15" s="415"/>
      <c r="DM15" s="415"/>
      <c r="DN15" s="415"/>
      <c r="DO15" s="415"/>
      <c r="DP15" s="415"/>
      <c r="DQ15" s="415"/>
      <c r="DR15" s="415"/>
      <c r="DS15" s="415"/>
      <c r="DT15" s="415"/>
      <c r="DU15" s="415"/>
      <c r="DV15" s="415"/>
      <c r="DW15" s="415"/>
      <c r="DX15" s="415"/>
      <c r="DY15" s="415"/>
      <c r="DZ15" s="415"/>
      <c r="EA15" s="415"/>
      <c r="EB15" s="415"/>
      <c r="EC15" s="415"/>
      <c r="ED15" s="415"/>
      <c r="EE15" s="415"/>
      <c r="EF15" s="415"/>
      <c r="EG15" s="415"/>
      <c r="EH15" s="415"/>
      <c r="EI15" s="415"/>
      <c r="EJ15" s="415"/>
      <c r="EK15" s="415"/>
      <c r="EL15" s="415"/>
      <c r="EM15" s="416"/>
      <c r="EN15" s="416"/>
      <c r="EO15" s="416"/>
      <c r="EP15" s="416"/>
      <c r="EQ15" s="416"/>
      <c r="ER15" s="416"/>
      <c r="ES15" s="416"/>
      <c r="ET15" s="416"/>
      <c r="EU15" s="416"/>
      <c r="EV15" s="416"/>
      <c r="EW15" s="416"/>
      <c r="EX15" s="416"/>
      <c r="EY15" s="416"/>
      <c r="EZ15" s="416"/>
      <c r="FA15" s="416"/>
      <c r="FB15" s="416"/>
      <c r="FC15" s="416"/>
      <c r="FD15" s="416"/>
      <c r="FE15" s="416"/>
      <c r="FF15" s="416"/>
      <c r="FG15" s="416"/>
      <c r="FH15" s="416"/>
      <c r="FI15" s="416"/>
      <c r="FJ15" s="416"/>
      <c r="FK15" s="416"/>
      <c r="FL15" s="416"/>
      <c r="FM15" s="416"/>
      <c r="FN15" s="416"/>
      <c r="FO15" s="416"/>
      <c r="FP15" s="416"/>
      <c r="FQ15" s="416"/>
      <c r="FR15" s="416"/>
      <c r="FS15" s="416"/>
      <c r="FT15" s="416"/>
      <c r="FU15" s="416"/>
      <c r="FV15" s="416"/>
      <c r="FW15" s="416"/>
      <c r="FX15" s="416"/>
      <c r="FY15" s="416"/>
      <c r="FZ15" s="416"/>
      <c r="GA15" s="416"/>
      <c r="GB15" s="416"/>
      <c r="GC15" s="416"/>
      <c r="GD15" s="416"/>
      <c r="GE15" s="416"/>
      <c r="GF15" s="416"/>
      <c r="GG15" s="416"/>
      <c r="GH15" s="416"/>
      <c r="GI15" s="416"/>
      <c r="GJ15" s="416"/>
      <c r="GK15" s="416"/>
      <c r="GL15" s="416"/>
      <c r="GM15" s="416"/>
      <c r="GN15" s="416"/>
      <c r="GO15" s="416"/>
      <c r="GP15" s="416"/>
      <c r="GQ15" s="416"/>
      <c r="GR15" s="416"/>
      <c r="GS15" s="416"/>
      <c r="GT15" s="416"/>
      <c r="GU15" s="416"/>
      <c r="GV15" s="416"/>
      <c r="GW15" s="416"/>
      <c r="GX15" s="416"/>
      <c r="GY15" s="416"/>
      <c r="GZ15" s="416"/>
      <c r="HA15" s="416"/>
      <c r="HB15" s="416"/>
      <c r="HC15" s="416"/>
      <c r="HD15" s="416"/>
      <c r="HE15" s="416"/>
      <c r="HF15" s="416"/>
      <c r="HG15" s="416"/>
      <c r="HH15" s="416"/>
      <c r="HI15" s="416"/>
      <c r="HJ15" s="416"/>
      <c r="HK15" s="416"/>
      <c r="HL15" s="416"/>
      <c r="HM15" s="416"/>
      <c r="HN15" s="416"/>
      <c r="HO15" s="416"/>
      <c r="HP15" s="416"/>
      <c r="HQ15" s="416"/>
      <c r="HR15" s="416"/>
      <c r="HS15" s="416"/>
      <c r="HT15" s="416"/>
      <c r="HU15" s="416"/>
      <c r="HV15" s="416"/>
      <c r="HW15" s="416"/>
      <c r="HX15" s="416"/>
      <c r="HY15" s="416"/>
      <c r="HZ15" s="416"/>
      <c r="IA15" s="416"/>
      <c r="IB15" s="416"/>
      <c r="IC15" s="416"/>
      <c r="ID15" s="416"/>
      <c r="IE15" s="416"/>
      <c r="IF15" s="416"/>
      <c r="IG15" s="416"/>
      <c r="IH15" s="416"/>
      <c r="II15" s="416"/>
      <c r="IJ15" s="416"/>
      <c r="IK15" s="416"/>
      <c r="IL15" s="416"/>
      <c r="IM15" s="416"/>
      <c r="IN15" s="416"/>
      <c r="IO15" s="416"/>
      <c r="IP15" s="416"/>
      <c r="IQ15" s="416"/>
      <c r="IR15" s="416"/>
      <c r="IS15" s="416"/>
      <c r="IT15" s="416"/>
      <c r="IU15" s="416"/>
      <c r="IV15" s="416"/>
      <c r="IW15" s="416"/>
    </row>
    <row r="16" customFormat="false" ht="12.75" hidden="false" customHeight="false" outlineLevel="0" collapsed="false">
      <c r="A16" s="1289"/>
      <c r="B16" s="412"/>
      <c r="C16" s="1300" t="e">
        <f aca="false">+#REF!</f>
        <v>#REF!</v>
      </c>
      <c r="D16" s="1301"/>
      <c r="E16" s="414"/>
      <c r="F16" s="414"/>
      <c r="G16" s="414" t="n">
        <v>0.2</v>
      </c>
      <c r="H16" s="414" t="n">
        <v>0.2</v>
      </c>
      <c r="I16" s="414" t="n">
        <v>0.2</v>
      </c>
      <c r="J16" s="414" t="n">
        <v>0.3</v>
      </c>
      <c r="K16" s="414" t="n">
        <v>0.1</v>
      </c>
      <c r="L16" s="414"/>
      <c r="M16" s="414"/>
      <c r="N16" s="414"/>
      <c r="O16" s="414"/>
      <c r="P16" s="414"/>
      <c r="Q16" s="414"/>
      <c r="R16" s="414"/>
      <c r="S16" s="414"/>
      <c r="T16" s="414"/>
      <c r="U16" s="414" t="n">
        <f aca="false">SUM(E16:T16)</f>
        <v>1</v>
      </c>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5"/>
      <c r="AY16" s="415"/>
      <c r="AZ16" s="415"/>
      <c r="BA16" s="415"/>
      <c r="BB16" s="415"/>
      <c r="BC16" s="415"/>
      <c r="BD16" s="415"/>
      <c r="BE16" s="415"/>
      <c r="BF16" s="415"/>
      <c r="BG16" s="415"/>
      <c r="BH16" s="415"/>
      <c r="BI16" s="415"/>
      <c r="BJ16" s="415"/>
      <c r="BK16" s="415"/>
      <c r="BL16" s="415"/>
      <c r="BM16" s="415"/>
      <c r="BN16" s="415"/>
      <c r="BO16" s="415"/>
      <c r="BP16" s="415"/>
      <c r="BQ16" s="415"/>
      <c r="BR16" s="415"/>
      <c r="BS16" s="415"/>
      <c r="BT16" s="415"/>
      <c r="BU16" s="415"/>
      <c r="BV16" s="415"/>
      <c r="BW16" s="415"/>
      <c r="BX16" s="415"/>
      <c r="BY16" s="415"/>
      <c r="BZ16" s="415"/>
      <c r="CA16" s="415"/>
      <c r="CB16" s="415"/>
      <c r="CC16" s="415"/>
      <c r="CD16" s="415"/>
      <c r="CE16" s="415"/>
      <c r="CF16" s="415"/>
      <c r="CG16" s="415"/>
      <c r="CH16" s="415"/>
      <c r="CI16" s="415"/>
      <c r="CJ16" s="415"/>
      <c r="CK16" s="415"/>
      <c r="CL16" s="415"/>
      <c r="CM16" s="415"/>
      <c r="CN16" s="415"/>
      <c r="CO16" s="415"/>
      <c r="CP16" s="415"/>
      <c r="CQ16" s="415"/>
      <c r="CR16" s="415"/>
      <c r="CS16" s="415"/>
      <c r="CT16" s="415"/>
      <c r="CU16" s="415"/>
      <c r="CV16" s="415"/>
      <c r="CW16" s="415"/>
      <c r="CX16" s="415"/>
      <c r="CY16" s="415"/>
      <c r="CZ16" s="415"/>
      <c r="DA16" s="415"/>
      <c r="DB16" s="415"/>
      <c r="DC16" s="415"/>
      <c r="DD16" s="415"/>
      <c r="DE16" s="415"/>
      <c r="DF16" s="415"/>
      <c r="DG16" s="415"/>
      <c r="DH16" s="415"/>
      <c r="DI16" s="415"/>
      <c r="DJ16" s="415"/>
      <c r="DK16" s="415"/>
      <c r="DL16" s="415"/>
      <c r="DM16" s="415"/>
      <c r="DN16" s="415"/>
      <c r="DO16" s="415"/>
      <c r="DP16" s="415"/>
      <c r="DQ16" s="415"/>
      <c r="DR16" s="415"/>
      <c r="DS16" s="415"/>
      <c r="DT16" s="415"/>
      <c r="DU16" s="415"/>
      <c r="DV16" s="415"/>
      <c r="DW16" s="415"/>
      <c r="DX16" s="415"/>
      <c r="DY16" s="415"/>
      <c r="DZ16" s="415"/>
      <c r="EA16" s="415"/>
      <c r="EB16" s="415"/>
      <c r="EC16" s="415"/>
      <c r="ED16" s="415"/>
      <c r="EE16" s="415"/>
      <c r="EF16" s="415"/>
      <c r="EG16" s="415"/>
      <c r="EH16" s="415"/>
      <c r="EI16" s="415"/>
      <c r="EJ16" s="415"/>
      <c r="EK16" s="415"/>
      <c r="EL16" s="415"/>
      <c r="EM16" s="416"/>
      <c r="EN16" s="416"/>
      <c r="EO16" s="416"/>
      <c r="EP16" s="416"/>
      <c r="EQ16" s="416"/>
      <c r="ER16" s="416"/>
      <c r="ES16" s="416"/>
      <c r="ET16" s="416"/>
      <c r="EU16" s="416"/>
      <c r="EV16" s="416"/>
      <c r="EW16" s="416"/>
      <c r="EX16" s="416"/>
      <c r="EY16" s="416"/>
      <c r="EZ16" s="416"/>
      <c r="FA16" s="416"/>
      <c r="FB16" s="416"/>
      <c r="FC16" s="416"/>
      <c r="FD16" s="416"/>
      <c r="FE16" s="416"/>
      <c r="FF16" s="416"/>
      <c r="FG16" s="416"/>
      <c r="FH16" s="416"/>
      <c r="FI16" s="416"/>
      <c r="FJ16" s="416"/>
      <c r="FK16" s="416"/>
      <c r="FL16" s="416"/>
      <c r="FM16" s="416"/>
      <c r="FN16" s="416"/>
      <c r="FO16" s="416"/>
      <c r="FP16" s="416"/>
      <c r="FQ16" s="416"/>
      <c r="FR16" s="416"/>
      <c r="FS16" s="416"/>
      <c r="FT16" s="416"/>
      <c r="FU16" s="416"/>
      <c r="FV16" s="416"/>
      <c r="FW16" s="416"/>
      <c r="FX16" s="416"/>
      <c r="FY16" s="416"/>
      <c r="FZ16" s="416"/>
      <c r="GA16" s="416"/>
      <c r="GB16" s="416"/>
      <c r="GC16" s="416"/>
      <c r="GD16" s="416"/>
      <c r="GE16" s="416"/>
      <c r="GF16" s="416"/>
      <c r="GG16" s="416"/>
      <c r="GH16" s="416"/>
      <c r="GI16" s="416"/>
      <c r="GJ16" s="416"/>
      <c r="GK16" s="416"/>
      <c r="GL16" s="416"/>
      <c r="GM16" s="416"/>
      <c r="GN16" s="416"/>
      <c r="GO16" s="416"/>
      <c r="GP16" s="416"/>
      <c r="GQ16" s="416"/>
      <c r="GR16" s="416"/>
      <c r="GS16" s="416"/>
      <c r="GT16" s="416"/>
      <c r="GU16" s="416"/>
      <c r="GV16" s="416"/>
      <c r="GW16" s="416"/>
      <c r="GX16" s="416"/>
      <c r="GY16" s="416"/>
      <c r="GZ16" s="416"/>
      <c r="HA16" s="416"/>
      <c r="HB16" s="416"/>
      <c r="HC16" s="416"/>
      <c r="HD16" s="416"/>
      <c r="HE16" s="416"/>
      <c r="HF16" s="416"/>
      <c r="HG16" s="416"/>
      <c r="HH16" s="416"/>
      <c r="HI16" s="416"/>
      <c r="HJ16" s="416"/>
      <c r="HK16" s="416"/>
      <c r="HL16" s="416"/>
      <c r="HM16" s="416"/>
      <c r="HN16" s="416"/>
      <c r="HO16" s="416"/>
      <c r="HP16" s="416"/>
      <c r="HQ16" s="416"/>
      <c r="HR16" s="416"/>
      <c r="HS16" s="416"/>
      <c r="HT16" s="416"/>
      <c r="HU16" s="416"/>
      <c r="HV16" s="416"/>
      <c r="HW16" s="416"/>
      <c r="HX16" s="416"/>
      <c r="HY16" s="416"/>
      <c r="HZ16" s="416"/>
      <c r="IA16" s="416"/>
      <c r="IB16" s="416"/>
      <c r="IC16" s="416"/>
      <c r="ID16" s="416"/>
      <c r="IE16" s="416"/>
      <c r="IF16" s="416"/>
      <c r="IG16" s="416"/>
      <c r="IH16" s="416"/>
      <c r="II16" s="416"/>
      <c r="IJ16" s="416"/>
      <c r="IK16" s="416"/>
      <c r="IL16" s="416"/>
      <c r="IM16" s="416"/>
      <c r="IN16" s="416"/>
      <c r="IO16" s="416"/>
      <c r="IP16" s="416"/>
      <c r="IQ16" s="416"/>
      <c r="IR16" s="416"/>
      <c r="IS16" s="416"/>
      <c r="IT16" s="416"/>
      <c r="IU16" s="416"/>
      <c r="IV16" s="416"/>
      <c r="IW16" s="416"/>
    </row>
    <row r="17" customFormat="false" ht="12.75" hidden="false" customHeight="false" outlineLevel="0" collapsed="false">
      <c r="A17" s="1289"/>
      <c r="B17" s="412"/>
      <c r="C17" s="1300" t="str">
        <f aca="false">+Internal!B94</f>
        <v>SHIPPING - WTG &amp; BLADES</v>
      </c>
      <c r="D17" s="1301"/>
      <c r="E17" s="414" t="n">
        <v>0.2</v>
      </c>
      <c r="F17" s="414" t="n">
        <v>0.2</v>
      </c>
      <c r="G17" s="414" t="n">
        <v>0.2</v>
      </c>
      <c r="H17" s="414" t="n">
        <v>0.2</v>
      </c>
      <c r="I17" s="414" t="n">
        <v>0.2</v>
      </c>
      <c r="J17" s="414"/>
      <c r="K17" s="414"/>
      <c r="L17" s="414"/>
      <c r="M17" s="414"/>
      <c r="N17" s="414"/>
      <c r="O17" s="414"/>
      <c r="P17" s="414"/>
      <c r="Q17" s="414"/>
      <c r="R17" s="414"/>
      <c r="S17" s="414"/>
      <c r="T17" s="414"/>
      <c r="U17" s="414" t="n">
        <f aca="false">SUM(E17:T17)</f>
        <v>1</v>
      </c>
      <c r="V17" s="415"/>
      <c r="W17" s="415"/>
      <c r="X17" s="415"/>
      <c r="Y17" s="415"/>
      <c r="Z17" s="415"/>
      <c r="AA17" s="415"/>
      <c r="AB17" s="415"/>
      <c r="AC17" s="415"/>
      <c r="AD17" s="415"/>
      <c r="AE17" s="415"/>
      <c r="AF17" s="415"/>
      <c r="AG17" s="415"/>
      <c r="AH17" s="415"/>
      <c r="AI17" s="415"/>
      <c r="AJ17" s="415"/>
      <c r="AK17" s="415"/>
      <c r="AL17" s="415"/>
      <c r="AM17" s="415"/>
      <c r="AN17" s="415"/>
      <c r="AO17" s="415"/>
      <c r="AP17" s="415"/>
      <c r="AQ17" s="415"/>
      <c r="AR17" s="415"/>
      <c r="AS17" s="415"/>
      <c r="AT17" s="415"/>
      <c r="AU17" s="415"/>
      <c r="AV17" s="415"/>
      <c r="AW17" s="415"/>
      <c r="AX17" s="415"/>
      <c r="AY17" s="415"/>
      <c r="AZ17" s="415"/>
      <c r="BA17" s="415"/>
      <c r="BB17" s="415"/>
      <c r="BC17" s="415"/>
      <c r="BD17" s="415"/>
      <c r="BE17" s="415"/>
      <c r="BF17" s="415"/>
      <c r="BG17" s="415"/>
      <c r="BH17" s="415"/>
      <c r="BI17" s="415"/>
      <c r="BJ17" s="415"/>
      <c r="BK17" s="415"/>
      <c r="BL17" s="415"/>
      <c r="BM17" s="415"/>
      <c r="BN17" s="415"/>
      <c r="BO17" s="415"/>
      <c r="BP17" s="415"/>
      <c r="BQ17" s="415"/>
      <c r="BR17" s="415"/>
      <c r="BS17" s="415"/>
      <c r="BT17" s="415"/>
      <c r="BU17" s="415"/>
      <c r="BV17" s="415"/>
      <c r="BW17" s="415"/>
      <c r="BX17" s="415"/>
      <c r="BY17" s="415"/>
      <c r="BZ17" s="415"/>
      <c r="CA17" s="415"/>
      <c r="CB17" s="415"/>
      <c r="CC17" s="415"/>
      <c r="CD17" s="415"/>
      <c r="CE17" s="415"/>
      <c r="CF17" s="415"/>
      <c r="CG17" s="415"/>
      <c r="CH17" s="415"/>
      <c r="CI17" s="415"/>
      <c r="CJ17" s="415"/>
      <c r="CK17" s="415"/>
      <c r="CL17" s="415"/>
      <c r="CM17" s="415"/>
      <c r="CN17" s="415"/>
      <c r="CO17" s="415"/>
      <c r="CP17" s="415"/>
      <c r="CQ17" s="415"/>
      <c r="CR17" s="415"/>
      <c r="CS17" s="415"/>
      <c r="CT17" s="415"/>
      <c r="CU17" s="415"/>
      <c r="CV17" s="415"/>
      <c r="CW17" s="415"/>
      <c r="CX17" s="415"/>
      <c r="CY17" s="415"/>
      <c r="CZ17" s="415"/>
      <c r="DA17" s="415"/>
      <c r="DB17" s="415"/>
      <c r="DC17" s="415"/>
      <c r="DD17" s="415"/>
      <c r="DE17" s="415"/>
      <c r="DF17" s="415"/>
      <c r="DG17" s="415"/>
      <c r="DH17" s="415"/>
      <c r="DI17" s="415"/>
      <c r="DJ17" s="415"/>
      <c r="DK17" s="415"/>
      <c r="DL17" s="415"/>
      <c r="DM17" s="415"/>
      <c r="DN17" s="415"/>
      <c r="DO17" s="415"/>
      <c r="DP17" s="415"/>
      <c r="DQ17" s="415"/>
      <c r="DR17" s="415"/>
      <c r="DS17" s="415"/>
      <c r="DT17" s="415"/>
      <c r="DU17" s="415"/>
      <c r="DV17" s="415"/>
      <c r="DW17" s="415"/>
      <c r="DX17" s="415"/>
      <c r="DY17" s="415"/>
      <c r="DZ17" s="415"/>
      <c r="EA17" s="415"/>
      <c r="EB17" s="415"/>
      <c r="EC17" s="415"/>
      <c r="ED17" s="415"/>
      <c r="EE17" s="415"/>
      <c r="EF17" s="415"/>
      <c r="EG17" s="415"/>
      <c r="EH17" s="415"/>
      <c r="EI17" s="415"/>
      <c r="EJ17" s="415"/>
      <c r="EK17" s="415"/>
      <c r="EL17" s="415"/>
      <c r="EM17" s="416"/>
      <c r="EN17" s="416"/>
      <c r="EO17" s="416"/>
      <c r="EP17" s="416"/>
      <c r="EQ17" s="416"/>
      <c r="ER17" s="416"/>
      <c r="ES17" s="416"/>
      <c r="ET17" s="416"/>
      <c r="EU17" s="416"/>
      <c r="EV17" s="416"/>
      <c r="EW17" s="416"/>
      <c r="EX17" s="416"/>
      <c r="EY17" s="416"/>
      <c r="EZ17" s="416"/>
      <c r="FA17" s="416"/>
      <c r="FB17" s="416"/>
      <c r="FC17" s="416"/>
      <c r="FD17" s="416"/>
      <c r="FE17" s="416"/>
      <c r="FF17" s="416"/>
      <c r="FG17" s="416"/>
      <c r="FH17" s="416"/>
      <c r="FI17" s="416"/>
      <c r="FJ17" s="416"/>
      <c r="FK17" s="416"/>
      <c r="FL17" s="416"/>
      <c r="FM17" s="416"/>
      <c r="FN17" s="416"/>
      <c r="FO17" s="416"/>
      <c r="FP17" s="416"/>
      <c r="FQ17" s="416"/>
      <c r="FR17" s="416"/>
      <c r="FS17" s="416"/>
      <c r="FT17" s="416"/>
      <c r="FU17" s="416"/>
      <c r="FV17" s="416"/>
      <c r="FW17" s="416"/>
      <c r="FX17" s="416"/>
      <c r="FY17" s="416"/>
      <c r="FZ17" s="416"/>
      <c r="GA17" s="416"/>
      <c r="GB17" s="416"/>
      <c r="GC17" s="416"/>
      <c r="GD17" s="416"/>
      <c r="GE17" s="416"/>
      <c r="GF17" s="416"/>
      <c r="GG17" s="416"/>
      <c r="GH17" s="416"/>
      <c r="GI17" s="416"/>
      <c r="GJ17" s="416"/>
      <c r="GK17" s="416"/>
      <c r="GL17" s="416"/>
      <c r="GM17" s="416"/>
      <c r="GN17" s="416"/>
      <c r="GO17" s="416"/>
      <c r="GP17" s="416"/>
      <c r="GQ17" s="416"/>
      <c r="GR17" s="416"/>
      <c r="GS17" s="416"/>
      <c r="GT17" s="416"/>
      <c r="GU17" s="416"/>
      <c r="GV17" s="416"/>
      <c r="GW17" s="416"/>
      <c r="GX17" s="416"/>
      <c r="GY17" s="416"/>
      <c r="GZ17" s="416"/>
      <c r="HA17" s="416"/>
      <c r="HB17" s="416"/>
      <c r="HC17" s="416"/>
      <c r="HD17" s="416"/>
      <c r="HE17" s="416"/>
      <c r="HF17" s="416"/>
      <c r="HG17" s="416"/>
      <c r="HH17" s="416"/>
      <c r="HI17" s="416"/>
      <c r="HJ17" s="416"/>
      <c r="HK17" s="416"/>
      <c r="HL17" s="416"/>
      <c r="HM17" s="416"/>
      <c r="HN17" s="416"/>
      <c r="HO17" s="416"/>
      <c r="HP17" s="416"/>
      <c r="HQ17" s="416"/>
      <c r="HR17" s="416"/>
      <c r="HS17" s="416"/>
      <c r="HT17" s="416"/>
      <c r="HU17" s="416"/>
      <c r="HV17" s="416"/>
      <c r="HW17" s="416"/>
      <c r="HX17" s="416"/>
      <c r="HY17" s="416"/>
      <c r="HZ17" s="416"/>
      <c r="IA17" s="416"/>
      <c r="IB17" s="416"/>
      <c r="IC17" s="416"/>
      <c r="ID17" s="416"/>
      <c r="IE17" s="416"/>
      <c r="IF17" s="416"/>
      <c r="IG17" s="416"/>
      <c r="IH17" s="416"/>
      <c r="II17" s="416"/>
      <c r="IJ17" s="416"/>
      <c r="IK17" s="416"/>
      <c r="IL17" s="416"/>
      <c r="IM17" s="416"/>
      <c r="IN17" s="416"/>
      <c r="IO17" s="416"/>
      <c r="IP17" s="416"/>
      <c r="IQ17" s="416"/>
      <c r="IR17" s="416"/>
      <c r="IS17" s="416"/>
      <c r="IT17" s="416"/>
      <c r="IU17" s="416"/>
      <c r="IV17" s="416"/>
      <c r="IW17" s="416"/>
    </row>
    <row r="18" customFormat="false" ht="12.75" hidden="false" customHeight="false" outlineLevel="0" collapsed="false">
      <c r="A18" s="1289"/>
      <c r="B18" s="412"/>
      <c r="C18" s="1300" t="str">
        <f aca="false">+Internal!B95</f>
        <v>TOWER</v>
      </c>
      <c r="D18" s="1301"/>
      <c r="E18" s="414"/>
      <c r="F18" s="414"/>
      <c r="G18" s="414" t="n">
        <v>0.2</v>
      </c>
      <c r="H18" s="414" t="n">
        <v>0.2</v>
      </c>
      <c r="I18" s="414" t="n">
        <v>0.4</v>
      </c>
      <c r="J18" s="414" t="n">
        <v>0.2</v>
      </c>
      <c r="K18" s="414"/>
      <c r="L18" s="414"/>
      <c r="M18" s="414"/>
      <c r="N18" s="414"/>
      <c r="O18" s="414"/>
      <c r="P18" s="414"/>
      <c r="Q18" s="414"/>
      <c r="R18" s="414"/>
      <c r="S18" s="414"/>
      <c r="T18" s="414"/>
      <c r="U18" s="414" t="n">
        <f aca="false">SUM(E18:T18)</f>
        <v>1</v>
      </c>
      <c r="V18" s="415"/>
      <c r="W18" s="415"/>
      <c r="X18" s="415"/>
      <c r="Y18" s="415"/>
      <c r="Z18" s="415"/>
      <c r="AA18" s="415"/>
      <c r="AB18" s="415"/>
      <c r="AC18" s="415"/>
      <c r="AD18" s="415"/>
      <c r="AE18" s="415"/>
      <c r="AF18" s="415"/>
      <c r="AG18" s="415"/>
      <c r="AH18" s="415"/>
      <c r="AI18" s="415"/>
      <c r="AJ18" s="415"/>
      <c r="AK18" s="415"/>
      <c r="AL18" s="415"/>
      <c r="AM18" s="415"/>
      <c r="AN18" s="415"/>
      <c r="AO18" s="415"/>
      <c r="AP18" s="415"/>
      <c r="AQ18" s="415"/>
      <c r="AR18" s="415"/>
      <c r="AS18" s="415"/>
      <c r="AT18" s="415"/>
      <c r="AU18" s="415"/>
      <c r="AV18" s="415"/>
      <c r="AW18" s="415"/>
      <c r="AX18" s="415"/>
      <c r="AY18" s="415"/>
      <c r="AZ18" s="415"/>
      <c r="BA18" s="415"/>
      <c r="BB18" s="415"/>
      <c r="BC18" s="415"/>
      <c r="BD18" s="415"/>
      <c r="BE18" s="415"/>
      <c r="BF18" s="415"/>
      <c r="BG18" s="415"/>
      <c r="BH18" s="415"/>
      <c r="BI18" s="415"/>
      <c r="BJ18" s="415"/>
      <c r="BK18" s="415"/>
      <c r="BL18" s="415"/>
      <c r="BM18" s="415"/>
      <c r="BN18" s="415"/>
      <c r="BO18" s="415"/>
      <c r="BP18" s="415"/>
      <c r="BQ18" s="415"/>
      <c r="BR18" s="415"/>
      <c r="BS18" s="415"/>
      <c r="BT18" s="415"/>
      <c r="BU18" s="415"/>
      <c r="BV18" s="415"/>
      <c r="BW18" s="415"/>
      <c r="BX18" s="415"/>
      <c r="BY18" s="415"/>
      <c r="BZ18" s="415"/>
      <c r="CA18" s="415"/>
      <c r="CB18" s="415"/>
      <c r="CC18" s="415"/>
      <c r="CD18" s="415"/>
      <c r="CE18" s="415"/>
      <c r="CF18" s="415"/>
      <c r="CG18" s="415"/>
      <c r="CH18" s="415"/>
      <c r="CI18" s="415"/>
      <c r="CJ18" s="415"/>
      <c r="CK18" s="415"/>
      <c r="CL18" s="415"/>
      <c r="CM18" s="415"/>
      <c r="CN18" s="415"/>
      <c r="CO18" s="415"/>
      <c r="CP18" s="415"/>
      <c r="CQ18" s="415"/>
      <c r="CR18" s="415"/>
      <c r="CS18" s="415"/>
      <c r="CT18" s="415"/>
      <c r="CU18" s="415"/>
      <c r="CV18" s="415"/>
      <c r="CW18" s="415"/>
      <c r="CX18" s="415"/>
      <c r="CY18" s="415"/>
      <c r="CZ18" s="415"/>
      <c r="DA18" s="415"/>
      <c r="DB18" s="415"/>
      <c r="DC18" s="415"/>
      <c r="DD18" s="415"/>
      <c r="DE18" s="415"/>
      <c r="DF18" s="415"/>
      <c r="DG18" s="415"/>
      <c r="DH18" s="415"/>
      <c r="DI18" s="415"/>
      <c r="DJ18" s="415"/>
      <c r="DK18" s="415"/>
      <c r="DL18" s="415"/>
      <c r="DM18" s="415"/>
      <c r="DN18" s="415"/>
      <c r="DO18" s="415"/>
      <c r="DP18" s="415"/>
      <c r="DQ18" s="415"/>
      <c r="DR18" s="415"/>
      <c r="DS18" s="415"/>
      <c r="DT18" s="415"/>
      <c r="DU18" s="415"/>
      <c r="DV18" s="415"/>
      <c r="DW18" s="415"/>
      <c r="DX18" s="415"/>
      <c r="DY18" s="415"/>
      <c r="DZ18" s="415"/>
      <c r="EA18" s="415"/>
      <c r="EB18" s="415"/>
      <c r="EC18" s="415"/>
      <c r="ED18" s="415"/>
      <c r="EE18" s="415"/>
      <c r="EF18" s="415"/>
      <c r="EG18" s="415"/>
      <c r="EH18" s="415"/>
      <c r="EI18" s="415"/>
      <c r="EJ18" s="415"/>
      <c r="EK18" s="415"/>
      <c r="EL18" s="415"/>
      <c r="EM18" s="416"/>
      <c r="EN18" s="416"/>
      <c r="EO18" s="416"/>
      <c r="EP18" s="416"/>
      <c r="EQ18" s="416"/>
      <c r="ER18" s="416"/>
      <c r="ES18" s="416"/>
      <c r="ET18" s="416"/>
      <c r="EU18" s="416"/>
      <c r="EV18" s="416"/>
      <c r="EW18" s="416"/>
      <c r="EX18" s="416"/>
      <c r="EY18" s="416"/>
      <c r="EZ18" s="416"/>
      <c r="FA18" s="416"/>
      <c r="FB18" s="416"/>
      <c r="FC18" s="416"/>
      <c r="FD18" s="416"/>
      <c r="FE18" s="416"/>
      <c r="FF18" s="416"/>
      <c r="FG18" s="416"/>
      <c r="FH18" s="416"/>
      <c r="FI18" s="416"/>
      <c r="FJ18" s="416"/>
      <c r="FK18" s="416"/>
      <c r="FL18" s="416"/>
      <c r="FM18" s="416"/>
      <c r="FN18" s="416"/>
      <c r="FO18" s="416"/>
      <c r="FP18" s="416"/>
      <c r="FQ18" s="416"/>
      <c r="FR18" s="416"/>
      <c r="FS18" s="416"/>
      <c r="FT18" s="416"/>
      <c r="FU18" s="416"/>
      <c r="FV18" s="416"/>
      <c r="FW18" s="416"/>
      <c r="FX18" s="416"/>
      <c r="FY18" s="416"/>
      <c r="FZ18" s="416"/>
      <c r="GA18" s="416"/>
      <c r="GB18" s="416"/>
      <c r="GC18" s="416"/>
      <c r="GD18" s="416"/>
      <c r="GE18" s="416"/>
      <c r="GF18" s="416"/>
      <c r="GG18" s="416"/>
      <c r="GH18" s="416"/>
      <c r="GI18" s="416"/>
      <c r="GJ18" s="416"/>
      <c r="GK18" s="416"/>
      <c r="GL18" s="416"/>
      <c r="GM18" s="416"/>
      <c r="GN18" s="416"/>
      <c r="GO18" s="416"/>
      <c r="GP18" s="416"/>
      <c r="GQ18" s="416"/>
      <c r="GR18" s="416"/>
      <c r="GS18" s="416"/>
      <c r="GT18" s="416"/>
      <c r="GU18" s="416"/>
      <c r="GV18" s="416"/>
      <c r="GW18" s="416"/>
      <c r="GX18" s="416"/>
      <c r="GY18" s="416"/>
      <c r="GZ18" s="416"/>
      <c r="HA18" s="416"/>
      <c r="HB18" s="416"/>
      <c r="HC18" s="416"/>
      <c r="HD18" s="416"/>
      <c r="HE18" s="416"/>
      <c r="HF18" s="416"/>
      <c r="HG18" s="416"/>
      <c r="HH18" s="416"/>
      <c r="HI18" s="416"/>
      <c r="HJ18" s="416"/>
      <c r="HK18" s="416"/>
      <c r="HL18" s="416"/>
      <c r="HM18" s="416"/>
      <c r="HN18" s="416"/>
      <c r="HO18" s="416"/>
      <c r="HP18" s="416"/>
      <c r="HQ18" s="416"/>
      <c r="HR18" s="416"/>
      <c r="HS18" s="416"/>
      <c r="HT18" s="416"/>
      <c r="HU18" s="416"/>
      <c r="HV18" s="416"/>
      <c r="HW18" s="416"/>
      <c r="HX18" s="416"/>
      <c r="HY18" s="416"/>
      <c r="HZ18" s="416"/>
      <c r="IA18" s="416"/>
      <c r="IB18" s="416"/>
      <c r="IC18" s="416"/>
      <c r="ID18" s="416"/>
      <c r="IE18" s="416"/>
      <c r="IF18" s="416"/>
      <c r="IG18" s="416"/>
      <c r="IH18" s="416"/>
      <c r="II18" s="416"/>
      <c r="IJ18" s="416"/>
      <c r="IK18" s="416"/>
      <c r="IL18" s="416"/>
      <c r="IM18" s="416"/>
      <c r="IN18" s="416"/>
      <c r="IO18" s="416"/>
      <c r="IP18" s="416"/>
      <c r="IQ18" s="416"/>
      <c r="IR18" s="416"/>
      <c r="IS18" s="416"/>
      <c r="IT18" s="416"/>
      <c r="IU18" s="416"/>
      <c r="IV18" s="416"/>
      <c r="IW18" s="416"/>
    </row>
    <row r="19" customFormat="false" ht="12.75" hidden="false" customHeight="false" outlineLevel="0" collapsed="false">
      <c r="A19" s="1289"/>
      <c r="B19" s="412"/>
      <c r="C19" s="1300" t="str">
        <f aca="false">+Internal!B96</f>
        <v>TOWER FREIGHT</v>
      </c>
      <c r="D19" s="1301"/>
      <c r="E19" s="414" t="n">
        <v>0</v>
      </c>
      <c r="F19" s="414" t="n">
        <v>0.4</v>
      </c>
      <c r="G19" s="414" t="n">
        <v>0.4</v>
      </c>
      <c r="H19" s="414" t="n">
        <v>0.2</v>
      </c>
      <c r="I19" s="414" t="n">
        <v>0</v>
      </c>
      <c r="J19" s="414" t="n">
        <v>0</v>
      </c>
      <c r="K19" s="414"/>
      <c r="L19" s="414"/>
      <c r="M19" s="414"/>
      <c r="N19" s="414"/>
      <c r="O19" s="414"/>
      <c r="P19" s="414"/>
      <c r="Q19" s="414"/>
      <c r="R19" s="414"/>
      <c r="S19" s="414"/>
      <c r="T19" s="414"/>
      <c r="U19" s="414" t="n">
        <f aca="false">SUM(E19:T19)</f>
        <v>1</v>
      </c>
      <c r="V19" s="415"/>
      <c r="W19" s="415"/>
      <c r="X19" s="415"/>
      <c r="Y19" s="415"/>
      <c r="Z19" s="415"/>
      <c r="AA19" s="415"/>
      <c r="AB19" s="415"/>
      <c r="AC19" s="415"/>
      <c r="AD19" s="415"/>
      <c r="AE19" s="415"/>
      <c r="AF19" s="415"/>
      <c r="AG19" s="415"/>
      <c r="AH19" s="415"/>
      <c r="AI19" s="415"/>
      <c r="AJ19" s="415"/>
      <c r="AK19" s="415"/>
      <c r="AL19" s="415"/>
      <c r="AM19" s="415"/>
      <c r="AN19" s="415"/>
      <c r="AO19" s="415"/>
      <c r="AP19" s="415"/>
      <c r="AQ19" s="415"/>
      <c r="AR19" s="415"/>
      <c r="AS19" s="415"/>
      <c r="AT19" s="415"/>
      <c r="AU19" s="415"/>
      <c r="AV19" s="415"/>
      <c r="AW19" s="415"/>
      <c r="AX19" s="415"/>
      <c r="AY19" s="415"/>
      <c r="AZ19" s="415"/>
      <c r="BA19" s="415"/>
      <c r="BB19" s="415"/>
      <c r="BC19" s="415"/>
      <c r="BD19" s="415"/>
      <c r="BE19" s="415"/>
      <c r="BF19" s="415"/>
      <c r="BG19" s="415"/>
      <c r="BH19" s="415"/>
      <c r="BI19" s="415"/>
      <c r="BJ19" s="415"/>
      <c r="BK19" s="415"/>
      <c r="BL19" s="415"/>
      <c r="BM19" s="415"/>
      <c r="BN19" s="415"/>
      <c r="BO19" s="415"/>
      <c r="BP19" s="415"/>
      <c r="BQ19" s="415"/>
      <c r="BR19" s="415"/>
      <c r="BS19" s="415"/>
      <c r="BT19" s="415"/>
      <c r="BU19" s="415"/>
      <c r="BV19" s="415"/>
      <c r="BW19" s="415"/>
      <c r="BX19" s="415"/>
      <c r="BY19" s="415"/>
      <c r="BZ19" s="415"/>
      <c r="CA19" s="415"/>
      <c r="CB19" s="415"/>
      <c r="CC19" s="415"/>
      <c r="CD19" s="415"/>
      <c r="CE19" s="415"/>
      <c r="CF19" s="415"/>
      <c r="CG19" s="415"/>
      <c r="CH19" s="415"/>
      <c r="CI19" s="415"/>
      <c r="CJ19" s="415"/>
      <c r="CK19" s="415"/>
      <c r="CL19" s="415"/>
      <c r="CM19" s="415"/>
      <c r="CN19" s="415"/>
      <c r="CO19" s="415"/>
      <c r="CP19" s="415"/>
      <c r="CQ19" s="415"/>
      <c r="CR19" s="415"/>
      <c r="CS19" s="415"/>
      <c r="CT19" s="415"/>
      <c r="CU19" s="415"/>
      <c r="CV19" s="415"/>
      <c r="CW19" s="415"/>
      <c r="CX19" s="415"/>
      <c r="CY19" s="415"/>
      <c r="CZ19" s="415"/>
      <c r="DA19" s="415"/>
      <c r="DB19" s="415"/>
      <c r="DC19" s="415"/>
      <c r="DD19" s="415"/>
      <c r="DE19" s="415"/>
      <c r="DF19" s="415"/>
      <c r="DG19" s="415"/>
      <c r="DH19" s="415"/>
      <c r="DI19" s="415"/>
      <c r="DJ19" s="415"/>
      <c r="DK19" s="415"/>
      <c r="DL19" s="415"/>
      <c r="DM19" s="415"/>
      <c r="DN19" s="415"/>
      <c r="DO19" s="415"/>
      <c r="DP19" s="415"/>
      <c r="DQ19" s="415"/>
      <c r="DR19" s="415"/>
      <c r="DS19" s="415"/>
      <c r="DT19" s="415"/>
      <c r="DU19" s="415"/>
      <c r="DV19" s="415"/>
      <c r="DW19" s="415"/>
      <c r="DX19" s="415"/>
      <c r="DY19" s="415"/>
      <c r="DZ19" s="415"/>
      <c r="EA19" s="415"/>
      <c r="EB19" s="415"/>
      <c r="EC19" s="415"/>
      <c r="ED19" s="415"/>
      <c r="EE19" s="415"/>
      <c r="EF19" s="415"/>
      <c r="EG19" s="415"/>
      <c r="EH19" s="415"/>
      <c r="EI19" s="415"/>
      <c r="EJ19" s="415"/>
      <c r="EK19" s="415"/>
      <c r="EL19" s="415"/>
      <c r="EM19" s="416"/>
      <c r="EN19" s="416"/>
      <c r="EO19" s="416"/>
      <c r="EP19" s="416"/>
      <c r="EQ19" s="416"/>
      <c r="ER19" s="416"/>
      <c r="ES19" s="416"/>
      <c r="ET19" s="416"/>
      <c r="EU19" s="416"/>
      <c r="EV19" s="416"/>
      <c r="EW19" s="416"/>
      <c r="EX19" s="416"/>
      <c r="EY19" s="416"/>
      <c r="EZ19" s="416"/>
      <c r="FA19" s="416"/>
      <c r="FB19" s="416"/>
      <c r="FC19" s="416"/>
      <c r="FD19" s="416"/>
      <c r="FE19" s="416"/>
      <c r="FF19" s="416"/>
      <c r="FG19" s="416"/>
      <c r="FH19" s="416"/>
      <c r="FI19" s="416"/>
      <c r="FJ19" s="416"/>
      <c r="FK19" s="416"/>
      <c r="FL19" s="416"/>
      <c r="FM19" s="416"/>
      <c r="FN19" s="416"/>
      <c r="FO19" s="416"/>
      <c r="FP19" s="416"/>
      <c r="FQ19" s="416"/>
      <c r="FR19" s="416"/>
      <c r="FS19" s="416"/>
      <c r="FT19" s="416"/>
      <c r="FU19" s="416"/>
      <c r="FV19" s="416"/>
      <c r="FW19" s="416"/>
      <c r="FX19" s="416"/>
      <c r="FY19" s="416"/>
      <c r="FZ19" s="416"/>
      <c r="GA19" s="416"/>
      <c r="GB19" s="416"/>
      <c r="GC19" s="416"/>
      <c r="GD19" s="416"/>
      <c r="GE19" s="416"/>
      <c r="GF19" s="416"/>
      <c r="GG19" s="416"/>
      <c r="GH19" s="416"/>
      <c r="GI19" s="416"/>
      <c r="GJ19" s="416"/>
      <c r="GK19" s="416"/>
      <c r="GL19" s="416"/>
      <c r="GM19" s="416"/>
      <c r="GN19" s="416"/>
      <c r="GO19" s="416"/>
      <c r="GP19" s="416"/>
      <c r="GQ19" s="416"/>
      <c r="GR19" s="416"/>
      <c r="GS19" s="416"/>
      <c r="GT19" s="416"/>
      <c r="GU19" s="416"/>
      <c r="GV19" s="416"/>
      <c r="GW19" s="416"/>
      <c r="GX19" s="416"/>
      <c r="GY19" s="416"/>
      <c r="GZ19" s="416"/>
      <c r="HA19" s="416"/>
      <c r="HB19" s="416"/>
      <c r="HC19" s="416"/>
      <c r="HD19" s="416"/>
      <c r="HE19" s="416"/>
      <c r="HF19" s="416"/>
      <c r="HG19" s="416"/>
      <c r="HH19" s="416"/>
      <c r="HI19" s="416"/>
      <c r="HJ19" s="416"/>
      <c r="HK19" s="416"/>
      <c r="HL19" s="416"/>
      <c r="HM19" s="416"/>
      <c r="HN19" s="416"/>
      <c r="HO19" s="416"/>
      <c r="HP19" s="416"/>
      <c r="HQ19" s="416"/>
      <c r="HR19" s="416"/>
      <c r="HS19" s="416"/>
      <c r="HT19" s="416"/>
      <c r="HU19" s="416"/>
      <c r="HV19" s="416"/>
      <c r="HW19" s="416"/>
      <c r="HX19" s="416"/>
      <c r="HY19" s="416"/>
      <c r="HZ19" s="416"/>
      <c r="IA19" s="416"/>
      <c r="IB19" s="416"/>
      <c r="IC19" s="416"/>
      <c r="ID19" s="416"/>
      <c r="IE19" s="416"/>
      <c r="IF19" s="416"/>
      <c r="IG19" s="416"/>
      <c r="IH19" s="416"/>
      <c r="II19" s="416"/>
      <c r="IJ19" s="416"/>
      <c r="IK19" s="416"/>
      <c r="IL19" s="416"/>
      <c r="IM19" s="416"/>
      <c r="IN19" s="416"/>
      <c r="IO19" s="416"/>
      <c r="IP19" s="416"/>
      <c r="IQ19" s="416"/>
      <c r="IR19" s="416"/>
      <c r="IS19" s="416"/>
      <c r="IT19" s="416"/>
      <c r="IU19" s="416"/>
      <c r="IV19" s="416"/>
      <c r="IW19" s="416"/>
    </row>
    <row r="20" customFormat="false" ht="12.75" hidden="false" customHeight="false" outlineLevel="0" collapsed="false">
      <c r="A20" s="1289"/>
      <c r="B20" s="412"/>
      <c r="C20" s="1300" t="str">
        <f aca="false">+Internal!B97</f>
        <v>SERVICE OPTIONS</v>
      </c>
      <c r="D20" s="1301"/>
      <c r="E20" s="414" t="n">
        <v>0</v>
      </c>
      <c r="F20" s="414" t="n">
        <v>0</v>
      </c>
      <c r="G20" s="414" t="n">
        <v>0</v>
      </c>
      <c r="H20" s="414" t="n">
        <v>0</v>
      </c>
      <c r="I20" s="414" t="n">
        <v>0</v>
      </c>
      <c r="J20" s="414" t="n">
        <v>0</v>
      </c>
      <c r="K20" s="414" t="n">
        <v>0.5</v>
      </c>
      <c r="L20" s="414" t="n">
        <v>0.5</v>
      </c>
      <c r="M20" s="414"/>
      <c r="N20" s="414"/>
      <c r="O20" s="414"/>
      <c r="P20" s="414"/>
      <c r="Q20" s="414"/>
      <c r="R20" s="414"/>
      <c r="S20" s="414"/>
      <c r="T20" s="414"/>
      <c r="U20" s="414" t="n">
        <f aca="false">SUM(E20:T20)</f>
        <v>1</v>
      </c>
      <c r="V20" s="415"/>
      <c r="W20" s="415"/>
      <c r="X20" s="415"/>
      <c r="Y20" s="415"/>
      <c r="Z20" s="415"/>
      <c r="AA20" s="415"/>
      <c r="AB20" s="415"/>
      <c r="AC20" s="415"/>
      <c r="AD20" s="415"/>
      <c r="AE20" s="415"/>
      <c r="AF20" s="415"/>
      <c r="AG20" s="415"/>
      <c r="AH20" s="415"/>
      <c r="AI20" s="415"/>
      <c r="AJ20" s="415"/>
      <c r="AK20" s="415"/>
      <c r="AL20" s="415"/>
      <c r="AM20" s="415"/>
      <c r="AN20" s="415"/>
      <c r="AO20" s="415"/>
      <c r="AP20" s="415"/>
      <c r="AQ20" s="415"/>
      <c r="AR20" s="415"/>
      <c r="AS20" s="415"/>
      <c r="AT20" s="415"/>
      <c r="AU20" s="415"/>
      <c r="AV20" s="415"/>
      <c r="AW20" s="415"/>
      <c r="AX20" s="415"/>
      <c r="AY20" s="415"/>
      <c r="AZ20" s="415"/>
      <c r="BA20" s="415"/>
      <c r="BB20" s="415"/>
      <c r="BC20" s="415"/>
      <c r="BD20" s="415"/>
      <c r="BE20" s="415"/>
      <c r="BF20" s="415"/>
      <c r="BG20" s="415"/>
      <c r="BH20" s="415"/>
      <c r="BI20" s="415"/>
      <c r="BJ20" s="415"/>
      <c r="BK20" s="415"/>
      <c r="BL20" s="415"/>
      <c r="BM20" s="415"/>
      <c r="BN20" s="415"/>
      <c r="BO20" s="415"/>
      <c r="BP20" s="415"/>
      <c r="BQ20" s="415"/>
      <c r="BR20" s="415"/>
      <c r="BS20" s="415"/>
      <c r="BT20" s="415"/>
      <c r="BU20" s="415"/>
      <c r="BV20" s="415"/>
      <c r="BW20" s="415"/>
      <c r="BX20" s="415"/>
      <c r="BY20" s="415"/>
      <c r="BZ20" s="415"/>
      <c r="CA20" s="415"/>
      <c r="CB20" s="415"/>
      <c r="CC20" s="415"/>
      <c r="CD20" s="415"/>
      <c r="CE20" s="415"/>
      <c r="CF20" s="415"/>
      <c r="CG20" s="415"/>
      <c r="CH20" s="415"/>
      <c r="CI20" s="415"/>
      <c r="CJ20" s="415"/>
      <c r="CK20" s="415"/>
      <c r="CL20" s="415"/>
      <c r="CM20" s="415"/>
      <c r="CN20" s="415"/>
      <c r="CO20" s="415"/>
      <c r="CP20" s="415"/>
      <c r="CQ20" s="415"/>
      <c r="CR20" s="415"/>
      <c r="CS20" s="415"/>
      <c r="CT20" s="415"/>
      <c r="CU20" s="415"/>
      <c r="CV20" s="415"/>
      <c r="CW20" s="415"/>
      <c r="CX20" s="415"/>
      <c r="CY20" s="415"/>
      <c r="CZ20" s="415"/>
      <c r="DA20" s="415"/>
      <c r="DB20" s="415"/>
      <c r="DC20" s="415"/>
      <c r="DD20" s="415"/>
      <c r="DE20" s="415"/>
      <c r="DF20" s="415"/>
      <c r="DG20" s="415"/>
      <c r="DH20" s="415"/>
      <c r="DI20" s="415"/>
      <c r="DJ20" s="415"/>
      <c r="DK20" s="415"/>
      <c r="DL20" s="415"/>
      <c r="DM20" s="415"/>
      <c r="DN20" s="415"/>
      <c r="DO20" s="415"/>
      <c r="DP20" s="415"/>
      <c r="DQ20" s="415"/>
      <c r="DR20" s="415"/>
      <c r="DS20" s="415"/>
      <c r="DT20" s="415"/>
      <c r="DU20" s="415"/>
      <c r="DV20" s="415"/>
      <c r="DW20" s="415"/>
      <c r="DX20" s="415"/>
      <c r="DY20" s="415"/>
      <c r="DZ20" s="415"/>
      <c r="EA20" s="415"/>
      <c r="EB20" s="415"/>
      <c r="EC20" s="415"/>
      <c r="ED20" s="415"/>
      <c r="EE20" s="415"/>
      <c r="EF20" s="415"/>
      <c r="EG20" s="415"/>
      <c r="EH20" s="415"/>
      <c r="EI20" s="415"/>
      <c r="EJ20" s="415"/>
      <c r="EK20" s="415"/>
      <c r="EL20" s="415"/>
      <c r="EM20" s="416"/>
      <c r="EN20" s="416"/>
      <c r="EO20" s="416"/>
      <c r="EP20" s="416"/>
      <c r="EQ20" s="416"/>
      <c r="ER20" s="416"/>
      <c r="ES20" s="416"/>
      <c r="ET20" s="416"/>
      <c r="EU20" s="416"/>
      <c r="EV20" s="416"/>
      <c r="EW20" s="416"/>
      <c r="EX20" s="416"/>
      <c r="EY20" s="416"/>
      <c r="EZ20" s="416"/>
      <c r="FA20" s="416"/>
      <c r="FB20" s="416"/>
      <c r="FC20" s="416"/>
      <c r="FD20" s="416"/>
      <c r="FE20" s="416"/>
      <c r="FF20" s="416"/>
      <c r="FG20" s="416"/>
      <c r="FH20" s="416"/>
      <c r="FI20" s="416"/>
      <c r="FJ20" s="416"/>
      <c r="FK20" s="416"/>
      <c r="FL20" s="416"/>
      <c r="FM20" s="416"/>
      <c r="FN20" s="416"/>
      <c r="FO20" s="416"/>
      <c r="FP20" s="416"/>
      <c r="FQ20" s="416"/>
      <c r="FR20" s="416"/>
      <c r="FS20" s="416"/>
      <c r="FT20" s="416"/>
      <c r="FU20" s="416"/>
      <c r="FV20" s="416"/>
      <c r="FW20" s="416"/>
      <c r="FX20" s="416"/>
      <c r="FY20" s="416"/>
      <c r="FZ20" s="416"/>
      <c r="GA20" s="416"/>
      <c r="GB20" s="416"/>
      <c r="GC20" s="416"/>
      <c r="GD20" s="416"/>
      <c r="GE20" s="416"/>
      <c r="GF20" s="416"/>
      <c r="GG20" s="416"/>
      <c r="GH20" s="416"/>
      <c r="GI20" s="416"/>
      <c r="GJ20" s="416"/>
      <c r="GK20" s="416"/>
      <c r="GL20" s="416"/>
      <c r="GM20" s="416"/>
      <c r="GN20" s="416"/>
      <c r="GO20" s="416"/>
      <c r="GP20" s="416"/>
      <c r="GQ20" s="416"/>
      <c r="GR20" s="416"/>
      <c r="GS20" s="416"/>
      <c r="GT20" s="416"/>
      <c r="GU20" s="416"/>
      <c r="GV20" s="416"/>
      <c r="GW20" s="416"/>
      <c r="GX20" s="416"/>
      <c r="GY20" s="416"/>
      <c r="GZ20" s="416"/>
      <c r="HA20" s="416"/>
      <c r="HB20" s="416"/>
      <c r="HC20" s="416"/>
      <c r="HD20" s="416"/>
      <c r="HE20" s="416"/>
      <c r="HF20" s="416"/>
      <c r="HG20" s="416"/>
      <c r="HH20" s="416"/>
      <c r="HI20" s="416"/>
      <c r="HJ20" s="416"/>
      <c r="HK20" s="416"/>
      <c r="HL20" s="416"/>
      <c r="HM20" s="416"/>
      <c r="HN20" s="416"/>
      <c r="HO20" s="416"/>
      <c r="HP20" s="416"/>
      <c r="HQ20" s="416"/>
      <c r="HR20" s="416"/>
      <c r="HS20" s="416"/>
      <c r="HT20" s="416"/>
      <c r="HU20" s="416"/>
      <c r="HV20" s="416"/>
      <c r="HW20" s="416"/>
      <c r="HX20" s="416"/>
      <c r="HY20" s="416"/>
      <c r="HZ20" s="416"/>
      <c r="IA20" s="416"/>
      <c r="IB20" s="416"/>
      <c r="IC20" s="416"/>
      <c r="ID20" s="416"/>
      <c r="IE20" s="416"/>
      <c r="IF20" s="416"/>
      <c r="IG20" s="416"/>
      <c r="IH20" s="416"/>
      <c r="II20" s="416"/>
      <c r="IJ20" s="416"/>
      <c r="IK20" s="416"/>
      <c r="IL20" s="416"/>
      <c r="IM20" s="416"/>
      <c r="IN20" s="416"/>
      <c r="IO20" s="416"/>
      <c r="IP20" s="416"/>
      <c r="IQ20" s="416"/>
      <c r="IR20" s="416"/>
      <c r="IS20" s="416"/>
      <c r="IT20" s="416"/>
      <c r="IU20" s="416"/>
      <c r="IV20" s="416"/>
      <c r="IW20" s="416"/>
    </row>
    <row r="21" customFormat="false" ht="12.75" hidden="false" customHeight="false" outlineLevel="0" collapsed="false">
      <c r="A21" s="1289"/>
      <c r="B21" s="412"/>
      <c r="C21" s="1300" t="e">
        <f aca="false">+#REF!</f>
        <v>#REF!</v>
      </c>
      <c r="D21" s="1301"/>
      <c r="E21" s="414" t="n">
        <v>0</v>
      </c>
      <c r="F21" s="414" t="n">
        <v>0.4</v>
      </c>
      <c r="G21" s="414" t="n">
        <v>0.4</v>
      </c>
      <c r="H21" s="414" t="n">
        <v>0.2</v>
      </c>
      <c r="I21" s="414" t="n">
        <v>0</v>
      </c>
      <c r="J21" s="414" t="n">
        <v>0</v>
      </c>
      <c r="K21" s="414"/>
      <c r="L21" s="414"/>
      <c r="M21" s="414"/>
      <c r="N21" s="414"/>
      <c r="O21" s="414"/>
      <c r="P21" s="414"/>
      <c r="Q21" s="414"/>
      <c r="R21" s="414"/>
      <c r="S21" s="414"/>
      <c r="T21" s="414"/>
      <c r="U21" s="414" t="n">
        <f aca="false">SUM(E21:T21)</f>
        <v>1</v>
      </c>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5"/>
      <c r="AU21" s="415"/>
      <c r="AV21" s="415"/>
      <c r="AW21" s="415"/>
      <c r="AX21" s="415"/>
      <c r="AY21" s="415"/>
      <c r="AZ21" s="415"/>
      <c r="BA21" s="415"/>
      <c r="BB21" s="415"/>
      <c r="BC21" s="415"/>
      <c r="BD21" s="415"/>
      <c r="BE21" s="415"/>
      <c r="BF21" s="415"/>
      <c r="BG21" s="415"/>
      <c r="BH21" s="415"/>
      <c r="BI21" s="415"/>
      <c r="BJ21" s="415"/>
      <c r="BK21" s="415"/>
      <c r="BL21" s="415"/>
      <c r="BM21" s="415"/>
      <c r="BN21" s="415"/>
      <c r="BO21" s="415"/>
      <c r="BP21" s="415"/>
      <c r="BQ21" s="415"/>
      <c r="BR21" s="415"/>
      <c r="BS21" s="415"/>
      <c r="BT21" s="415"/>
      <c r="BU21" s="415"/>
      <c r="BV21" s="415"/>
      <c r="BW21" s="415"/>
      <c r="BX21" s="415"/>
      <c r="BY21" s="415"/>
      <c r="BZ21" s="415"/>
      <c r="CA21" s="415"/>
      <c r="CB21" s="415"/>
      <c r="CC21" s="415"/>
      <c r="CD21" s="415"/>
      <c r="CE21" s="415"/>
      <c r="CF21" s="415"/>
      <c r="CG21" s="415"/>
      <c r="CH21" s="415"/>
      <c r="CI21" s="415"/>
      <c r="CJ21" s="415"/>
      <c r="CK21" s="415"/>
      <c r="CL21" s="415"/>
      <c r="CM21" s="415"/>
      <c r="CN21" s="415"/>
      <c r="CO21" s="415"/>
      <c r="CP21" s="415"/>
      <c r="CQ21" s="415"/>
      <c r="CR21" s="415"/>
      <c r="CS21" s="415"/>
      <c r="CT21" s="415"/>
      <c r="CU21" s="415"/>
      <c r="CV21" s="415"/>
      <c r="CW21" s="415"/>
      <c r="CX21" s="415"/>
      <c r="CY21" s="415"/>
      <c r="CZ21" s="415"/>
      <c r="DA21" s="415"/>
      <c r="DB21" s="415"/>
      <c r="DC21" s="415"/>
      <c r="DD21" s="415"/>
      <c r="DE21" s="415"/>
      <c r="DF21" s="415"/>
      <c r="DG21" s="415"/>
      <c r="DH21" s="415"/>
      <c r="DI21" s="415"/>
      <c r="DJ21" s="415"/>
      <c r="DK21" s="415"/>
      <c r="DL21" s="415"/>
      <c r="DM21" s="415"/>
      <c r="DN21" s="415"/>
      <c r="DO21" s="415"/>
      <c r="DP21" s="415"/>
      <c r="DQ21" s="415"/>
      <c r="DR21" s="415"/>
      <c r="DS21" s="415"/>
      <c r="DT21" s="415"/>
      <c r="DU21" s="415"/>
      <c r="DV21" s="415"/>
      <c r="DW21" s="415"/>
      <c r="DX21" s="415"/>
      <c r="DY21" s="415"/>
      <c r="DZ21" s="415"/>
      <c r="EA21" s="415"/>
      <c r="EB21" s="415"/>
      <c r="EC21" s="415"/>
      <c r="ED21" s="415"/>
      <c r="EE21" s="415"/>
      <c r="EF21" s="415"/>
      <c r="EG21" s="415"/>
      <c r="EH21" s="415"/>
      <c r="EI21" s="415"/>
      <c r="EJ21" s="415"/>
      <c r="EK21" s="415"/>
      <c r="EL21" s="415"/>
      <c r="EM21" s="416"/>
      <c r="EN21" s="416"/>
      <c r="EO21" s="416"/>
      <c r="EP21" s="416"/>
      <c r="EQ21" s="416"/>
      <c r="ER21" s="416"/>
      <c r="ES21" s="416"/>
      <c r="ET21" s="416"/>
      <c r="EU21" s="416"/>
      <c r="EV21" s="416"/>
      <c r="EW21" s="416"/>
      <c r="EX21" s="416"/>
      <c r="EY21" s="416"/>
      <c r="EZ21" s="416"/>
      <c r="FA21" s="416"/>
      <c r="FB21" s="416"/>
      <c r="FC21" s="416"/>
      <c r="FD21" s="416"/>
      <c r="FE21" s="416"/>
      <c r="FF21" s="416"/>
      <c r="FG21" s="416"/>
      <c r="FH21" s="416"/>
      <c r="FI21" s="416"/>
      <c r="FJ21" s="416"/>
      <c r="FK21" s="416"/>
      <c r="FL21" s="416"/>
      <c r="FM21" s="416"/>
      <c r="FN21" s="416"/>
      <c r="FO21" s="416"/>
      <c r="FP21" s="416"/>
      <c r="FQ21" s="416"/>
      <c r="FR21" s="416"/>
      <c r="FS21" s="416"/>
      <c r="FT21" s="416"/>
      <c r="FU21" s="416"/>
      <c r="FV21" s="416"/>
      <c r="FW21" s="416"/>
      <c r="FX21" s="416"/>
      <c r="FY21" s="416"/>
      <c r="FZ21" s="416"/>
      <c r="GA21" s="416"/>
      <c r="GB21" s="416"/>
      <c r="GC21" s="416"/>
      <c r="GD21" s="416"/>
      <c r="GE21" s="416"/>
      <c r="GF21" s="416"/>
      <c r="GG21" s="416"/>
      <c r="GH21" s="416"/>
      <c r="GI21" s="416"/>
      <c r="GJ21" s="416"/>
      <c r="GK21" s="416"/>
      <c r="GL21" s="416"/>
      <c r="GM21" s="416"/>
      <c r="GN21" s="416"/>
      <c r="GO21" s="416"/>
      <c r="GP21" s="416"/>
      <c r="GQ21" s="416"/>
      <c r="GR21" s="416"/>
      <c r="GS21" s="416"/>
      <c r="GT21" s="416"/>
      <c r="GU21" s="416"/>
      <c r="GV21" s="416"/>
      <c r="GW21" s="416"/>
      <c r="GX21" s="416"/>
      <c r="GY21" s="416"/>
      <c r="GZ21" s="416"/>
      <c r="HA21" s="416"/>
      <c r="HB21" s="416"/>
      <c r="HC21" s="416"/>
      <c r="HD21" s="416"/>
      <c r="HE21" s="416"/>
      <c r="HF21" s="416"/>
      <c r="HG21" s="416"/>
      <c r="HH21" s="416"/>
      <c r="HI21" s="416"/>
      <c r="HJ21" s="416"/>
      <c r="HK21" s="416"/>
      <c r="HL21" s="416"/>
      <c r="HM21" s="416"/>
      <c r="HN21" s="416"/>
      <c r="HO21" s="416"/>
      <c r="HP21" s="416"/>
      <c r="HQ21" s="416"/>
      <c r="HR21" s="416"/>
      <c r="HS21" s="416"/>
      <c r="HT21" s="416"/>
      <c r="HU21" s="416"/>
      <c r="HV21" s="416"/>
      <c r="HW21" s="416"/>
      <c r="HX21" s="416"/>
      <c r="HY21" s="416"/>
      <c r="HZ21" s="416"/>
      <c r="IA21" s="416"/>
      <c r="IB21" s="416"/>
      <c r="IC21" s="416"/>
      <c r="ID21" s="416"/>
      <c r="IE21" s="416"/>
      <c r="IF21" s="416"/>
      <c r="IG21" s="416"/>
      <c r="IH21" s="416"/>
      <c r="II21" s="416"/>
      <c r="IJ21" s="416"/>
      <c r="IK21" s="416"/>
      <c r="IL21" s="416"/>
      <c r="IM21" s="416"/>
      <c r="IN21" s="416"/>
      <c r="IO21" s="416"/>
      <c r="IP21" s="416"/>
      <c r="IQ21" s="416"/>
      <c r="IR21" s="416"/>
      <c r="IS21" s="416"/>
      <c r="IT21" s="416"/>
      <c r="IU21" s="416"/>
      <c r="IV21" s="416"/>
      <c r="IW21" s="416"/>
    </row>
    <row r="22" customFormat="false" ht="12.75" hidden="false" customHeight="false" outlineLevel="0" collapsed="false">
      <c r="A22" s="1289"/>
      <c r="B22" s="412"/>
      <c r="C22" s="1300" t="str">
        <f aca="false">+Internal!B99</f>
        <v>MANUFACTURING COSTS</v>
      </c>
      <c r="D22" s="1301"/>
      <c r="E22" s="414" t="n">
        <v>0.25</v>
      </c>
      <c r="F22" s="414" t="n">
        <v>0.25</v>
      </c>
      <c r="G22" s="414" t="n">
        <v>0.25</v>
      </c>
      <c r="H22" s="414" t="n">
        <v>0.25</v>
      </c>
      <c r="I22" s="414" t="n">
        <v>0</v>
      </c>
      <c r="J22" s="414" t="n">
        <v>0</v>
      </c>
      <c r="K22" s="414" t="n">
        <v>0</v>
      </c>
      <c r="L22" s="414"/>
      <c r="M22" s="414"/>
      <c r="N22" s="414"/>
      <c r="O22" s="414"/>
      <c r="P22" s="414"/>
      <c r="Q22" s="414"/>
      <c r="R22" s="414"/>
      <c r="S22" s="414"/>
      <c r="T22" s="414"/>
      <c r="U22" s="414" t="n">
        <f aca="false">SUM(E22:T22)</f>
        <v>1</v>
      </c>
      <c r="V22" s="415"/>
      <c r="W22" s="415"/>
      <c r="X22" s="415"/>
      <c r="Y22" s="415"/>
      <c r="Z22" s="415"/>
      <c r="AA22" s="415"/>
      <c r="AB22" s="415"/>
      <c r="AC22" s="415"/>
      <c r="AD22" s="415"/>
      <c r="AE22" s="415"/>
      <c r="AF22" s="415"/>
      <c r="AG22" s="415"/>
      <c r="AH22" s="415"/>
      <c r="AI22" s="415"/>
      <c r="AJ22" s="415"/>
      <c r="AK22" s="415"/>
      <c r="AL22" s="415"/>
      <c r="AM22" s="415"/>
      <c r="AN22" s="415"/>
      <c r="AO22" s="415"/>
      <c r="AP22" s="415"/>
      <c r="AQ22" s="415"/>
      <c r="AR22" s="415"/>
      <c r="AS22" s="415"/>
      <c r="AT22" s="415"/>
      <c r="AU22" s="415"/>
      <c r="AV22" s="415"/>
      <c r="AW22" s="415"/>
      <c r="AX22" s="415"/>
      <c r="AY22" s="415"/>
      <c r="AZ22" s="415"/>
      <c r="BA22" s="415"/>
      <c r="BB22" s="415"/>
      <c r="BC22" s="415"/>
      <c r="BD22" s="415"/>
      <c r="BE22" s="415"/>
      <c r="BF22" s="415"/>
      <c r="BG22" s="415"/>
      <c r="BH22" s="415"/>
      <c r="BI22" s="415"/>
      <c r="BJ22" s="415"/>
      <c r="BK22" s="415"/>
      <c r="BL22" s="415"/>
      <c r="BM22" s="415"/>
      <c r="BN22" s="415"/>
      <c r="BO22" s="415"/>
      <c r="BP22" s="415"/>
      <c r="BQ22" s="415"/>
      <c r="BR22" s="415"/>
      <c r="BS22" s="415"/>
      <c r="BT22" s="415"/>
      <c r="BU22" s="415"/>
      <c r="BV22" s="415"/>
      <c r="BW22" s="415"/>
      <c r="BX22" s="415"/>
      <c r="BY22" s="415"/>
      <c r="BZ22" s="415"/>
      <c r="CA22" s="415"/>
      <c r="CB22" s="415"/>
      <c r="CC22" s="415"/>
      <c r="CD22" s="415"/>
      <c r="CE22" s="415"/>
      <c r="CF22" s="415"/>
      <c r="CG22" s="415"/>
      <c r="CH22" s="415"/>
      <c r="CI22" s="415"/>
      <c r="CJ22" s="415"/>
      <c r="CK22" s="415"/>
      <c r="CL22" s="415"/>
      <c r="CM22" s="415"/>
      <c r="CN22" s="415"/>
      <c r="CO22" s="415"/>
      <c r="CP22" s="415"/>
      <c r="CQ22" s="415"/>
      <c r="CR22" s="415"/>
      <c r="CS22" s="415"/>
      <c r="CT22" s="415"/>
      <c r="CU22" s="415"/>
      <c r="CV22" s="415"/>
      <c r="CW22" s="415"/>
      <c r="CX22" s="415"/>
      <c r="CY22" s="415"/>
      <c r="CZ22" s="415"/>
      <c r="DA22" s="415"/>
      <c r="DB22" s="415"/>
      <c r="DC22" s="415"/>
      <c r="DD22" s="415"/>
      <c r="DE22" s="415"/>
      <c r="DF22" s="415"/>
      <c r="DG22" s="415"/>
      <c r="DH22" s="415"/>
      <c r="DI22" s="415"/>
      <c r="DJ22" s="415"/>
      <c r="DK22" s="415"/>
      <c r="DL22" s="415"/>
      <c r="DM22" s="415"/>
      <c r="DN22" s="415"/>
      <c r="DO22" s="415"/>
      <c r="DP22" s="415"/>
      <c r="DQ22" s="415"/>
      <c r="DR22" s="415"/>
      <c r="DS22" s="415"/>
      <c r="DT22" s="415"/>
      <c r="DU22" s="415"/>
      <c r="DV22" s="415"/>
      <c r="DW22" s="415"/>
      <c r="DX22" s="415"/>
      <c r="DY22" s="415"/>
      <c r="DZ22" s="415"/>
      <c r="EA22" s="415"/>
      <c r="EB22" s="415"/>
      <c r="EC22" s="415"/>
      <c r="ED22" s="415"/>
      <c r="EE22" s="415"/>
      <c r="EF22" s="415"/>
      <c r="EG22" s="415"/>
      <c r="EH22" s="415"/>
      <c r="EI22" s="415"/>
      <c r="EJ22" s="415"/>
      <c r="EK22" s="415"/>
      <c r="EL22" s="415"/>
      <c r="EM22" s="416"/>
      <c r="EN22" s="416"/>
      <c r="EO22" s="416"/>
      <c r="EP22" s="416"/>
      <c r="EQ22" s="416"/>
      <c r="ER22" s="416"/>
      <c r="ES22" s="416"/>
      <c r="ET22" s="416"/>
      <c r="EU22" s="416"/>
      <c r="EV22" s="416"/>
      <c r="EW22" s="416"/>
      <c r="EX22" s="416"/>
      <c r="EY22" s="416"/>
      <c r="EZ22" s="416"/>
      <c r="FA22" s="416"/>
      <c r="FB22" s="416"/>
      <c r="FC22" s="416"/>
      <c r="FD22" s="416"/>
      <c r="FE22" s="416"/>
      <c r="FF22" s="416"/>
      <c r="FG22" s="416"/>
      <c r="FH22" s="416"/>
      <c r="FI22" s="416"/>
      <c r="FJ22" s="416"/>
      <c r="FK22" s="416"/>
      <c r="FL22" s="416"/>
      <c r="FM22" s="416"/>
      <c r="FN22" s="416"/>
      <c r="FO22" s="416"/>
      <c r="FP22" s="416"/>
      <c r="FQ22" s="416"/>
      <c r="FR22" s="416"/>
      <c r="FS22" s="416"/>
      <c r="FT22" s="416"/>
      <c r="FU22" s="416"/>
      <c r="FV22" s="416"/>
      <c r="FW22" s="416"/>
      <c r="FX22" s="416"/>
      <c r="FY22" s="416"/>
      <c r="FZ22" s="416"/>
      <c r="GA22" s="416"/>
      <c r="GB22" s="416"/>
      <c r="GC22" s="416"/>
      <c r="GD22" s="416"/>
      <c r="GE22" s="416"/>
      <c r="GF22" s="416"/>
      <c r="GG22" s="416"/>
      <c r="GH22" s="416"/>
      <c r="GI22" s="416"/>
      <c r="GJ22" s="416"/>
      <c r="GK22" s="416"/>
      <c r="GL22" s="416"/>
      <c r="GM22" s="416"/>
      <c r="GN22" s="416"/>
      <c r="GO22" s="416"/>
      <c r="GP22" s="416"/>
      <c r="GQ22" s="416"/>
      <c r="GR22" s="416"/>
      <c r="GS22" s="416"/>
      <c r="GT22" s="416"/>
      <c r="GU22" s="416"/>
      <c r="GV22" s="416"/>
      <c r="GW22" s="416"/>
      <c r="GX22" s="416"/>
      <c r="GY22" s="416"/>
      <c r="GZ22" s="416"/>
      <c r="HA22" s="416"/>
      <c r="HB22" s="416"/>
      <c r="HC22" s="416"/>
      <c r="HD22" s="416"/>
      <c r="HE22" s="416"/>
      <c r="HF22" s="416"/>
      <c r="HG22" s="416"/>
      <c r="HH22" s="416"/>
      <c r="HI22" s="416"/>
      <c r="HJ22" s="416"/>
      <c r="HK22" s="416"/>
      <c r="HL22" s="416"/>
      <c r="HM22" s="416"/>
      <c r="HN22" s="416"/>
      <c r="HO22" s="416"/>
      <c r="HP22" s="416"/>
      <c r="HQ22" s="416"/>
      <c r="HR22" s="416"/>
      <c r="HS22" s="416"/>
      <c r="HT22" s="416"/>
      <c r="HU22" s="416"/>
      <c r="HV22" s="416"/>
      <c r="HW22" s="416"/>
      <c r="HX22" s="416"/>
      <c r="HY22" s="416"/>
      <c r="HZ22" s="416"/>
      <c r="IA22" s="416"/>
      <c r="IB22" s="416"/>
      <c r="IC22" s="416"/>
      <c r="ID22" s="416"/>
      <c r="IE22" s="416"/>
      <c r="IF22" s="416"/>
      <c r="IG22" s="416"/>
      <c r="IH22" s="416"/>
      <c r="II22" s="416"/>
      <c r="IJ22" s="416"/>
      <c r="IK22" s="416"/>
      <c r="IL22" s="416"/>
      <c r="IM22" s="416"/>
      <c r="IN22" s="416"/>
      <c r="IO22" s="416"/>
      <c r="IP22" s="416"/>
      <c r="IQ22" s="416"/>
      <c r="IR22" s="416"/>
      <c r="IS22" s="416"/>
      <c r="IT22" s="416"/>
      <c r="IU22" s="416"/>
      <c r="IV22" s="416"/>
      <c r="IW22" s="416"/>
    </row>
    <row r="23" customFormat="false" ht="12.75" hidden="false" customHeight="false" outlineLevel="0" collapsed="false">
      <c r="A23" s="1289"/>
      <c r="B23" s="412"/>
      <c r="C23" s="1300" t="str">
        <f aca="false">+Internal!B100</f>
        <v>CIVIL COSTS</v>
      </c>
      <c r="D23" s="1301"/>
      <c r="E23" s="414" t="n">
        <v>0.33</v>
      </c>
      <c r="F23" s="414" t="n">
        <v>0.33</v>
      </c>
      <c r="G23" s="414" t="n">
        <v>0.34</v>
      </c>
      <c r="H23" s="414" t="n">
        <v>0</v>
      </c>
      <c r="I23" s="414" t="n">
        <v>0</v>
      </c>
      <c r="J23" s="414"/>
      <c r="K23" s="414"/>
      <c r="L23" s="414"/>
      <c r="M23" s="414"/>
      <c r="N23" s="414"/>
      <c r="O23" s="414"/>
      <c r="P23" s="414"/>
      <c r="Q23" s="414"/>
      <c r="R23" s="414"/>
      <c r="S23" s="414"/>
      <c r="T23" s="414"/>
      <c r="U23" s="414" t="n">
        <f aca="false">SUM(E23:T23)</f>
        <v>1</v>
      </c>
      <c r="V23" s="415"/>
      <c r="W23" s="415"/>
      <c r="X23" s="415"/>
      <c r="Y23" s="415"/>
      <c r="Z23" s="415"/>
      <c r="AA23" s="415"/>
      <c r="AB23" s="415"/>
      <c r="AC23" s="415"/>
      <c r="AD23" s="415"/>
      <c r="AE23" s="415"/>
      <c r="AF23" s="415"/>
      <c r="AG23" s="415"/>
      <c r="AH23" s="415"/>
      <c r="AI23" s="415"/>
      <c r="AJ23" s="415"/>
      <c r="AK23" s="415"/>
      <c r="AL23" s="415"/>
      <c r="AM23" s="415"/>
      <c r="AN23" s="415"/>
      <c r="AO23" s="415"/>
      <c r="AP23" s="415"/>
      <c r="AQ23" s="415"/>
      <c r="AR23" s="415"/>
      <c r="AS23" s="415"/>
      <c r="AT23" s="415"/>
      <c r="AU23" s="415"/>
      <c r="AV23" s="415"/>
      <c r="AW23" s="415"/>
      <c r="AX23" s="415"/>
      <c r="AY23" s="415"/>
      <c r="AZ23" s="415"/>
      <c r="BA23" s="415"/>
      <c r="BB23" s="415"/>
      <c r="BC23" s="415"/>
      <c r="BD23" s="415"/>
      <c r="BE23" s="415"/>
      <c r="BF23" s="415"/>
      <c r="BG23" s="415"/>
      <c r="BH23" s="415"/>
      <c r="BI23" s="415"/>
      <c r="BJ23" s="415"/>
      <c r="BK23" s="415"/>
      <c r="BL23" s="415"/>
      <c r="BM23" s="415"/>
      <c r="BN23" s="415"/>
      <c r="BO23" s="415"/>
      <c r="BP23" s="415"/>
      <c r="BQ23" s="415"/>
      <c r="BR23" s="415"/>
      <c r="BS23" s="415"/>
      <c r="BT23" s="415"/>
      <c r="BU23" s="415"/>
      <c r="BV23" s="415"/>
      <c r="BW23" s="415"/>
      <c r="BX23" s="415"/>
      <c r="BY23" s="415"/>
      <c r="BZ23" s="415"/>
      <c r="CA23" s="415"/>
      <c r="CB23" s="415"/>
      <c r="CC23" s="415"/>
      <c r="CD23" s="415"/>
      <c r="CE23" s="415"/>
      <c r="CF23" s="415"/>
      <c r="CG23" s="415"/>
      <c r="CH23" s="415"/>
      <c r="CI23" s="415"/>
      <c r="CJ23" s="415"/>
      <c r="CK23" s="415"/>
      <c r="CL23" s="415"/>
      <c r="CM23" s="415"/>
      <c r="CN23" s="415"/>
      <c r="CO23" s="415"/>
      <c r="CP23" s="415"/>
      <c r="CQ23" s="415"/>
      <c r="CR23" s="415"/>
      <c r="CS23" s="415"/>
      <c r="CT23" s="415"/>
      <c r="CU23" s="415"/>
      <c r="CV23" s="415"/>
      <c r="CW23" s="415"/>
      <c r="CX23" s="415"/>
      <c r="CY23" s="415"/>
      <c r="CZ23" s="415"/>
      <c r="DA23" s="415"/>
      <c r="DB23" s="415"/>
      <c r="DC23" s="415"/>
      <c r="DD23" s="415"/>
      <c r="DE23" s="415"/>
      <c r="DF23" s="415"/>
      <c r="DG23" s="415"/>
      <c r="DH23" s="415"/>
      <c r="DI23" s="415"/>
      <c r="DJ23" s="415"/>
      <c r="DK23" s="415"/>
      <c r="DL23" s="415"/>
      <c r="DM23" s="415"/>
      <c r="DN23" s="415"/>
      <c r="DO23" s="415"/>
      <c r="DP23" s="415"/>
      <c r="DQ23" s="415"/>
      <c r="DR23" s="415"/>
      <c r="DS23" s="415"/>
      <c r="DT23" s="415"/>
      <c r="DU23" s="415"/>
      <c r="DV23" s="415"/>
      <c r="DW23" s="415"/>
      <c r="DX23" s="415"/>
      <c r="DY23" s="415"/>
      <c r="DZ23" s="415"/>
      <c r="EA23" s="415"/>
      <c r="EB23" s="415"/>
      <c r="EC23" s="415"/>
      <c r="ED23" s="415"/>
      <c r="EE23" s="415"/>
      <c r="EF23" s="415"/>
      <c r="EG23" s="415"/>
      <c r="EH23" s="415"/>
      <c r="EI23" s="415"/>
      <c r="EJ23" s="415"/>
      <c r="EK23" s="415"/>
      <c r="EL23" s="415"/>
      <c r="EM23" s="416"/>
      <c r="EN23" s="416"/>
      <c r="EO23" s="416"/>
      <c r="EP23" s="416"/>
      <c r="EQ23" s="416"/>
      <c r="ER23" s="416"/>
      <c r="ES23" s="416"/>
      <c r="ET23" s="416"/>
      <c r="EU23" s="416"/>
      <c r="EV23" s="416"/>
      <c r="EW23" s="416"/>
      <c r="EX23" s="416"/>
      <c r="EY23" s="416"/>
      <c r="EZ23" s="416"/>
      <c r="FA23" s="416"/>
      <c r="FB23" s="416"/>
      <c r="FC23" s="416"/>
      <c r="FD23" s="416"/>
      <c r="FE23" s="416"/>
      <c r="FF23" s="416"/>
      <c r="FG23" s="416"/>
      <c r="FH23" s="416"/>
      <c r="FI23" s="416"/>
      <c r="FJ23" s="416"/>
      <c r="FK23" s="416"/>
      <c r="FL23" s="416"/>
      <c r="FM23" s="416"/>
      <c r="FN23" s="416"/>
      <c r="FO23" s="416"/>
      <c r="FP23" s="416"/>
      <c r="FQ23" s="416"/>
      <c r="FR23" s="416"/>
      <c r="FS23" s="416"/>
      <c r="FT23" s="416"/>
      <c r="FU23" s="416"/>
      <c r="FV23" s="416"/>
      <c r="FW23" s="416"/>
      <c r="FX23" s="416"/>
      <c r="FY23" s="416"/>
      <c r="FZ23" s="416"/>
      <c r="GA23" s="416"/>
      <c r="GB23" s="416"/>
      <c r="GC23" s="416"/>
      <c r="GD23" s="416"/>
      <c r="GE23" s="416"/>
      <c r="GF23" s="416"/>
      <c r="GG23" s="416"/>
      <c r="GH23" s="416"/>
      <c r="GI23" s="416"/>
      <c r="GJ23" s="416"/>
      <c r="GK23" s="416"/>
      <c r="GL23" s="416"/>
      <c r="GM23" s="416"/>
      <c r="GN23" s="416"/>
      <c r="GO23" s="416"/>
      <c r="GP23" s="416"/>
      <c r="GQ23" s="416"/>
      <c r="GR23" s="416"/>
      <c r="GS23" s="416"/>
      <c r="GT23" s="416"/>
      <c r="GU23" s="416"/>
      <c r="GV23" s="416"/>
      <c r="GW23" s="416"/>
      <c r="GX23" s="416"/>
      <c r="GY23" s="416"/>
      <c r="GZ23" s="416"/>
      <c r="HA23" s="416"/>
      <c r="HB23" s="416"/>
      <c r="HC23" s="416"/>
      <c r="HD23" s="416"/>
      <c r="HE23" s="416"/>
      <c r="HF23" s="416"/>
      <c r="HG23" s="416"/>
      <c r="HH23" s="416"/>
      <c r="HI23" s="416"/>
      <c r="HJ23" s="416"/>
      <c r="HK23" s="416"/>
      <c r="HL23" s="416"/>
      <c r="HM23" s="416"/>
      <c r="HN23" s="416"/>
      <c r="HO23" s="416"/>
      <c r="HP23" s="416"/>
      <c r="HQ23" s="416"/>
      <c r="HR23" s="416"/>
      <c r="HS23" s="416"/>
      <c r="HT23" s="416"/>
      <c r="HU23" s="416"/>
      <c r="HV23" s="416"/>
      <c r="HW23" s="416"/>
      <c r="HX23" s="416"/>
      <c r="HY23" s="416"/>
      <c r="HZ23" s="416"/>
      <c r="IA23" s="416"/>
      <c r="IB23" s="416"/>
      <c r="IC23" s="416"/>
      <c r="ID23" s="416"/>
      <c r="IE23" s="416"/>
      <c r="IF23" s="416"/>
      <c r="IG23" s="416"/>
      <c r="IH23" s="416"/>
      <c r="II23" s="416"/>
      <c r="IJ23" s="416"/>
      <c r="IK23" s="416"/>
      <c r="IL23" s="416"/>
      <c r="IM23" s="416"/>
      <c r="IN23" s="416"/>
      <c r="IO23" s="416"/>
      <c r="IP23" s="416"/>
      <c r="IQ23" s="416"/>
      <c r="IR23" s="416"/>
      <c r="IS23" s="416"/>
      <c r="IT23" s="416"/>
      <c r="IU23" s="416"/>
      <c r="IV23" s="416"/>
      <c r="IW23" s="416"/>
    </row>
    <row r="24" customFormat="false" ht="12.75" hidden="false" customHeight="false" outlineLevel="0" collapsed="false">
      <c r="A24" s="1289"/>
      <c r="B24" s="412"/>
      <c r="C24" s="1300" t="str">
        <f aca="false">+Internal!B101</f>
        <v>MECHANICAL/ERECTION</v>
      </c>
      <c r="D24" s="1301"/>
      <c r="E24" s="414" t="n">
        <v>0</v>
      </c>
      <c r="F24" s="414" t="n">
        <v>0</v>
      </c>
      <c r="G24" s="414" t="n">
        <v>0</v>
      </c>
      <c r="H24" s="414" t="n">
        <v>0.25</v>
      </c>
      <c r="I24" s="414" t="n">
        <v>0.25</v>
      </c>
      <c r="J24" s="414" t="n">
        <v>0.25</v>
      </c>
      <c r="K24" s="414" t="n">
        <v>0.25</v>
      </c>
      <c r="L24" s="414"/>
      <c r="M24" s="414"/>
      <c r="N24" s="414"/>
      <c r="O24" s="414"/>
      <c r="P24" s="414"/>
      <c r="Q24" s="414"/>
      <c r="R24" s="414"/>
      <c r="S24" s="414"/>
      <c r="T24" s="414"/>
      <c r="U24" s="414" t="n">
        <f aca="false">SUM(E24:T24)</f>
        <v>1</v>
      </c>
      <c r="V24" s="415"/>
      <c r="W24" s="415"/>
      <c r="X24" s="415"/>
      <c r="Y24" s="415"/>
      <c r="Z24" s="415"/>
      <c r="AA24" s="415"/>
      <c r="AB24" s="415"/>
      <c r="AC24" s="415"/>
      <c r="AD24" s="415"/>
      <c r="AE24" s="415"/>
      <c r="AF24" s="415"/>
      <c r="AG24" s="415"/>
      <c r="AH24" s="415"/>
      <c r="AI24" s="415"/>
      <c r="AJ24" s="415"/>
      <c r="AK24" s="415"/>
      <c r="AL24" s="415"/>
      <c r="AM24" s="415"/>
      <c r="AN24" s="415"/>
      <c r="AO24" s="415"/>
      <c r="AP24" s="415"/>
      <c r="AQ24" s="415"/>
      <c r="AR24" s="415"/>
      <c r="AS24" s="415"/>
      <c r="AT24" s="415"/>
      <c r="AU24" s="415"/>
      <c r="AV24" s="415"/>
      <c r="AW24" s="415"/>
      <c r="AX24" s="415"/>
      <c r="AY24" s="415"/>
      <c r="AZ24" s="415"/>
      <c r="BA24" s="415"/>
      <c r="BB24" s="415"/>
      <c r="BC24" s="415"/>
      <c r="BD24" s="415"/>
      <c r="BE24" s="415"/>
      <c r="BF24" s="415"/>
      <c r="BG24" s="415"/>
      <c r="BH24" s="415"/>
      <c r="BI24" s="415"/>
      <c r="BJ24" s="415"/>
      <c r="BK24" s="415"/>
      <c r="BL24" s="415"/>
      <c r="BM24" s="415"/>
      <c r="BN24" s="415"/>
      <c r="BO24" s="415"/>
      <c r="BP24" s="415"/>
      <c r="BQ24" s="415"/>
      <c r="BR24" s="415"/>
      <c r="BS24" s="415"/>
      <c r="BT24" s="415"/>
      <c r="BU24" s="415"/>
      <c r="BV24" s="415"/>
      <c r="BW24" s="415"/>
      <c r="BX24" s="415"/>
      <c r="BY24" s="415"/>
      <c r="BZ24" s="415"/>
      <c r="CA24" s="415"/>
      <c r="CB24" s="415"/>
      <c r="CC24" s="415"/>
      <c r="CD24" s="415"/>
      <c r="CE24" s="415"/>
      <c r="CF24" s="415"/>
      <c r="CG24" s="415"/>
      <c r="CH24" s="415"/>
      <c r="CI24" s="415"/>
      <c r="CJ24" s="415"/>
      <c r="CK24" s="415"/>
      <c r="CL24" s="415"/>
      <c r="CM24" s="415"/>
      <c r="CN24" s="415"/>
      <c r="CO24" s="415"/>
      <c r="CP24" s="415"/>
      <c r="CQ24" s="415"/>
      <c r="CR24" s="415"/>
      <c r="CS24" s="415"/>
      <c r="CT24" s="415"/>
      <c r="CU24" s="415"/>
      <c r="CV24" s="415"/>
      <c r="CW24" s="415"/>
      <c r="CX24" s="415"/>
      <c r="CY24" s="415"/>
      <c r="CZ24" s="415"/>
      <c r="DA24" s="415"/>
      <c r="DB24" s="415"/>
      <c r="DC24" s="415"/>
      <c r="DD24" s="415"/>
      <c r="DE24" s="415"/>
      <c r="DF24" s="415"/>
      <c r="DG24" s="415"/>
      <c r="DH24" s="415"/>
      <c r="DI24" s="415"/>
      <c r="DJ24" s="415"/>
      <c r="DK24" s="415"/>
      <c r="DL24" s="415"/>
      <c r="DM24" s="415"/>
      <c r="DN24" s="415"/>
      <c r="DO24" s="415"/>
      <c r="DP24" s="415"/>
      <c r="DQ24" s="415"/>
      <c r="DR24" s="415"/>
      <c r="DS24" s="415"/>
      <c r="DT24" s="415"/>
      <c r="DU24" s="415"/>
      <c r="DV24" s="415"/>
      <c r="DW24" s="415"/>
      <c r="DX24" s="415"/>
      <c r="DY24" s="415"/>
      <c r="DZ24" s="415"/>
      <c r="EA24" s="415"/>
      <c r="EB24" s="415"/>
      <c r="EC24" s="415"/>
      <c r="ED24" s="415"/>
      <c r="EE24" s="415"/>
      <c r="EF24" s="415"/>
      <c r="EG24" s="415"/>
      <c r="EH24" s="415"/>
      <c r="EI24" s="415"/>
      <c r="EJ24" s="415"/>
      <c r="EK24" s="415"/>
      <c r="EL24" s="415"/>
      <c r="EM24" s="416"/>
      <c r="EN24" s="416"/>
      <c r="EO24" s="416"/>
      <c r="EP24" s="416"/>
      <c r="EQ24" s="416"/>
      <c r="ER24" s="416"/>
      <c r="ES24" s="416"/>
      <c r="ET24" s="416"/>
      <c r="EU24" s="416"/>
      <c r="EV24" s="416"/>
      <c r="EW24" s="416"/>
      <c r="EX24" s="416"/>
      <c r="EY24" s="416"/>
      <c r="EZ24" s="416"/>
      <c r="FA24" s="416"/>
      <c r="FB24" s="416"/>
      <c r="FC24" s="416"/>
      <c r="FD24" s="416"/>
      <c r="FE24" s="416"/>
      <c r="FF24" s="416"/>
      <c r="FG24" s="416"/>
      <c r="FH24" s="416"/>
      <c r="FI24" s="416"/>
      <c r="FJ24" s="416"/>
      <c r="FK24" s="416"/>
      <c r="FL24" s="416"/>
      <c r="FM24" s="416"/>
      <c r="FN24" s="416"/>
      <c r="FO24" s="416"/>
      <c r="FP24" s="416"/>
      <c r="FQ24" s="416"/>
      <c r="FR24" s="416"/>
      <c r="FS24" s="416"/>
      <c r="FT24" s="416"/>
      <c r="FU24" s="416"/>
      <c r="FV24" s="416"/>
      <c r="FW24" s="416"/>
      <c r="FX24" s="416"/>
      <c r="FY24" s="416"/>
      <c r="FZ24" s="416"/>
      <c r="GA24" s="416"/>
      <c r="GB24" s="416"/>
      <c r="GC24" s="416"/>
      <c r="GD24" s="416"/>
      <c r="GE24" s="416"/>
      <c r="GF24" s="416"/>
      <c r="GG24" s="416"/>
      <c r="GH24" s="416"/>
      <c r="GI24" s="416"/>
      <c r="GJ24" s="416"/>
      <c r="GK24" s="416"/>
      <c r="GL24" s="416"/>
      <c r="GM24" s="416"/>
      <c r="GN24" s="416"/>
      <c r="GO24" s="416"/>
      <c r="GP24" s="416"/>
      <c r="GQ24" s="416"/>
      <c r="GR24" s="416"/>
      <c r="GS24" s="416"/>
      <c r="GT24" s="416"/>
      <c r="GU24" s="416"/>
      <c r="GV24" s="416"/>
      <c r="GW24" s="416"/>
      <c r="GX24" s="416"/>
      <c r="GY24" s="416"/>
      <c r="GZ24" s="416"/>
      <c r="HA24" s="416"/>
      <c r="HB24" s="416"/>
      <c r="HC24" s="416"/>
      <c r="HD24" s="416"/>
      <c r="HE24" s="416"/>
      <c r="HF24" s="416"/>
      <c r="HG24" s="416"/>
      <c r="HH24" s="416"/>
      <c r="HI24" s="416"/>
      <c r="HJ24" s="416"/>
      <c r="HK24" s="416"/>
      <c r="HL24" s="416"/>
      <c r="HM24" s="416"/>
      <c r="HN24" s="416"/>
      <c r="HO24" s="416"/>
      <c r="HP24" s="416"/>
      <c r="HQ24" s="416"/>
      <c r="HR24" s="416"/>
      <c r="HS24" s="416"/>
      <c r="HT24" s="416"/>
      <c r="HU24" s="416"/>
      <c r="HV24" s="416"/>
      <c r="HW24" s="416"/>
      <c r="HX24" s="416"/>
      <c r="HY24" s="416"/>
      <c r="HZ24" s="416"/>
      <c r="IA24" s="416"/>
      <c r="IB24" s="416"/>
      <c r="IC24" s="416"/>
      <c r="ID24" s="416"/>
      <c r="IE24" s="416"/>
      <c r="IF24" s="416"/>
      <c r="IG24" s="416"/>
      <c r="IH24" s="416"/>
      <c r="II24" s="416"/>
      <c r="IJ24" s="416"/>
      <c r="IK24" s="416"/>
      <c r="IL24" s="416"/>
      <c r="IM24" s="416"/>
      <c r="IN24" s="416"/>
      <c r="IO24" s="416"/>
      <c r="IP24" s="416"/>
      <c r="IQ24" s="416"/>
      <c r="IR24" s="416"/>
      <c r="IS24" s="416"/>
      <c r="IT24" s="416"/>
      <c r="IU24" s="416"/>
      <c r="IV24" s="416"/>
      <c r="IW24" s="416"/>
    </row>
    <row r="25" customFormat="false" ht="12.75" hidden="false" customHeight="false" outlineLevel="0" collapsed="false">
      <c r="A25" s="1289"/>
      <c r="B25" s="412"/>
      <c r="C25" s="1300" t="str">
        <f aca="false">+Internal!B102</f>
        <v>ELECTRICAL DISTRIBUTION</v>
      </c>
      <c r="D25" s="1301"/>
      <c r="E25" s="414" t="n">
        <v>0</v>
      </c>
      <c r="F25" s="414" t="n">
        <v>0</v>
      </c>
      <c r="G25" s="414"/>
      <c r="H25" s="414"/>
      <c r="I25" s="414" t="n">
        <v>0</v>
      </c>
      <c r="J25" s="414" t="n">
        <v>0.33</v>
      </c>
      <c r="K25" s="414" t="n">
        <v>0.33</v>
      </c>
      <c r="L25" s="414" t="n">
        <v>0.34</v>
      </c>
      <c r="M25" s="414"/>
      <c r="N25" s="414"/>
      <c r="O25" s="414"/>
      <c r="P25" s="414"/>
      <c r="Q25" s="414"/>
      <c r="R25" s="414"/>
      <c r="S25" s="414"/>
      <c r="T25" s="414"/>
      <c r="U25" s="414" t="n">
        <f aca="false">SUM(E25:T25)</f>
        <v>1</v>
      </c>
      <c r="V25" s="415"/>
      <c r="W25" s="415"/>
      <c r="X25" s="415"/>
      <c r="Y25" s="415"/>
      <c r="Z25" s="415"/>
      <c r="AA25" s="415"/>
      <c r="AB25" s="415"/>
      <c r="AC25" s="415"/>
      <c r="AD25" s="415"/>
      <c r="AE25" s="415"/>
      <c r="AF25" s="415"/>
      <c r="AG25" s="415"/>
      <c r="AH25" s="415"/>
      <c r="AI25" s="415"/>
      <c r="AJ25" s="415"/>
      <c r="AK25" s="415"/>
      <c r="AL25" s="415"/>
      <c r="AM25" s="415"/>
      <c r="AN25" s="415"/>
      <c r="AO25" s="415"/>
      <c r="AP25" s="415"/>
      <c r="AQ25" s="415"/>
      <c r="AR25" s="415"/>
      <c r="AS25" s="415"/>
      <c r="AT25" s="415"/>
      <c r="AU25" s="415"/>
      <c r="AV25" s="415"/>
      <c r="AW25" s="415"/>
      <c r="AX25" s="415"/>
      <c r="AY25" s="415"/>
      <c r="AZ25" s="415"/>
      <c r="BA25" s="415"/>
      <c r="BB25" s="415"/>
      <c r="BC25" s="415"/>
      <c r="BD25" s="415"/>
      <c r="BE25" s="415"/>
      <c r="BF25" s="415"/>
      <c r="BG25" s="415"/>
      <c r="BH25" s="415"/>
      <c r="BI25" s="415"/>
      <c r="BJ25" s="415"/>
      <c r="BK25" s="415"/>
      <c r="BL25" s="415"/>
      <c r="BM25" s="415"/>
      <c r="BN25" s="415"/>
      <c r="BO25" s="415"/>
      <c r="BP25" s="415"/>
      <c r="BQ25" s="415"/>
      <c r="BR25" s="415"/>
      <c r="BS25" s="415"/>
      <c r="BT25" s="415"/>
      <c r="BU25" s="415"/>
      <c r="BV25" s="415"/>
      <c r="BW25" s="415"/>
      <c r="BX25" s="415"/>
      <c r="BY25" s="415"/>
      <c r="BZ25" s="415"/>
      <c r="CA25" s="415"/>
      <c r="CB25" s="415"/>
      <c r="CC25" s="415"/>
      <c r="CD25" s="415"/>
      <c r="CE25" s="415"/>
      <c r="CF25" s="415"/>
      <c r="CG25" s="415"/>
      <c r="CH25" s="415"/>
      <c r="CI25" s="415"/>
      <c r="CJ25" s="415"/>
      <c r="CK25" s="415"/>
      <c r="CL25" s="415"/>
      <c r="CM25" s="415"/>
      <c r="CN25" s="415"/>
      <c r="CO25" s="415"/>
      <c r="CP25" s="415"/>
      <c r="CQ25" s="415"/>
      <c r="CR25" s="415"/>
      <c r="CS25" s="415"/>
      <c r="CT25" s="415"/>
      <c r="CU25" s="415"/>
      <c r="CV25" s="415"/>
      <c r="CW25" s="415"/>
      <c r="CX25" s="415"/>
      <c r="CY25" s="415"/>
      <c r="CZ25" s="415"/>
      <c r="DA25" s="415"/>
      <c r="DB25" s="415"/>
      <c r="DC25" s="415"/>
      <c r="DD25" s="415"/>
      <c r="DE25" s="415"/>
      <c r="DF25" s="415"/>
      <c r="DG25" s="415"/>
      <c r="DH25" s="415"/>
      <c r="DI25" s="415"/>
      <c r="DJ25" s="415"/>
      <c r="DK25" s="415"/>
      <c r="DL25" s="415"/>
      <c r="DM25" s="415"/>
      <c r="DN25" s="415"/>
      <c r="DO25" s="415"/>
      <c r="DP25" s="415"/>
      <c r="DQ25" s="415"/>
      <c r="DR25" s="415"/>
      <c r="DS25" s="415"/>
      <c r="DT25" s="415"/>
      <c r="DU25" s="415"/>
      <c r="DV25" s="415"/>
      <c r="DW25" s="415"/>
      <c r="DX25" s="415"/>
      <c r="DY25" s="415"/>
      <c r="DZ25" s="415"/>
      <c r="EA25" s="415"/>
      <c r="EB25" s="415"/>
      <c r="EC25" s="415"/>
      <c r="ED25" s="415"/>
      <c r="EE25" s="415"/>
      <c r="EF25" s="415"/>
      <c r="EG25" s="415"/>
      <c r="EH25" s="415"/>
      <c r="EI25" s="415"/>
      <c r="EJ25" s="415"/>
      <c r="EK25" s="415"/>
      <c r="EL25" s="415"/>
      <c r="EM25" s="416"/>
      <c r="EN25" s="416"/>
      <c r="EO25" s="416"/>
      <c r="EP25" s="416"/>
      <c r="EQ25" s="416"/>
      <c r="ER25" s="416"/>
      <c r="ES25" s="416"/>
      <c r="ET25" s="416"/>
      <c r="EU25" s="416"/>
      <c r="EV25" s="416"/>
      <c r="EW25" s="416"/>
      <c r="EX25" s="416"/>
      <c r="EY25" s="416"/>
      <c r="EZ25" s="416"/>
      <c r="FA25" s="416"/>
      <c r="FB25" s="416"/>
      <c r="FC25" s="416"/>
      <c r="FD25" s="416"/>
      <c r="FE25" s="416"/>
      <c r="FF25" s="416"/>
      <c r="FG25" s="416"/>
      <c r="FH25" s="416"/>
      <c r="FI25" s="416"/>
      <c r="FJ25" s="416"/>
      <c r="FK25" s="416"/>
      <c r="FL25" s="416"/>
      <c r="FM25" s="416"/>
      <c r="FN25" s="416"/>
      <c r="FO25" s="416"/>
      <c r="FP25" s="416"/>
      <c r="FQ25" s="416"/>
      <c r="FR25" s="416"/>
      <c r="FS25" s="416"/>
      <c r="FT25" s="416"/>
      <c r="FU25" s="416"/>
      <c r="FV25" s="416"/>
      <c r="FW25" s="416"/>
      <c r="FX25" s="416"/>
      <c r="FY25" s="416"/>
      <c r="FZ25" s="416"/>
      <c r="GA25" s="416"/>
      <c r="GB25" s="416"/>
      <c r="GC25" s="416"/>
      <c r="GD25" s="416"/>
      <c r="GE25" s="416"/>
      <c r="GF25" s="416"/>
      <c r="GG25" s="416"/>
      <c r="GH25" s="416"/>
      <c r="GI25" s="416"/>
      <c r="GJ25" s="416"/>
      <c r="GK25" s="416"/>
      <c r="GL25" s="416"/>
      <c r="GM25" s="416"/>
      <c r="GN25" s="416"/>
      <c r="GO25" s="416"/>
      <c r="GP25" s="416"/>
      <c r="GQ25" s="416"/>
      <c r="GR25" s="416"/>
      <c r="GS25" s="416"/>
      <c r="GT25" s="416"/>
      <c r="GU25" s="416"/>
      <c r="GV25" s="416"/>
      <c r="GW25" s="416"/>
      <c r="GX25" s="416"/>
      <c r="GY25" s="416"/>
      <c r="GZ25" s="416"/>
      <c r="HA25" s="416"/>
      <c r="HB25" s="416"/>
      <c r="HC25" s="416"/>
      <c r="HD25" s="416"/>
      <c r="HE25" s="416"/>
      <c r="HF25" s="416"/>
      <c r="HG25" s="416"/>
      <c r="HH25" s="416"/>
      <c r="HI25" s="416"/>
      <c r="HJ25" s="416"/>
      <c r="HK25" s="416"/>
      <c r="HL25" s="416"/>
      <c r="HM25" s="416"/>
      <c r="HN25" s="416"/>
      <c r="HO25" s="416"/>
      <c r="HP25" s="416"/>
      <c r="HQ25" s="416"/>
      <c r="HR25" s="416"/>
      <c r="HS25" s="416"/>
      <c r="HT25" s="416"/>
      <c r="HU25" s="416"/>
      <c r="HV25" s="416"/>
      <c r="HW25" s="416"/>
      <c r="HX25" s="416"/>
      <c r="HY25" s="416"/>
      <c r="HZ25" s="416"/>
      <c r="IA25" s="416"/>
      <c r="IB25" s="416"/>
      <c r="IC25" s="416"/>
      <c r="ID25" s="416"/>
      <c r="IE25" s="416"/>
      <c r="IF25" s="416"/>
      <c r="IG25" s="416"/>
      <c r="IH25" s="416"/>
      <c r="II25" s="416"/>
      <c r="IJ25" s="416"/>
      <c r="IK25" s="416"/>
      <c r="IL25" s="416"/>
      <c r="IM25" s="416"/>
      <c r="IN25" s="416"/>
      <c r="IO25" s="416"/>
      <c r="IP25" s="416"/>
      <c r="IQ25" s="416"/>
      <c r="IR25" s="416"/>
      <c r="IS25" s="416"/>
      <c r="IT25" s="416"/>
      <c r="IU25" s="416"/>
      <c r="IV25" s="416"/>
      <c r="IW25" s="416"/>
    </row>
    <row r="26" customFormat="false" ht="12.75" hidden="false" customHeight="false" outlineLevel="0" collapsed="false">
      <c r="A26" s="1289"/>
      <c r="B26" s="412"/>
      <c r="C26" s="1300" t="str">
        <f aca="false">+Internal!B103</f>
        <v>ENGINEERING</v>
      </c>
      <c r="D26" s="1302"/>
      <c r="E26" s="418" t="n">
        <v>0</v>
      </c>
      <c r="F26" s="414" t="n">
        <v>0</v>
      </c>
      <c r="G26" s="414" t="n">
        <v>0</v>
      </c>
      <c r="H26" s="414" t="n">
        <v>0.25</v>
      </c>
      <c r="I26" s="414" t="n">
        <v>0.25</v>
      </c>
      <c r="J26" s="414" t="n">
        <v>0.25</v>
      </c>
      <c r="K26" s="414" t="n">
        <v>0.25</v>
      </c>
      <c r="L26" s="414" t="n">
        <v>0</v>
      </c>
      <c r="M26" s="414" t="n">
        <v>0</v>
      </c>
      <c r="N26" s="414" t="n">
        <v>0</v>
      </c>
      <c r="O26" s="414" t="n">
        <v>0</v>
      </c>
      <c r="P26" s="414" t="n">
        <v>0</v>
      </c>
      <c r="Q26" s="414" t="n">
        <v>0</v>
      </c>
      <c r="R26" s="414" t="n">
        <v>0</v>
      </c>
      <c r="S26" s="414" t="n">
        <v>0</v>
      </c>
      <c r="T26" s="414"/>
      <c r="U26" s="414" t="n">
        <f aca="false">SUM(E26:T26)</f>
        <v>1</v>
      </c>
      <c r="V26" s="415"/>
      <c r="W26" s="415"/>
      <c r="X26" s="415"/>
      <c r="Y26" s="415"/>
      <c r="Z26" s="415"/>
      <c r="AA26" s="415"/>
      <c r="AB26" s="415"/>
      <c r="AC26" s="415"/>
      <c r="AD26" s="415"/>
      <c r="AE26" s="415"/>
      <c r="AF26" s="415"/>
      <c r="AG26" s="415"/>
      <c r="AH26" s="415"/>
      <c r="AI26" s="415"/>
      <c r="AJ26" s="415"/>
      <c r="AK26" s="415"/>
      <c r="AL26" s="415"/>
      <c r="AM26" s="415"/>
      <c r="AN26" s="415"/>
      <c r="AO26" s="415"/>
      <c r="AP26" s="415"/>
      <c r="AQ26" s="415"/>
      <c r="AR26" s="415"/>
      <c r="AS26" s="415"/>
      <c r="AT26" s="415"/>
      <c r="AU26" s="415"/>
      <c r="AV26" s="415"/>
      <c r="AW26" s="415"/>
      <c r="AX26" s="415"/>
      <c r="AY26" s="415"/>
      <c r="AZ26" s="415"/>
      <c r="BA26" s="415"/>
      <c r="BB26" s="415"/>
      <c r="BC26" s="415"/>
      <c r="BD26" s="415"/>
      <c r="BE26" s="415"/>
      <c r="BF26" s="415"/>
      <c r="BG26" s="415"/>
      <c r="BH26" s="415"/>
      <c r="BI26" s="415"/>
      <c r="BJ26" s="415"/>
      <c r="BK26" s="415"/>
      <c r="BL26" s="415"/>
      <c r="BM26" s="415"/>
      <c r="BN26" s="415"/>
      <c r="BO26" s="415"/>
      <c r="BP26" s="415"/>
      <c r="BQ26" s="415"/>
      <c r="BR26" s="415"/>
      <c r="BS26" s="415"/>
      <c r="BT26" s="415"/>
      <c r="BU26" s="415"/>
      <c r="BV26" s="415"/>
      <c r="BW26" s="415"/>
      <c r="BX26" s="415"/>
      <c r="BY26" s="415"/>
      <c r="BZ26" s="415"/>
      <c r="CA26" s="415"/>
      <c r="CB26" s="415"/>
      <c r="CC26" s="415"/>
      <c r="CD26" s="415"/>
      <c r="CE26" s="415"/>
      <c r="CF26" s="415"/>
      <c r="CG26" s="415"/>
      <c r="CH26" s="415"/>
      <c r="CI26" s="415"/>
      <c r="CJ26" s="415"/>
      <c r="CK26" s="415"/>
      <c r="CL26" s="415"/>
      <c r="CM26" s="415"/>
      <c r="CN26" s="415"/>
      <c r="CO26" s="415"/>
      <c r="CP26" s="415"/>
      <c r="CQ26" s="415"/>
      <c r="CR26" s="415"/>
      <c r="CS26" s="415"/>
      <c r="CT26" s="415"/>
      <c r="CU26" s="415"/>
      <c r="CV26" s="415"/>
      <c r="CW26" s="415"/>
      <c r="CX26" s="415"/>
      <c r="CY26" s="415"/>
      <c r="CZ26" s="415"/>
      <c r="DA26" s="415"/>
      <c r="DB26" s="415"/>
      <c r="DC26" s="415"/>
      <c r="DD26" s="415"/>
      <c r="DE26" s="415"/>
      <c r="DF26" s="415"/>
      <c r="DG26" s="415"/>
      <c r="DH26" s="415"/>
      <c r="DI26" s="415"/>
      <c r="DJ26" s="415"/>
      <c r="DK26" s="415"/>
      <c r="DL26" s="415"/>
      <c r="DM26" s="415"/>
      <c r="DN26" s="415"/>
      <c r="DO26" s="415"/>
      <c r="DP26" s="415"/>
      <c r="DQ26" s="415"/>
      <c r="DR26" s="415"/>
      <c r="DS26" s="415"/>
      <c r="DT26" s="415"/>
      <c r="DU26" s="415"/>
      <c r="DV26" s="415"/>
      <c r="DW26" s="415"/>
      <c r="DX26" s="415"/>
      <c r="DY26" s="415"/>
      <c r="DZ26" s="415"/>
      <c r="EA26" s="415"/>
      <c r="EB26" s="415"/>
      <c r="EC26" s="415"/>
      <c r="ED26" s="415"/>
      <c r="EE26" s="415"/>
      <c r="EF26" s="415"/>
      <c r="EG26" s="415"/>
      <c r="EH26" s="415"/>
      <c r="EI26" s="415"/>
      <c r="EJ26" s="415"/>
      <c r="EK26" s="415"/>
      <c r="EL26" s="415"/>
      <c r="EM26" s="416"/>
      <c r="EN26" s="416"/>
      <c r="EO26" s="416"/>
      <c r="EP26" s="416"/>
      <c r="EQ26" s="416"/>
      <c r="ER26" s="416"/>
      <c r="ES26" s="416"/>
      <c r="ET26" s="416"/>
      <c r="EU26" s="416"/>
      <c r="EV26" s="416"/>
      <c r="EW26" s="416"/>
      <c r="EX26" s="416"/>
      <c r="EY26" s="416"/>
      <c r="EZ26" s="416"/>
      <c r="FA26" s="416"/>
      <c r="FB26" s="416"/>
      <c r="FC26" s="416"/>
      <c r="FD26" s="416"/>
      <c r="FE26" s="416"/>
      <c r="FF26" s="416"/>
      <c r="FG26" s="416"/>
      <c r="FH26" s="416"/>
      <c r="FI26" s="416"/>
      <c r="FJ26" s="416"/>
      <c r="FK26" s="416"/>
      <c r="FL26" s="416"/>
      <c r="FM26" s="416"/>
      <c r="FN26" s="416"/>
      <c r="FO26" s="416"/>
      <c r="FP26" s="416"/>
      <c r="FQ26" s="416"/>
      <c r="FR26" s="416"/>
      <c r="FS26" s="416"/>
      <c r="FT26" s="416"/>
      <c r="FU26" s="416"/>
      <c r="FV26" s="416"/>
      <c r="FW26" s="416"/>
      <c r="FX26" s="416"/>
      <c r="FY26" s="416"/>
      <c r="FZ26" s="416"/>
      <c r="GA26" s="416"/>
      <c r="GB26" s="416"/>
      <c r="GC26" s="416"/>
      <c r="GD26" s="416"/>
      <c r="GE26" s="416"/>
      <c r="GF26" s="416"/>
      <c r="GG26" s="416"/>
      <c r="GH26" s="416"/>
      <c r="GI26" s="416"/>
      <c r="GJ26" s="416"/>
      <c r="GK26" s="416"/>
      <c r="GL26" s="416"/>
      <c r="GM26" s="416"/>
      <c r="GN26" s="416"/>
      <c r="GO26" s="416"/>
      <c r="GP26" s="416"/>
      <c r="GQ26" s="416"/>
      <c r="GR26" s="416"/>
      <c r="GS26" s="416"/>
      <c r="GT26" s="416"/>
      <c r="GU26" s="416"/>
      <c r="GV26" s="416"/>
      <c r="GW26" s="416"/>
      <c r="GX26" s="416"/>
      <c r="GY26" s="416"/>
      <c r="GZ26" s="416"/>
      <c r="HA26" s="416"/>
      <c r="HB26" s="416"/>
      <c r="HC26" s="416"/>
      <c r="HD26" s="416"/>
      <c r="HE26" s="416"/>
      <c r="HF26" s="416"/>
      <c r="HG26" s="416"/>
      <c r="HH26" s="416"/>
      <c r="HI26" s="416"/>
      <c r="HJ26" s="416"/>
      <c r="HK26" s="416"/>
      <c r="HL26" s="416"/>
      <c r="HM26" s="416"/>
      <c r="HN26" s="416"/>
      <c r="HO26" s="416"/>
      <c r="HP26" s="416"/>
      <c r="HQ26" s="416"/>
      <c r="HR26" s="416"/>
      <c r="HS26" s="416"/>
      <c r="HT26" s="416"/>
      <c r="HU26" s="416"/>
      <c r="HV26" s="416"/>
      <c r="HW26" s="416"/>
      <c r="HX26" s="416"/>
      <c r="HY26" s="416"/>
      <c r="HZ26" s="416"/>
      <c r="IA26" s="416"/>
      <c r="IB26" s="416"/>
      <c r="IC26" s="416"/>
      <c r="ID26" s="416"/>
      <c r="IE26" s="416"/>
      <c r="IF26" s="416"/>
      <c r="IG26" s="416"/>
      <c r="IH26" s="416"/>
      <c r="II26" s="416"/>
      <c r="IJ26" s="416"/>
      <c r="IK26" s="416"/>
      <c r="IL26" s="416"/>
      <c r="IM26" s="416"/>
      <c r="IN26" s="416"/>
      <c r="IO26" s="416"/>
      <c r="IP26" s="416"/>
      <c r="IQ26" s="416"/>
      <c r="IR26" s="416"/>
      <c r="IS26" s="416"/>
      <c r="IT26" s="416"/>
      <c r="IU26" s="416"/>
      <c r="IV26" s="416"/>
      <c r="IW26" s="416"/>
    </row>
    <row r="27" customFormat="false" ht="12.75" hidden="false" customHeight="false" outlineLevel="0" collapsed="false">
      <c r="A27" s="1289"/>
      <c r="B27" s="412"/>
      <c r="C27" s="1300" t="str">
        <f aca="false">+Internal!B104</f>
        <v>O&amp;M BLDG</v>
      </c>
      <c r="D27" s="1302"/>
      <c r="E27" s="418" t="n">
        <v>0</v>
      </c>
      <c r="F27" s="414" t="n">
        <v>0</v>
      </c>
      <c r="G27" s="414" t="n">
        <v>0</v>
      </c>
      <c r="H27" s="414" t="n">
        <v>0.25</v>
      </c>
      <c r="I27" s="414" t="n">
        <v>0.25</v>
      </c>
      <c r="J27" s="414" t="n">
        <v>0.25</v>
      </c>
      <c r="K27" s="414" t="n">
        <v>0.25</v>
      </c>
      <c r="L27" s="414" t="n">
        <v>0</v>
      </c>
      <c r="M27" s="414" t="n">
        <v>0</v>
      </c>
      <c r="N27" s="414" t="n">
        <v>0</v>
      </c>
      <c r="O27" s="414" t="n">
        <v>0</v>
      </c>
      <c r="P27" s="414" t="n">
        <v>0</v>
      </c>
      <c r="Q27" s="414" t="n">
        <v>0</v>
      </c>
      <c r="R27" s="414" t="n">
        <v>0</v>
      </c>
      <c r="S27" s="414" t="n">
        <v>0</v>
      </c>
      <c r="T27" s="414"/>
      <c r="U27" s="414" t="n">
        <f aca="false">SUM(E27:T27)</f>
        <v>1</v>
      </c>
      <c r="V27" s="415"/>
      <c r="W27" s="415"/>
      <c r="X27" s="415"/>
      <c r="Y27" s="415"/>
      <c r="Z27" s="415"/>
      <c r="AA27" s="415"/>
      <c r="AB27" s="415"/>
      <c r="AC27" s="415"/>
      <c r="AD27" s="415"/>
      <c r="AE27" s="415"/>
      <c r="AF27" s="415"/>
      <c r="AG27" s="415"/>
      <c r="AH27" s="415"/>
      <c r="AI27" s="415"/>
      <c r="AJ27" s="415"/>
      <c r="AK27" s="415"/>
      <c r="AL27" s="415"/>
      <c r="AM27" s="415"/>
      <c r="AN27" s="415"/>
      <c r="AO27" s="415"/>
      <c r="AP27" s="415"/>
      <c r="AQ27" s="415"/>
      <c r="AR27" s="415"/>
      <c r="AS27" s="415"/>
      <c r="AT27" s="415"/>
      <c r="AU27" s="415"/>
      <c r="AV27" s="415"/>
      <c r="AW27" s="415"/>
      <c r="AX27" s="415"/>
      <c r="AY27" s="415"/>
      <c r="AZ27" s="415"/>
      <c r="BA27" s="415"/>
      <c r="BB27" s="415"/>
      <c r="BC27" s="415"/>
      <c r="BD27" s="415"/>
      <c r="BE27" s="415"/>
      <c r="BF27" s="415"/>
      <c r="BG27" s="415"/>
      <c r="BH27" s="415"/>
      <c r="BI27" s="415"/>
      <c r="BJ27" s="415"/>
      <c r="BK27" s="415"/>
      <c r="BL27" s="415"/>
      <c r="BM27" s="415"/>
      <c r="BN27" s="415"/>
      <c r="BO27" s="415"/>
      <c r="BP27" s="415"/>
      <c r="BQ27" s="415"/>
      <c r="BR27" s="415"/>
      <c r="BS27" s="415"/>
      <c r="BT27" s="415"/>
      <c r="BU27" s="415"/>
      <c r="BV27" s="415"/>
      <c r="BW27" s="415"/>
      <c r="BX27" s="415"/>
      <c r="BY27" s="415"/>
      <c r="BZ27" s="415"/>
      <c r="CA27" s="415"/>
      <c r="CB27" s="415"/>
      <c r="CC27" s="415"/>
      <c r="CD27" s="415"/>
      <c r="CE27" s="415"/>
      <c r="CF27" s="415"/>
      <c r="CG27" s="415"/>
      <c r="CH27" s="415"/>
      <c r="CI27" s="415"/>
      <c r="CJ27" s="415"/>
      <c r="CK27" s="415"/>
      <c r="CL27" s="415"/>
      <c r="CM27" s="415"/>
      <c r="CN27" s="415"/>
      <c r="CO27" s="415"/>
      <c r="CP27" s="415"/>
      <c r="CQ27" s="415"/>
      <c r="CR27" s="415"/>
      <c r="CS27" s="415"/>
      <c r="CT27" s="415"/>
      <c r="CU27" s="415"/>
      <c r="CV27" s="415"/>
      <c r="CW27" s="415"/>
      <c r="CX27" s="415"/>
      <c r="CY27" s="415"/>
      <c r="CZ27" s="415"/>
      <c r="DA27" s="415"/>
      <c r="DB27" s="415"/>
      <c r="DC27" s="415"/>
      <c r="DD27" s="415"/>
      <c r="DE27" s="415"/>
      <c r="DF27" s="415"/>
      <c r="DG27" s="415"/>
      <c r="DH27" s="415"/>
      <c r="DI27" s="415"/>
      <c r="DJ27" s="415"/>
      <c r="DK27" s="415"/>
      <c r="DL27" s="415"/>
      <c r="DM27" s="415"/>
      <c r="DN27" s="415"/>
      <c r="DO27" s="415"/>
      <c r="DP27" s="415"/>
      <c r="DQ27" s="415"/>
      <c r="DR27" s="415"/>
      <c r="DS27" s="415"/>
      <c r="DT27" s="415"/>
      <c r="DU27" s="415"/>
      <c r="DV27" s="415"/>
      <c r="DW27" s="415"/>
      <c r="DX27" s="415"/>
      <c r="DY27" s="415"/>
      <c r="DZ27" s="415"/>
      <c r="EA27" s="415"/>
      <c r="EB27" s="415"/>
      <c r="EC27" s="415"/>
      <c r="ED27" s="415"/>
      <c r="EE27" s="415"/>
      <c r="EF27" s="415"/>
      <c r="EG27" s="415"/>
      <c r="EH27" s="415"/>
      <c r="EI27" s="415"/>
      <c r="EJ27" s="415"/>
      <c r="EK27" s="415"/>
      <c r="EL27" s="415"/>
      <c r="EM27" s="416"/>
      <c r="EN27" s="416"/>
      <c r="EO27" s="416"/>
      <c r="EP27" s="416"/>
      <c r="EQ27" s="416"/>
      <c r="ER27" s="416"/>
      <c r="ES27" s="416"/>
      <c r="ET27" s="416"/>
      <c r="EU27" s="416"/>
      <c r="EV27" s="416"/>
      <c r="EW27" s="416"/>
      <c r="EX27" s="416"/>
      <c r="EY27" s="416"/>
      <c r="EZ27" s="416"/>
      <c r="FA27" s="416"/>
      <c r="FB27" s="416"/>
      <c r="FC27" s="416"/>
      <c r="FD27" s="416"/>
      <c r="FE27" s="416"/>
      <c r="FF27" s="416"/>
      <c r="FG27" s="416"/>
      <c r="FH27" s="416"/>
      <c r="FI27" s="416"/>
      <c r="FJ27" s="416"/>
      <c r="FK27" s="416"/>
      <c r="FL27" s="416"/>
      <c r="FM27" s="416"/>
      <c r="FN27" s="416"/>
      <c r="FO27" s="416"/>
      <c r="FP27" s="416"/>
      <c r="FQ27" s="416"/>
      <c r="FR27" s="416"/>
      <c r="FS27" s="416"/>
      <c r="FT27" s="416"/>
      <c r="FU27" s="416"/>
      <c r="FV27" s="416"/>
      <c r="FW27" s="416"/>
      <c r="FX27" s="416"/>
      <c r="FY27" s="416"/>
      <c r="FZ27" s="416"/>
      <c r="GA27" s="416"/>
      <c r="GB27" s="416"/>
      <c r="GC27" s="416"/>
      <c r="GD27" s="416"/>
      <c r="GE27" s="416"/>
      <c r="GF27" s="416"/>
      <c r="GG27" s="416"/>
      <c r="GH27" s="416"/>
      <c r="GI27" s="416"/>
      <c r="GJ27" s="416"/>
      <c r="GK27" s="416"/>
      <c r="GL27" s="416"/>
      <c r="GM27" s="416"/>
      <c r="GN27" s="416"/>
      <c r="GO27" s="416"/>
      <c r="GP27" s="416"/>
      <c r="GQ27" s="416"/>
      <c r="GR27" s="416"/>
      <c r="GS27" s="416"/>
      <c r="GT27" s="416"/>
      <c r="GU27" s="416"/>
      <c r="GV27" s="416"/>
      <c r="GW27" s="416"/>
      <c r="GX27" s="416"/>
      <c r="GY27" s="416"/>
      <c r="GZ27" s="416"/>
      <c r="HA27" s="416"/>
      <c r="HB27" s="416"/>
      <c r="HC27" s="416"/>
      <c r="HD27" s="416"/>
      <c r="HE27" s="416"/>
      <c r="HF27" s="416"/>
      <c r="HG27" s="416"/>
      <c r="HH27" s="416"/>
      <c r="HI27" s="416"/>
      <c r="HJ27" s="416"/>
      <c r="HK27" s="416"/>
      <c r="HL27" s="416"/>
      <c r="HM27" s="416"/>
      <c r="HN27" s="416"/>
      <c r="HO27" s="416"/>
      <c r="HP27" s="416"/>
      <c r="HQ27" s="416"/>
      <c r="HR27" s="416"/>
      <c r="HS27" s="416"/>
      <c r="HT27" s="416"/>
      <c r="HU27" s="416"/>
      <c r="HV27" s="416"/>
      <c r="HW27" s="416"/>
      <c r="HX27" s="416"/>
      <c r="HY27" s="416"/>
      <c r="HZ27" s="416"/>
      <c r="IA27" s="416"/>
      <c r="IB27" s="416"/>
      <c r="IC27" s="416"/>
      <c r="ID27" s="416"/>
      <c r="IE27" s="416"/>
      <c r="IF27" s="416"/>
      <c r="IG27" s="416"/>
      <c r="IH27" s="416"/>
      <c r="II27" s="416"/>
      <c r="IJ27" s="416"/>
      <c r="IK27" s="416"/>
      <c r="IL27" s="416"/>
      <c r="IM27" s="416"/>
      <c r="IN27" s="416"/>
      <c r="IO27" s="416"/>
      <c r="IP27" s="416"/>
      <c r="IQ27" s="416"/>
      <c r="IR27" s="416"/>
      <c r="IS27" s="416"/>
      <c r="IT27" s="416"/>
      <c r="IU27" s="416"/>
      <c r="IV27" s="416"/>
      <c r="IW27" s="416"/>
    </row>
    <row r="28" customFormat="false" ht="12.75" hidden="false" customHeight="false" outlineLevel="0" collapsed="false">
      <c r="A28" s="1289"/>
      <c r="B28" s="412"/>
      <c r="C28" s="1300" t="str">
        <f aca="false">+Internal!B105</f>
        <v>FACILITY STARTUP</v>
      </c>
      <c r="D28" s="1302"/>
      <c r="E28" s="418" t="n">
        <v>0</v>
      </c>
      <c r="F28" s="414" t="n">
        <v>0</v>
      </c>
      <c r="G28" s="414" t="n">
        <v>0</v>
      </c>
      <c r="H28" s="414" t="n">
        <v>0</v>
      </c>
      <c r="I28" s="414" t="n">
        <v>0</v>
      </c>
      <c r="J28" s="414" t="n">
        <v>0.2</v>
      </c>
      <c r="K28" s="414" t="n">
        <v>0.8</v>
      </c>
      <c r="L28" s="414" t="n">
        <v>0</v>
      </c>
      <c r="M28" s="414" t="n">
        <v>0</v>
      </c>
      <c r="N28" s="414" t="n">
        <v>0</v>
      </c>
      <c r="O28" s="414" t="n">
        <v>0</v>
      </c>
      <c r="P28" s="414" t="n">
        <v>0</v>
      </c>
      <c r="Q28" s="414" t="n">
        <v>0</v>
      </c>
      <c r="R28" s="414" t="n">
        <v>0</v>
      </c>
      <c r="S28" s="414" t="n">
        <v>0</v>
      </c>
      <c r="T28" s="414"/>
      <c r="U28" s="414" t="n">
        <f aca="false">SUM(E28:T28)</f>
        <v>1</v>
      </c>
      <c r="V28" s="415"/>
      <c r="W28" s="415"/>
      <c r="X28" s="415"/>
      <c r="Y28" s="415"/>
      <c r="Z28" s="415"/>
      <c r="AA28" s="415"/>
      <c r="AB28" s="415"/>
      <c r="AC28" s="415"/>
      <c r="AD28" s="415"/>
      <c r="AE28" s="415"/>
      <c r="AF28" s="415"/>
      <c r="AG28" s="415"/>
      <c r="AH28" s="415"/>
      <c r="AI28" s="415"/>
      <c r="AJ28" s="415"/>
      <c r="AK28" s="415"/>
      <c r="AL28" s="415"/>
      <c r="AM28" s="415"/>
      <c r="AN28" s="415"/>
      <c r="AO28" s="415"/>
      <c r="AP28" s="415"/>
      <c r="AQ28" s="415"/>
      <c r="AR28" s="415"/>
      <c r="AS28" s="415"/>
      <c r="AT28" s="415"/>
      <c r="AU28" s="415"/>
      <c r="AV28" s="415"/>
      <c r="AW28" s="415"/>
      <c r="AX28" s="415"/>
      <c r="AY28" s="415"/>
      <c r="AZ28" s="415"/>
      <c r="BA28" s="415"/>
      <c r="BB28" s="415"/>
      <c r="BC28" s="415"/>
      <c r="BD28" s="415"/>
      <c r="BE28" s="415"/>
      <c r="BF28" s="415"/>
      <c r="BG28" s="415"/>
      <c r="BH28" s="415"/>
      <c r="BI28" s="415"/>
      <c r="BJ28" s="415"/>
      <c r="BK28" s="415"/>
      <c r="BL28" s="415"/>
      <c r="BM28" s="415"/>
      <c r="BN28" s="415"/>
      <c r="BO28" s="415"/>
      <c r="BP28" s="415"/>
      <c r="BQ28" s="415"/>
      <c r="BR28" s="415"/>
      <c r="BS28" s="415"/>
      <c r="BT28" s="415"/>
      <c r="BU28" s="415"/>
      <c r="BV28" s="415"/>
      <c r="BW28" s="415"/>
      <c r="BX28" s="415"/>
      <c r="BY28" s="415"/>
      <c r="BZ28" s="415"/>
      <c r="CA28" s="415"/>
      <c r="CB28" s="415"/>
      <c r="CC28" s="415"/>
      <c r="CD28" s="415"/>
      <c r="CE28" s="415"/>
      <c r="CF28" s="415"/>
      <c r="CG28" s="415"/>
      <c r="CH28" s="415"/>
      <c r="CI28" s="415"/>
      <c r="CJ28" s="415"/>
      <c r="CK28" s="415"/>
      <c r="CL28" s="415"/>
      <c r="CM28" s="415"/>
      <c r="CN28" s="415"/>
      <c r="CO28" s="415"/>
      <c r="CP28" s="415"/>
      <c r="CQ28" s="415"/>
      <c r="CR28" s="415"/>
      <c r="CS28" s="415"/>
      <c r="CT28" s="415"/>
      <c r="CU28" s="415"/>
      <c r="CV28" s="415"/>
      <c r="CW28" s="415"/>
      <c r="CX28" s="415"/>
      <c r="CY28" s="415"/>
      <c r="CZ28" s="415"/>
      <c r="DA28" s="415"/>
      <c r="DB28" s="415"/>
      <c r="DC28" s="415"/>
      <c r="DD28" s="415"/>
      <c r="DE28" s="415"/>
      <c r="DF28" s="415"/>
      <c r="DG28" s="415"/>
      <c r="DH28" s="415"/>
      <c r="DI28" s="415"/>
      <c r="DJ28" s="415"/>
      <c r="DK28" s="415"/>
      <c r="DL28" s="415"/>
      <c r="DM28" s="415"/>
      <c r="DN28" s="415"/>
      <c r="DO28" s="415"/>
      <c r="DP28" s="415"/>
      <c r="DQ28" s="415"/>
      <c r="DR28" s="415"/>
      <c r="DS28" s="415"/>
      <c r="DT28" s="415"/>
      <c r="DU28" s="415"/>
      <c r="DV28" s="415"/>
      <c r="DW28" s="415"/>
      <c r="DX28" s="415"/>
      <c r="DY28" s="415"/>
      <c r="DZ28" s="415"/>
      <c r="EA28" s="415"/>
      <c r="EB28" s="415"/>
      <c r="EC28" s="415"/>
      <c r="ED28" s="415"/>
      <c r="EE28" s="415"/>
      <c r="EF28" s="415"/>
      <c r="EG28" s="415"/>
      <c r="EH28" s="415"/>
      <c r="EI28" s="415"/>
      <c r="EJ28" s="415"/>
      <c r="EK28" s="415"/>
      <c r="EL28" s="415"/>
      <c r="EM28" s="416"/>
      <c r="EN28" s="416"/>
      <c r="EO28" s="416"/>
      <c r="EP28" s="416"/>
      <c r="EQ28" s="416"/>
      <c r="ER28" s="416"/>
      <c r="ES28" s="416"/>
      <c r="ET28" s="416"/>
      <c r="EU28" s="416"/>
      <c r="EV28" s="416"/>
      <c r="EW28" s="416"/>
      <c r="EX28" s="416"/>
      <c r="EY28" s="416"/>
      <c r="EZ28" s="416"/>
      <c r="FA28" s="416"/>
      <c r="FB28" s="416"/>
      <c r="FC28" s="416"/>
      <c r="FD28" s="416"/>
      <c r="FE28" s="416"/>
      <c r="FF28" s="416"/>
      <c r="FG28" s="416"/>
      <c r="FH28" s="416"/>
      <c r="FI28" s="416"/>
      <c r="FJ28" s="416"/>
      <c r="FK28" s="416"/>
      <c r="FL28" s="416"/>
      <c r="FM28" s="416"/>
      <c r="FN28" s="416"/>
      <c r="FO28" s="416"/>
      <c r="FP28" s="416"/>
      <c r="FQ28" s="416"/>
      <c r="FR28" s="416"/>
      <c r="FS28" s="416"/>
      <c r="FT28" s="416"/>
      <c r="FU28" s="416"/>
      <c r="FV28" s="416"/>
      <c r="FW28" s="416"/>
      <c r="FX28" s="416"/>
      <c r="FY28" s="416"/>
      <c r="FZ28" s="416"/>
      <c r="GA28" s="416"/>
      <c r="GB28" s="416"/>
      <c r="GC28" s="416"/>
      <c r="GD28" s="416"/>
      <c r="GE28" s="416"/>
      <c r="GF28" s="416"/>
      <c r="GG28" s="416"/>
      <c r="GH28" s="416"/>
      <c r="GI28" s="416"/>
      <c r="GJ28" s="416"/>
      <c r="GK28" s="416"/>
      <c r="GL28" s="416"/>
      <c r="GM28" s="416"/>
      <c r="GN28" s="416"/>
      <c r="GO28" s="416"/>
      <c r="GP28" s="416"/>
      <c r="GQ28" s="416"/>
      <c r="GR28" s="416"/>
      <c r="GS28" s="416"/>
      <c r="GT28" s="416"/>
      <c r="GU28" s="416"/>
      <c r="GV28" s="416"/>
      <c r="GW28" s="416"/>
      <c r="GX28" s="416"/>
      <c r="GY28" s="416"/>
      <c r="GZ28" s="416"/>
      <c r="HA28" s="416"/>
      <c r="HB28" s="416"/>
      <c r="HC28" s="416"/>
      <c r="HD28" s="416"/>
      <c r="HE28" s="416"/>
      <c r="HF28" s="416"/>
      <c r="HG28" s="416"/>
      <c r="HH28" s="416"/>
      <c r="HI28" s="416"/>
      <c r="HJ28" s="416"/>
      <c r="HK28" s="416"/>
      <c r="HL28" s="416"/>
      <c r="HM28" s="416"/>
      <c r="HN28" s="416"/>
      <c r="HO28" s="416"/>
      <c r="HP28" s="416"/>
      <c r="HQ28" s="416"/>
      <c r="HR28" s="416"/>
      <c r="HS28" s="416"/>
      <c r="HT28" s="416"/>
      <c r="HU28" s="416"/>
      <c r="HV28" s="416"/>
      <c r="HW28" s="416"/>
      <c r="HX28" s="416"/>
      <c r="HY28" s="416"/>
      <c r="HZ28" s="416"/>
      <c r="IA28" s="416"/>
      <c r="IB28" s="416"/>
      <c r="IC28" s="416"/>
      <c r="ID28" s="416"/>
      <c r="IE28" s="416"/>
      <c r="IF28" s="416"/>
      <c r="IG28" s="416"/>
      <c r="IH28" s="416"/>
      <c r="II28" s="416"/>
      <c r="IJ28" s="416"/>
      <c r="IK28" s="416"/>
      <c r="IL28" s="416"/>
      <c r="IM28" s="416"/>
      <c r="IN28" s="416"/>
      <c r="IO28" s="416"/>
      <c r="IP28" s="416"/>
      <c r="IQ28" s="416"/>
      <c r="IR28" s="416"/>
      <c r="IS28" s="416"/>
      <c r="IT28" s="416"/>
      <c r="IU28" s="416"/>
      <c r="IV28" s="416"/>
      <c r="IW28" s="416"/>
    </row>
    <row r="29" customFormat="false" ht="12.75" hidden="false" customHeight="false" outlineLevel="0" collapsed="false">
      <c r="A29" s="1289"/>
      <c r="B29" s="412"/>
      <c r="C29" s="1300" t="e">
        <f aca="false">+#REF!</f>
        <v>#REF!</v>
      </c>
      <c r="D29" s="1302"/>
      <c r="E29" s="418" t="n">
        <f aca="false">+E19</f>
        <v>0</v>
      </c>
      <c r="F29" s="418" t="n">
        <f aca="false">+F19</f>
        <v>0.4</v>
      </c>
      <c r="G29" s="418" t="n">
        <f aca="false">+G19</f>
        <v>0.4</v>
      </c>
      <c r="H29" s="418" t="n">
        <f aca="false">+H19</f>
        <v>0.2</v>
      </c>
      <c r="I29" s="418" t="n">
        <f aca="false">+I19</f>
        <v>0</v>
      </c>
      <c r="J29" s="418" t="n">
        <f aca="false">+J19</f>
        <v>0</v>
      </c>
      <c r="K29" s="418" t="n">
        <f aca="false">+K19</f>
        <v>0</v>
      </c>
      <c r="L29" s="418" t="n">
        <f aca="false">+L19</f>
        <v>0</v>
      </c>
      <c r="M29" s="418" t="n">
        <f aca="false">+M19</f>
        <v>0</v>
      </c>
      <c r="N29" s="418" t="n">
        <f aca="false">+N19</f>
        <v>0</v>
      </c>
      <c r="O29" s="418" t="n">
        <f aca="false">+O19</f>
        <v>0</v>
      </c>
      <c r="P29" s="418" t="n">
        <f aca="false">+P19</f>
        <v>0</v>
      </c>
      <c r="Q29" s="418" t="n">
        <f aca="false">+Q19</f>
        <v>0</v>
      </c>
      <c r="R29" s="418" t="n">
        <f aca="false">+R19</f>
        <v>0</v>
      </c>
      <c r="S29" s="418" t="n">
        <f aca="false">+S19</f>
        <v>0</v>
      </c>
      <c r="T29" s="418" t="n">
        <f aca="false">+T19</f>
        <v>0</v>
      </c>
      <c r="U29" s="414" t="n">
        <f aca="false">SUM(E29:T29)</f>
        <v>1</v>
      </c>
      <c r="V29" s="415"/>
      <c r="W29" s="415"/>
      <c r="X29" s="415"/>
      <c r="Y29" s="415"/>
      <c r="Z29" s="415"/>
      <c r="AA29" s="415"/>
      <c r="AB29" s="415"/>
      <c r="AC29" s="415"/>
      <c r="AD29" s="415"/>
      <c r="AE29" s="415"/>
      <c r="AF29" s="415"/>
      <c r="AG29" s="415"/>
      <c r="AH29" s="415"/>
      <c r="AI29" s="415"/>
      <c r="AJ29" s="415"/>
      <c r="AK29" s="415"/>
      <c r="AL29" s="415"/>
      <c r="AM29" s="415"/>
      <c r="AN29" s="415"/>
      <c r="AO29" s="415"/>
      <c r="AP29" s="415"/>
      <c r="AQ29" s="415"/>
      <c r="AR29" s="415"/>
      <c r="AS29" s="415"/>
      <c r="AT29" s="415"/>
      <c r="AU29" s="415"/>
      <c r="AV29" s="415"/>
      <c r="AW29" s="415"/>
      <c r="AX29" s="415"/>
      <c r="AY29" s="415"/>
      <c r="AZ29" s="415"/>
      <c r="BA29" s="415"/>
      <c r="BB29" s="415"/>
      <c r="BC29" s="415"/>
      <c r="BD29" s="415"/>
      <c r="BE29" s="415"/>
      <c r="BF29" s="415"/>
      <c r="BG29" s="415"/>
      <c r="BH29" s="415"/>
      <c r="BI29" s="415"/>
      <c r="BJ29" s="415"/>
      <c r="BK29" s="415"/>
      <c r="BL29" s="415"/>
      <c r="BM29" s="415"/>
      <c r="BN29" s="415"/>
      <c r="BO29" s="415"/>
      <c r="BP29" s="415"/>
      <c r="BQ29" s="415"/>
      <c r="BR29" s="415"/>
      <c r="BS29" s="415"/>
      <c r="BT29" s="415"/>
      <c r="BU29" s="415"/>
      <c r="BV29" s="415"/>
      <c r="BW29" s="415"/>
      <c r="BX29" s="415"/>
      <c r="BY29" s="415"/>
      <c r="BZ29" s="415"/>
      <c r="CA29" s="415"/>
      <c r="CB29" s="415"/>
      <c r="CC29" s="415"/>
      <c r="CD29" s="415"/>
      <c r="CE29" s="415"/>
      <c r="CF29" s="415"/>
      <c r="CG29" s="415"/>
      <c r="CH29" s="415"/>
      <c r="CI29" s="415"/>
      <c r="CJ29" s="415"/>
      <c r="CK29" s="415"/>
      <c r="CL29" s="415"/>
      <c r="CM29" s="415"/>
      <c r="CN29" s="415"/>
      <c r="CO29" s="415"/>
      <c r="CP29" s="415"/>
      <c r="CQ29" s="415"/>
      <c r="CR29" s="415"/>
      <c r="CS29" s="415"/>
      <c r="CT29" s="415"/>
      <c r="CU29" s="415"/>
      <c r="CV29" s="415"/>
      <c r="CW29" s="415"/>
      <c r="CX29" s="415"/>
      <c r="CY29" s="415"/>
      <c r="CZ29" s="415"/>
      <c r="DA29" s="415"/>
      <c r="DB29" s="415"/>
      <c r="DC29" s="415"/>
      <c r="DD29" s="415"/>
      <c r="DE29" s="415"/>
      <c r="DF29" s="415"/>
      <c r="DG29" s="415"/>
      <c r="DH29" s="415"/>
      <c r="DI29" s="415"/>
      <c r="DJ29" s="415"/>
      <c r="DK29" s="415"/>
      <c r="DL29" s="415"/>
      <c r="DM29" s="415"/>
      <c r="DN29" s="415"/>
      <c r="DO29" s="415"/>
      <c r="DP29" s="415"/>
      <c r="DQ29" s="415"/>
      <c r="DR29" s="415"/>
      <c r="DS29" s="415"/>
      <c r="DT29" s="415"/>
      <c r="DU29" s="415"/>
      <c r="DV29" s="415"/>
      <c r="DW29" s="415"/>
      <c r="DX29" s="415"/>
      <c r="DY29" s="415"/>
      <c r="DZ29" s="415"/>
      <c r="EA29" s="415"/>
      <c r="EB29" s="415"/>
      <c r="EC29" s="415"/>
      <c r="ED29" s="415"/>
      <c r="EE29" s="415"/>
      <c r="EF29" s="415"/>
      <c r="EG29" s="415"/>
      <c r="EH29" s="415"/>
      <c r="EI29" s="415"/>
      <c r="EJ29" s="415"/>
      <c r="EK29" s="415"/>
      <c r="EL29" s="415"/>
      <c r="EM29" s="416"/>
      <c r="EN29" s="416"/>
      <c r="EO29" s="416"/>
      <c r="EP29" s="416"/>
      <c r="EQ29" s="416"/>
      <c r="ER29" s="416"/>
      <c r="ES29" s="416"/>
      <c r="ET29" s="416"/>
      <c r="EU29" s="416"/>
      <c r="EV29" s="416"/>
      <c r="EW29" s="416"/>
      <c r="EX29" s="416"/>
      <c r="EY29" s="416"/>
      <c r="EZ29" s="416"/>
      <c r="FA29" s="416"/>
      <c r="FB29" s="416"/>
      <c r="FC29" s="416"/>
      <c r="FD29" s="416"/>
      <c r="FE29" s="416"/>
      <c r="FF29" s="416"/>
      <c r="FG29" s="416"/>
      <c r="FH29" s="416"/>
      <c r="FI29" s="416"/>
      <c r="FJ29" s="416"/>
      <c r="FK29" s="416"/>
      <c r="FL29" s="416"/>
      <c r="FM29" s="416"/>
      <c r="FN29" s="416"/>
      <c r="FO29" s="416"/>
      <c r="FP29" s="416"/>
      <c r="FQ29" s="416"/>
      <c r="FR29" s="416"/>
      <c r="FS29" s="416"/>
      <c r="FT29" s="416"/>
      <c r="FU29" s="416"/>
      <c r="FV29" s="416"/>
      <c r="FW29" s="416"/>
      <c r="FX29" s="416"/>
      <c r="FY29" s="416"/>
      <c r="FZ29" s="416"/>
      <c r="GA29" s="416"/>
      <c r="GB29" s="416"/>
      <c r="GC29" s="416"/>
      <c r="GD29" s="416"/>
      <c r="GE29" s="416"/>
      <c r="GF29" s="416"/>
      <c r="GG29" s="416"/>
      <c r="GH29" s="416"/>
      <c r="GI29" s="416"/>
      <c r="GJ29" s="416"/>
      <c r="GK29" s="416"/>
      <c r="GL29" s="416"/>
      <c r="GM29" s="416"/>
      <c r="GN29" s="416"/>
      <c r="GO29" s="416"/>
      <c r="GP29" s="416"/>
      <c r="GQ29" s="416"/>
      <c r="GR29" s="416"/>
      <c r="GS29" s="416"/>
      <c r="GT29" s="416"/>
      <c r="GU29" s="416"/>
      <c r="GV29" s="416"/>
      <c r="GW29" s="416"/>
      <c r="GX29" s="416"/>
      <c r="GY29" s="416"/>
      <c r="GZ29" s="416"/>
      <c r="HA29" s="416"/>
      <c r="HB29" s="416"/>
      <c r="HC29" s="416"/>
      <c r="HD29" s="416"/>
      <c r="HE29" s="416"/>
      <c r="HF29" s="416"/>
      <c r="HG29" s="416"/>
      <c r="HH29" s="416"/>
      <c r="HI29" s="416"/>
      <c r="HJ29" s="416"/>
      <c r="HK29" s="416"/>
      <c r="HL29" s="416"/>
      <c r="HM29" s="416"/>
      <c r="HN29" s="416"/>
      <c r="HO29" s="416"/>
      <c r="HP29" s="416"/>
      <c r="HQ29" s="416"/>
      <c r="HR29" s="416"/>
      <c r="HS29" s="416"/>
      <c r="HT29" s="416"/>
      <c r="HU29" s="416"/>
      <c r="HV29" s="416"/>
      <c r="HW29" s="416"/>
      <c r="HX29" s="416"/>
      <c r="HY29" s="416"/>
      <c r="HZ29" s="416"/>
      <c r="IA29" s="416"/>
      <c r="IB29" s="416"/>
      <c r="IC29" s="416"/>
      <c r="ID29" s="416"/>
      <c r="IE29" s="416"/>
      <c r="IF29" s="416"/>
      <c r="IG29" s="416"/>
      <c r="IH29" s="416"/>
      <c r="II29" s="416"/>
      <c r="IJ29" s="416"/>
      <c r="IK29" s="416"/>
      <c r="IL29" s="416"/>
      <c r="IM29" s="416"/>
      <c r="IN29" s="416"/>
      <c r="IO29" s="416"/>
      <c r="IP29" s="416"/>
      <c r="IQ29" s="416"/>
      <c r="IR29" s="416"/>
      <c r="IS29" s="416"/>
      <c r="IT29" s="416"/>
      <c r="IU29" s="416"/>
      <c r="IV29" s="416"/>
      <c r="IW29" s="416"/>
    </row>
    <row r="30" customFormat="false" ht="12.75" hidden="false" customHeight="false" outlineLevel="0" collapsed="false">
      <c r="A30" s="1289"/>
      <c r="B30" s="412"/>
      <c r="C30" s="1300" t="str">
        <f aca="false">+Internal!B106</f>
        <v>INTERCONNECTION COSTS</v>
      </c>
      <c r="D30" s="1302"/>
      <c r="E30" s="418" t="n">
        <f aca="false">+E25</f>
        <v>0</v>
      </c>
      <c r="F30" s="418" t="n">
        <f aca="false">+F25</f>
        <v>0</v>
      </c>
      <c r="G30" s="418" t="n">
        <f aca="false">+G25</f>
        <v>0</v>
      </c>
      <c r="H30" s="418" t="n">
        <f aca="false">+H25</f>
        <v>0</v>
      </c>
      <c r="I30" s="418" t="n">
        <f aca="false">+I25</f>
        <v>0</v>
      </c>
      <c r="J30" s="418" t="n">
        <f aca="false">+J25</f>
        <v>0.33</v>
      </c>
      <c r="K30" s="418" t="n">
        <f aca="false">+K25</f>
        <v>0.33</v>
      </c>
      <c r="L30" s="418" t="n">
        <f aca="false">+L25</f>
        <v>0.34</v>
      </c>
      <c r="M30" s="418" t="n">
        <f aca="false">+M25</f>
        <v>0</v>
      </c>
      <c r="N30" s="418" t="n">
        <f aca="false">+N25</f>
        <v>0</v>
      </c>
      <c r="O30" s="418" t="n">
        <f aca="false">+O25</f>
        <v>0</v>
      </c>
      <c r="P30" s="418" t="n">
        <f aca="false">+P25</f>
        <v>0</v>
      </c>
      <c r="Q30" s="418" t="n">
        <f aca="false">+Q25</f>
        <v>0</v>
      </c>
      <c r="R30" s="418" t="n">
        <f aca="false">+R25</f>
        <v>0</v>
      </c>
      <c r="S30" s="418" t="n">
        <f aca="false">+S25</f>
        <v>0</v>
      </c>
      <c r="T30" s="418" t="n">
        <f aca="false">+T25</f>
        <v>0</v>
      </c>
      <c r="U30" s="414" t="n">
        <f aca="false">SUM(E30:T30)</f>
        <v>1</v>
      </c>
      <c r="V30" s="415"/>
      <c r="W30" s="415"/>
      <c r="X30" s="415"/>
      <c r="Y30" s="415"/>
      <c r="Z30" s="415"/>
      <c r="AA30" s="415"/>
      <c r="AB30" s="415"/>
      <c r="AC30" s="415"/>
      <c r="AD30" s="415"/>
      <c r="AE30" s="415"/>
      <c r="AF30" s="415"/>
      <c r="AG30" s="415"/>
      <c r="AH30" s="415"/>
      <c r="AI30" s="415"/>
      <c r="AJ30" s="415"/>
      <c r="AK30" s="415"/>
      <c r="AL30" s="415"/>
      <c r="AM30" s="415"/>
      <c r="AN30" s="415"/>
      <c r="AO30" s="415"/>
      <c r="AP30" s="415"/>
      <c r="AQ30" s="415"/>
      <c r="AR30" s="415"/>
      <c r="AS30" s="415"/>
      <c r="AT30" s="415"/>
      <c r="AU30" s="415"/>
      <c r="AV30" s="415"/>
      <c r="AW30" s="415"/>
      <c r="AX30" s="415"/>
      <c r="AY30" s="415"/>
      <c r="AZ30" s="415"/>
      <c r="BA30" s="415"/>
      <c r="BB30" s="415"/>
      <c r="BC30" s="415"/>
      <c r="BD30" s="415"/>
      <c r="BE30" s="415"/>
      <c r="BF30" s="415"/>
      <c r="BG30" s="415"/>
      <c r="BH30" s="415"/>
      <c r="BI30" s="415"/>
      <c r="BJ30" s="415"/>
      <c r="BK30" s="415"/>
      <c r="BL30" s="415"/>
      <c r="BM30" s="415"/>
      <c r="BN30" s="415"/>
      <c r="BO30" s="415"/>
      <c r="BP30" s="415"/>
      <c r="BQ30" s="415"/>
      <c r="BR30" s="415"/>
      <c r="BS30" s="415"/>
      <c r="BT30" s="415"/>
      <c r="BU30" s="415"/>
      <c r="BV30" s="415"/>
      <c r="BW30" s="415"/>
      <c r="BX30" s="415"/>
      <c r="BY30" s="415"/>
      <c r="BZ30" s="415"/>
      <c r="CA30" s="415"/>
      <c r="CB30" s="415"/>
      <c r="CC30" s="415"/>
      <c r="CD30" s="415"/>
      <c r="CE30" s="415"/>
      <c r="CF30" s="415"/>
      <c r="CG30" s="415"/>
      <c r="CH30" s="415"/>
      <c r="CI30" s="415"/>
      <c r="CJ30" s="415"/>
      <c r="CK30" s="415"/>
      <c r="CL30" s="415"/>
      <c r="CM30" s="415"/>
      <c r="CN30" s="415"/>
      <c r="CO30" s="415"/>
      <c r="CP30" s="415"/>
      <c r="CQ30" s="415"/>
      <c r="CR30" s="415"/>
      <c r="CS30" s="415"/>
      <c r="CT30" s="415"/>
      <c r="CU30" s="415"/>
      <c r="CV30" s="415"/>
      <c r="CW30" s="415"/>
      <c r="CX30" s="415"/>
      <c r="CY30" s="415"/>
      <c r="CZ30" s="415"/>
      <c r="DA30" s="415"/>
      <c r="DB30" s="415"/>
      <c r="DC30" s="415"/>
      <c r="DD30" s="415"/>
      <c r="DE30" s="415"/>
      <c r="DF30" s="415"/>
      <c r="DG30" s="415"/>
      <c r="DH30" s="415"/>
      <c r="DI30" s="415"/>
      <c r="DJ30" s="415"/>
      <c r="DK30" s="415"/>
      <c r="DL30" s="415"/>
      <c r="DM30" s="415"/>
      <c r="DN30" s="415"/>
      <c r="DO30" s="415"/>
      <c r="DP30" s="415"/>
      <c r="DQ30" s="415"/>
      <c r="DR30" s="415"/>
      <c r="DS30" s="415"/>
      <c r="DT30" s="415"/>
      <c r="DU30" s="415"/>
      <c r="DV30" s="415"/>
      <c r="DW30" s="415"/>
      <c r="DX30" s="415"/>
      <c r="DY30" s="415"/>
      <c r="DZ30" s="415"/>
      <c r="EA30" s="415"/>
      <c r="EB30" s="415"/>
      <c r="EC30" s="415"/>
      <c r="ED30" s="415"/>
      <c r="EE30" s="415"/>
      <c r="EF30" s="415"/>
      <c r="EG30" s="415"/>
      <c r="EH30" s="415"/>
      <c r="EI30" s="415"/>
      <c r="EJ30" s="415"/>
      <c r="EK30" s="415"/>
      <c r="EL30" s="415"/>
      <c r="EM30" s="416"/>
      <c r="EN30" s="416"/>
      <c r="EO30" s="416"/>
      <c r="EP30" s="416"/>
      <c r="EQ30" s="416"/>
      <c r="ER30" s="416"/>
      <c r="ES30" s="416"/>
      <c r="ET30" s="416"/>
      <c r="EU30" s="416"/>
      <c r="EV30" s="416"/>
      <c r="EW30" s="416"/>
      <c r="EX30" s="416"/>
      <c r="EY30" s="416"/>
      <c r="EZ30" s="416"/>
      <c r="FA30" s="416"/>
      <c r="FB30" s="416"/>
      <c r="FC30" s="416"/>
      <c r="FD30" s="416"/>
      <c r="FE30" s="416"/>
      <c r="FF30" s="416"/>
      <c r="FG30" s="416"/>
      <c r="FH30" s="416"/>
      <c r="FI30" s="416"/>
      <c r="FJ30" s="416"/>
      <c r="FK30" s="416"/>
      <c r="FL30" s="416"/>
      <c r="FM30" s="416"/>
      <c r="FN30" s="416"/>
      <c r="FO30" s="416"/>
      <c r="FP30" s="416"/>
      <c r="FQ30" s="416"/>
      <c r="FR30" s="416"/>
      <c r="FS30" s="416"/>
      <c r="FT30" s="416"/>
      <c r="FU30" s="416"/>
      <c r="FV30" s="416"/>
      <c r="FW30" s="416"/>
      <c r="FX30" s="416"/>
      <c r="FY30" s="416"/>
      <c r="FZ30" s="416"/>
      <c r="GA30" s="416"/>
      <c r="GB30" s="416"/>
      <c r="GC30" s="416"/>
      <c r="GD30" s="416"/>
      <c r="GE30" s="416"/>
      <c r="GF30" s="416"/>
      <c r="GG30" s="416"/>
      <c r="GH30" s="416"/>
      <c r="GI30" s="416"/>
      <c r="GJ30" s="416"/>
      <c r="GK30" s="416"/>
      <c r="GL30" s="416"/>
      <c r="GM30" s="416"/>
      <c r="GN30" s="416"/>
      <c r="GO30" s="416"/>
      <c r="GP30" s="416"/>
      <c r="GQ30" s="416"/>
      <c r="GR30" s="416"/>
      <c r="GS30" s="416"/>
      <c r="GT30" s="416"/>
      <c r="GU30" s="416"/>
      <c r="GV30" s="416"/>
      <c r="GW30" s="416"/>
      <c r="GX30" s="416"/>
      <c r="GY30" s="416"/>
      <c r="GZ30" s="416"/>
      <c r="HA30" s="416"/>
      <c r="HB30" s="416"/>
      <c r="HC30" s="416"/>
      <c r="HD30" s="416"/>
      <c r="HE30" s="416"/>
      <c r="HF30" s="416"/>
      <c r="HG30" s="416"/>
      <c r="HH30" s="416"/>
      <c r="HI30" s="416"/>
      <c r="HJ30" s="416"/>
      <c r="HK30" s="416"/>
      <c r="HL30" s="416"/>
      <c r="HM30" s="416"/>
      <c r="HN30" s="416"/>
      <c r="HO30" s="416"/>
      <c r="HP30" s="416"/>
      <c r="HQ30" s="416"/>
      <c r="HR30" s="416"/>
      <c r="HS30" s="416"/>
      <c r="HT30" s="416"/>
      <c r="HU30" s="416"/>
      <c r="HV30" s="416"/>
      <c r="HW30" s="416"/>
      <c r="HX30" s="416"/>
      <c r="HY30" s="416"/>
      <c r="HZ30" s="416"/>
      <c r="IA30" s="416"/>
      <c r="IB30" s="416"/>
      <c r="IC30" s="416"/>
      <c r="ID30" s="416"/>
      <c r="IE30" s="416"/>
      <c r="IF30" s="416"/>
      <c r="IG30" s="416"/>
      <c r="IH30" s="416"/>
      <c r="II30" s="416"/>
      <c r="IJ30" s="416"/>
      <c r="IK30" s="416"/>
      <c r="IL30" s="416"/>
      <c r="IM30" s="416"/>
      <c r="IN30" s="416"/>
      <c r="IO30" s="416"/>
      <c r="IP30" s="416"/>
      <c r="IQ30" s="416"/>
      <c r="IR30" s="416"/>
      <c r="IS30" s="416"/>
      <c r="IT30" s="416"/>
      <c r="IU30" s="416"/>
      <c r="IV30" s="416"/>
      <c r="IW30" s="416"/>
    </row>
    <row r="31" customFormat="false" ht="12.75" hidden="false" customHeight="false" outlineLevel="0" collapsed="false">
      <c r="A31" s="1289"/>
      <c r="B31" s="412"/>
      <c r="C31" s="1300" t="str">
        <f aca="false">+Internal!B107</f>
        <v>OTHER CONSTRUCTION COSTS</v>
      </c>
      <c r="D31" s="1302"/>
      <c r="E31" s="418" t="n">
        <f aca="false">+E24</f>
        <v>0</v>
      </c>
      <c r="F31" s="418" t="n">
        <f aca="false">+F24</f>
        <v>0</v>
      </c>
      <c r="G31" s="418" t="n">
        <f aca="false">+G24</f>
        <v>0</v>
      </c>
      <c r="H31" s="418" t="n">
        <f aca="false">+H24</f>
        <v>0.25</v>
      </c>
      <c r="I31" s="418" t="n">
        <f aca="false">+I24</f>
        <v>0.25</v>
      </c>
      <c r="J31" s="418" t="n">
        <f aca="false">+J24</f>
        <v>0.25</v>
      </c>
      <c r="K31" s="418" t="n">
        <f aca="false">+K24</f>
        <v>0.25</v>
      </c>
      <c r="L31" s="418" t="n">
        <f aca="false">+L24</f>
        <v>0</v>
      </c>
      <c r="M31" s="418" t="n">
        <f aca="false">+M24</f>
        <v>0</v>
      </c>
      <c r="N31" s="418" t="n">
        <f aca="false">+N24</f>
        <v>0</v>
      </c>
      <c r="O31" s="418" t="n">
        <f aca="false">+O24</f>
        <v>0</v>
      </c>
      <c r="P31" s="418" t="n">
        <f aca="false">+P24</f>
        <v>0</v>
      </c>
      <c r="Q31" s="418" t="n">
        <f aca="false">+Q24</f>
        <v>0</v>
      </c>
      <c r="R31" s="418" t="n">
        <f aca="false">+R24</f>
        <v>0</v>
      </c>
      <c r="S31" s="418" t="n">
        <f aca="false">+S24</f>
        <v>0</v>
      </c>
      <c r="T31" s="418" t="n">
        <f aca="false">+T24</f>
        <v>0</v>
      </c>
      <c r="U31" s="414" t="n">
        <f aca="false">SUM(E31:T31)</f>
        <v>1</v>
      </c>
      <c r="V31" s="415"/>
      <c r="W31" s="415"/>
      <c r="X31" s="415"/>
      <c r="Y31" s="415"/>
      <c r="Z31" s="415"/>
      <c r="AA31" s="415"/>
      <c r="AB31" s="415"/>
      <c r="AC31" s="415"/>
      <c r="AD31" s="415"/>
      <c r="AE31" s="415"/>
      <c r="AF31" s="415"/>
      <c r="AG31" s="415"/>
      <c r="AH31" s="415"/>
      <c r="AI31" s="415"/>
      <c r="AJ31" s="415"/>
      <c r="AK31" s="415"/>
      <c r="AL31" s="415"/>
      <c r="AM31" s="415"/>
      <c r="AN31" s="415"/>
      <c r="AO31" s="415"/>
      <c r="AP31" s="415"/>
      <c r="AQ31" s="415"/>
      <c r="AR31" s="415"/>
      <c r="AS31" s="415"/>
      <c r="AT31" s="415"/>
      <c r="AU31" s="415"/>
      <c r="AV31" s="415"/>
      <c r="AW31" s="415"/>
      <c r="AX31" s="415"/>
      <c r="AY31" s="415"/>
      <c r="AZ31" s="415"/>
      <c r="BA31" s="415"/>
      <c r="BB31" s="415"/>
      <c r="BC31" s="415"/>
      <c r="BD31" s="415"/>
      <c r="BE31" s="415"/>
      <c r="BF31" s="415"/>
      <c r="BG31" s="415"/>
      <c r="BH31" s="415"/>
      <c r="BI31" s="415"/>
      <c r="BJ31" s="415"/>
      <c r="BK31" s="415"/>
      <c r="BL31" s="415"/>
      <c r="BM31" s="415"/>
      <c r="BN31" s="415"/>
      <c r="BO31" s="415"/>
      <c r="BP31" s="415"/>
      <c r="BQ31" s="415"/>
      <c r="BR31" s="415"/>
      <c r="BS31" s="415"/>
      <c r="BT31" s="415"/>
      <c r="BU31" s="415"/>
      <c r="BV31" s="415"/>
      <c r="BW31" s="415"/>
      <c r="BX31" s="415"/>
      <c r="BY31" s="415"/>
      <c r="BZ31" s="415"/>
      <c r="CA31" s="415"/>
      <c r="CB31" s="415"/>
      <c r="CC31" s="415"/>
      <c r="CD31" s="415"/>
      <c r="CE31" s="415"/>
      <c r="CF31" s="415"/>
      <c r="CG31" s="415"/>
      <c r="CH31" s="415"/>
      <c r="CI31" s="415"/>
      <c r="CJ31" s="415"/>
      <c r="CK31" s="415"/>
      <c r="CL31" s="415"/>
      <c r="CM31" s="415"/>
      <c r="CN31" s="415"/>
      <c r="CO31" s="415"/>
      <c r="CP31" s="415"/>
      <c r="CQ31" s="415"/>
      <c r="CR31" s="415"/>
      <c r="CS31" s="415"/>
      <c r="CT31" s="415"/>
      <c r="CU31" s="415"/>
      <c r="CV31" s="415"/>
      <c r="CW31" s="415"/>
      <c r="CX31" s="415"/>
      <c r="CY31" s="415"/>
      <c r="CZ31" s="415"/>
      <c r="DA31" s="415"/>
      <c r="DB31" s="415"/>
      <c r="DC31" s="415"/>
      <c r="DD31" s="415"/>
      <c r="DE31" s="415"/>
      <c r="DF31" s="415"/>
      <c r="DG31" s="415"/>
      <c r="DH31" s="415"/>
      <c r="DI31" s="415"/>
      <c r="DJ31" s="415"/>
      <c r="DK31" s="415"/>
      <c r="DL31" s="415"/>
      <c r="DM31" s="415"/>
      <c r="DN31" s="415"/>
      <c r="DO31" s="415"/>
      <c r="DP31" s="415"/>
      <c r="DQ31" s="415"/>
      <c r="DR31" s="415"/>
      <c r="DS31" s="415"/>
      <c r="DT31" s="415"/>
      <c r="DU31" s="415"/>
      <c r="DV31" s="415"/>
      <c r="DW31" s="415"/>
      <c r="DX31" s="415"/>
      <c r="DY31" s="415"/>
      <c r="DZ31" s="415"/>
      <c r="EA31" s="415"/>
      <c r="EB31" s="415"/>
      <c r="EC31" s="415"/>
      <c r="ED31" s="415"/>
      <c r="EE31" s="415"/>
      <c r="EF31" s="415"/>
      <c r="EG31" s="415"/>
      <c r="EH31" s="415"/>
      <c r="EI31" s="415"/>
      <c r="EJ31" s="415"/>
      <c r="EK31" s="415"/>
      <c r="EL31" s="415"/>
      <c r="EM31" s="416"/>
      <c r="EN31" s="416"/>
      <c r="EO31" s="416"/>
      <c r="EP31" s="416"/>
      <c r="EQ31" s="416"/>
      <c r="ER31" s="416"/>
      <c r="ES31" s="416"/>
      <c r="ET31" s="416"/>
      <c r="EU31" s="416"/>
      <c r="EV31" s="416"/>
      <c r="EW31" s="416"/>
      <c r="EX31" s="416"/>
      <c r="EY31" s="416"/>
      <c r="EZ31" s="416"/>
      <c r="FA31" s="416"/>
      <c r="FB31" s="416"/>
      <c r="FC31" s="416"/>
      <c r="FD31" s="416"/>
      <c r="FE31" s="416"/>
      <c r="FF31" s="416"/>
      <c r="FG31" s="416"/>
      <c r="FH31" s="416"/>
      <c r="FI31" s="416"/>
      <c r="FJ31" s="416"/>
      <c r="FK31" s="416"/>
      <c r="FL31" s="416"/>
      <c r="FM31" s="416"/>
      <c r="FN31" s="416"/>
      <c r="FO31" s="416"/>
      <c r="FP31" s="416"/>
      <c r="FQ31" s="416"/>
      <c r="FR31" s="416"/>
      <c r="FS31" s="416"/>
      <c r="FT31" s="416"/>
      <c r="FU31" s="416"/>
      <c r="FV31" s="416"/>
      <c r="FW31" s="416"/>
      <c r="FX31" s="416"/>
      <c r="FY31" s="416"/>
      <c r="FZ31" s="416"/>
      <c r="GA31" s="416"/>
      <c r="GB31" s="416"/>
      <c r="GC31" s="416"/>
      <c r="GD31" s="416"/>
      <c r="GE31" s="416"/>
      <c r="GF31" s="416"/>
      <c r="GG31" s="416"/>
      <c r="GH31" s="416"/>
      <c r="GI31" s="416"/>
      <c r="GJ31" s="416"/>
      <c r="GK31" s="416"/>
      <c r="GL31" s="416"/>
      <c r="GM31" s="416"/>
      <c r="GN31" s="416"/>
      <c r="GO31" s="416"/>
      <c r="GP31" s="416"/>
      <c r="GQ31" s="416"/>
      <c r="GR31" s="416"/>
      <c r="GS31" s="416"/>
      <c r="GT31" s="416"/>
      <c r="GU31" s="416"/>
      <c r="GV31" s="416"/>
      <c r="GW31" s="416"/>
      <c r="GX31" s="416"/>
      <c r="GY31" s="416"/>
      <c r="GZ31" s="416"/>
      <c r="HA31" s="416"/>
      <c r="HB31" s="416"/>
      <c r="HC31" s="416"/>
      <c r="HD31" s="416"/>
      <c r="HE31" s="416"/>
      <c r="HF31" s="416"/>
      <c r="HG31" s="416"/>
      <c r="HH31" s="416"/>
      <c r="HI31" s="416"/>
      <c r="HJ31" s="416"/>
      <c r="HK31" s="416"/>
      <c r="HL31" s="416"/>
      <c r="HM31" s="416"/>
      <c r="HN31" s="416"/>
      <c r="HO31" s="416"/>
      <c r="HP31" s="416"/>
      <c r="HQ31" s="416"/>
      <c r="HR31" s="416"/>
      <c r="HS31" s="416"/>
      <c r="HT31" s="416"/>
      <c r="HU31" s="416"/>
      <c r="HV31" s="416"/>
      <c r="HW31" s="416"/>
      <c r="HX31" s="416"/>
      <c r="HY31" s="416"/>
      <c r="HZ31" s="416"/>
      <c r="IA31" s="416"/>
      <c r="IB31" s="416"/>
      <c r="IC31" s="416"/>
      <c r="ID31" s="416"/>
      <c r="IE31" s="416"/>
      <c r="IF31" s="416"/>
      <c r="IG31" s="416"/>
      <c r="IH31" s="416"/>
      <c r="II31" s="416"/>
      <c r="IJ31" s="416"/>
      <c r="IK31" s="416"/>
      <c r="IL31" s="416"/>
      <c r="IM31" s="416"/>
      <c r="IN31" s="416"/>
      <c r="IO31" s="416"/>
      <c r="IP31" s="416"/>
      <c r="IQ31" s="416"/>
      <c r="IR31" s="416"/>
      <c r="IS31" s="416"/>
      <c r="IT31" s="416"/>
      <c r="IU31" s="416"/>
      <c r="IV31" s="416"/>
      <c r="IW31" s="416"/>
    </row>
    <row r="32" customFormat="false" ht="12.75" hidden="false" customHeight="false" outlineLevel="0" collapsed="false">
      <c r="A32" s="1289"/>
      <c r="B32" s="412"/>
      <c r="C32" s="1300" t="str">
        <f aca="false">+Srcs_Uses!B18</f>
        <v>CONSTRUCTION INTEREST</v>
      </c>
      <c r="D32" s="1302"/>
      <c r="E32" s="418" t="n">
        <f aca="false">+E30</f>
        <v>0</v>
      </c>
      <c r="F32" s="418" t="n">
        <f aca="false">+F30</f>
        <v>0</v>
      </c>
      <c r="G32" s="418" t="n">
        <f aca="false">+G30</f>
        <v>0</v>
      </c>
      <c r="H32" s="418" t="n">
        <f aca="false">+H30</f>
        <v>0</v>
      </c>
      <c r="I32" s="418" t="n">
        <v>0</v>
      </c>
      <c r="J32" s="418" t="n">
        <f aca="false">+J30</f>
        <v>0.33</v>
      </c>
      <c r="K32" s="418" t="n">
        <f aca="false">+K30</f>
        <v>0.33</v>
      </c>
      <c r="L32" s="418" t="n">
        <f aca="false">+L30</f>
        <v>0.34</v>
      </c>
      <c r="M32" s="418" t="n">
        <f aca="false">+M30</f>
        <v>0</v>
      </c>
      <c r="N32" s="418" t="n">
        <f aca="false">+N30</f>
        <v>0</v>
      </c>
      <c r="O32" s="418" t="n">
        <f aca="false">+O30</f>
        <v>0</v>
      </c>
      <c r="P32" s="418" t="n">
        <f aca="false">+P30</f>
        <v>0</v>
      </c>
      <c r="Q32" s="418" t="n">
        <f aca="false">+Q30</f>
        <v>0</v>
      </c>
      <c r="R32" s="418" t="n">
        <f aca="false">+R30</f>
        <v>0</v>
      </c>
      <c r="S32" s="418" t="n">
        <f aca="false">+S30</f>
        <v>0</v>
      </c>
      <c r="T32" s="418" t="n">
        <f aca="false">+T30</f>
        <v>0</v>
      </c>
      <c r="U32" s="414" t="n">
        <f aca="false">SUM(E32:T32)</f>
        <v>1</v>
      </c>
      <c r="V32" s="415"/>
      <c r="W32" s="415"/>
      <c r="X32" s="415"/>
      <c r="Y32" s="415"/>
      <c r="Z32" s="415"/>
      <c r="AA32" s="415"/>
      <c r="AB32" s="415"/>
      <c r="AC32" s="415"/>
      <c r="AD32" s="415"/>
      <c r="AE32" s="415"/>
      <c r="AF32" s="415"/>
      <c r="AG32" s="415"/>
      <c r="AH32" s="415"/>
      <c r="AI32" s="415"/>
      <c r="AJ32" s="415"/>
      <c r="AK32" s="415"/>
      <c r="AL32" s="415"/>
      <c r="AM32" s="415"/>
      <c r="AN32" s="415"/>
      <c r="AO32" s="415"/>
      <c r="AP32" s="415"/>
      <c r="AQ32" s="415"/>
      <c r="AR32" s="415"/>
      <c r="AS32" s="415"/>
      <c r="AT32" s="415"/>
      <c r="AU32" s="415"/>
      <c r="AV32" s="415"/>
      <c r="AW32" s="415"/>
      <c r="AX32" s="415"/>
      <c r="AY32" s="415"/>
      <c r="AZ32" s="415"/>
      <c r="BA32" s="415"/>
      <c r="BB32" s="415"/>
      <c r="BC32" s="415"/>
      <c r="BD32" s="415"/>
      <c r="BE32" s="415"/>
      <c r="BF32" s="415"/>
      <c r="BG32" s="415"/>
      <c r="BH32" s="415"/>
      <c r="BI32" s="415"/>
      <c r="BJ32" s="415"/>
      <c r="BK32" s="415"/>
      <c r="BL32" s="415"/>
      <c r="BM32" s="415"/>
      <c r="BN32" s="415"/>
      <c r="BO32" s="415"/>
      <c r="BP32" s="415"/>
      <c r="BQ32" s="415"/>
      <c r="BR32" s="415"/>
      <c r="BS32" s="415"/>
      <c r="BT32" s="415"/>
      <c r="BU32" s="415"/>
      <c r="BV32" s="415"/>
      <c r="BW32" s="415"/>
      <c r="BX32" s="415"/>
      <c r="BY32" s="415"/>
      <c r="BZ32" s="415"/>
      <c r="CA32" s="415"/>
      <c r="CB32" s="415"/>
      <c r="CC32" s="415"/>
      <c r="CD32" s="415"/>
      <c r="CE32" s="415"/>
      <c r="CF32" s="415"/>
      <c r="CG32" s="415"/>
      <c r="CH32" s="415"/>
      <c r="CI32" s="415"/>
      <c r="CJ32" s="415"/>
      <c r="CK32" s="415"/>
      <c r="CL32" s="415"/>
      <c r="CM32" s="415"/>
      <c r="CN32" s="415"/>
      <c r="CO32" s="415"/>
      <c r="CP32" s="415"/>
      <c r="CQ32" s="415"/>
      <c r="CR32" s="415"/>
      <c r="CS32" s="415"/>
      <c r="CT32" s="415"/>
      <c r="CU32" s="415"/>
      <c r="CV32" s="415"/>
      <c r="CW32" s="415"/>
      <c r="CX32" s="415"/>
      <c r="CY32" s="415"/>
      <c r="CZ32" s="415"/>
      <c r="DA32" s="415"/>
      <c r="DB32" s="415"/>
      <c r="DC32" s="415"/>
      <c r="DD32" s="415"/>
      <c r="DE32" s="415"/>
      <c r="DF32" s="415"/>
      <c r="DG32" s="415"/>
      <c r="DH32" s="415"/>
      <c r="DI32" s="415"/>
      <c r="DJ32" s="415"/>
      <c r="DK32" s="415"/>
      <c r="DL32" s="415"/>
      <c r="DM32" s="415"/>
      <c r="DN32" s="415"/>
      <c r="DO32" s="415"/>
      <c r="DP32" s="415"/>
      <c r="DQ32" s="415"/>
      <c r="DR32" s="415"/>
      <c r="DS32" s="415"/>
      <c r="DT32" s="415"/>
      <c r="DU32" s="415"/>
      <c r="DV32" s="415"/>
      <c r="DW32" s="415"/>
      <c r="DX32" s="415"/>
      <c r="DY32" s="415"/>
      <c r="DZ32" s="415"/>
      <c r="EA32" s="415"/>
      <c r="EB32" s="415"/>
      <c r="EC32" s="415"/>
      <c r="ED32" s="415"/>
      <c r="EE32" s="415"/>
      <c r="EF32" s="415"/>
      <c r="EG32" s="415"/>
      <c r="EH32" s="415"/>
      <c r="EI32" s="415"/>
      <c r="EJ32" s="415"/>
      <c r="EK32" s="415"/>
      <c r="EL32" s="415"/>
      <c r="EM32" s="416"/>
      <c r="EN32" s="416"/>
      <c r="EO32" s="416"/>
      <c r="EP32" s="416"/>
      <c r="EQ32" s="416"/>
      <c r="ER32" s="416"/>
      <c r="ES32" s="416"/>
      <c r="ET32" s="416"/>
      <c r="EU32" s="416"/>
      <c r="EV32" s="416"/>
      <c r="EW32" s="416"/>
      <c r="EX32" s="416"/>
      <c r="EY32" s="416"/>
      <c r="EZ32" s="416"/>
      <c r="FA32" s="416"/>
      <c r="FB32" s="416"/>
      <c r="FC32" s="416"/>
      <c r="FD32" s="416"/>
      <c r="FE32" s="416"/>
      <c r="FF32" s="416"/>
      <c r="FG32" s="416"/>
      <c r="FH32" s="416"/>
      <c r="FI32" s="416"/>
      <c r="FJ32" s="416"/>
      <c r="FK32" s="416"/>
      <c r="FL32" s="416"/>
      <c r="FM32" s="416"/>
      <c r="FN32" s="416"/>
      <c r="FO32" s="416"/>
      <c r="FP32" s="416"/>
      <c r="FQ32" s="416"/>
      <c r="FR32" s="416"/>
      <c r="FS32" s="416"/>
      <c r="FT32" s="416"/>
      <c r="FU32" s="416"/>
      <c r="FV32" s="416"/>
      <c r="FW32" s="416"/>
      <c r="FX32" s="416"/>
      <c r="FY32" s="416"/>
      <c r="FZ32" s="416"/>
      <c r="GA32" s="416"/>
      <c r="GB32" s="416"/>
      <c r="GC32" s="416"/>
      <c r="GD32" s="416"/>
      <c r="GE32" s="416"/>
      <c r="GF32" s="416"/>
      <c r="GG32" s="416"/>
      <c r="GH32" s="416"/>
      <c r="GI32" s="416"/>
      <c r="GJ32" s="416"/>
      <c r="GK32" s="416"/>
      <c r="GL32" s="416"/>
      <c r="GM32" s="416"/>
      <c r="GN32" s="416"/>
      <c r="GO32" s="416"/>
      <c r="GP32" s="416"/>
      <c r="GQ32" s="416"/>
      <c r="GR32" s="416"/>
      <c r="GS32" s="416"/>
      <c r="GT32" s="416"/>
      <c r="GU32" s="416"/>
      <c r="GV32" s="416"/>
      <c r="GW32" s="416"/>
      <c r="GX32" s="416"/>
      <c r="GY32" s="416"/>
      <c r="GZ32" s="416"/>
      <c r="HA32" s="416"/>
      <c r="HB32" s="416"/>
      <c r="HC32" s="416"/>
      <c r="HD32" s="416"/>
      <c r="HE32" s="416"/>
      <c r="HF32" s="416"/>
      <c r="HG32" s="416"/>
      <c r="HH32" s="416"/>
      <c r="HI32" s="416"/>
      <c r="HJ32" s="416"/>
      <c r="HK32" s="416"/>
      <c r="HL32" s="416"/>
      <c r="HM32" s="416"/>
      <c r="HN32" s="416"/>
      <c r="HO32" s="416"/>
      <c r="HP32" s="416"/>
      <c r="HQ32" s="416"/>
      <c r="HR32" s="416"/>
      <c r="HS32" s="416"/>
      <c r="HT32" s="416"/>
      <c r="HU32" s="416"/>
      <c r="HV32" s="416"/>
      <c r="HW32" s="416"/>
      <c r="HX32" s="416"/>
      <c r="HY32" s="416"/>
      <c r="HZ32" s="416"/>
      <c r="IA32" s="416"/>
      <c r="IB32" s="416"/>
      <c r="IC32" s="416"/>
      <c r="ID32" s="416"/>
      <c r="IE32" s="416"/>
      <c r="IF32" s="416"/>
      <c r="IG32" s="416"/>
      <c r="IH32" s="416"/>
      <c r="II32" s="416"/>
      <c r="IJ32" s="416"/>
      <c r="IK32" s="416"/>
      <c r="IL32" s="416"/>
      <c r="IM32" s="416"/>
      <c r="IN32" s="416"/>
      <c r="IO32" s="416"/>
      <c r="IP32" s="416"/>
      <c r="IQ32" s="416"/>
      <c r="IR32" s="416"/>
      <c r="IS32" s="416"/>
      <c r="IT32" s="416"/>
      <c r="IU32" s="416"/>
      <c r="IV32" s="416"/>
      <c r="IW32" s="416"/>
    </row>
    <row r="33" customFormat="false" ht="12.75" hidden="false" customHeight="false" outlineLevel="0" collapsed="false">
      <c r="A33" s="1289"/>
      <c r="B33" s="412"/>
      <c r="C33" s="1300" t="str">
        <f aca="false">+Internal!B112</f>
        <v>EWC DEVELOPER FEE</v>
      </c>
      <c r="D33" s="1302"/>
      <c r="E33" s="418" t="n">
        <v>0</v>
      </c>
      <c r="F33" s="414"/>
      <c r="G33" s="414"/>
      <c r="H33" s="414"/>
      <c r="I33" s="414"/>
      <c r="J33" s="414"/>
      <c r="K33" s="414" t="n">
        <v>0</v>
      </c>
      <c r="L33" s="414" t="n">
        <v>1</v>
      </c>
      <c r="M33" s="414"/>
      <c r="N33" s="414"/>
      <c r="O33" s="414"/>
      <c r="P33" s="414"/>
      <c r="Q33" s="414"/>
      <c r="R33" s="414"/>
      <c r="S33" s="414"/>
      <c r="T33" s="414"/>
      <c r="U33" s="414" t="n">
        <f aca="false">SUM(E33:T33)</f>
        <v>1</v>
      </c>
      <c r="V33" s="415"/>
      <c r="W33" s="415"/>
      <c r="X33" s="415"/>
      <c r="Y33" s="415"/>
      <c r="Z33" s="415"/>
      <c r="AA33" s="415"/>
      <c r="AB33" s="415"/>
      <c r="AC33" s="415"/>
      <c r="AD33" s="415"/>
      <c r="AE33" s="415"/>
      <c r="AF33" s="415"/>
      <c r="AG33" s="415"/>
      <c r="AH33" s="415"/>
      <c r="AI33" s="415"/>
      <c r="AJ33" s="415"/>
      <c r="AK33" s="415"/>
      <c r="AL33" s="415"/>
      <c r="AM33" s="415"/>
      <c r="AN33" s="415"/>
      <c r="AO33" s="415"/>
      <c r="AP33" s="415"/>
      <c r="AQ33" s="415"/>
      <c r="AR33" s="415"/>
      <c r="AS33" s="415"/>
      <c r="AT33" s="415"/>
      <c r="AU33" s="415"/>
      <c r="AV33" s="415"/>
      <c r="AW33" s="415"/>
      <c r="AX33" s="415"/>
      <c r="AY33" s="415"/>
      <c r="AZ33" s="415"/>
      <c r="BA33" s="415"/>
      <c r="BB33" s="415"/>
      <c r="BC33" s="415"/>
      <c r="BD33" s="415"/>
      <c r="BE33" s="415"/>
      <c r="BF33" s="415"/>
      <c r="BG33" s="415"/>
      <c r="BH33" s="415"/>
      <c r="BI33" s="415"/>
      <c r="BJ33" s="415"/>
      <c r="BK33" s="415"/>
      <c r="BL33" s="415"/>
      <c r="BM33" s="415"/>
      <c r="BN33" s="415"/>
      <c r="BO33" s="415"/>
      <c r="BP33" s="415"/>
      <c r="BQ33" s="415"/>
      <c r="BR33" s="415"/>
      <c r="BS33" s="415"/>
      <c r="BT33" s="415"/>
      <c r="BU33" s="415"/>
      <c r="BV33" s="415"/>
      <c r="BW33" s="415"/>
      <c r="BX33" s="415"/>
      <c r="BY33" s="415"/>
      <c r="BZ33" s="415"/>
      <c r="CA33" s="415"/>
      <c r="CB33" s="415"/>
      <c r="CC33" s="415"/>
      <c r="CD33" s="415"/>
      <c r="CE33" s="415"/>
      <c r="CF33" s="415"/>
      <c r="CG33" s="415"/>
      <c r="CH33" s="415"/>
      <c r="CI33" s="415"/>
      <c r="CJ33" s="415"/>
      <c r="CK33" s="415"/>
      <c r="CL33" s="415"/>
      <c r="CM33" s="415"/>
      <c r="CN33" s="415"/>
      <c r="CO33" s="415"/>
      <c r="CP33" s="415"/>
      <c r="CQ33" s="415"/>
      <c r="CR33" s="415"/>
      <c r="CS33" s="415"/>
      <c r="CT33" s="415"/>
      <c r="CU33" s="415"/>
      <c r="CV33" s="415"/>
      <c r="CW33" s="415"/>
      <c r="CX33" s="415"/>
      <c r="CY33" s="415"/>
      <c r="CZ33" s="415"/>
      <c r="DA33" s="415"/>
      <c r="DB33" s="415"/>
      <c r="DC33" s="415"/>
      <c r="DD33" s="415"/>
      <c r="DE33" s="415"/>
      <c r="DF33" s="415"/>
      <c r="DG33" s="415"/>
      <c r="DH33" s="415"/>
      <c r="DI33" s="415"/>
      <c r="DJ33" s="415"/>
      <c r="DK33" s="415"/>
      <c r="DL33" s="415"/>
      <c r="DM33" s="415"/>
      <c r="DN33" s="415"/>
      <c r="DO33" s="415"/>
      <c r="DP33" s="415"/>
      <c r="DQ33" s="415"/>
      <c r="DR33" s="415"/>
      <c r="DS33" s="415"/>
      <c r="DT33" s="415"/>
      <c r="DU33" s="415"/>
      <c r="DV33" s="415"/>
      <c r="DW33" s="415"/>
      <c r="DX33" s="415"/>
      <c r="DY33" s="415"/>
      <c r="DZ33" s="415"/>
      <c r="EA33" s="415"/>
      <c r="EB33" s="415"/>
      <c r="EC33" s="415"/>
      <c r="ED33" s="415"/>
      <c r="EE33" s="415"/>
      <c r="EF33" s="415"/>
      <c r="EG33" s="415"/>
      <c r="EH33" s="415"/>
      <c r="EI33" s="415"/>
      <c r="EJ33" s="415"/>
      <c r="EK33" s="415"/>
      <c r="EL33" s="415"/>
      <c r="EM33" s="416"/>
      <c r="EN33" s="416"/>
      <c r="EO33" s="416"/>
      <c r="EP33" s="416"/>
      <c r="EQ33" s="416"/>
      <c r="ER33" s="416"/>
      <c r="ES33" s="416"/>
      <c r="ET33" s="416"/>
      <c r="EU33" s="416"/>
      <c r="EV33" s="416"/>
      <c r="EW33" s="416"/>
      <c r="EX33" s="416"/>
      <c r="EY33" s="416"/>
      <c r="EZ33" s="416"/>
      <c r="FA33" s="416"/>
      <c r="FB33" s="416"/>
      <c r="FC33" s="416"/>
      <c r="FD33" s="416"/>
      <c r="FE33" s="416"/>
      <c r="FF33" s="416"/>
      <c r="FG33" s="416"/>
      <c r="FH33" s="416"/>
      <c r="FI33" s="416"/>
      <c r="FJ33" s="416"/>
      <c r="FK33" s="416"/>
      <c r="FL33" s="416"/>
      <c r="FM33" s="416"/>
      <c r="FN33" s="416"/>
      <c r="FO33" s="416"/>
      <c r="FP33" s="416"/>
      <c r="FQ33" s="416"/>
      <c r="FR33" s="416"/>
      <c r="FS33" s="416"/>
      <c r="FT33" s="416"/>
      <c r="FU33" s="416"/>
      <c r="FV33" s="416"/>
      <c r="FW33" s="416"/>
      <c r="FX33" s="416"/>
      <c r="FY33" s="416"/>
      <c r="FZ33" s="416"/>
      <c r="GA33" s="416"/>
      <c r="GB33" s="416"/>
      <c r="GC33" s="416"/>
      <c r="GD33" s="416"/>
      <c r="GE33" s="416"/>
      <c r="GF33" s="416"/>
      <c r="GG33" s="416"/>
      <c r="GH33" s="416"/>
      <c r="GI33" s="416"/>
      <c r="GJ33" s="416"/>
      <c r="GK33" s="416"/>
      <c r="GL33" s="416"/>
      <c r="GM33" s="416"/>
      <c r="GN33" s="416"/>
      <c r="GO33" s="416"/>
      <c r="GP33" s="416"/>
      <c r="GQ33" s="416"/>
      <c r="GR33" s="416"/>
      <c r="GS33" s="416"/>
      <c r="GT33" s="416"/>
      <c r="GU33" s="416"/>
      <c r="GV33" s="416"/>
      <c r="GW33" s="416"/>
      <c r="GX33" s="416"/>
      <c r="GY33" s="416"/>
      <c r="GZ33" s="416"/>
      <c r="HA33" s="416"/>
      <c r="HB33" s="416"/>
      <c r="HC33" s="416"/>
      <c r="HD33" s="416"/>
      <c r="HE33" s="416"/>
      <c r="HF33" s="416"/>
      <c r="HG33" s="416"/>
      <c r="HH33" s="416"/>
      <c r="HI33" s="416"/>
      <c r="HJ33" s="416"/>
      <c r="HK33" s="416"/>
      <c r="HL33" s="416"/>
      <c r="HM33" s="416"/>
      <c r="HN33" s="416"/>
      <c r="HO33" s="416"/>
      <c r="HP33" s="416"/>
      <c r="HQ33" s="416"/>
      <c r="HR33" s="416"/>
      <c r="HS33" s="416"/>
      <c r="HT33" s="416"/>
      <c r="HU33" s="416"/>
      <c r="HV33" s="416"/>
      <c r="HW33" s="416"/>
      <c r="HX33" s="416"/>
      <c r="HY33" s="416"/>
      <c r="HZ33" s="416"/>
      <c r="IA33" s="416"/>
      <c r="IB33" s="416"/>
      <c r="IC33" s="416"/>
      <c r="ID33" s="416"/>
      <c r="IE33" s="416"/>
      <c r="IF33" s="416"/>
      <c r="IG33" s="416"/>
      <c r="IH33" s="416"/>
      <c r="II33" s="416"/>
      <c r="IJ33" s="416"/>
      <c r="IK33" s="416"/>
      <c r="IL33" s="416"/>
      <c r="IM33" s="416"/>
      <c r="IN33" s="416"/>
      <c r="IO33" s="416"/>
      <c r="IP33" s="416"/>
      <c r="IQ33" s="416"/>
      <c r="IR33" s="416"/>
      <c r="IS33" s="416"/>
      <c r="IT33" s="416"/>
      <c r="IU33" s="416"/>
      <c r="IV33" s="416"/>
      <c r="IW33" s="416"/>
    </row>
    <row r="34" customFormat="false" ht="12.75" hidden="false" customHeight="false" outlineLevel="0" collapsed="false">
      <c r="A34" s="1289"/>
      <c r="B34" s="412"/>
      <c r="C34" s="1300" t="str">
        <f aca="false">+Internal!B111</f>
        <v>EPC WRAP FEE</v>
      </c>
      <c r="D34" s="1302"/>
      <c r="E34" s="418" t="n">
        <v>0</v>
      </c>
      <c r="F34" s="414"/>
      <c r="G34" s="414"/>
      <c r="H34" s="414"/>
      <c r="I34" s="414"/>
      <c r="J34" s="414"/>
      <c r="K34" s="414"/>
      <c r="L34" s="414" t="n">
        <v>1</v>
      </c>
      <c r="M34" s="414"/>
      <c r="N34" s="414"/>
      <c r="O34" s="414"/>
      <c r="P34" s="414"/>
      <c r="Q34" s="414"/>
      <c r="R34" s="414"/>
      <c r="S34" s="414"/>
      <c r="T34" s="414"/>
      <c r="U34" s="414" t="n">
        <f aca="false">SUM(E34:T34)</f>
        <v>1</v>
      </c>
      <c r="V34" s="415"/>
      <c r="W34" s="415"/>
      <c r="X34" s="415"/>
      <c r="Y34" s="415"/>
      <c r="Z34" s="415"/>
      <c r="AA34" s="415"/>
      <c r="AB34" s="415"/>
      <c r="AC34" s="415"/>
      <c r="AD34" s="415"/>
      <c r="AE34" s="415"/>
      <c r="AF34" s="415"/>
      <c r="AG34" s="415"/>
      <c r="AH34" s="415"/>
      <c r="AI34" s="415"/>
      <c r="AJ34" s="415"/>
      <c r="AK34" s="415"/>
      <c r="AL34" s="415"/>
      <c r="AM34" s="415"/>
      <c r="AN34" s="415"/>
      <c r="AO34" s="415"/>
      <c r="AP34" s="415"/>
      <c r="AQ34" s="415"/>
      <c r="AR34" s="415"/>
      <c r="AS34" s="415"/>
      <c r="AT34" s="415"/>
      <c r="AU34" s="415"/>
      <c r="AV34" s="415"/>
      <c r="AW34" s="415"/>
      <c r="AX34" s="415"/>
      <c r="AY34" s="415"/>
      <c r="AZ34" s="415"/>
      <c r="BA34" s="415"/>
      <c r="BB34" s="415"/>
      <c r="BC34" s="415"/>
      <c r="BD34" s="415"/>
      <c r="BE34" s="415"/>
      <c r="BF34" s="415"/>
      <c r="BG34" s="415"/>
      <c r="BH34" s="415"/>
      <c r="BI34" s="415"/>
      <c r="BJ34" s="415"/>
      <c r="BK34" s="415"/>
      <c r="BL34" s="415"/>
      <c r="BM34" s="415"/>
      <c r="BN34" s="415"/>
      <c r="BO34" s="415"/>
      <c r="BP34" s="415"/>
      <c r="BQ34" s="415"/>
      <c r="BR34" s="415"/>
      <c r="BS34" s="415"/>
      <c r="BT34" s="415"/>
      <c r="BU34" s="415"/>
      <c r="BV34" s="415"/>
      <c r="BW34" s="415"/>
      <c r="BX34" s="415"/>
      <c r="BY34" s="415"/>
      <c r="BZ34" s="415"/>
      <c r="CA34" s="415"/>
      <c r="CB34" s="415"/>
      <c r="CC34" s="415"/>
      <c r="CD34" s="415"/>
      <c r="CE34" s="415"/>
      <c r="CF34" s="415"/>
      <c r="CG34" s="415"/>
      <c r="CH34" s="415"/>
      <c r="CI34" s="415"/>
      <c r="CJ34" s="415"/>
      <c r="CK34" s="415"/>
      <c r="CL34" s="415"/>
      <c r="CM34" s="415"/>
      <c r="CN34" s="415"/>
      <c r="CO34" s="415"/>
      <c r="CP34" s="415"/>
      <c r="CQ34" s="415"/>
      <c r="CR34" s="415"/>
      <c r="CS34" s="415"/>
      <c r="CT34" s="415"/>
      <c r="CU34" s="415"/>
      <c r="CV34" s="415"/>
      <c r="CW34" s="415"/>
      <c r="CX34" s="415"/>
      <c r="CY34" s="415"/>
      <c r="CZ34" s="415"/>
      <c r="DA34" s="415"/>
      <c r="DB34" s="415"/>
      <c r="DC34" s="415"/>
      <c r="DD34" s="415"/>
      <c r="DE34" s="415"/>
      <c r="DF34" s="415"/>
      <c r="DG34" s="415"/>
      <c r="DH34" s="415"/>
      <c r="DI34" s="415"/>
      <c r="DJ34" s="415"/>
      <c r="DK34" s="415"/>
      <c r="DL34" s="415"/>
      <c r="DM34" s="415"/>
      <c r="DN34" s="415"/>
      <c r="DO34" s="415"/>
      <c r="DP34" s="415"/>
      <c r="DQ34" s="415"/>
      <c r="DR34" s="415"/>
      <c r="DS34" s="415"/>
      <c r="DT34" s="415"/>
      <c r="DU34" s="415"/>
      <c r="DV34" s="415"/>
      <c r="DW34" s="415"/>
      <c r="DX34" s="415"/>
      <c r="DY34" s="415"/>
      <c r="DZ34" s="415"/>
      <c r="EA34" s="415"/>
      <c r="EB34" s="415"/>
      <c r="EC34" s="415"/>
      <c r="ED34" s="415"/>
      <c r="EE34" s="415"/>
      <c r="EF34" s="415"/>
      <c r="EG34" s="415"/>
      <c r="EH34" s="415"/>
      <c r="EI34" s="415"/>
      <c r="EJ34" s="415"/>
      <c r="EK34" s="415"/>
      <c r="EL34" s="415"/>
      <c r="EM34" s="416"/>
      <c r="EN34" s="416"/>
      <c r="EO34" s="416"/>
      <c r="EP34" s="416"/>
      <c r="EQ34" s="416"/>
      <c r="ER34" s="416"/>
      <c r="ES34" s="416"/>
      <c r="ET34" s="416"/>
      <c r="EU34" s="416"/>
      <c r="EV34" s="416"/>
      <c r="EW34" s="416"/>
      <c r="EX34" s="416"/>
      <c r="EY34" s="416"/>
      <c r="EZ34" s="416"/>
      <c r="FA34" s="416"/>
      <c r="FB34" s="416"/>
      <c r="FC34" s="416"/>
      <c r="FD34" s="416"/>
      <c r="FE34" s="416"/>
      <c r="FF34" s="416"/>
      <c r="FG34" s="416"/>
      <c r="FH34" s="416"/>
      <c r="FI34" s="416"/>
      <c r="FJ34" s="416"/>
      <c r="FK34" s="416"/>
      <c r="FL34" s="416"/>
      <c r="FM34" s="416"/>
      <c r="FN34" s="416"/>
      <c r="FO34" s="416"/>
      <c r="FP34" s="416"/>
      <c r="FQ34" s="416"/>
      <c r="FR34" s="416"/>
      <c r="FS34" s="416"/>
      <c r="FT34" s="416"/>
      <c r="FU34" s="416"/>
      <c r="FV34" s="416"/>
      <c r="FW34" s="416"/>
      <c r="FX34" s="416"/>
      <c r="FY34" s="416"/>
      <c r="FZ34" s="416"/>
      <c r="GA34" s="416"/>
      <c r="GB34" s="416"/>
      <c r="GC34" s="416"/>
      <c r="GD34" s="416"/>
      <c r="GE34" s="416"/>
      <c r="GF34" s="416"/>
      <c r="GG34" s="416"/>
      <c r="GH34" s="416"/>
      <c r="GI34" s="416"/>
      <c r="GJ34" s="416"/>
      <c r="GK34" s="416"/>
      <c r="GL34" s="416"/>
      <c r="GM34" s="416"/>
      <c r="GN34" s="416"/>
      <c r="GO34" s="416"/>
      <c r="GP34" s="416"/>
      <c r="GQ34" s="416"/>
      <c r="GR34" s="416"/>
      <c r="GS34" s="416"/>
      <c r="GT34" s="416"/>
      <c r="GU34" s="416"/>
      <c r="GV34" s="416"/>
      <c r="GW34" s="416"/>
      <c r="GX34" s="416"/>
      <c r="GY34" s="416"/>
      <c r="GZ34" s="416"/>
      <c r="HA34" s="416"/>
      <c r="HB34" s="416"/>
      <c r="HC34" s="416"/>
      <c r="HD34" s="416"/>
      <c r="HE34" s="416"/>
      <c r="HF34" s="416"/>
      <c r="HG34" s="416"/>
      <c r="HH34" s="416"/>
      <c r="HI34" s="416"/>
      <c r="HJ34" s="416"/>
      <c r="HK34" s="416"/>
      <c r="HL34" s="416"/>
      <c r="HM34" s="416"/>
      <c r="HN34" s="416"/>
      <c r="HO34" s="416"/>
      <c r="HP34" s="416"/>
      <c r="HQ34" s="416"/>
      <c r="HR34" s="416"/>
      <c r="HS34" s="416"/>
      <c r="HT34" s="416"/>
      <c r="HU34" s="416"/>
      <c r="HV34" s="416"/>
      <c r="HW34" s="416"/>
      <c r="HX34" s="416"/>
      <c r="HY34" s="416"/>
      <c r="HZ34" s="416"/>
      <c r="IA34" s="416"/>
      <c r="IB34" s="416"/>
      <c r="IC34" s="416"/>
      <c r="ID34" s="416"/>
      <c r="IE34" s="416"/>
      <c r="IF34" s="416"/>
      <c r="IG34" s="416"/>
      <c r="IH34" s="416"/>
      <c r="II34" s="416"/>
      <c r="IJ34" s="416"/>
      <c r="IK34" s="416"/>
      <c r="IL34" s="416"/>
      <c r="IM34" s="416"/>
      <c r="IN34" s="416"/>
      <c r="IO34" s="416"/>
      <c r="IP34" s="416"/>
      <c r="IQ34" s="416"/>
      <c r="IR34" s="416"/>
      <c r="IS34" s="416"/>
      <c r="IT34" s="416"/>
      <c r="IU34" s="416"/>
      <c r="IV34" s="416"/>
      <c r="IW34" s="416"/>
    </row>
    <row r="35" customFormat="false" ht="12.75" hidden="false" customHeight="false" outlineLevel="0" collapsed="false">
      <c r="A35" s="1289"/>
      <c r="B35" s="412"/>
      <c r="C35" s="1300" t="str">
        <f aca="false">+Srcs_Uses!B16</f>
        <v>PREDEVELOPMENT EXPENSES TOTAL</v>
      </c>
      <c r="D35" s="1302"/>
      <c r="E35" s="418" t="n">
        <v>1</v>
      </c>
      <c r="F35" s="414" t="n">
        <v>0</v>
      </c>
      <c r="G35" s="414" t="n">
        <v>0</v>
      </c>
      <c r="H35" s="414" t="n">
        <v>0</v>
      </c>
      <c r="I35" s="414"/>
      <c r="J35" s="414"/>
      <c r="K35" s="414" t="n">
        <v>0</v>
      </c>
      <c r="L35" s="414"/>
      <c r="M35" s="414"/>
      <c r="N35" s="414"/>
      <c r="O35" s="414"/>
      <c r="P35" s="414"/>
      <c r="Q35" s="414"/>
      <c r="R35" s="414"/>
      <c r="S35" s="414"/>
      <c r="T35" s="414"/>
      <c r="U35" s="414" t="n">
        <f aca="false">SUM(E35:T35)</f>
        <v>1</v>
      </c>
      <c r="V35" s="415"/>
      <c r="W35" s="415"/>
      <c r="X35" s="415"/>
      <c r="Y35" s="415"/>
      <c r="Z35" s="415"/>
      <c r="AA35" s="415"/>
      <c r="AB35" s="415"/>
      <c r="AC35" s="415"/>
      <c r="AD35" s="415"/>
      <c r="AE35" s="415"/>
      <c r="AF35" s="415"/>
      <c r="AG35" s="415"/>
      <c r="AH35" s="415"/>
      <c r="AI35" s="415"/>
      <c r="AJ35" s="415"/>
      <c r="AK35" s="415"/>
      <c r="AL35" s="415"/>
      <c r="AM35" s="415"/>
      <c r="AN35" s="415"/>
      <c r="AO35" s="415"/>
      <c r="AP35" s="415"/>
      <c r="AQ35" s="415"/>
      <c r="AR35" s="415"/>
      <c r="AS35" s="415"/>
      <c r="AT35" s="415"/>
      <c r="AU35" s="415"/>
      <c r="AV35" s="415"/>
      <c r="AW35" s="415"/>
      <c r="AX35" s="415"/>
      <c r="AY35" s="415"/>
      <c r="AZ35" s="415"/>
      <c r="BA35" s="415"/>
      <c r="BB35" s="415"/>
      <c r="BC35" s="415"/>
      <c r="BD35" s="415"/>
      <c r="BE35" s="415"/>
      <c r="BF35" s="415"/>
      <c r="BG35" s="415"/>
      <c r="BH35" s="415"/>
      <c r="BI35" s="415"/>
      <c r="BJ35" s="415"/>
      <c r="BK35" s="415"/>
      <c r="BL35" s="415"/>
      <c r="BM35" s="415"/>
      <c r="BN35" s="415"/>
      <c r="BO35" s="415"/>
      <c r="BP35" s="415"/>
      <c r="BQ35" s="415"/>
      <c r="BR35" s="415"/>
      <c r="BS35" s="415"/>
      <c r="BT35" s="415"/>
      <c r="BU35" s="415"/>
      <c r="BV35" s="415"/>
      <c r="BW35" s="415"/>
      <c r="BX35" s="415"/>
      <c r="BY35" s="415"/>
      <c r="BZ35" s="415"/>
      <c r="CA35" s="415"/>
      <c r="CB35" s="415"/>
      <c r="CC35" s="415"/>
      <c r="CD35" s="415"/>
      <c r="CE35" s="415"/>
      <c r="CF35" s="415"/>
      <c r="CG35" s="415"/>
      <c r="CH35" s="415"/>
      <c r="CI35" s="415"/>
      <c r="CJ35" s="415"/>
      <c r="CK35" s="415"/>
      <c r="CL35" s="415"/>
      <c r="CM35" s="415"/>
      <c r="CN35" s="415"/>
      <c r="CO35" s="415"/>
      <c r="CP35" s="415"/>
      <c r="CQ35" s="415"/>
      <c r="CR35" s="415"/>
      <c r="CS35" s="415"/>
      <c r="CT35" s="415"/>
      <c r="CU35" s="415"/>
      <c r="CV35" s="415"/>
      <c r="CW35" s="415"/>
      <c r="CX35" s="415"/>
      <c r="CY35" s="415"/>
      <c r="CZ35" s="415"/>
      <c r="DA35" s="415"/>
      <c r="DB35" s="415"/>
      <c r="DC35" s="415"/>
      <c r="DD35" s="415"/>
      <c r="DE35" s="415"/>
      <c r="DF35" s="415"/>
      <c r="DG35" s="415"/>
      <c r="DH35" s="415"/>
      <c r="DI35" s="415"/>
      <c r="DJ35" s="415"/>
      <c r="DK35" s="415"/>
      <c r="DL35" s="415"/>
      <c r="DM35" s="415"/>
      <c r="DN35" s="415"/>
      <c r="DO35" s="415"/>
      <c r="DP35" s="415"/>
      <c r="DQ35" s="415"/>
      <c r="DR35" s="415"/>
      <c r="DS35" s="415"/>
      <c r="DT35" s="415"/>
      <c r="DU35" s="415"/>
      <c r="DV35" s="415"/>
      <c r="DW35" s="415"/>
      <c r="DX35" s="415"/>
      <c r="DY35" s="415"/>
      <c r="DZ35" s="415"/>
      <c r="EA35" s="415"/>
      <c r="EB35" s="415"/>
      <c r="EC35" s="415"/>
      <c r="ED35" s="415"/>
      <c r="EE35" s="415"/>
      <c r="EF35" s="415"/>
      <c r="EG35" s="415"/>
      <c r="EH35" s="415"/>
      <c r="EI35" s="415"/>
      <c r="EJ35" s="415"/>
      <c r="EK35" s="415"/>
      <c r="EL35" s="415"/>
      <c r="EM35" s="416"/>
      <c r="EN35" s="416"/>
      <c r="EO35" s="416"/>
      <c r="EP35" s="416"/>
      <c r="EQ35" s="416"/>
      <c r="ER35" s="416"/>
      <c r="ES35" s="416"/>
      <c r="ET35" s="416"/>
      <c r="EU35" s="416"/>
      <c r="EV35" s="416"/>
      <c r="EW35" s="416"/>
      <c r="EX35" s="416"/>
      <c r="EY35" s="416"/>
      <c r="EZ35" s="416"/>
      <c r="FA35" s="416"/>
      <c r="FB35" s="416"/>
      <c r="FC35" s="416"/>
      <c r="FD35" s="416"/>
      <c r="FE35" s="416"/>
      <c r="FF35" s="416"/>
      <c r="FG35" s="416"/>
      <c r="FH35" s="416"/>
      <c r="FI35" s="416"/>
      <c r="FJ35" s="416"/>
      <c r="FK35" s="416"/>
      <c r="FL35" s="416"/>
      <c r="FM35" s="416"/>
      <c r="FN35" s="416"/>
      <c r="FO35" s="416"/>
      <c r="FP35" s="416"/>
      <c r="FQ35" s="416"/>
      <c r="FR35" s="416"/>
      <c r="FS35" s="416"/>
      <c r="FT35" s="416"/>
      <c r="FU35" s="416"/>
      <c r="FV35" s="416"/>
      <c r="FW35" s="416"/>
      <c r="FX35" s="416"/>
      <c r="FY35" s="416"/>
      <c r="FZ35" s="416"/>
      <c r="GA35" s="416"/>
      <c r="GB35" s="416"/>
      <c r="GC35" s="416"/>
      <c r="GD35" s="416"/>
      <c r="GE35" s="416"/>
      <c r="GF35" s="416"/>
      <c r="GG35" s="416"/>
      <c r="GH35" s="416"/>
      <c r="GI35" s="416"/>
      <c r="GJ35" s="416"/>
      <c r="GK35" s="416"/>
      <c r="GL35" s="416"/>
      <c r="GM35" s="416"/>
      <c r="GN35" s="416"/>
      <c r="GO35" s="416"/>
      <c r="GP35" s="416"/>
      <c r="GQ35" s="416"/>
      <c r="GR35" s="416"/>
      <c r="GS35" s="416"/>
      <c r="GT35" s="416"/>
      <c r="GU35" s="416"/>
      <c r="GV35" s="416"/>
      <c r="GW35" s="416"/>
      <c r="GX35" s="416"/>
      <c r="GY35" s="416"/>
      <c r="GZ35" s="416"/>
      <c r="HA35" s="416"/>
      <c r="HB35" s="416"/>
      <c r="HC35" s="416"/>
      <c r="HD35" s="416"/>
      <c r="HE35" s="416"/>
      <c r="HF35" s="416"/>
      <c r="HG35" s="416"/>
      <c r="HH35" s="416"/>
      <c r="HI35" s="416"/>
      <c r="HJ35" s="416"/>
      <c r="HK35" s="416"/>
      <c r="HL35" s="416"/>
      <c r="HM35" s="416"/>
      <c r="HN35" s="416"/>
      <c r="HO35" s="416"/>
      <c r="HP35" s="416"/>
      <c r="HQ35" s="416"/>
      <c r="HR35" s="416"/>
      <c r="HS35" s="416"/>
      <c r="HT35" s="416"/>
      <c r="HU35" s="416"/>
      <c r="HV35" s="416"/>
      <c r="HW35" s="416"/>
      <c r="HX35" s="416"/>
      <c r="HY35" s="416"/>
      <c r="HZ35" s="416"/>
      <c r="IA35" s="416"/>
      <c r="IB35" s="416"/>
      <c r="IC35" s="416"/>
      <c r="ID35" s="416"/>
      <c r="IE35" s="416"/>
      <c r="IF35" s="416"/>
      <c r="IG35" s="416"/>
      <c r="IH35" s="416"/>
      <c r="II35" s="416"/>
      <c r="IJ35" s="416"/>
      <c r="IK35" s="416"/>
      <c r="IL35" s="416"/>
      <c r="IM35" s="416"/>
      <c r="IN35" s="416"/>
      <c r="IO35" s="416"/>
      <c r="IP35" s="416"/>
      <c r="IQ35" s="416"/>
      <c r="IR35" s="416"/>
      <c r="IS35" s="416"/>
      <c r="IT35" s="416"/>
      <c r="IU35" s="416"/>
      <c r="IV35" s="416"/>
      <c r="IW35" s="416"/>
    </row>
    <row r="36" customFormat="false" ht="12.75" hidden="false" customHeight="false" outlineLevel="0" collapsed="false">
      <c r="A36" s="1289"/>
      <c r="B36" s="412"/>
      <c r="C36" s="1300" t="str">
        <f aca="false">+Srcs_Uses!B20</f>
        <v>LEGAL CLOSING</v>
      </c>
      <c r="D36" s="1302"/>
      <c r="E36" s="418" t="n">
        <v>0</v>
      </c>
      <c r="F36" s="414" t="n">
        <v>0</v>
      </c>
      <c r="G36" s="414" t="n">
        <v>0</v>
      </c>
      <c r="H36" s="414" t="n">
        <v>0</v>
      </c>
      <c r="I36" s="414" t="n">
        <v>0</v>
      </c>
      <c r="J36" s="414" t="n">
        <v>0</v>
      </c>
      <c r="K36" s="414" t="n">
        <v>1</v>
      </c>
      <c r="L36" s="414"/>
      <c r="M36" s="414"/>
      <c r="N36" s="414"/>
      <c r="O36" s="414"/>
      <c r="P36" s="414"/>
      <c r="Q36" s="414"/>
      <c r="R36" s="414"/>
      <c r="S36" s="414"/>
      <c r="T36" s="414" t="n">
        <v>0</v>
      </c>
      <c r="U36" s="414" t="n">
        <f aca="false">SUM(E36:T36)</f>
        <v>1</v>
      </c>
      <c r="V36" s="415"/>
      <c r="W36" s="415"/>
      <c r="X36" s="415"/>
      <c r="Y36" s="415"/>
      <c r="Z36" s="415"/>
      <c r="AA36" s="415"/>
      <c r="AB36" s="415"/>
      <c r="AC36" s="415"/>
      <c r="AD36" s="415"/>
      <c r="AE36" s="415"/>
      <c r="AF36" s="415"/>
      <c r="AG36" s="415"/>
      <c r="AH36" s="415"/>
      <c r="AI36" s="415"/>
      <c r="AJ36" s="415"/>
      <c r="AK36" s="415"/>
      <c r="AL36" s="415"/>
      <c r="AM36" s="415"/>
      <c r="AN36" s="415"/>
      <c r="AO36" s="415"/>
      <c r="AP36" s="415"/>
      <c r="AQ36" s="415"/>
      <c r="AR36" s="415"/>
      <c r="AS36" s="415"/>
      <c r="AT36" s="415"/>
      <c r="AU36" s="415"/>
      <c r="AV36" s="415"/>
      <c r="AW36" s="415"/>
      <c r="AX36" s="415"/>
      <c r="AY36" s="415"/>
      <c r="AZ36" s="415"/>
      <c r="BA36" s="415"/>
      <c r="BB36" s="415"/>
      <c r="BC36" s="415"/>
      <c r="BD36" s="415"/>
      <c r="BE36" s="415"/>
      <c r="BF36" s="415"/>
      <c r="BG36" s="415"/>
      <c r="BH36" s="415"/>
      <c r="BI36" s="415"/>
      <c r="BJ36" s="415"/>
      <c r="BK36" s="415"/>
      <c r="BL36" s="415"/>
      <c r="BM36" s="415"/>
      <c r="BN36" s="415"/>
      <c r="BO36" s="415"/>
      <c r="BP36" s="415"/>
      <c r="BQ36" s="415"/>
      <c r="BR36" s="415"/>
      <c r="BS36" s="415"/>
      <c r="BT36" s="415"/>
      <c r="BU36" s="415"/>
      <c r="BV36" s="415"/>
      <c r="BW36" s="415"/>
      <c r="BX36" s="415"/>
      <c r="BY36" s="415"/>
      <c r="BZ36" s="415"/>
      <c r="CA36" s="415"/>
      <c r="CB36" s="415"/>
      <c r="CC36" s="415"/>
      <c r="CD36" s="415"/>
      <c r="CE36" s="415"/>
      <c r="CF36" s="415"/>
      <c r="CG36" s="415"/>
      <c r="CH36" s="415"/>
      <c r="CI36" s="415"/>
      <c r="CJ36" s="415"/>
      <c r="CK36" s="415"/>
      <c r="CL36" s="415"/>
      <c r="CM36" s="415"/>
      <c r="CN36" s="415"/>
      <c r="CO36" s="415"/>
      <c r="CP36" s="415"/>
      <c r="CQ36" s="415"/>
      <c r="CR36" s="415"/>
      <c r="CS36" s="415"/>
      <c r="CT36" s="415"/>
      <c r="CU36" s="415"/>
      <c r="CV36" s="415"/>
      <c r="CW36" s="415"/>
      <c r="CX36" s="415"/>
      <c r="CY36" s="415"/>
      <c r="CZ36" s="415"/>
      <c r="DA36" s="415"/>
      <c r="DB36" s="415"/>
      <c r="DC36" s="415"/>
      <c r="DD36" s="415"/>
      <c r="DE36" s="415"/>
      <c r="DF36" s="415"/>
      <c r="DG36" s="415"/>
      <c r="DH36" s="415"/>
      <c r="DI36" s="415"/>
      <c r="DJ36" s="415"/>
      <c r="DK36" s="415"/>
      <c r="DL36" s="415"/>
      <c r="DM36" s="415"/>
      <c r="DN36" s="415"/>
      <c r="DO36" s="415"/>
      <c r="DP36" s="415"/>
      <c r="DQ36" s="415"/>
      <c r="DR36" s="415"/>
      <c r="DS36" s="415"/>
      <c r="DT36" s="415"/>
      <c r="DU36" s="415"/>
      <c r="DV36" s="415"/>
      <c r="DW36" s="415"/>
      <c r="DX36" s="415"/>
      <c r="DY36" s="415"/>
      <c r="DZ36" s="415"/>
      <c r="EA36" s="415"/>
      <c r="EB36" s="415"/>
      <c r="EC36" s="415"/>
      <c r="ED36" s="415"/>
      <c r="EE36" s="415"/>
      <c r="EF36" s="415"/>
      <c r="EG36" s="415"/>
      <c r="EH36" s="415"/>
      <c r="EI36" s="415"/>
      <c r="EJ36" s="415"/>
      <c r="EK36" s="415"/>
      <c r="EL36" s="415"/>
      <c r="EM36" s="416"/>
      <c r="EN36" s="416"/>
      <c r="EO36" s="416"/>
      <c r="EP36" s="416"/>
      <c r="EQ36" s="416"/>
      <c r="ER36" s="416"/>
      <c r="ES36" s="416"/>
      <c r="ET36" s="416"/>
      <c r="EU36" s="416"/>
      <c r="EV36" s="416"/>
      <c r="EW36" s="416"/>
      <c r="EX36" s="416"/>
      <c r="EY36" s="416"/>
      <c r="EZ36" s="416"/>
      <c r="FA36" s="416"/>
      <c r="FB36" s="416"/>
      <c r="FC36" s="416"/>
      <c r="FD36" s="416"/>
      <c r="FE36" s="416"/>
      <c r="FF36" s="416"/>
      <c r="FG36" s="416"/>
      <c r="FH36" s="416"/>
      <c r="FI36" s="416"/>
      <c r="FJ36" s="416"/>
      <c r="FK36" s="416"/>
      <c r="FL36" s="416"/>
      <c r="FM36" s="416"/>
      <c r="FN36" s="416"/>
      <c r="FO36" s="416"/>
      <c r="FP36" s="416"/>
      <c r="FQ36" s="416"/>
      <c r="FR36" s="416"/>
      <c r="FS36" s="416"/>
      <c r="FT36" s="416"/>
      <c r="FU36" s="416"/>
      <c r="FV36" s="416"/>
      <c r="FW36" s="416"/>
      <c r="FX36" s="416"/>
      <c r="FY36" s="416"/>
      <c r="FZ36" s="416"/>
      <c r="GA36" s="416"/>
      <c r="GB36" s="416"/>
      <c r="GC36" s="416"/>
      <c r="GD36" s="416"/>
      <c r="GE36" s="416"/>
      <c r="GF36" s="416"/>
      <c r="GG36" s="416"/>
      <c r="GH36" s="416"/>
      <c r="GI36" s="416"/>
      <c r="GJ36" s="416"/>
      <c r="GK36" s="416"/>
      <c r="GL36" s="416"/>
      <c r="GM36" s="416"/>
      <c r="GN36" s="416"/>
      <c r="GO36" s="416"/>
      <c r="GP36" s="416"/>
      <c r="GQ36" s="416"/>
      <c r="GR36" s="416"/>
      <c r="GS36" s="416"/>
      <c r="GT36" s="416"/>
      <c r="GU36" s="416"/>
      <c r="GV36" s="416"/>
      <c r="GW36" s="416"/>
      <c r="GX36" s="416"/>
      <c r="GY36" s="416"/>
      <c r="GZ36" s="416"/>
      <c r="HA36" s="416"/>
      <c r="HB36" s="416"/>
      <c r="HC36" s="416"/>
      <c r="HD36" s="416"/>
      <c r="HE36" s="416"/>
      <c r="HF36" s="416"/>
      <c r="HG36" s="416"/>
      <c r="HH36" s="416"/>
      <c r="HI36" s="416"/>
      <c r="HJ36" s="416"/>
      <c r="HK36" s="416"/>
      <c r="HL36" s="416"/>
      <c r="HM36" s="416"/>
      <c r="HN36" s="416"/>
      <c r="HO36" s="416"/>
      <c r="HP36" s="416"/>
      <c r="HQ36" s="416"/>
      <c r="HR36" s="416"/>
      <c r="HS36" s="416"/>
      <c r="HT36" s="416"/>
      <c r="HU36" s="416"/>
      <c r="HV36" s="416"/>
      <c r="HW36" s="416"/>
      <c r="HX36" s="416"/>
      <c r="HY36" s="416"/>
      <c r="HZ36" s="416"/>
      <c r="IA36" s="416"/>
      <c r="IB36" s="416"/>
      <c r="IC36" s="416"/>
      <c r="ID36" s="416"/>
      <c r="IE36" s="416"/>
      <c r="IF36" s="416"/>
      <c r="IG36" s="416"/>
      <c r="IH36" s="416"/>
      <c r="II36" s="416"/>
      <c r="IJ36" s="416"/>
      <c r="IK36" s="416"/>
      <c r="IL36" s="416"/>
      <c r="IM36" s="416"/>
      <c r="IN36" s="416"/>
      <c r="IO36" s="416"/>
      <c r="IP36" s="416"/>
      <c r="IQ36" s="416"/>
      <c r="IR36" s="416"/>
      <c r="IS36" s="416"/>
      <c r="IT36" s="416"/>
      <c r="IU36" s="416"/>
      <c r="IV36" s="416"/>
      <c r="IW36" s="416"/>
    </row>
    <row r="37" customFormat="false" ht="12.75" hidden="false" customHeight="false" outlineLevel="0" collapsed="false">
      <c r="A37" s="1289"/>
      <c r="B37" s="412"/>
      <c r="C37" s="1300" t="str">
        <f aca="false">+Srcs_Uses!B21</f>
        <v>BANKING DUE DILIGENCE EXPENSES</v>
      </c>
      <c r="D37" s="1302"/>
      <c r="E37" s="418" t="n">
        <v>1</v>
      </c>
      <c r="F37" s="414"/>
      <c r="G37" s="414"/>
      <c r="H37" s="414"/>
      <c r="I37" s="414"/>
      <c r="J37" s="414"/>
      <c r="K37" s="414" t="n">
        <v>0</v>
      </c>
      <c r="L37" s="414"/>
      <c r="M37" s="414"/>
      <c r="N37" s="414"/>
      <c r="O37" s="414"/>
      <c r="P37" s="414"/>
      <c r="Q37" s="414"/>
      <c r="R37" s="414"/>
      <c r="S37" s="414"/>
      <c r="T37" s="414"/>
      <c r="U37" s="414" t="n">
        <f aca="false">SUM(E37:T37)</f>
        <v>1</v>
      </c>
      <c r="V37" s="415"/>
      <c r="W37" s="415"/>
      <c r="X37" s="415"/>
      <c r="Y37" s="415"/>
      <c r="Z37" s="415"/>
      <c r="AA37" s="415"/>
      <c r="AB37" s="415"/>
      <c r="AC37" s="415"/>
      <c r="AD37" s="415"/>
      <c r="AE37" s="415"/>
      <c r="AF37" s="415"/>
      <c r="AG37" s="415"/>
      <c r="AH37" s="415"/>
      <c r="AI37" s="415"/>
      <c r="AJ37" s="415"/>
      <c r="AK37" s="415"/>
      <c r="AL37" s="415"/>
      <c r="AM37" s="415"/>
      <c r="AN37" s="415"/>
      <c r="AO37" s="415"/>
      <c r="AP37" s="415"/>
      <c r="AQ37" s="415"/>
      <c r="AR37" s="415"/>
      <c r="AS37" s="415"/>
      <c r="AT37" s="415"/>
      <c r="AU37" s="415"/>
      <c r="AV37" s="415"/>
      <c r="AW37" s="415"/>
      <c r="AX37" s="415"/>
      <c r="AY37" s="415"/>
      <c r="AZ37" s="415"/>
      <c r="BA37" s="415"/>
      <c r="BB37" s="415"/>
      <c r="BC37" s="415"/>
      <c r="BD37" s="415"/>
      <c r="BE37" s="415"/>
      <c r="BF37" s="415"/>
      <c r="BG37" s="415"/>
      <c r="BH37" s="415"/>
      <c r="BI37" s="415"/>
      <c r="BJ37" s="415"/>
      <c r="BK37" s="415"/>
      <c r="BL37" s="415"/>
      <c r="BM37" s="415"/>
      <c r="BN37" s="415"/>
      <c r="BO37" s="415"/>
      <c r="BP37" s="415"/>
      <c r="BQ37" s="415"/>
      <c r="BR37" s="415"/>
      <c r="BS37" s="415"/>
      <c r="BT37" s="415"/>
      <c r="BU37" s="415"/>
      <c r="BV37" s="415"/>
      <c r="BW37" s="415"/>
      <c r="BX37" s="415"/>
      <c r="BY37" s="415"/>
      <c r="BZ37" s="415"/>
      <c r="CA37" s="415"/>
      <c r="CB37" s="415"/>
      <c r="CC37" s="415"/>
      <c r="CD37" s="415"/>
      <c r="CE37" s="415"/>
      <c r="CF37" s="415"/>
      <c r="CG37" s="415"/>
      <c r="CH37" s="415"/>
      <c r="CI37" s="415"/>
      <c r="CJ37" s="415"/>
      <c r="CK37" s="415"/>
      <c r="CL37" s="415"/>
      <c r="CM37" s="415"/>
      <c r="CN37" s="415"/>
      <c r="CO37" s="415"/>
      <c r="CP37" s="415"/>
      <c r="CQ37" s="415"/>
      <c r="CR37" s="415"/>
      <c r="CS37" s="415"/>
      <c r="CT37" s="415"/>
      <c r="CU37" s="415"/>
      <c r="CV37" s="415"/>
      <c r="CW37" s="415"/>
      <c r="CX37" s="415"/>
      <c r="CY37" s="415"/>
      <c r="CZ37" s="415"/>
      <c r="DA37" s="415"/>
      <c r="DB37" s="415"/>
      <c r="DC37" s="415"/>
      <c r="DD37" s="415"/>
      <c r="DE37" s="415"/>
      <c r="DF37" s="415"/>
      <c r="DG37" s="415"/>
      <c r="DH37" s="415"/>
      <c r="DI37" s="415"/>
      <c r="DJ37" s="415"/>
      <c r="DK37" s="415"/>
      <c r="DL37" s="415"/>
      <c r="DM37" s="415"/>
      <c r="DN37" s="415"/>
      <c r="DO37" s="415"/>
      <c r="DP37" s="415"/>
      <c r="DQ37" s="415"/>
      <c r="DR37" s="415"/>
      <c r="DS37" s="415"/>
      <c r="DT37" s="415"/>
      <c r="DU37" s="415"/>
      <c r="DV37" s="415"/>
      <c r="DW37" s="415"/>
      <c r="DX37" s="415"/>
      <c r="DY37" s="415"/>
      <c r="DZ37" s="415"/>
      <c r="EA37" s="415"/>
      <c r="EB37" s="415"/>
      <c r="EC37" s="415"/>
      <c r="ED37" s="415"/>
      <c r="EE37" s="415"/>
      <c r="EF37" s="415"/>
      <c r="EG37" s="415"/>
      <c r="EH37" s="415"/>
      <c r="EI37" s="415"/>
      <c r="EJ37" s="415"/>
      <c r="EK37" s="415"/>
      <c r="EL37" s="415"/>
      <c r="EM37" s="416"/>
      <c r="EN37" s="416"/>
      <c r="EO37" s="416"/>
      <c r="EP37" s="416"/>
      <c r="EQ37" s="416"/>
      <c r="ER37" s="416"/>
      <c r="ES37" s="416"/>
      <c r="ET37" s="416"/>
      <c r="EU37" s="416"/>
      <c r="EV37" s="416"/>
      <c r="EW37" s="416"/>
      <c r="EX37" s="416"/>
      <c r="EY37" s="416"/>
      <c r="EZ37" s="416"/>
      <c r="FA37" s="416"/>
      <c r="FB37" s="416"/>
      <c r="FC37" s="416"/>
      <c r="FD37" s="416"/>
      <c r="FE37" s="416"/>
      <c r="FF37" s="416"/>
      <c r="FG37" s="416"/>
      <c r="FH37" s="416"/>
      <c r="FI37" s="416"/>
      <c r="FJ37" s="416"/>
      <c r="FK37" s="416"/>
      <c r="FL37" s="416"/>
      <c r="FM37" s="416"/>
      <c r="FN37" s="416"/>
      <c r="FO37" s="416"/>
      <c r="FP37" s="416"/>
      <c r="FQ37" s="416"/>
      <c r="FR37" s="416"/>
      <c r="FS37" s="416"/>
      <c r="FT37" s="416"/>
      <c r="FU37" s="416"/>
      <c r="FV37" s="416"/>
      <c r="FW37" s="416"/>
      <c r="FX37" s="416"/>
      <c r="FY37" s="416"/>
      <c r="FZ37" s="416"/>
      <c r="GA37" s="416"/>
      <c r="GB37" s="416"/>
      <c r="GC37" s="416"/>
      <c r="GD37" s="416"/>
      <c r="GE37" s="416"/>
      <c r="GF37" s="416"/>
      <c r="GG37" s="416"/>
      <c r="GH37" s="416"/>
      <c r="GI37" s="416"/>
      <c r="GJ37" s="416"/>
      <c r="GK37" s="416"/>
      <c r="GL37" s="416"/>
      <c r="GM37" s="416"/>
      <c r="GN37" s="416"/>
      <c r="GO37" s="416"/>
      <c r="GP37" s="416"/>
      <c r="GQ37" s="416"/>
      <c r="GR37" s="416"/>
      <c r="GS37" s="416"/>
      <c r="GT37" s="416"/>
      <c r="GU37" s="416"/>
      <c r="GV37" s="416"/>
      <c r="GW37" s="416"/>
      <c r="GX37" s="416"/>
      <c r="GY37" s="416"/>
      <c r="GZ37" s="416"/>
      <c r="HA37" s="416"/>
      <c r="HB37" s="416"/>
      <c r="HC37" s="416"/>
      <c r="HD37" s="416"/>
      <c r="HE37" s="416"/>
      <c r="HF37" s="416"/>
      <c r="HG37" s="416"/>
      <c r="HH37" s="416"/>
      <c r="HI37" s="416"/>
      <c r="HJ37" s="416"/>
      <c r="HK37" s="416"/>
      <c r="HL37" s="416"/>
      <c r="HM37" s="416"/>
      <c r="HN37" s="416"/>
      <c r="HO37" s="416"/>
      <c r="HP37" s="416"/>
      <c r="HQ37" s="416"/>
      <c r="HR37" s="416"/>
      <c r="HS37" s="416"/>
      <c r="HT37" s="416"/>
      <c r="HU37" s="416"/>
      <c r="HV37" s="416"/>
      <c r="HW37" s="416"/>
      <c r="HX37" s="416"/>
      <c r="HY37" s="416"/>
      <c r="HZ37" s="416"/>
      <c r="IA37" s="416"/>
      <c r="IB37" s="416"/>
      <c r="IC37" s="416"/>
      <c r="ID37" s="416"/>
      <c r="IE37" s="416"/>
      <c r="IF37" s="416"/>
      <c r="IG37" s="416"/>
      <c r="IH37" s="416"/>
      <c r="II37" s="416"/>
      <c r="IJ37" s="416"/>
      <c r="IK37" s="416"/>
      <c r="IL37" s="416"/>
      <c r="IM37" s="416"/>
      <c r="IN37" s="416"/>
      <c r="IO37" s="416"/>
      <c r="IP37" s="416"/>
      <c r="IQ37" s="416"/>
      <c r="IR37" s="416"/>
      <c r="IS37" s="416"/>
      <c r="IT37" s="416"/>
      <c r="IU37" s="416"/>
      <c r="IV37" s="416"/>
      <c r="IW37" s="416"/>
    </row>
    <row r="38" customFormat="false" ht="12.75" hidden="false" customHeight="false" outlineLevel="0" collapsed="false">
      <c r="A38" s="1289"/>
      <c r="B38" s="412"/>
      <c r="C38" s="1300" t="str">
        <f aca="false">+Srcs_Uses!B22</f>
        <v>INDEPENDENT ENGINEER</v>
      </c>
      <c r="D38" s="1302"/>
      <c r="E38" s="418" t="n">
        <v>0.1</v>
      </c>
      <c r="F38" s="414" t="n">
        <v>0.1</v>
      </c>
      <c r="G38" s="414" t="n">
        <v>0.1</v>
      </c>
      <c r="H38" s="414" t="n">
        <v>0.1</v>
      </c>
      <c r="I38" s="414" t="n">
        <v>0.1</v>
      </c>
      <c r="J38" s="414" t="n">
        <v>0.1</v>
      </c>
      <c r="K38" s="414" t="n">
        <v>0.1</v>
      </c>
      <c r="L38" s="414" t="n">
        <v>0.1</v>
      </c>
      <c r="M38" s="414" t="n">
        <v>0.1</v>
      </c>
      <c r="N38" s="414" t="n">
        <v>0.1</v>
      </c>
      <c r="O38" s="414"/>
      <c r="P38" s="414"/>
      <c r="Q38" s="414"/>
      <c r="R38" s="414"/>
      <c r="S38" s="414"/>
      <c r="T38" s="414"/>
      <c r="U38" s="414" t="n">
        <f aca="false">SUM(E38:T38)</f>
        <v>1</v>
      </c>
      <c r="V38" s="415"/>
      <c r="W38" s="415"/>
      <c r="X38" s="415"/>
      <c r="Y38" s="415"/>
      <c r="Z38" s="415"/>
      <c r="AA38" s="415"/>
      <c r="AB38" s="415"/>
      <c r="AC38" s="415"/>
      <c r="AD38" s="415"/>
      <c r="AE38" s="415"/>
      <c r="AF38" s="415"/>
      <c r="AG38" s="415"/>
      <c r="AH38" s="415"/>
      <c r="AI38" s="415"/>
      <c r="AJ38" s="415"/>
      <c r="AK38" s="415"/>
      <c r="AL38" s="415"/>
      <c r="AM38" s="415"/>
      <c r="AN38" s="415"/>
      <c r="AO38" s="415"/>
      <c r="AP38" s="415"/>
      <c r="AQ38" s="415"/>
      <c r="AR38" s="415"/>
      <c r="AS38" s="415"/>
      <c r="AT38" s="415"/>
      <c r="AU38" s="415"/>
      <c r="AV38" s="415"/>
      <c r="AW38" s="415"/>
      <c r="AX38" s="415"/>
      <c r="AY38" s="415"/>
      <c r="AZ38" s="415"/>
      <c r="BA38" s="415"/>
      <c r="BB38" s="415"/>
      <c r="BC38" s="415"/>
      <c r="BD38" s="415"/>
      <c r="BE38" s="415"/>
      <c r="BF38" s="415"/>
      <c r="BG38" s="415"/>
      <c r="BH38" s="415"/>
      <c r="BI38" s="415"/>
      <c r="BJ38" s="415"/>
      <c r="BK38" s="415"/>
      <c r="BL38" s="415"/>
      <c r="BM38" s="415"/>
      <c r="BN38" s="415"/>
      <c r="BO38" s="415"/>
      <c r="BP38" s="415"/>
      <c r="BQ38" s="415"/>
      <c r="BR38" s="415"/>
      <c r="BS38" s="415"/>
      <c r="BT38" s="415"/>
      <c r="BU38" s="415"/>
      <c r="BV38" s="415"/>
      <c r="BW38" s="415"/>
      <c r="BX38" s="415"/>
      <c r="BY38" s="415"/>
      <c r="BZ38" s="415"/>
      <c r="CA38" s="415"/>
      <c r="CB38" s="415"/>
      <c r="CC38" s="415"/>
      <c r="CD38" s="415"/>
      <c r="CE38" s="415"/>
      <c r="CF38" s="415"/>
      <c r="CG38" s="415"/>
      <c r="CH38" s="415"/>
      <c r="CI38" s="415"/>
      <c r="CJ38" s="415"/>
      <c r="CK38" s="415"/>
      <c r="CL38" s="415"/>
      <c r="CM38" s="415"/>
      <c r="CN38" s="415"/>
      <c r="CO38" s="415"/>
      <c r="CP38" s="415"/>
      <c r="CQ38" s="415"/>
      <c r="CR38" s="415"/>
      <c r="CS38" s="415"/>
      <c r="CT38" s="415"/>
      <c r="CU38" s="415"/>
      <c r="CV38" s="415"/>
      <c r="CW38" s="415"/>
      <c r="CX38" s="415"/>
      <c r="CY38" s="415"/>
      <c r="CZ38" s="415"/>
      <c r="DA38" s="415"/>
      <c r="DB38" s="415"/>
      <c r="DC38" s="415"/>
      <c r="DD38" s="415"/>
      <c r="DE38" s="415"/>
      <c r="DF38" s="415"/>
      <c r="DG38" s="415"/>
      <c r="DH38" s="415"/>
      <c r="DI38" s="415"/>
      <c r="DJ38" s="415"/>
      <c r="DK38" s="415"/>
      <c r="DL38" s="415"/>
      <c r="DM38" s="415"/>
      <c r="DN38" s="415"/>
      <c r="DO38" s="415"/>
      <c r="DP38" s="415"/>
      <c r="DQ38" s="415"/>
      <c r="DR38" s="415"/>
      <c r="DS38" s="415"/>
      <c r="DT38" s="415"/>
      <c r="DU38" s="415"/>
      <c r="DV38" s="415"/>
      <c r="DW38" s="415"/>
      <c r="DX38" s="415"/>
      <c r="DY38" s="415"/>
      <c r="DZ38" s="415"/>
      <c r="EA38" s="415"/>
      <c r="EB38" s="415"/>
      <c r="EC38" s="415"/>
      <c r="ED38" s="415"/>
      <c r="EE38" s="415"/>
      <c r="EF38" s="415"/>
      <c r="EG38" s="415"/>
      <c r="EH38" s="415"/>
      <c r="EI38" s="415"/>
      <c r="EJ38" s="415"/>
      <c r="EK38" s="415"/>
      <c r="EL38" s="415"/>
      <c r="EM38" s="416"/>
      <c r="EN38" s="416"/>
      <c r="EO38" s="416"/>
      <c r="EP38" s="416"/>
      <c r="EQ38" s="416"/>
      <c r="ER38" s="416"/>
      <c r="ES38" s="416"/>
      <c r="ET38" s="416"/>
      <c r="EU38" s="416"/>
      <c r="EV38" s="416"/>
      <c r="EW38" s="416"/>
      <c r="EX38" s="416"/>
      <c r="EY38" s="416"/>
      <c r="EZ38" s="416"/>
      <c r="FA38" s="416"/>
      <c r="FB38" s="416"/>
      <c r="FC38" s="416"/>
      <c r="FD38" s="416"/>
      <c r="FE38" s="416"/>
      <c r="FF38" s="416"/>
      <c r="FG38" s="416"/>
      <c r="FH38" s="416"/>
      <c r="FI38" s="416"/>
      <c r="FJ38" s="416"/>
      <c r="FK38" s="416"/>
      <c r="FL38" s="416"/>
      <c r="FM38" s="416"/>
      <c r="FN38" s="416"/>
      <c r="FO38" s="416"/>
      <c r="FP38" s="416"/>
      <c r="FQ38" s="416"/>
      <c r="FR38" s="416"/>
      <c r="FS38" s="416"/>
      <c r="FT38" s="416"/>
      <c r="FU38" s="416"/>
      <c r="FV38" s="416"/>
      <c r="FW38" s="416"/>
      <c r="FX38" s="416"/>
      <c r="FY38" s="416"/>
      <c r="FZ38" s="416"/>
      <c r="GA38" s="416"/>
      <c r="GB38" s="416"/>
      <c r="GC38" s="416"/>
      <c r="GD38" s="416"/>
      <c r="GE38" s="416"/>
      <c r="GF38" s="416"/>
      <c r="GG38" s="416"/>
      <c r="GH38" s="416"/>
      <c r="GI38" s="416"/>
      <c r="GJ38" s="416"/>
      <c r="GK38" s="416"/>
      <c r="GL38" s="416"/>
      <c r="GM38" s="416"/>
      <c r="GN38" s="416"/>
      <c r="GO38" s="416"/>
      <c r="GP38" s="416"/>
      <c r="GQ38" s="416"/>
      <c r="GR38" s="416"/>
      <c r="GS38" s="416"/>
      <c r="GT38" s="416"/>
      <c r="GU38" s="416"/>
      <c r="GV38" s="416"/>
      <c r="GW38" s="416"/>
      <c r="GX38" s="416"/>
      <c r="GY38" s="416"/>
      <c r="GZ38" s="416"/>
      <c r="HA38" s="416"/>
      <c r="HB38" s="416"/>
      <c r="HC38" s="416"/>
      <c r="HD38" s="416"/>
      <c r="HE38" s="416"/>
      <c r="HF38" s="416"/>
      <c r="HG38" s="416"/>
      <c r="HH38" s="416"/>
      <c r="HI38" s="416"/>
      <c r="HJ38" s="416"/>
      <c r="HK38" s="416"/>
      <c r="HL38" s="416"/>
      <c r="HM38" s="416"/>
      <c r="HN38" s="416"/>
      <c r="HO38" s="416"/>
      <c r="HP38" s="416"/>
      <c r="HQ38" s="416"/>
      <c r="HR38" s="416"/>
      <c r="HS38" s="416"/>
      <c r="HT38" s="416"/>
      <c r="HU38" s="416"/>
      <c r="HV38" s="416"/>
      <c r="HW38" s="416"/>
      <c r="HX38" s="416"/>
      <c r="HY38" s="416"/>
      <c r="HZ38" s="416"/>
      <c r="IA38" s="416"/>
      <c r="IB38" s="416"/>
      <c r="IC38" s="416"/>
      <c r="ID38" s="416"/>
      <c r="IE38" s="416"/>
      <c r="IF38" s="416"/>
      <c r="IG38" s="416"/>
      <c r="IH38" s="416"/>
      <c r="II38" s="416"/>
      <c r="IJ38" s="416"/>
      <c r="IK38" s="416"/>
      <c r="IL38" s="416"/>
      <c r="IM38" s="416"/>
      <c r="IN38" s="416"/>
      <c r="IO38" s="416"/>
      <c r="IP38" s="416"/>
      <c r="IQ38" s="416"/>
      <c r="IR38" s="416"/>
      <c r="IS38" s="416"/>
      <c r="IT38" s="416"/>
      <c r="IU38" s="416"/>
      <c r="IV38" s="416"/>
      <c r="IW38" s="416"/>
    </row>
    <row r="39" customFormat="false" ht="12.75" hidden="false" customHeight="false" outlineLevel="0" collapsed="false">
      <c r="A39" s="1289"/>
      <c r="B39" s="412"/>
      <c r="C39" s="1300" t="str">
        <f aca="false">+Srcs_Uses!B23</f>
        <v>INSURANCE CONSULTANT FEES</v>
      </c>
      <c r="D39" s="1302"/>
      <c r="E39" s="418" t="n">
        <v>0.1</v>
      </c>
      <c r="F39" s="414" t="n">
        <v>0.1</v>
      </c>
      <c r="G39" s="414" t="n">
        <v>0.1</v>
      </c>
      <c r="H39" s="414" t="n">
        <v>0.1</v>
      </c>
      <c r="I39" s="414" t="n">
        <v>0.1</v>
      </c>
      <c r="J39" s="414" t="n">
        <v>0.1</v>
      </c>
      <c r="K39" s="414" t="n">
        <v>0.1</v>
      </c>
      <c r="L39" s="414" t="n">
        <v>0.1</v>
      </c>
      <c r="M39" s="414" t="n">
        <v>0.1</v>
      </c>
      <c r="N39" s="414" t="n">
        <v>0.1</v>
      </c>
      <c r="O39" s="414"/>
      <c r="P39" s="414"/>
      <c r="Q39" s="414"/>
      <c r="R39" s="414"/>
      <c r="S39" s="414"/>
      <c r="T39" s="414"/>
      <c r="U39" s="414" t="n">
        <f aca="false">SUM(E39:T39)</f>
        <v>1</v>
      </c>
      <c r="V39" s="415"/>
      <c r="W39" s="415"/>
      <c r="X39" s="415"/>
      <c r="Y39" s="415"/>
      <c r="Z39" s="415"/>
      <c r="AA39" s="415"/>
      <c r="AB39" s="415"/>
      <c r="AC39" s="415"/>
      <c r="AD39" s="415"/>
      <c r="AE39" s="415"/>
      <c r="AF39" s="415"/>
      <c r="AG39" s="415"/>
      <c r="AH39" s="415"/>
      <c r="AI39" s="415"/>
      <c r="AJ39" s="415"/>
      <c r="AK39" s="415"/>
      <c r="AL39" s="415"/>
      <c r="AM39" s="415"/>
      <c r="AN39" s="415"/>
      <c r="AO39" s="415"/>
      <c r="AP39" s="415"/>
      <c r="AQ39" s="415"/>
      <c r="AR39" s="415"/>
      <c r="AS39" s="415"/>
      <c r="AT39" s="415"/>
      <c r="AU39" s="415"/>
      <c r="AV39" s="415"/>
      <c r="AW39" s="415"/>
      <c r="AX39" s="415"/>
      <c r="AY39" s="415"/>
      <c r="AZ39" s="415"/>
      <c r="BA39" s="415"/>
      <c r="BB39" s="415"/>
      <c r="BC39" s="415"/>
      <c r="BD39" s="415"/>
      <c r="BE39" s="415"/>
      <c r="BF39" s="415"/>
      <c r="BG39" s="415"/>
      <c r="BH39" s="415"/>
      <c r="BI39" s="415"/>
      <c r="BJ39" s="415"/>
      <c r="BK39" s="415"/>
      <c r="BL39" s="415"/>
      <c r="BM39" s="415"/>
      <c r="BN39" s="415"/>
      <c r="BO39" s="415"/>
      <c r="BP39" s="415"/>
      <c r="BQ39" s="415"/>
      <c r="BR39" s="415"/>
      <c r="BS39" s="415"/>
      <c r="BT39" s="415"/>
      <c r="BU39" s="415"/>
      <c r="BV39" s="415"/>
      <c r="BW39" s="415"/>
      <c r="BX39" s="415"/>
      <c r="BY39" s="415"/>
      <c r="BZ39" s="415"/>
      <c r="CA39" s="415"/>
      <c r="CB39" s="415"/>
      <c r="CC39" s="415"/>
      <c r="CD39" s="415"/>
      <c r="CE39" s="415"/>
      <c r="CF39" s="415"/>
      <c r="CG39" s="415"/>
      <c r="CH39" s="415"/>
      <c r="CI39" s="415"/>
      <c r="CJ39" s="415"/>
      <c r="CK39" s="415"/>
      <c r="CL39" s="415"/>
      <c r="CM39" s="415"/>
      <c r="CN39" s="415"/>
      <c r="CO39" s="415"/>
      <c r="CP39" s="415"/>
      <c r="CQ39" s="415"/>
      <c r="CR39" s="415"/>
      <c r="CS39" s="415"/>
      <c r="CT39" s="415"/>
      <c r="CU39" s="415"/>
      <c r="CV39" s="415"/>
      <c r="CW39" s="415"/>
      <c r="CX39" s="415"/>
      <c r="CY39" s="415"/>
      <c r="CZ39" s="415"/>
      <c r="DA39" s="415"/>
      <c r="DB39" s="415"/>
      <c r="DC39" s="415"/>
      <c r="DD39" s="415"/>
      <c r="DE39" s="415"/>
      <c r="DF39" s="415"/>
      <c r="DG39" s="415"/>
      <c r="DH39" s="415"/>
      <c r="DI39" s="415"/>
      <c r="DJ39" s="415"/>
      <c r="DK39" s="415"/>
      <c r="DL39" s="415"/>
      <c r="DM39" s="415"/>
      <c r="DN39" s="415"/>
      <c r="DO39" s="415"/>
      <c r="DP39" s="415"/>
      <c r="DQ39" s="415"/>
      <c r="DR39" s="415"/>
      <c r="DS39" s="415"/>
      <c r="DT39" s="415"/>
      <c r="DU39" s="415"/>
      <c r="DV39" s="415"/>
      <c r="DW39" s="415"/>
      <c r="DX39" s="415"/>
      <c r="DY39" s="415"/>
      <c r="DZ39" s="415"/>
      <c r="EA39" s="415"/>
      <c r="EB39" s="415"/>
      <c r="EC39" s="415"/>
      <c r="ED39" s="415"/>
      <c r="EE39" s="415"/>
      <c r="EF39" s="415"/>
      <c r="EG39" s="415"/>
      <c r="EH39" s="415"/>
      <c r="EI39" s="415"/>
      <c r="EJ39" s="415"/>
      <c r="EK39" s="415"/>
      <c r="EL39" s="415"/>
      <c r="EM39" s="416"/>
      <c r="EN39" s="416"/>
      <c r="EO39" s="416"/>
      <c r="EP39" s="416"/>
      <c r="EQ39" s="416"/>
      <c r="ER39" s="416"/>
      <c r="ES39" s="416"/>
      <c r="ET39" s="416"/>
      <c r="EU39" s="416"/>
      <c r="EV39" s="416"/>
      <c r="EW39" s="416"/>
      <c r="EX39" s="416"/>
      <c r="EY39" s="416"/>
      <c r="EZ39" s="416"/>
      <c r="FA39" s="416"/>
      <c r="FB39" s="416"/>
      <c r="FC39" s="416"/>
      <c r="FD39" s="416"/>
      <c r="FE39" s="416"/>
      <c r="FF39" s="416"/>
      <c r="FG39" s="416"/>
      <c r="FH39" s="416"/>
      <c r="FI39" s="416"/>
      <c r="FJ39" s="416"/>
      <c r="FK39" s="416"/>
      <c r="FL39" s="416"/>
      <c r="FM39" s="416"/>
      <c r="FN39" s="416"/>
      <c r="FO39" s="416"/>
      <c r="FP39" s="416"/>
      <c r="FQ39" s="416"/>
      <c r="FR39" s="416"/>
      <c r="FS39" s="416"/>
      <c r="FT39" s="416"/>
      <c r="FU39" s="416"/>
      <c r="FV39" s="416"/>
      <c r="FW39" s="416"/>
      <c r="FX39" s="416"/>
      <c r="FY39" s="416"/>
      <c r="FZ39" s="416"/>
      <c r="GA39" s="416"/>
      <c r="GB39" s="416"/>
      <c r="GC39" s="416"/>
      <c r="GD39" s="416"/>
      <c r="GE39" s="416"/>
      <c r="GF39" s="416"/>
      <c r="GG39" s="416"/>
      <c r="GH39" s="416"/>
      <c r="GI39" s="416"/>
      <c r="GJ39" s="416"/>
      <c r="GK39" s="416"/>
      <c r="GL39" s="416"/>
      <c r="GM39" s="416"/>
      <c r="GN39" s="416"/>
      <c r="GO39" s="416"/>
      <c r="GP39" s="416"/>
      <c r="GQ39" s="416"/>
      <c r="GR39" s="416"/>
      <c r="GS39" s="416"/>
      <c r="GT39" s="416"/>
      <c r="GU39" s="416"/>
      <c r="GV39" s="416"/>
      <c r="GW39" s="416"/>
      <c r="GX39" s="416"/>
      <c r="GY39" s="416"/>
      <c r="GZ39" s="416"/>
      <c r="HA39" s="416"/>
      <c r="HB39" s="416"/>
      <c r="HC39" s="416"/>
      <c r="HD39" s="416"/>
      <c r="HE39" s="416"/>
      <c r="HF39" s="416"/>
      <c r="HG39" s="416"/>
      <c r="HH39" s="416"/>
      <c r="HI39" s="416"/>
      <c r="HJ39" s="416"/>
      <c r="HK39" s="416"/>
      <c r="HL39" s="416"/>
      <c r="HM39" s="416"/>
      <c r="HN39" s="416"/>
      <c r="HO39" s="416"/>
      <c r="HP39" s="416"/>
      <c r="HQ39" s="416"/>
      <c r="HR39" s="416"/>
      <c r="HS39" s="416"/>
      <c r="HT39" s="416"/>
      <c r="HU39" s="416"/>
      <c r="HV39" s="416"/>
      <c r="HW39" s="416"/>
      <c r="HX39" s="416"/>
      <c r="HY39" s="416"/>
      <c r="HZ39" s="416"/>
      <c r="IA39" s="416"/>
      <c r="IB39" s="416"/>
      <c r="IC39" s="416"/>
      <c r="ID39" s="416"/>
      <c r="IE39" s="416"/>
      <c r="IF39" s="416"/>
      <c r="IG39" s="416"/>
      <c r="IH39" s="416"/>
      <c r="II39" s="416"/>
      <c r="IJ39" s="416"/>
      <c r="IK39" s="416"/>
      <c r="IL39" s="416"/>
      <c r="IM39" s="416"/>
      <c r="IN39" s="416"/>
      <c r="IO39" s="416"/>
      <c r="IP39" s="416"/>
      <c r="IQ39" s="416"/>
      <c r="IR39" s="416"/>
      <c r="IS39" s="416"/>
      <c r="IT39" s="416"/>
      <c r="IU39" s="416"/>
      <c r="IV39" s="416"/>
      <c r="IW39" s="416"/>
    </row>
    <row r="40" customFormat="false" ht="12.75" hidden="false" customHeight="false" outlineLevel="0" collapsed="false">
      <c r="A40" s="1289"/>
      <c r="B40" s="412"/>
      <c r="C40" s="1300" t="str">
        <f aca="false">+Srcs_Uses!B24</f>
        <v>INITIAL WORKING CAPITAL </v>
      </c>
      <c r="D40" s="1302"/>
      <c r="E40" s="418" t="n">
        <v>1</v>
      </c>
      <c r="F40" s="414"/>
      <c r="G40" s="414"/>
      <c r="H40" s="414"/>
      <c r="I40" s="414"/>
      <c r="J40" s="414"/>
      <c r="K40" s="414"/>
      <c r="L40" s="414"/>
      <c r="M40" s="414"/>
      <c r="N40" s="414"/>
      <c r="O40" s="414"/>
      <c r="P40" s="414"/>
      <c r="Q40" s="414"/>
      <c r="R40" s="414"/>
      <c r="S40" s="414"/>
      <c r="T40" s="414"/>
      <c r="U40" s="414" t="n">
        <f aca="false">SUM(E40:T40)</f>
        <v>1</v>
      </c>
      <c r="V40" s="415"/>
      <c r="W40" s="415"/>
      <c r="X40" s="415"/>
      <c r="Y40" s="415"/>
      <c r="Z40" s="415"/>
      <c r="AA40" s="415"/>
      <c r="AB40" s="415"/>
      <c r="AC40" s="415"/>
      <c r="AD40" s="415"/>
      <c r="AE40" s="415"/>
      <c r="AF40" s="415"/>
      <c r="AG40" s="415"/>
      <c r="AH40" s="415"/>
      <c r="AI40" s="415"/>
      <c r="AJ40" s="415"/>
      <c r="AK40" s="415"/>
      <c r="AL40" s="415"/>
      <c r="AM40" s="415"/>
      <c r="AN40" s="415"/>
      <c r="AO40" s="415"/>
      <c r="AP40" s="415"/>
      <c r="AQ40" s="415"/>
      <c r="AR40" s="415"/>
      <c r="AS40" s="415"/>
      <c r="AT40" s="415"/>
      <c r="AU40" s="415"/>
      <c r="AV40" s="415"/>
      <c r="AW40" s="415"/>
      <c r="AX40" s="415"/>
      <c r="AY40" s="415"/>
      <c r="AZ40" s="415"/>
      <c r="BA40" s="415"/>
      <c r="BB40" s="415"/>
      <c r="BC40" s="415"/>
      <c r="BD40" s="415"/>
      <c r="BE40" s="415"/>
      <c r="BF40" s="415"/>
      <c r="BG40" s="415"/>
      <c r="BH40" s="415"/>
      <c r="BI40" s="415"/>
      <c r="BJ40" s="415"/>
      <c r="BK40" s="415"/>
      <c r="BL40" s="415"/>
      <c r="BM40" s="415"/>
      <c r="BN40" s="415"/>
      <c r="BO40" s="415"/>
      <c r="BP40" s="415"/>
      <c r="BQ40" s="415"/>
      <c r="BR40" s="415"/>
      <c r="BS40" s="415"/>
      <c r="BT40" s="415"/>
      <c r="BU40" s="415"/>
      <c r="BV40" s="415"/>
      <c r="BW40" s="415"/>
      <c r="BX40" s="415"/>
      <c r="BY40" s="415"/>
      <c r="BZ40" s="415"/>
      <c r="CA40" s="415"/>
      <c r="CB40" s="415"/>
      <c r="CC40" s="415"/>
      <c r="CD40" s="415"/>
      <c r="CE40" s="415"/>
      <c r="CF40" s="415"/>
      <c r="CG40" s="415"/>
      <c r="CH40" s="415"/>
      <c r="CI40" s="415"/>
      <c r="CJ40" s="415"/>
      <c r="CK40" s="415"/>
      <c r="CL40" s="415"/>
      <c r="CM40" s="415"/>
      <c r="CN40" s="415"/>
      <c r="CO40" s="415"/>
      <c r="CP40" s="415"/>
      <c r="CQ40" s="415"/>
      <c r="CR40" s="415"/>
      <c r="CS40" s="415"/>
      <c r="CT40" s="415"/>
      <c r="CU40" s="415"/>
      <c r="CV40" s="415"/>
      <c r="CW40" s="415"/>
      <c r="CX40" s="415"/>
      <c r="CY40" s="415"/>
      <c r="CZ40" s="415"/>
      <c r="DA40" s="415"/>
      <c r="DB40" s="415"/>
      <c r="DC40" s="415"/>
      <c r="DD40" s="415"/>
      <c r="DE40" s="415"/>
      <c r="DF40" s="415"/>
      <c r="DG40" s="415"/>
      <c r="DH40" s="415"/>
      <c r="DI40" s="415"/>
      <c r="DJ40" s="415"/>
      <c r="DK40" s="415"/>
      <c r="DL40" s="415"/>
      <c r="DM40" s="415"/>
      <c r="DN40" s="415"/>
      <c r="DO40" s="415"/>
      <c r="DP40" s="415"/>
      <c r="DQ40" s="415"/>
      <c r="DR40" s="415"/>
      <c r="DS40" s="415"/>
      <c r="DT40" s="415"/>
      <c r="DU40" s="415"/>
      <c r="DV40" s="415"/>
      <c r="DW40" s="415"/>
      <c r="DX40" s="415"/>
      <c r="DY40" s="415"/>
      <c r="DZ40" s="415"/>
      <c r="EA40" s="415"/>
      <c r="EB40" s="415"/>
      <c r="EC40" s="415"/>
      <c r="ED40" s="415"/>
      <c r="EE40" s="415"/>
      <c r="EF40" s="415"/>
      <c r="EG40" s="415"/>
      <c r="EH40" s="415"/>
      <c r="EI40" s="415"/>
      <c r="EJ40" s="415"/>
      <c r="EK40" s="415"/>
      <c r="EL40" s="415"/>
      <c r="EM40" s="416"/>
      <c r="EN40" s="416"/>
      <c r="EO40" s="416"/>
      <c r="EP40" s="416"/>
      <c r="EQ40" s="416"/>
      <c r="ER40" s="416"/>
      <c r="ES40" s="416"/>
      <c r="ET40" s="416"/>
      <c r="EU40" s="416"/>
      <c r="EV40" s="416"/>
      <c r="EW40" s="416"/>
      <c r="EX40" s="416"/>
      <c r="EY40" s="416"/>
      <c r="EZ40" s="416"/>
      <c r="FA40" s="416"/>
      <c r="FB40" s="416"/>
      <c r="FC40" s="416"/>
      <c r="FD40" s="416"/>
      <c r="FE40" s="416"/>
      <c r="FF40" s="416"/>
      <c r="FG40" s="416"/>
      <c r="FH40" s="416"/>
      <c r="FI40" s="416"/>
      <c r="FJ40" s="416"/>
      <c r="FK40" s="416"/>
      <c r="FL40" s="416"/>
      <c r="FM40" s="416"/>
      <c r="FN40" s="416"/>
      <c r="FO40" s="416"/>
      <c r="FP40" s="416"/>
      <c r="FQ40" s="416"/>
      <c r="FR40" s="416"/>
      <c r="FS40" s="416"/>
      <c r="FT40" s="416"/>
      <c r="FU40" s="416"/>
      <c r="FV40" s="416"/>
      <c r="FW40" s="416"/>
      <c r="FX40" s="416"/>
      <c r="FY40" s="416"/>
      <c r="FZ40" s="416"/>
      <c r="GA40" s="416"/>
      <c r="GB40" s="416"/>
      <c r="GC40" s="416"/>
      <c r="GD40" s="416"/>
      <c r="GE40" s="416"/>
      <c r="GF40" s="416"/>
      <c r="GG40" s="416"/>
      <c r="GH40" s="416"/>
      <c r="GI40" s="416"/>
      <c r="GJ40" s="416"/>
      <c r="GK40" s="416"/>
      <c r="GL40" s="416"/>
      <c r="GM40" s="416"/>
      <c r="GN40" s="416"/>
      <c r="GO40" s="416"/>
      <c r="GP40" s="416"/>
      <c r="GQ40" s="416"/>
      <c r="GR40" s="416"/>
      <c r="GS40" s="416"/>
      <c r="GT40" s="416"/>
      <c r="GU40" s="416"/>
      <c r="GV40" s="416"/>
      <c r="GW40" s="416"/>
      <c r="GX40" s="416"/>
      <c r="GY40" s="416"/>
      <c r="GZ40" s="416"/>
      <c r="HA40" s="416"/>
      <c r="HB40" s="416"/>
      <c r="HC40" s="416"/>
      <c r="HD40" s="416"/>
      <c r="HE40" s="416"/>
      <c r="HF40" s="416"/>
      <c r="HG40" s="416"/>
      <c r="HH40" s="416"/>
      <c r="HI40" s="416"/>
      <c r="HJ40" s="416"/>
      <c r="HK40" s="416"/>
      <c r="HL40" s="416"/>
      <c r="HM40" s="416"/>
      <c r="HN40" s="416"/>
      <c r="HO40" s="416"/>
      <c r="HP40" s="416"/>
      <c r="HQ40" s="416"/>
      <c r="HR40" s="416"/>
      <c r="HS40" s="416"/>
      <c r="HT40" s="416"/>
      <c r="HU40" s="416"/>
      <c r="HV40" s="416"/>
      <c r="HW40" s="416"/>
      <c r="HX40" s="416"/>
      <c r="HY40" s="416"/>
      <c r="HZ40" s="416"/>
      <c r="IA40" s="416"/>
      <c r="IB40" s="416"/>
      <c r="IC40" s="416"/>
      <c r="ID40" s="416"/>
      <c r="IE40" s="416"/>
      <c r="IF40" s="416"/>
      <c r="IG40" s="416"/>
      <c r="IH40" s="416"/>
      <c r="II40" s="416"/>
      <c r="IJ40" s="416"/>
      <c r="IK40" s="416"/>
      <c r="IL40" s="416"/>
      <c r="IM40" s="416"/>
      <c r="IN40" s="416"/>
      <c r="IO40" s="416"/>
      <c r="IP40" s="416"/>
      <c r="IQ40" s="416"/>
      <c r="IR40" s="416"/>
      <c r="IS40" s="416"/>
      <c r="IT40" s="416"/>
      <c r="IU40" s="416"/>
      <c r="IV40" s="416"/>
      <c r="IW40" s="416"/>
    </row>
    <row r="41" customFormat="false" ht="12.75" hidden="false" customHeight="false" outlineLevel="0" collapsed="false">
      <c r="A41" s="1289"/>
      <c r="B41" s="412"/>
      <c r="C41" s="1300" t="str">
        <f aca="false">+Srcs_Uses!B25</f>
        <v>LAND USE PAYMENT TO SMUD</v>
      </c>
      <c r="D41" s="1302"/>
      <c r="E41" s="418" t="n">
        <v>1</v>
      </c>
      <c r="F41" s="414"/>
      <c r="G41" s="414"/>
      <c r="H41" s="414"/>
      <c r="I41" s="414"/>
      <c r="J41" s="414"/>
      <c r="K41" s="414"/>
      <c r="L41" s="414"/>
      <c r="M41" s="414"/>
      <c r="N41" s="414"/>
      <c r="O41" s="414"/>
      <c r="P41" s="414"/>
      <c r="Q41" s="414"/>
      <c r="R41" s="414"/>
      <c r="S41" s="414"/>
      <c r="T41" s="414"/>
      <c r="U41" s="414" t="n">
        <f aca="false">SUM(E41:T41)</f>
        <v>1</v>
      </c>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5"/>
      <c r="DE41" s="415"/>
      <c r="DF41" s="415"/>
      <c r="DG41" s="415"/>
      <c r="DH41" s="415"/>
      <c r="DI41" s="415"/>
      <c r="DJ41" s="415"/>
      <c r="DK41" s="415"/>
      <c r="DL41" s="415"/>
      <c r="DM41" s="415"/>
      <c r="DN41" s="415"/>
      <c r="DO41" s="415"/>
      <c r="DP41" s="415"/>
      <c r="DQ41" s="415"/>
      <c r="DR41" s="415"/>
      <c r="DS41" s="415"/>
      <c r="DT41" s="415"/>
      <c r="DU41" s="415"/>
      <c r="DV41" s="415"/>
      <c r="DW41" s="415"/>
      <c r="DX41" s="415"/>
      <c r="DY41" s="415"/>
      <c r="DZ41" s="415"/>
      <c r="EA41" s="415"/>
      <c r="EB41" s="415"/>
      <c r="EC41" s="415"/>
      <c r="ED41" s="415"/>
      <c r="EE41" s="415"/>
      <c r="EF41" s="415"/>
      <c r="EG41" s="415"/>
      <c r="EH41" s="415"/>
      <c r="EI41" s="415"/>
      <c r="EJ41" s="415"/>
      <c r="EK41" s="415"/>
      <c r="EL41" s="415"/>
      <c r="EM41" s="416"/>
      <c r="EN41" s="416"/>
      <c r="EO41" s="416"/>
      <c r="EP41" s="416"/>
      <c r="EQ41" s="416"/>
      <c r="ER41" s="416"/>
      <c r="ES41" s="416"/>
      <c r="ET41" s="416"/>
      <c r="EU41" s="416"/>
      <c r="EV41" s="416"/>
      <c r="EW41" s="416"/>
      <c r="EX41" s="416"/>
      <c r="EY41" s="416"/>
      <c r="EZ41" s="416"/>
      <c r="FA41" s="416"/>
      <c r="FB41" s="416"/>
      <c r="FC41" s="416"/>
      <c r="FD41" s="416"/>
      <c r="FE41" s="416"/>
      <c r="FF41" s="416"/>
      <c r="FG41" s="416"/>
      <c r="FH41" s="416"/>
      <c r="FI41" s="416"/>
      <c r="FJ41" s="416"/>
      <c r="FK41" s="416"/>
      <c r="FL41" s="416"/>
      <c r="FM41" s="416"/>
      <c r="FN41" s="416"/>
      <c r="FO41" s="416"/>
      <c r="FP41" s="416"/>
      <c r="FQ41" s="416"/>
      <c r="FR41" s="416"/>
      <c r="FS41" s="416"/>
      <c r="FT41" s="416"/>
      <c r="FU41" s="416"/>
      <c r="FV41" s="416"/>
      <c r="FW41" s="416"/>
      <c r="FX41" s="416"/>
      <c r="FY41" s="416"/>
      <c r="FZ41" s="416"/>
      <c r="GA41" s="416"/>
      <c r="GB41" s="416"/>
      <c r="GC41" s="416"/>
      <c r="GD41" s="416"/>
      <c r="GE41" s="416"/>
      <c r="GF41" s="416"/>
      <c r="GG41" s="416"/>
      <c r="GH41" s="416"/>
      <c r="GI41" s="416"/>
      <c r="GJ41" s="416"/>
      <c r="GK41" s="416"/>
      <c r="GL41" s="416"/>
      <c r="GM41" s="416"/>
      <c r="GN41" s="416"/>
      <c r="GO41" s="416"/>
      <c r="GP41" s="416"/>
      <c r="GQ41" s="416"/>
      <c r="GR41" s="416"/>
      <c r="GS41" s="416"/>
      <c r="GT41" s="416"/>
      <c r="GU41" s="416"/>
      <c r="GV41" s="416"/>
      <c r="GW41" s="416"/>
      <c r="GX41" s="416"/>
      <c r="GY41" s="416"/>
      <c r="GZ41" s="416"/>
      <c r="HA41" s="416"/>
      <c r="HB41" s="416"/>
      <c r="HC41" s="416"/>
      <c r="HD41" s="416"/>
      <c r="HE41" s="416"/>
      <c r="HF41" s="416"/>
      <c r="HG41" s="416"/>
      <c r="HH41" s="416"/>
      <c r="HI41" s="416"/>
      <c r="HJ41" s="416"/>
      <c r="HK41" s="416"/>
      <c r="HL41" s="416"/>
      <c r="HM41" s="416"/>
      <c r="HN41" s="416"/>
      <c r="HO41" s="416"/>
      <c r="HP41" s="416"/>
      <c r="HQ41" s="416"/>
      <c r="HR41" s="416"/>
      <c r="HS41" s="416"/>
      <c r="HT41" s="416"/>
      <c r="HU41" s="416"/>
      <c r="HV41" s="416"/>
      <c r="HW41" s="416"/>
      <c r="HX41" s="416"/>
      <c r="HY41" s="416"/>
      <c r="HZ41" s="416"/>
      <c r="IA41" s="416"/>
      <c r="IB41" s="416"/>
      <c r="IC41" s="416"/>
      <c r="ID41" s="416"/>
      <c r="IE41" s="416"/>
      <c r="IF41" s="416"/>
      <c r="IG41" s="416"/>
      <c r="IH41" s="416"/>
      <c r="II41" s="416"/>
      <c r="IJ41" s="416"/>
      <c r="IK41" s="416"/>
      <c r="IL41" s="416"/>
      <c r="IM41" s="416"/>
      <c r="IN41" s="416"/>
      <c r="IO41" s="416"/>
      <c r="IP41" s="416"/>
      <c r="IQ41" s="416"/>
      <c r="IR41" s="416"/>
      <c r="IS41" s="416"/>
      <c r="IT41" s="416"/>
      <c r="IU41" s="416"/>
      <c r="IV41" s="416"/>
      <c r="IW41" s="416"/>
    </row>
    <row r="42" customFormat="false" ht="12.75" hidden="false" customHeight="false" outlineLevel="0" collapsed="false">
      <c r="A42" s="1289"/>
      <c r="B42" s="412"/>
      <c r="C42" s="1300" t="str">
        <f aca="false">+Srcs_Uses!B26</f>
        <v>EQUITY CLOSING EXPENSES</v>
      </c>
      <c r="D42" s="1302"/>
      <c r="E42" s="418" t="n">
        <v>0</v>
      </c>
      <c r="F42" s="414"/>
      <c r="G42" s="414"/>
      <c r="H42" s="414"/>
      <c r="I42" s="414"/>
      <c r="J42" s="414" t="n">
        <v>0.5</v>
      </c>
      <c r="K42" s="414"/>
      <c r="L42" s="414"/>
      <c r="M42" s="414"/>
      <c r="N42" s="414" t="n">
        <v>0.5</v>
      </c>
      <c r="O42" s="414"/>
      <c r="P42" s="414"/>
      <c r="Q42" s="414"/>
      <c r="R42" s="414"/>
      <c r="S42" s="414"/>
      <c r="T42" s="414"/>
      <c r="U42" s="414" t="n">
        <f aca="false">SUM(E42:T42)</f>
        <v>1</v>
      </c>
      <c r="V42" s="415"/>
      <c r="W42" s="415"/>
      <c r="X42" s="415"/>
      <c r="Y42" s="415"/>
      <c r="Z42" s="415"/>
      <c r="AA42" s="415"/>
      <c r="AB42" s="415"/>
      <c r="AC42" s="415"/>
      <c r="AD42" s="415"/>
      <c r="AE42" s="415"/>
      <c r="AF42" s="415"/>
      <c r="AG42" s="415"/>
      <c r="AH42" s="415"/>
      <c r="AI42" s="415"/>
      <c r="AJ42" s="415"/>
      <c r="AK42" s="415"/>
      <c r="AL42" s="415"/>
      <c r="AM42" s="415"/>
      <c r="AN42" s="415"/>
      <c r="AO42" s="415"/>
      <c r="AP42" s="415"/>
      <c r="AQ42" s="415"/>
      <c r="AR42" s="415"/>
      <c r="AS42" s="415"/>
      <c r="AT42" s="415"/>
      <c r="AU42" s="415"/>
      <c r="AV42" s="415"/>
      <c r="AW42" s="415"/>
      <c r="AX42" s="415"/>
      <c r="AY42" s="415"/>
      <c r="AZ42" s="415"/>
      <c r="BA42" s="415"/>
      <c r="BB42" s="415"/>
      <c r="BC42" s="415"/>
      <c r="BD42" s="415"/>
      <c r="BE42" s="415"/>
      <c r="BF42" s="415"/>
      <c r="BG42" s="415"/>
      <c r="BH42" s="415"/>
      <c r="BI42" s="415"/>
      <c r="BJ42" s="415"/>
      <c r="BK42" s="415"/>
      <c r="BL42" s="415"/>
      <c r="BM42" s="415"/>
      <c r="BN42" s="415"/>
      <c r="BO42" s="415"/>
      <c r="BP42" s="415"/>
      <c r="BQ42" s="415"/>
      <c r="BR42" s="415"/>
      <c r="BS42" s="415"/>
      <c r="BT42" s="415"/>
      <c r="BU42" s="415"/>
      <c r="BV42" s="415"/>
      <c r="BW42" s="415"/>
      <c r="BX42" s="415"/>
      <c r="BY42" s="415"/>
      <c r="BZ42" s="415"/>
      <c r="CA42" s="415"/>
      <c r="CB42" s="415"/>
      <c r="CC42" s="415"/>
      <c r="CD42" s="415"/>
      <c r="CE42" s="415"/>
      <c r="CF42" s="415"/>
      <c r="CG42" s="415"/>
      <c r="CH42" s="415"/>
      <c r="CI42" s="415"/>
      <c r="CJ42" s="415"/>
      <c r="CK42" s="415"/>
      <c r="CL42" s="415"/>
      <c r="CM42" s="415"/>
      <c r="CN42" s="415"/>
      <c r="CO42" s="415"/>
      <c r="CP42" s="415"/>
      <c r="CQ42" s="415"/>
      <c r="CR42" s="415"/>
      <c r="CS42" s="415"/>
      <c r="CT42" s="415"/>
      <c r="CU42" s="415"/>
      <c r="CV42" s="415"/>
      <c r="CW42" s="415"/>
      <c r="CX42" s="415"/>
      <c r="CY42" s="415"/>
      <c r="CZ42" s="415"/>
      <c r="DA42" s="415"/>
      <c r="DB42" s="415"/>
      <c r="DC42" s="415"/>
      <c r="DD42" s="415"/>
      <c r="DE42" s="415"/>
      <c r="DF42" s="415"/>
      <c r="DG42" s="415"/>
      <c r="DH42" s="415"/>
      <c r="DI42" s="415"/>
      <c r="DJ42" s="415"/>
      <c r="DK42" s="415"/>
      <c r="DL42" s="415"/>
      <c r="DM42" s="415"/>
      <c r="DN42" s="415"/>
      <c r="DO42" s="415"/>
      <c r="DP42" s="415"/>
      <c r="DQ42" s="415"/>
      <c r="DR42" s="415"/>
      <c r="DS42" s="415"/>
      <c r="DT42" s="415"/>
      <c r="DU42" s="415"/>
      <c r="DV42" s="415"/>
      <c r="DW42" s="415"/>
      <c r="DX42" s="415"/>
      <c r="DY42" s="415"/>
      <c r="DZ42" s="415"/>
      <c r="EA42" s="415"/>
      <c r="EB42" s="415"/>
      <c r="EC42" s="415"/>
      <c r="ED42" s="415"/>
      <c r="EE42" s="415"/>
      <c r="EF42" s="415"/>
      <c r="EG42" s="415"/>
      <c r="EH42" s="415"/>
      <c r="EI42" s="415"/>
      <c r="EJ42" s="415"/>
      <c r="EK42" s="415"/>
      <c r="EL42" s="415"/>
      <c r="EM42" s="416"/>
      <c r="EN42" s="416"/>
      <c r="EO42" s="416"/>
      <c r="EP42" s="416"/>
      <c r="EQ42" s="416"/>
      <c r="ER42" s="416"/>
      <c r="ES42" s="416"/>
      <c r="ET42" s="416"/>
      <c r="EU42" s="416"/>
      <c r="EV42" s="416"/>
      <c r="EW42" s="416"/>
      <c r="EX42" s="416"/>
      <c r="EY42" s="416"/>
      <c r="EZ42" s="416"/>
      <c r="FA42" s="416"/>
      <c r="FB42" s="416"/>
      <c r="FC42" s="416"/>
      <c r="FD42" s="416"/>
      <c r="FE42" s="416"/>
      <c r="FF42" s="416"/>
      <c r="FG42" s="416"/>
      <c r="FH42" s="416"/>
      <c r="FI42" s="416"/>
      <c r="FJ42" s="416"/>
      <c r="FK42" s="416"/>
      <c r="FL42" s="416"/>
      <c r="FM42" s="416"/>
      <c r="FN42" s="416"/>
      <c r="FO42" s="416"/>
      <c r="FP42" s="416"/>
      <c r="FQ42" s="416"/>
      <c r="FR42" s="416"/>
      <c r="FS42" s="416"/>
      <c r="FT42" s="416"/>
      <c r="FU42" s="416"/>
      <c r="FV42" s="416"/>
      <c r="FW42" s="416"/>
      <c r="FX42" s="416"/>
      <c r="FY42" s="416"/>
      <c r="FZ42" s="416"/>
      <c r="GA42" s="416"/>
      <c r="GB42" s="416"/>
      <c r="GC42" s="416"/>
      <c r="GD42" s="416"/>
      <c r="GE42" s="416"/>
      <c r="GF42" s="416"/>
      <c r="GG42" s="416"/>
      <c r="GH42" s="416"/>
      <c r="GI42" s="416"/>
      <c r="GJ42" s="416"/>
      <c r="GK42" s="416"/>
      <c r="GL42" s="416"/>
      <c r="GM42" s="416"/>
      <c r="GN42" s="416"/>
      <c r="GO42" s="416"/>
      <c r="GP42" s="416"/>
      <c r="GQ42" s="416"/>
      <c r="GR42" s="416"/>
      <c r="GS42" s="416"/>
      <c r="GT42" s="416"/>
      <c r="GU42" s="416"/>
      <c r="GV42" s="416"/>
      <c r="GW42" s="416"/>
      <c r="GX42" s="416"/>
      <c r="GY42" s="416"/>
      <c r="GZ42" s="416"/>
      <c r="HA42" s="416"/>
      <c r="HB42" s="416"/>
      <c r="HC42" s="416"/>
      <c r="HD42" s="416"/>
      <c r="HE42" s="416"/>
      <c r="HF42" s="416"/>
      <c r="HG42" s="416"/>
      <c r="HH42" s="416"/>
      <c r="HI42" s="416"/>
      <c r="HJ42" s="416"/>
      <c r="HK42" s="416"/>
      <c r="HL42" s="416"/>
      <c r="HM42" s="416"/>
      <c r="HN42" s="416"/>
      <c r="HO42" s="416"/>
      <c r="HP42" s="416"/>
      <c r="HQ42" s="416"/>
      <c r="HR42" s="416"/>
      <c r="HS42" s="416"/>
      <c r="HT42" s="416"/>
      <c r="HU42" s="416"/>
      <c r="HV42" s="416"/>
      <c r="HW42" s="416"/>
      <c r="HX42" s="416"/>
      <c r="HY42" s="416"/>
      <c r="HZ42" s="416"/>
      <c r="IA42" s="416"/>
      <c r="IB42" s="416"/>
      <c r="IC42" s="416"/>
      <c r="ID42" s="416"/>
      <c r="IE42" s="416"/>
      <c r="IF42" s="416"/>
      <c r="IG42" s="416"/>
      <c r="IH42" s="416"/>
      <c r="II42" s="416"/>
      <c r="IJ42" s="416"/>
      <c r="IK42" s="416"/>
      <c r="IL42" s="416"/>
      <c r="IM42" s="416"/>
      <c r="IN42" s="416"/>
      <c r="IO42" s="416"/>
      <c r="IP42" s="416"/>
      <c r="IQ42" s="416"/>
      <c r="IR42" s="416"/>
      <c r="IS42" s="416"/>
      <c r="IT42" s="416"/>
      <c r="IU42" s="416"/>
      <c r="IV42" s="416"/>
      <c r="IW42" s="416"/>
    </row>
    <row r="43" customFormat="false" ht="12.75" hidden="false" customHeight="false" outlineLevel="0" collapsed="false">
      <c r="A43" s="1289"/>
      <c r="B43" s="412"/>
      <c r="C43" s="1300" t="str">
        <f aca="false">+Srcs_Uses!B27</f>
        <v>UTILITY INTERCONNECT COSTS</v>
      </c>
      <c r="D43" s="1293"/>
      <c r="E43" s="418"/>
      <c r="F43" s="414"/>
      <c r="G43" s="414"/>
      <c r="H43" s="414"/>
      <c r="I43" s="414"/>
      <c r="J43" s="414" t="n">
        <v>0.5</v>
      </c>
      <c r="K43" s="414" t="n">
        <v>0.5</v>
      </c>
      <c r="L43" s="414"/>
      <c r="M43" s="414"/>
      <c r="N43" s="414"/>
      <c r="O43" s="414"/>
      <c r="P43" s="414"/>
      <c r="Q43" s="414"/>
      <c r="R43" s="414"/>
      <c r="S43" s="414"/>
      <c r="T43" s="414"/>
      <c r="U43" s="414" t="n">
        <f aca="false">SUM(E43:T43)</f>
        <v>1</v>
      </c>
      <c r="V43" s="415"/>
      <c r="W43" s="415"/>
      <c r="X43" s="415"/>
      <c r="Y43" s="415"/>
      <c r="Z43" s="415"/>
      <c r="AA43" s="415"/>
      <c r="AB43" s="415"/>
      <c r="AC43" s="415"/>
      <c r="AD43" s="415"/>
      <c r="AE43" s="415"/>
      <c r="AF43" s="415"/>
      <c r="AG43" s="415"/>
      <c r="AH43" s="415"/>
      <c r="AI43" s="415"/>
      <c r="AJ43" s="415"/>
      <c r="AK43" s="415"/>
      <c r="AL43" s="415"/>
      <c r="AM43" s="415"/>
      <c r="AN43" s="415"/>
      <c r="AO43" s="415"/>
      <c r="AP43" s="415"/>
      <c r="AQ43" s="415"/>
      <c r="AR43" s="415"/>
      <c r="AS43" s="415"/>
      <c r="AT43" s="415"/>
      <c r="AU43" s="415"/>
      <c r="AV43" s="415"/>
      <c r="AW43" s="415"/>
      <c r="AX43" s="415"/>
      <c r="AY43" s="415"/>
      <c r="AZ43" s="415"/>
      <c r="BA43" s="415"/>
      <c r="BB43" s="415"/>
      <c r="BC43" s="415"/>
      <c r="BD43" s="415"/>
      <c r="BE43" s="415"/>
      <c r="BF43" s="415"/>
      <c r="BG43" s="415"/>
      <c r="BH43" s="415"/>
      <c r="BI43" s="415"/>
      <c r="BJ43" s="415"/>
      <c r="BK43" s="415"/>
      <c r="BL43" s="415"/>
      <c r="BM43" s="415"/>
      <c r="BN43" s="415"/>
      <c r="BO43" s="415"/>
      <c r="BP43" s="415"/>
      <c r="BQ43" s="415"/>
      <c r="BR43" s="415"/>
      <c r="BS43" s="415"/>
      <c r="BT43" s="415"/>
      <c r="BU43" s="415"/>
      <c r="BV43" s="415"/>
      <c r="BW43" s="415"/>
      <c r="BX43" s="415"/>
      <c r="BY43" s="415"/>
      <c r="BZ43" s="415"/>
      <c r="CA43" s="415"/>
      <c r="CB43" s="415"/>
      <c r="CC43" s="415"/>
      <c r="CD43" s="415"/>
      <c r="CE43" s="415"/>
      <c r="CF43" s="415"/>
      <c r="CG43" s="415"/>
      <c r="CH43" s="415"/>
      <c r="CI43" s="415"/>
      <c r="CJ43" s="415"/>
      <c r="CK43" s="415"/>
      <c r="CL43" s="415"/>
      <c r="CM43" s="415"/>
      <c r="CN43" s="415"/>
      <c r="CO43" s="415"/>
      <c r="CP43" s="415"/>
      <c r="CQ43" s="415"/>
      <c r="CR43" s="415"/>
      <c r="CS43" s="415"/>
      <c r="CT43" s="415"/>
      <c r="CU43" s="415"/>
      <c r="CV43" s="415"/>
      <c r="CW43" s="415"/>
      <c r="CX43" s="415"/>
      <c r="CY43" s="415"/>
      <c r="CZ43" s="415"/>
      <c r="DA43" s="415"/>
      <c r="DB43" s="415"/>
      <c r="DC43" s="415"/>
      <c r="DD43" s="415"/>
      <c r="DE43" s="415"/>
      <c r="DF43" s="415"/>
      <c r="DG43" s="415"/>
      <c r="DH43" s="415"/>
      <c r="DI43" s="415"/>
      <c r="DJ43" s="415"/>
      <c r="DK43" s="415"/>
      <c r="DL43" s="415"/>
      <c r="DM43" s="415"/>
      <c r="DN43" s="415"/>
      <c r="DO43" s="415"/>
      <c r="DP43" s="415"/>
      <c r="DQ43" s="415"/>
      <c r="DR43" s="415"/>
      <c r="DS43" s="415"/>
      <c r="DT43" s="415"/>
      <c r="DU43" s="415"/>
      <c r="DV43" s="415"/>
      <c r="DW43" s="415"/>
      <c r="DX43" s="415"/>
      <c r="DY43" s="415"/>
      <c r="DZ43" s="415"/>
      <c r="EA43" s="415"/>
      <c r="EB43" s="415"/>
      <c r="EC43" s="415"/>
      <c r="ED43" s="415"/>
      <c r="EE43" s="415"/>
      <c r="EF43" s="415"/>
      <c r="EG43" s="415"/>
      <c r="EH43" s="415"/>
      <c r="EI43" s="415"/>
      <c r="EJ43" s="415"/>
      <c r="EK43" s="415"/>
      <c r="EL43" s="415"/>
      <c r="EM43" s="416"/>
      <c r="EN43" s="416"/>
      <c r="EO43" s="416"/>
      <c r="EP43" s="416"/>
      <c r="EQ43" s="416"/>
      <c r="ER43" s="416"/>
      <c r="ES43" s="416"/>
      <c r="ET43" s="416"/>
      <c r="EU43" s="416"/>
      <c r="EV43" s="416"/>
      <c r="EW43" s="416"/>
      <c r="EX43" s="416"/>
      <c r="EY43" s="416"/>
      <c r="EZ43" s="416"/>
      <c r="FA43" s="416"/>
      <c r="FB43" s="416"/>
      <c r="FC43" s="416"/>
      <c r="FD43" s="416"/>
      <c r="FE43" s="416"/>
      <c r="FF43" s="416"/>
      <c r="FG43" s="416"/>
      <c r="FH43" s="416"/>
      <c r="FI43" s="416"/>
      <c r="FJ43" s="416"/>
      <c r="FK43" s="416"/>
      <c r="FL43" s="416"/>
      <c r="FM43" s="416"/>
      <c r="FN43" s="416"/>
      <c r="FO43" s="416"/>
      <c r="FP43" s="416"/>
      <c r="FQ43" s="416"/>
      <c r="FR43" s="416"/>
      <c r="FS43" s="416"/>
      <c r="FT43" s="416"/>
      <c r="FU43" s="416"/>
      <c r="FV43" s="416"/>
      <c r="FW43" s="416"/>
      <c r="FX43" s="416"/>
      <c r="FY43" s="416"/>
      <c r="FZ43" s="416"/>
      <c r="GA43" s="416"/>
      <c r="GB43" s="416"/>
      <c r="GC43" s="416"/>
      <c r="GD43" s="416"/>
      <c r="GE43" s="416"/>
      <c r="GF43" s="416"/>
      <c r="GG43" s="416"/>
      <c r="GH43" s="416"/>
      <c r="GI43" s="416"/>
      <c r="GJ43" s="416"/>
      <c r="GK43" s="416"/>
      <c r="GL43" s="416"/>
      <c r="GM43" s="416"/>
      <c r="GN43" s="416"/>
      <c r="GO43" s="416"/>
      <c r="GP43" s="416"/>
      <c r="GQ43" s="416"/>
      <c r="GR43" s="416"/>
      <c r="GS43" s="416"/>
      <c r="GT43" s="416"/>
      <c r="GU43" s="416"/>
      <c r="GV43" s="416"/>
      <c r="GW43" s="416"/>
      <c r="GX43" s="416"/>
      <c r="GY43" s="416"/>
      <c r="GZ43" s="416"/>
      <c r="HA43" s="416"/>
      <c r="HB43" s="416"/>
      <c r="HC43" s="416"/>
      <c r="HD43" s="416"/>
      <c r="HE43" s="416"/>
      <c r="HF43" s="416"/>
      <c r="HG43" s="416"/>
      <c r="HH43" s="416"/>
      <c r="HI43" s="416"/>
      <c r="HJ43" s="416"/>
      <c r="HK43" s="416"/>
      <c r="HL43" s="416"/>
      <c r="HM43" s="416"/>
      <c r="HN43" s="416"/>
      <c r="HO43" s="416"/>
      <c r="HP43" s="416"/>
      <c r="HQ43" s="416"/>
      <c r="HR43" s="416"/>
      <c r="HS43" s="416"/>
      <c r="HT43" s="416"/>
      <c r="HU43" s="416"/>
      <c r="HV43" s="416"/>
      <c r="HW43" s="416"/>
      <c r="HX43" s="416"/>
      <c r="HY43" s="416"/>
      <c r="HZ43" s="416"/>
      <c r="IA43" s="416"/>
      <c r="IB43" s="416"/>
      <c r="IC43" s="416"/>
      <c r="ID43" s="416"/>
      <c r="IE43" s="416"/>
      <c r="IF43" s="416"/>
      <c r="IG43" s="416"/>
      <c r="IH43" s="416"/>
      <c r="II43" s="416"/>
      <c r="IJ43" s="416"/>
      <c r="IK43" s="416"/>
      <c r="IL43" s="416"/>
      <c r="IM43" s="416"/>
      <c r="IN43" s="416"/>
      <c r="IO43" s="416"/>
      <c r="IP43" s="416"/>
      <c r="IQ43" s="416"/>
      <c r="IR43" s="416"/>
      <c r="IS43" s="416"/>
      <c r="IT43" s="416"/>
      <c r="IU43" s="416"/>
      <c r="IV43" s="416"/>
      <c r="IW43" s="416"/>
    </row>
    <row r="44" customFormat="false" ht="12.75" hidden="false" customHeight="false" outlineLevel="0" collapsed="false">
      <c r="A44" s="1289"/>
      <c r="B44" s="412"/>
      <c r="C44" s="1300" t="str">
        <f aca="false">+Srcs_Uses!B28</f>
        <v>EQUITY FEE</v>
      </c>
      <c r="D44" s="1303"/>
      <c r="E44" s="419"/>
      <c r="F44" s="1303"/>
      <c r="G44" s="1303"/>
      <c r="H44" s="1303" t="n">
        <v>0.25</v>
      </c>
      <c r="I44" s="1303" t="n">
        <v>0.25</v>
      </c>
      <c r="J44" s="1303" t="n">
        <v>0.25</v>
      </c>
      <c r="K44" s="1303" t="n">
        <v>0.25</v>
      </c>
      <c r="L44" s="1303"/>
      <c r="M44" s="1303"/>
      <c r="N44" s="1303"/>
      <c r="O44" s="1303"/>
      <c r="P44" s="1303"/>
      <c r="Q44" s="1303"/>
      <c r="R44" s="1303"/>
      <c r="S44" s="1303"/>
      <c r="T44" s="1303"/>
      <c r="U44" s="414" t="n">
        <f aca="false">SUM(E44:T44)</f>
        <v>1</v>
      </c>
      <c r="V44" s="415"/>
      <c r="W44" s="415"/>
      <c r="X44" s="415"/>
      <c r="Y44" s="415"/>
      <c r="Z44" s="415"/>
      <c r="AA44" s="415"/>
      <c r="AB44" s="415"/>
      <c r="AC44" s="415"/>
      <c r="AD44" s="415"/>
      <c r="AE44" s="415"/>
      <c r="AF44" s="415"/>
      <c r="AG44" s="415"/>
      <c r="AH44" s="415"/>
      <c r="AI44" s="415"/>
      <c r="AJ44" s="415"/>
      <c r="AK44" s="415"/>
      <c r="AL44" s="415"/>
      <c r="AM44" s="415"/>
      <c r="AN44" s="415"/>
      <c r="AO44" s="415"/>
      <c r="AP44" s="415"/>
      <c r="AQ44" s="415"/>
      <c r="AR44" s="415"/>
      <c r="AS44" s="415"/>
      <c r="AT44" s="415"/>
      <c r="AU44" s="415"/>
      <c r="AV44" s="415"/>
      <c r="AW44" s="415"/>
      <c r="AX44" s="415"/>
      <c r="AY44" s="415"/>
      <c r="AZ44" s="415"/>
      <c r="BA44" s="415"/>
      <c r="BB44" s="415"/>
      <c r="BC44" s="415"/>
      <c r="BD44" s="415"/>
      <c r="BE44" s="415"/>
      <c r="BF44" s="415"/>
      <c r="BG44" s="415"/>
      <c r="BH44" s="415"/>
      <c r="BI44" s="415"/>
      <c r="BJ44" s="415"/>
      <c r="BK44" s="415"/>
      <c r="BL44" s="415"/>
      <c r="BM44" s="415"/>
      <c r="BN44" s="415"/>
      <c r="BO44" s="415"/>
      <c r="BP44" s="415"/>
      <c r="BQ44" s="415"/>
      <c r="BR44" s="415"/>
      <c r="BS44" s="415"/>
      <c r="BT44" s="415"/>
      <c r="BU44" s="415"/>
      <c r="BV44" s="415"/>
      <c r="BW44" s="415"/>
      <c r="BX44" s="415"/>
      <c r="BY44" s="415"/>
      <c r="BZ44" s="415"/>
      <c r="CA44" s="415"/>
      <c r="CB44" s="415"/>
      <c r="CC44" s="415"/>
      <c r="CD44" s="415"/>
      <c r="CE44" s="415"/>
      <c r="CF44" s="415"/>
      <c r="CG44" s="415"/>
      <c r="CH44" s="415"/>
      <c r="CI44" s="415"/>
      <c r="CJ44" s="415"/>
      <c r="CK44" s="415"/>
      <c r="CL44" s="415"/>
      <c r="CM44" s="415"/>
      <c r="CN44" s="415"/>
      <c r="CO44" s="415"/>
      <c r="CP44" s="415"/>
      <c r="CQ44" s="415"/>
      <c r="CR44" s="415"/>
      <c r="CS44" s="415"/>
      <c r="CT44" s="415"/>
      <c r="CU44" s="415"/>
      <c r="CV44" s="415"/>
      <c r="CW44" s="415"/>
      <c r="CX44" s="415"/>
      <c r="CY44" s="415"/>
      <c r="CZ44" s="415"/>
      <c r="DA44" s="415"/>
      <c r="DB44" s="415"/>
      <c r="DC44" s="415"/>
      <c r="DD44" s="415"/>
      <c r="DE44" s="415"/>
      <c r="DF44" s="415"/>
      <c r="DG44" s="415"/>
      <c r="DH44" s="415"/>
      <c r="DI44" s="415"/>
      <c r="DJ44" s="415"/>
      <c r="DK44" s="415"/>
      <c r="DL44" s="415"/>
      <c r="DM44" s="415"/>
      <c r="DN44" s="415"/>
      <c r="DO44" s="415"/>
      <c r="DP44" s="415"/>
      <c r="DQ44" s="415"/>
      <c r="DR44" s="415"/>
      <c r="DS44" s="415"/>
      <c r="DT44" s="415"/>
      <c r="DU44" s="415"/>
      <c r="DV44" s="415"/>
      <c r="DW44" s="415"/>
      <c r="DX44" s="415"/>
      <c r="DY44" s="415"/>
      <c r="DZ44" s="415"/>
      <c r="EA44" s="415"/>
      <c r="EB44" s="415"/>
      <c r="EC44" s="415"/>
      <c r="ED44" s="415"/>
      <c r="EE44" s="415"/>
      <c r="EF44" s="415"/>
      <c r="EG44" s="415"/>
      <c r="EH44" s="415"/>
      <c r="EI44" s="415"/>
      <c r="EJ44" s="415"/>
      <c r="EK44" s="415"/>
      <c r="EL44" s="415"/>
      <c r="EM44" s="416"/>
      <c r="EN44" s="416"/>
      <c r="EO44" s="416"/>
      <c r="EP44" s="416"/>
      <c r="EQ44" s="416"/>
      <c r="ER44" s="416"/>
      <c r="ES44" s="416"/>
      <c r="ET44" s="416"/>
      <c r="EU44" s="416"/>
      <c r="EV44" s="416"/>
      <c r="EW44" s="416"/>
      <c r="EX44" s="416"/>
      <c r="EY44" s="416"/>
      <c r="EZ44" s="416"/>
      <c r="FA44" s="416"/>
      <c r="FB44" s="416"/>
      <c r="FC44" s="416"/>
      <c r="FD44" s="416"/>
      <c r="FE44" s="416"/>
      <c r="FF44" s="416"/>
      <c r="FG44" s="416"/>
      <c r="FH44" s="416"/>
      <c r="FI44" s="416"/>
      <c r="FJ44" s="416"/>
      <c r="FK44" s="416"/>
      <c r="FL44" s="416"/>
      <c r="FM44" s="416"/>
      <c r="FN44" s="416"/>
      <c r="FO44" s="416"/>
      <c r="FP44" s="416"/>
      <c r="FQ44" s="416"/>
      <c r="FR44" s="416"/>
      <c r="FS44" s="416"/>
      <c r="FT44" s="416"/>
      <c r="FU44" s="416"/>
      <c r="FV44" s="416"/>
      <c r="FW44" s="416"/>
      <c r="FX44" s="416"/>
      <c r="FY44" s="416"/>
      <c r="FZ44" s="416"/>
      <c r="GA44" s="416"/>
      <c r="GB44" s="416"/>
      <c r="GC44" s="416"/>
      <c r="GD44" s="416"/>
      <c r="GE44" s="416"/>
      <c r="GF44" s="416"/>
      <c r="GG44" s="416"/>
      <c r="GH44" s="416"/>
      <c r="GI44" s="416"/>
      <c r="GJ44" s="416"/>
      <c r="GK44" s="416"/>
      <c r="GL44" s="416"/>
      <c r="GM44" s="416"/>
      <c r="GN44" s="416"/>
      <c r="GO44" s="416"/>
      <c r="GP44" s="416"/>
      <c r="GQ44" s="416"/>
      <c r="GR44" s="416"/>
      <c r="GS44" s="416"/>
      <c r="GT44" s="416"/>
      <c r="GU44" s="416"/>
      <c r="GV44" s="416"/>
      <c r="GW44" s="416"/>
      <c r="GX44" s="416"/>
      <c r="GY44" s="416"/>
      <c r="GZ44" s="416"/>
      <c r="HA44" s="416"/>
      <c r="HB44" s="416"/>
      <c r="HC44" s="416"/>
      <c r="HD44" s="416"/>
      <c r="HE44" s="416"/>
      <c r="HF44" s="416"/>
      <c r="HG44" s="416"/>
      <c r="HH44" s="416"/>
      <c r="HI44" s="416"/>
      <c r="HJ44" s="416"/>
      <c r="HK44" s="416"/>
      <c r="HL44" s="416"/>
      <c r="HM44" s="416"/>
      <c r="HN44" s="416"/>
      <c r="HO44" s="416"/>
      <c r="HP44" s="416"/>
      <c r="HQ44" s="416"/>
      <c r="HR44" s="416"/>
      <c r="HS44" s="416"/>
      <c r="HT44" s="416"/>
      <c r="HU44" s="416"/>
      <c r="HV44" s="416"/>
      <c r="HW44" s="416"/>
      <c r="HX44" s="416"/>
      <c r="HY44" s="416"/>
      <c r="HZ44" s="416"/>
      <c r="IA44" s="416"/>
      <c r="IB44" s="416"/>
      <c r="IC44" s="416"/>
      <c r="ID44" s="416"/>
      <c r="IE44" s="416"/>
      <c r="IF44" s="416"/>
      <c r="IG44" s="416"/>
      <c r="IH44" s="416"/>
      <c r="II44" s="416"/>
      <c r="IJ44" s="416"/>
      <c r="IK44" s="416"/>
      <c r="IL44" s="416"/>
      <c r="IM44" s="416"/>
      <c r="IN44" s="416"/>
      <c r="IO44" s="416"/>
      <c r="IP44" s="416"/>
      <c r="IQ44" s="416"/>
      <c r="IR44" s="416"/>
      <c r="IS44" s="416"/>
      <c r="IT44" s="416"/>
      <c r="IU44" s="416"/>
      <c r="IV44" s="416"/>
      <c r="IW44" s="416"/>
    </row>
    <row r="45" customFormat="false" ht="12.75" hidden="false" customHeight="false" outlineLevel="0" collapsed="false">
      <c r="A45" s="1289"/>
      <c r="B45" s="412"/>
      <c r="C45" s="1300" t="str">
        <f aca="false">+Srcs_Uses!B17</f>
        <v>CONSTRUCTION INSURANCE</v>
      </c>
      <c r="D45" s="1303"/>
      <c r="E45" s="419"/>
      <c r="F45" s="1303"/>
      <c r="G45" s="1303"/>
      <c r="H45" s="1303" t="n">
        <v>0.5</v>
      </c>
      <c r="I45" s="1303"/>
      <c r="J45" s="1303"/>
      <c r="K45" s="1303" t="n">
        <v>0.5</v>
      </c>
      <c r="L45" s="1303"/>
      <c r="M45" s="1303"/>
      <c r="N45" s="1303"/>
      <c r="O45" s="1303"/>
      <c r="P45" s="1303"/>
      <c r="Q45" s="1303"/>
      <c r="R45" s="1303"/>
      <c r="S45" s="1303"/>
      <c r="T45" s="1303"/>
      <c r="U45" s="414" t="n">
        <f aca="false">SUM(E45:T45)</f>
        <v>1</v>
      </c>
      <c r="V45" s="1304"/>
      <c r="W45" s="1304"/>
      <c r="X45" s="1304"/>
      <c r="Y45" s="1304"/>
      <c r="Z45" s="415"/>
      <c r="AA45" s="415"/>
      <c r="AB45" s="415"/>
      <c r="AC45" s="415"/>
      <c r="AD45" s="415"/>
      <c r="AE45" s="415"/>
      <c r="AF45" s="415"/>
      <c r="AG45" s="415"/>
      <c r="AH45" s="415"/>
      <c r="AI45" s="415"/>
      <c r="AJ45" s="415"/>
      <c r="AK45" s="415"/>
      <c r="AL45" s="415"/>
      <c r="AM45" s="415"/>
      <c r="AN45" s="415"/>
      <c r="AO45" s="415"/>
      <c r="AP45" s="415"/>
      <c r="AQ45" s="415"/>
      <c r="AR45" s="415"/>
      <c r="AS45" s="415"/>
      <c r="AT45" s="415"/>
      <c r="AU45" s="415"/>
      <c r="AV45" s="415"/>
      <c r="AW45" s="415"/>
      <c r="AX45" s="415"/>
      <c r="AY45" s="415"/>
      <c r="AZ45" s="415"/>
      <c r="BA45" s="415"/>
      <c r="BB45" s="415"/>
      <c r="BC45" s="415"/>
      <c r="BD45" s="415"/>
      <c r="BE45" s="415"/>
      <c r="BF45" s="415"/>
      <c r="BG45" s="415"/>
      <c r="BH45" s="415"/>
      <c r="BI45" s="415"/>
      <c r="BJ45" s="415"/>
      <c r="BK45" s="415"/>
      <c r="BL45" s="415"/>
      <c r="BM45" s="415"/>
      <c r="BN45" s="415"/>
      <c r="BO45" s="415"/>
      <c r="BP45" s="415"/>
      <c r="BQ45" s="415"/>
      <c r="BR45" s="415"/>
      <c r="BS45" s="415"/>
      <c r="BT45" s="415"/>
      <c r="BU45" s="415"/>
      <c r="BV45" s="415"/>
      <c r="BW45" s="415"/>
      <c r="BX45" s="415"/>
      <c r="BY45" s="415"/>
      <c r="BZ45" s="415"/>
      <c r="CA45" s="415"/>
      <c r="CB45" s="415"/>
      <c r="CC45" s="415"/>
      <c r="CD45" s="415"/>
      <c r="CE45" s="415"/>
      <c r="CF45" s="415"/>
      <c r="CG45" s="415"/>
      <c r="CH45" s="415"/>
      <c r="CI45" s="415"/>
      <c r="CJ45" s="415"/>
      <c r="CK45" s="415"/>
      <c r="CL45" s="415"/>
      <c r="CM45" s="415"/>
      <c r="CN45" s="415"/>
      <c r="CO45" s="415"/>
      <c r="CP45" s="415"/>
      <c r="CQ45" s="415"/>
      <c r="CR45" s="415"/>
      <c r="CS45" s="415"/>
      <c r="CT45" s="415"/>
      <c r="CU45" s="415"/>
      <c r="CV45" s="415"/>
      <c r="CW45" s="415"/>
      <c r="CX45" s="415"/>
      <c r="CY45" s="415"/>
      <c r="CZ45" s="415"/>
      <c r="DA45" s="415"/>
      <c r="DB45" s="415"/>
      <c r="DC45" s="415"/>
      <c r="DD45" s="415"/>
      <c r="DE45" s="415"/>
      <c r="DF45" s="415"/>
      <c r="DG45" s="415"/>
      <c r="DH45" s="415"/>
      <c r="DI45" s="415"/>
      <c r="DJ45" s="415"/>
      <c r="DK45" s="415"/>
      <c r="DL45" s="415"/>
      <c r="DM45" s="415"/>
      <c r="DN45" s="415"/>
      <c r="DO45" s="415"/>
      <c r="DP45" s="415"/>
      <c r="DQ45" s="415"/>
      <c r="DR45" s="415"/>
      <c r="DS45" s="415"/>
      <c r="DT45" s="415"/>
      <c r="DU45" s="415"/>
      <c r="DV45" s="415"/>
      <c r="DW45" s="415"/>
      <c r="DX45" s="415"/>
      <c r="DY45" s="415"/>
      <c r="DZ45" s="415"/>
      <c r="EA45" s="415"/>
      <c r="EB45" s="415"/>
      <c r="EC45" s="415"/>
      <c r="ED45" s="415"/>
      <c r="EE45" s="415"/>
      <c r="EF45" s="415"/>
      <c r="EG45" s="415"/>
      <c r="EH45" s="415"/>
      <c r="EI45" s="415"/>
      <c r="EJ45" s="415"/>
      <c r="EK45" s="415"/>
      <c r="EL45" s="415"/>
      <c r="EM45" s="416"/>
      <c r="EN45" s="416"/>
      <c r="EO45" s="416"/>
      <c r="EP45" s="416"/>
      <c r="EQ45" s="416"/>
      <c r="ER45" s="416"/>
      <c r="ES45" s="416"/>
      <c r="ET45" s="416"/>
      <c r="EU45" s="416"/>
      <c r="EV45" s="416"/>
      <c r="EW45" s="416"/>
      <c r="EX45" s="416"/>
      <c r="EY45" s="416"/>
      <c r="EZ45" s="416"/>
      <c r="FA45" s="416"/>
      <c r="FB45" s="416"/>
      <c r="FC45" s="416"/>
      <c r="FD45" s="416"/>
      <c r="FE45" s="416"/>
      <c r="FF45" s="416"/>
      <c r="FG45" s="416"/>
      <c r="FH45" s="416"/>
      <c r="FI45" s="416"/>
      <c r="FJ45" s="416"/>
      <c r="FK45" s="416"/>
      <c r="FL45" s="416"/>
      <c r="FM45" s="416"/>
      <c r="FN45" s="416"/>
      <c r="FO45" s="416"/>
      <c r="FP45" s="416"/>
      <c r="FQ45" s="416"/>
      <c r="FR45" s="416"/>
      <c r="FS45" s="416"/>
      <c r="FT45" s="416"/>
      <c r="FU45" s="416"/>
      <c r="FV45" s="416"/>
      <c r="FW45" s="416"/>
      <c r="FX45" s="416"/>
      <c r="FY45" s="416"/>
      <c r="FZ45" s="416"/>
      <c r="GA45" s="416"/>
      <c r="GB45" s="416"/>
      <c r="GC45" s="416"/>
      <c r="GD45" s="416"/>
      <c r="GE45" s="416"/>
      <c r="GF45" s="416"/>
      <c r="GG45" s="416"/>
      <c r="GH45" s="416"/>
      <c r="GI45" s="416"/>
      <c r="GJ45" s="416"/>
      <c r="GK45" s="416"/>
      <c r="GL45" s="416"/>
      <c r="GM45" s="416"/>
      <c r="GN45" s="416"/>
      <c r="GO45" s="416"/>
      <c r="GP45" s="416"/>
      <c r="GQ45" s="416"/>
      <c r="GR45" s="416"/>
      <c r="GS45" s="416"/>
      <c r="GT45" s="416"/>
      <c r="GU45" s="416"/>
      <c r="GV45" s="416"/>
      <c r="GW45" s="416"/>
      <c r="GX45" s="416"/>
      <c r="GY45" s="416"/>
      <c r="GZ45" s="416"/>
      <c r="HA45" s="416"/>
      <c r="HB45" s="416"/>
      <c r="HC45" s="416"/>
      <c r="HD45" s="416"/>
      <c r="HE45" s="416"/>
      <c r="HF45" s="416"/>
      <c r="HG45" s="416"/>
      <c r="HH45" s="416"/>
      <c r="HI45" s="416"/>
      <c r="HJ45" s="416"/>
      <c r="HK45" s="416"/>
      <c r="HL45" s="416"/>
      <c r="HM45" s="416"/>
      <c r="HN45" s="416"/>
      <c r="HO45" s="416"/>
      <c r="HP45" s="416"/>
      <c r="HQ45" s="416"/>
      <c r="HR45" s="416"/>
      <c r="HS45" s="416"/>
      <c r="HT45" s="416"/>
      <c r="HU45" s="416"/>
      <c r="HV45" s="416"/>
      <c r="HW45" s="416"/>
      <c r="HX45" s="416"/>
      <c r="HY45" s="416"/>
      <c r="HZ45" s="416"/>
      <c r="IA45" s="416"/>
      <c r="IB45" s="416"/>
      <c r="IC45" s="416"/>
      <c r="ID45" s="416"/>
      <c r="IE45" s="416"/>
      <c r="IF45" s="416"/>
      <c r="IG45" s="416"/>
      <c r="IH45" s="416"/>
      <c r="II45" s="416"/>
      <c r="IJ45" s="416"/>
      <c r="IK45" s="416"/>
      <c r="IL45" s="416"/>
      <c r="IM45" s="416"/>
      <c r="IN45" s="416"/>
      <c r="IO45" s="416"/>
      <c r="IP45" s="416"/>
      <c r="IQ45" s="416"/>
      <c r="IR45" s="416"/>
      <c r="IS45" s="416"/>
      <c r="IT45" s="416"/>
      <c r="IU45" s="416"/>
      <c r="IV45" s="416"/>
      <c r="IW45" s="416"/>
    </row>
    <row r="46" customFormat="false" ht="12.75" hidden="false" customHeight="false" outlineLevel="0" collapsed="false">
      <c r="A46" s="1289"/>
      <c r="B46" s="412"/>
      <c r="C46" s="1300" t="str">
        <f aca="false">+Srcs_Uses!B19</f>
        <v>EPC WARRANTY FEE</v>
      </c>
      <c r="D46" s="1303"/>
      <c r="E46" s="419"/>
      <c r="F46" s="1303"/>
      <c r="G46" s="1303"/>
      <c r="H46" s="1303"/>
      <c r="I46" s="1303"/>
      <c r="J46" s="1303"/>
      <c r="K46" s="1303" t="n">
        <v>1</v>
      </c>
      <c r="L46" s="1303"/>
      <c r="M46" s="1303"/>
      <c r="N46" s="1303"/>
      <c r="O46" s="1303"/>
      <c r="P46" s="1303"/>
      <c r="Q46" s="1303"/>
      <c r="R46" s="1303"/>
      <c r="S46" s="1303"/>
      <c r="T46" s="1303"/>
      <c r="U46" s="414" t="n">
        <f aca="false">SUM(E46:T46)</f>
        <v>1</v>
      </c>
      <c r="V46" s="1304"/>
      <c r="W46" s="1304"/>
      <c r="X46" s="1304"/>
      <c r="Y46" s="1304"/>
      <c r="Z46" s="415"/>
      <c r="AA46" s="415"/>
      <c r="AB46" s="415"/>
      <c r="AC46" s="415"/>
      <c r="AD46" s="415"/>
      <c r="AE46" s="415"/>
      <c r="AF46" s="415"/>
      <c r="AG46" s="415"/>
      <c r="AH46" s="415"/>
      <c r="AI46" s="415"/>
      <c r="AJ46" s="415"/>
      <c r="AK46" s="415"/>
      <c r="AL46" s="415"/>
      <c r="AM46" s="415"/>
      <c r="AN46" s="415"/>
      <c r="AO46" s="415"/>
      <c r="AP46" s="415"/>
      <c r="AQ46" s="415"/>
      <c r="AR46" s="415"/>
      <c r="AS46" s="415"/>
      <c r="AT46" s="415"/>
      <c r="AU46" s="415"/>
      <c r="AV46" s="415"/>
      <c r="AW46" s="415"/>
      <c r="AX46" s="415"/>
      <c r="AY46" s="415"/>
      <c r="AZ46" s="415"/>
      <c r="BA46" s="415"/>
      <c r="BB46" s="415"/>
      <c r="BC46" s="415"/>
      <c r="BD46" s="415"/>
      <c r="BE46" s="415"/>
      <c r="BF46" s="415"/>
      <c r="BG46" s="415"/>
      <c r="BH46" s="415"/>
      <c r="BI46" s="415"/>
      <c r="BJ46" s="415"/>
      <c r="BK46" s="415"/>
      <c r="BL46" s="415"/>
      <c r="BM46" s="415"/>
      <c r="BN46" s="415"/>
      <c r="BO46" s="415"/>
      <c r="BP46" s="415"/>
      <c r="BQ46" s="415"/>
      <c r="BR46" s="415"/>
      <c r="BS46" s="415"/>
      <c r="BT46" s="415"/>
      <c r="BU46" s="415"/>
      <c r="BV46" s="415"/>
      <c r="BW46" s="415"/>
      <c r="BX46" s="415"/>
      <c r="BY46" s="415"/>
      <c r="BZ46" s="415"/>
      <c r="CA46" s="415"/>
      <c r="CB46" s="415"/>
      <c r="CC46" s="415"/>
      <c r="CD46" s="415"/>
      <c r="CE46" s="415"/>
      <c r="CF46" s="415"/>
      <c r="CG46" s="415"/>
      <c r="CH46" s="415"/>
      <c r="CI46" s="415"/>
      <c r="CJ46" s="415"/>
      <c r="CK46" s="415"/>
      <c r="CL46" s="415"/>
      <c r="CM46" s="415"/>
      <c r="CN46" s="415"/>
      <c r="CO46" s="415"/>
      <c r="CP46" s="415"/>
      <c r="CQ46" s="415"/>
      <c r="CR46" s="415"/>
      <c r="CS46" s="415"/>
      <c r="CT46" s="415"/>
      <c r="CU46" s="415"/>
      <c r="CV46" s="415"/>
      <c r="CW46" s="415"/>
      <c r="CX46" s="415"/>
      <c r="CY46" s="415"/>
      <c r="CZ46" s="415"/>
      <c r="DA46" s="415"/>
      <c r="DB46" s="415"/>
      <c r="DC46" s="415"/>
      <c r="DD46" s="415"/>
      <c r="DE46" s="415"/>
      <c r="DF46" s="415"/>
      <c r="DG46" s="415"/>
      <c r="DH46" s="415"/>
      <c r="DI46" s="415"/>
      <c r="DJ46" s="415"/>
      <c r="DK46" s="415"/>
      <c r="DL46" s="415"/>
      <c r="DM46" s="415"/>
      <c r="DN46" s="415"/>
      <c r="DO46" s="415"/>
      <c r="DP46" s="415"/>
      <c r="DQ46" s="415"/>
      <c r="DR46" s="415"/>
      <c r="DS46" s="415"/>
      <c r="DT46" s="415"/>
      <c r="DU46" s="415"/>
      <c r="DV46" s="415"/>
      <c r="DW46" s="415"/>
      <c r="DX46" s="415"/>
      <c r="DY46" s="415"/>
      <c r="DZ46" s="415"/>
      <c r="EA46" s="415"/>
      <c r="EB46" s="415"/>
      <c r="EC46" s="415"/>
      <c r="ED46" s="415"/>
      <c r="EE46" s="415"/>
      <c r="EF46" s="415"/>
      <c r="EG46" s="415"/>
      <c r="EH46" s="415"/>
      <c r="EI46" s="415"/>
      <c r="EJ46" s="415"/>
      <c r="EK46" s="415"/>
      <c r="EL46" s="415"/>
      <c r="EM46" s="416"/>
      <c r="EN46" s="416"/>
      <c r="EO46" s="416"/>
      <c r="EP46" s="416"/>
      <c r="EQ46" s="416"/>
      <c r="ER46" s="416"/>
      <c r="ES46" s="416"/>
      <c r="ET46" s="416"/>
      <c r="EU46" s="416"/>
      <c r="EV46" s="416"/>
      <c r="EW46" s="416"/>
      <c r="EX46" s="416"/>
      <c r="EY46" s="416"/>
      <c r="EZ46" s="416"/>
      <c r="FA46" s="416"/>
      <c r="FB46" s="416"/>
      <c r="FC46" s="416"/>
      <c r="FD46" s="416"/>
      <c r="FE46" s="416"/>
      <c r="FF46" s="416"/>
      <c r="FG46" s="416"/>
      <c r="FH46" s="416"/>
      <c r="FI46" s="416"/>
      <c r="FJ46" s="416"/>
      <c r="FK46" s="416"/>
      <c r="FL46" s="416"/>
      <c r="FM46" s="416"/>
      <c r="FN46" s="416"/>
      <c r="FO46" s="416"/>
      <c r="FP46" s="416"/>
      <c r="FQ46" s="416"/>
      <c r="FR46" s="416"/>
      <c r="FS46" s="416"/>
      <c r="FT46" s="416"/>
      <c r="FU46" s="416"/>
      <c r="FV46" s="416"/>
      <c r="FW46" s="416"/>
      <c r="FX46" s="416"/>
      <c r="FY46" s="416"/>
      <c r="FZ46" s="416"/>
      <c r="GA46" s="416"/>
      <c r="GB46" s="416"/>
      <c r="GC46" s="416"/>
      <c r="GD46" s="416"/>
      <c r="GE46" s="416"/>
      <c r="GF46" s="416"/>
      <c r="GG46" s="416"/>
      <c r="GH46" s="416"/>
      <c r="GI46" s="416"/>
      <c r="GJ46" s="416"/>
      <c r="GK46" s="416"/>
      <c r="GL46" s="416"/>
      <c r="GM46" s="416"/>
      <c r="GN46" s="416"/>
      <c r="GO46" s="416"/>
      <c r="GP46" s="416"/>
      <c r="GQ46" s="416"/>
      <c r="GR46" s="416"/>
      <c r="GS46" s="416"/>
      <c r="GT46" s="416"/>
      <c r="GU46" s="416"/>
      <c r="GV46" s="416"/>
      <c r="GW46" s="416"/>
      <c r="GX46" s="416"/>
      <c r="GY46" s="416"/>
      <c r="GZ46" s="416"/>
      <c r="HA46" s="416"/>
      <c r="HB46" s="416"/>
      <c r="HC46" s="416"/>
      <c r="HD46" s="416"/>
      <c r="HE46" s="416"/>
      <c r="HF46" s="416"/>
      <c r="HG46" s="416"/>
      <c r="HH46" s="416"/>
      <c r="HI46" s="416"/>
      <c r="HJ46" s="416"/>
      <c r="HK46" s="416"/>
      <c r="HL46" s="416"/>
      <c r="HM46" s="416"/>
      <c r="HN46" s="416"/>
      <c r="HO46" s="416"/>
      <c r="HP46" s="416"/>
      <c r="HQ46" s="416"/>
      <c r="HR46" s="416"/>
      <c r="HS46" s="416"/>
      <c r="HT46" s="416"/>
      <c r="HU46" s="416"/>
      <c r="HV46" s="416"/>
      <c r="HW46" s="416"/>
      <c r="HX46" s="416"/>
      <c r="HY46" s="416"/>
      <c r="HZ46" s="416"/>
      <c r="IA46" s="416"/>
      <c r="IB46" s="416"/>
      <c r="IC46" s="416"/>
      <c r="ID46" s="416"/>
      <c r="IE46" s="416"/>
      <c r="IF46" s="416"/>
      <c r="IG46" s="416"/>
      <c r="IH46" s="416"/>
      <c r="II46" s="416"/>
      <c r="IJ46" s="416"/>
      <c r="IK46" s="416"/>
      <c r="IL46" s="416"/>
      <c r="IM46" s="416"/>
      <c r="IN46" s="416"/>
      <c r="IO46" s="416"/>
      <c r="IP46" s="416"/>
      <c r="IQ46" s="416"/>
      <c r="IR46" s="416"/>
      <c r="IS46" s="416"/>
      <c r="IT46" s="416"/>
      <c r="IU46" s="416"/>
      <c r="IV46" s="416"/>
      <c r="IW46" s="416"/>
    </row>
    <row r="47" customFormat="false" ht="12.75" hidden="false" customHeight="false" outlineLevel="0" collapsed="false">
      <c r="A47" s="1289"/>
      <c r="B47" s="412"/>
      <c r="C47" s="1300" t="e">
        <f aca="false">+#REF!</f>
        <v>#REF!</v>
      </c>
      <c r="D47" s="1293"/>
      <c r="E47" s="1305"/>
      <c r="F47" s="1293"/>
      <c r="G47" s="1293"/>
      <c r="H47" s="1293"/>
      <c r="I47" s="1293"/>
      <c r="J47" s="1293"/>
      <c r="K47" s="414" t="n">
        <v>1</v>
      </c>
      <c r="L47" s="1293"/>
      <c r="M47" s="1293"/>
      <c r="N47" s="1293"/>
      <c r="O47" s="1293"/>
      <c r="P47" s="1293"/>
      <c r="Q47" s="1293"/>
      <c r="R47" s="1293"/>
      <c r="S47" s="1293"/>
      <c r="T47" s="1293"/>
      <c r="U47" s="414" t="n">
        <f aca="false">SUM(E47:T47)</f>
        <v>1</v>
      </c>
      <c r="V47" s="1304"/>
      <c r="W47" s="1304"/>
      <c r="X47" s="1304"/>
      <c r="Y47" s="1304"/>
      <c r="Z47" s="415"/>
      <c r="AA47" s="415"/>
      <c r="AB47" s="415"/>
      <c r="AC47" s="415"/>
      <c r="AD47" s="415"/>
      <c r="AE47" s="415"/>
      <c r="AF47" s="415"/>
      <c r="AG47" s="415"/>
      <c r="AH47" s="415"/>
      <c r="AI47" s="415"/>
      <c r="AJ47" s="415"/>
      <c r="AK47" s="415"/>
      <c r="AL47" s="415"/>
      <c r="AM47" s="415"/>
      <c r="AN47" s="415"/>
      <c r="AO47" s="415"/>
      <c r="AP47" s="415"/>
      <c r="AQ47" s="415"/>
      <c r="AR47" s="415"/>
      <c r="AS47" s="415"/>
      <c r="AT47" s="415"/>
      <c r="AU47" s="415"/>
      <c r="AV47" s="415"/>
      <c r="AW47" s="415"/>
      <c r="AX47" s="415"/>
      <c r="AY47" s="415"/>
      <c r="AZ47" s="415"/>
      <c r="BA47" s="415"/>
      <c r="BB47" s="415"/>
      <c r="BC47" s="415"/>
      <c r="BD47" s="415"/>
      <c r="BE47" s="415"/>
      <c r="BF47" s="415"/>
      <c r="BG47" s="415"/>
      <c r="BH47" s="415"/>
      <c r="BI47" s="415"/>
      <c r="BJ47" s="415"/>
      <c r="BK47" s="415"/>
      <c r="BL47" s="415"/>
      <c r="BM47" s="415"/>
      <c r="BN47" s="415"/>
      <c r="BO47" s="415"/>
      <c r="BP47" s="415"/>
      <c r="BQ47" s="415"/>
      <c r="BR47" s="415"/>
      <c r="BS47" s="415"/>
      <c r="BT47" s="415"/>
      <c r="BU47" s="415"/>
      <c r="BV47" s="415"/>
      <c r="BW47" s="415"/>
      <c r="BX47" s="415"/>
      <c r="BY47" s="415"/>
      <c r="BZ47" s="415"/>
      <c r="CA47" s="415"/>
      <c r="CB47" s="415"/>
      <c r="CC47" s="415"/>
      <c r="CD47" s="415"/>
      <c r="CE47" s="415"/>
      <c r="CF47" s="415"/>
      <c r="CG47" s="415"/>
      <c r="CH47" s="415"/>
      <c r="CI47" s="415"/>
      <c r="CJ47" s="415"/>
      <c r="CK47" s="415"/>
      <c r="CL47" s="415"/>
      <c r="CM47" s="415"/>
      <c r="CN47" s="415"/>
      <c r="CO47" s="415"/>
      <c r="CP47" s="415"/>
      <c r="CQ47" s="415"/>
      <c r="CR47" s="415"/>
      <c r="CS47" s="415"/>
      <c r="CT47" s="415"/>
      <c r="CU47" s="415"/>
      <c r="CV47" s="415"/>
      <c r="CW47" s="415"/>
      <c r="CX47" s="415"/>
      <c r="CY47" s="415"/>
      <c r="CZ47" s="415"/>
      <c r="DA47" s="415"/>
      <c r="DB47" s="415"/>
      <c r="DC47" s="415"/>
      <c r="DD47" s="415"/>
      <c r="DE47" s="415"/>
      <c r="DF47" s="415"/>
      <c r="DG47" s="415"/>
      <c r="DH47" s="415"/>
      <c r="DI47" s="415"/>
      <c r="DJ47" s="415"/>
      <c r="DK47" s="415"/>
      <c r="DL47" s="415"/>
      <c r="DM47" s="415"/>
      <c r="DN47" s="415"/>
      <c r="DO47" s="415"/>
      <c r="DP47" s="415"/>
      <c r="DQ47" s="415"/>
      <c r="DR47" s="415"/>
      <c r="DS47" s="415"/>
      <c r="DT47" s="415"/>
      <c r="DU47" s="415"/>
      <c r="DV47" s="415"/>
      <c r="DW47" s="415"/>
      <c r="DX47" s="415"/>
      <c r="DY47" s="415"/>
      <c r="DZ47" s="415"/>
      <c r="EA47" s="415"/>
      <c r="EB47" s="415"/>
      <c r="EC47" s="415"/>
      <c r="ED47" s="415"/>
      <c r="EE47" s="415"/>
      <c r="EF47" s="415"/>
      <c r="EG47" s="415"/>
      <c r="EH47" s="415"/>
      <c r="EI47" s="415"/>
      <c r="EJ47" s="415"/>
      <c r="EK47" s="415"/>
      <c r="EL47" s="415"/>
      <c r="EM47" s="416"/>
      <c r="EN47" s="416"/>
      <c r="EO47" s="416"/>
      <c r="EP47" s="416"/>
      <c r="EQ47" s="416"/>
      <c r="ER47" s="416"/>
      <c r="ES47" s="416"/>
      <c r="ET47" s="416"/>
      <c r="EU47" s="416"/>
      <c r="EV47" s="416"/>
      <c r="EW47" s="416"/>
      <c r="EX47" s="416"/>
      <c r="EY47" s="416"/>
      <c r="EZ47" s="416"/>
      <c r="FA47" s="416"/>
      <c r="FB47" s="416"/>
      <c r="FC47" s="416"/>
      <c r="FD47" s="416"/>
      <c r="FE47" s="416"/>
      <c r="FF47" s="416"/>
      <c r="FG47" s="416"/>
      <c r="FH47" s="416"/>
      <c r="FI47" s="416"/>
      <c r="FJ47" s="416"/>
      <c r="FK47" s="416"/>
      <c r="FL47" s="416"/>
      <c r="FM47" s="416"/>
      <c r="FN47" s="416"/>
      <c r="FO47" s="416"/>
      <c r="FP47" s="416"/>
      <c r="FQ47" s="416"/>
      <c r="FR47" s="416"/>
      <c r="FS47" s="416"/>
      <c r="FT47" s="416"/>
      <c r="FU47" s="416"/>
      <c r="FV47" s="416"/>
      <c r="FW47" s="416"/>
      <c r="FX47" s="416"/>
      <c r="FY47" s="416"/>
      <c r="FZ47" s="416"/>
      <c r="GA47" s="416"/>
      <c r="GB47" s="416"/>
      <c r="GC47" s="416"/>
      <c r="GD47" s="416"/>
      <c r="GE47" s="416"/>
      <c r="GF47" s="416"/>
      <c r="GG47" s="416"/>
      <c r="GH47" s="416"/>
      <c r="GI47" s="416"/>
      <c r="GJ47" s="416"/>
      <c r="GK47" s="416"/>
      <c r="GL47" s="416"/>
      <c r="GM47" s="416"/>
      <c r="GN47" s="416"/>
      <c r="GO47" s="416"/>
      <c r="GP47" s="416"/>
      <c r="GQ47" s="416"/>
      <c r="GR47" s="416"/>
      <c r="GS47" s="416"/>
      <c r="GT47" s="416"/>
      <c r="GU47" s="416"/>
      <c r="GV47" s="416"/>
      <c r="GW47" s="416"/>
      <c r="GX47" s="416"/>
      <c r="GY47" s="416"/>
      <c r="GZ47" s="416"/>
      <c r="HA47" s="416"/>
      <c r="HB47" s="416"/>
      <c r="HC47" s="416"/>
      <c r="HD47" s="416"/>
      <c r="HE47" s="416"/>
      <c r="HF47" s="416"/>
      <c r="HG47" s="416"/>
      <c r="HH47" s="416"/>
      <c r="HI47" s="416"/>
      <c r="HJ47" s="416"/>
      <c r="HK47" s="416"/>
      <c r="HL47" s="416"/>
      <c r="HM47" s="416"/>
      <c r="HN47" s="416"/>
      <c r="HO47" s="416"/>
      <c r="HP47" s="416"/>
      <c r="HQ47" s="416"/>
      <c r="HR47" s="416"/>
      <c r="HS47" s="416"/>
      <c r="HT47" s="416"/>
      <c r="HU47" s="416"/>
      <c r="HV47" s="416"/>
      <c r="HW47" s="416"/>
      <c r="HX47" s="416"/>
      <c r="HY47" s="416"/>
      <c r="HZ47" s="416"/>
      <c r="IA47" s="416"/>
      <c r="IB47" s="416"/>
      <c r="IC47" s="416"/>
      <c r="ID47" s="416"/>
      <c r="IE47" s="416"/>
      <c r="IF47" s="416"/>
      <c r="IG47" s="416"/>
      <c r="IH47" s="416"/>
      <c r="II47" s="416"/>
      <c r="IJ47" s="416"/>
      <c r="IK47" s="416"/>
      <c r="IL47" s="416"/>
      <c r="IM47" s="416"/>
      <c r="IN47" s="416"/>
      <c r="IO47" s="416"/>
      <c r="IP47" s="416"/>
      <c r="IQ47" s="416"/>
      <c r="IR47" s="416"/>
      <c r="IS47" s="416"/>
      <c r="IT47" s="416"/>
      <c r="IU47" s="416"/>
      <c r="IV47" s="416"/>
      <c r="IW47" s="416"/>
    </row>
    <row r="48" customFormat="false" ht="12.75" hidden="false" customHeight="false" outlineLevel="0" collapsed="false">
      <c r="A48" s="1289"/>
      <c r="B48" s="412"/>
      <c r="C48" s="1306"/>
      <c r="D48" s="1293"/>
      <c r="E48" s="1305"/>
      <c r="F48" s="1293"/>
      <c r="G48" s="1293"/>
      <c r="H48" s="1293"/>
      <c r="I48" s="1293"/>
      <c r="J48" s="1293"/>
      <c r="K48" s="1293"/>
      <c r="L48" s="1293"/>
      <c r="M48" s="1293"/>
      <c r="N48" s="1293"/>
      <c r="O48" s="1293"/>
      <c r="P48" s="1293"/>
      <c r="Q48" s="1293"/>
      <c r="R48" s="1293"/>
      <c r="S48" s="1293"/>
      <c r="T48" s="1293"/>
      <c r="U48" s="1293"/>
      <c r="V48" s="415"/>
      <c r="W48" s="415"/>
      <c r="X48" s="415"/>
      <c r="Y48" s="415"/>
      <c r="Z48" s="415"/>
      <c r="AA48" s="415"/>
      <c r="AB48" s="415"/>
      <c r="AC48" s="415"/>
      <c r="AD48" s="415"/>
      <c r="AE48" s="415"/>
      <c r="AF48" s="415"/>
      <c r="AG48" s="415"/>
      <c r="AH48" s="415"/>
      <c r="AI48" s="415"/>
      <c r="AJ48" s="415"/>
      <c r="AK48" s="415"/>
      <c r="AL48" s="415"/>
      <c r="AM48" s="415"/>
      <c r="AN48" s="415"/>
      <c r="AO48" s="415"/>
      <c r="AP48" s="415"/>
      <c r="AQ48" s="415"/>
      <c r="AR48" s="415"/>
      <c r="AS48" s="415"/>
      <c r="AT48" s="415"/>
      <c r="AU48" s="415"/>
      <c r="AV48" s="415"/>
      <c r="AW48" s="415"/>
      <c r="AX48" s="415"/>
      <c r="AY48" s="415"/>
      <c r="AZ48" s="415"/>
      <c r="BA48" s="415"/>
      <c r="BB48" s="415"/>
      <c r="BC48" s="415"/>
      <c r="BD48" s="415"/>
      <c r="BE48" s="415"/>
      <c r="BF48" s="415"/>
      <c r="BG48" s="415"/>
      <c r="BH48" s="415"/>
      <c r="BI48" s="415"/>
      <c r="BJ48" s="415"/>
      <c r="BK48" s="415"/>
      <c r="BL48" s="415"/>
      <c r="BM48" s="415"/>
      <c r="BN48" s="415"/>
      <c r="BO48" s="415"/>
      <c r="BP48" s="415"/>
      <c r="BQ48" s="415"/>
      <c r="BR48" s="415"/>
      <c r="BS48" s="415"/>
      <c r="BT48" s="415"/>
      <c r="BU48" s="415"/>
      <c r="BV48" s="415"/>
      <c r="BW48" s="415"/>
      <c r="BX48" s="415"/>
      <c r="BY48" s="415"/>
      <c r="BZ48" s="415"/>
      <c r="CA48" s="415"/>
      <c r="CB48" s="415"/>
      <c r="CC48" s="415"/>
      <c r="CD48" s="415"/>
      <c r="CE48" s="415"/>
      <c r="CF48" s="415"/>
      <c r="CG48" s="415"/>
      <c r="CH48" s="415"/>
      <c r="CI48" s="415"/>
      <c r="CJ48" s="415"/>
      <c r="CK48" s="415"/>
      <c r="CL48" s="415"/>
      <c r="CM48" s="415"/>
      <c r="CN48" s="415"/>
      <c r="CO48" s="415"/>
      <c r="CP48" s="415"/>
      <c r="CQ48" s="415"/>
      <c r="CR48" s="415"/>
      <c r="CS48" s="415"/>
      <c r="CT48" s="415"/>
      <c r="CU48" s="415"/>
      <c r="CV48" s="415"/>
      <c r="CW48" s="415"/>
      <c r="CX48" s="415"/>
      <c r="CY48" s="415"/>
      <c r="CZ48" s="415"/>
      <c r="DA48" s="415"/>
      <c r="DB48" s="415"/>
      <c r="DC48" s="415"/>
      <c r="DD48" s="415"/>
      <c r="DE48" s="415"/>
      <c r="DF48" s="415"/>
      <c r="DG48" s="415"/>
      <c r="DH48" s="415"/>
      <c r="DI48" s="415"/>
      <c r="DJ48" s="415"/>
      <c r="DK48" s="415"/>
      <c r="DL48" s="415"/>
      <c r="DM48" s="415"/>
      <c r="DN48" s="415"/>
      <c r="DO48" s="415"/>
      <c r="DP48" s="415"/>
      <c r="DQ48" s="415"/>
      <c r="DR48" s="415"/>
      <c r="DS48" s="415"/>
      <c r="DT48" s="415"/>
      <c r="DU48" s="415"/>
      <c r="DV48" s="415"/>
      <c r="DW48" s="415"/>
      <c r="DX48" s="415"/>
      <c r="DY48" s="415"/>
      <c r="DZ48" s="415"/>
      <c r="EA48" s="415"/>
      <c r="EB48" s="415"/>
      <c r="EC48" s="415"/>
      <c r="ED48" s="415"/>
      <c r="EE48" s="415"/>
      <c r="EF48" s="415"/>
      <c r="EG48" s="415"/>
      <c r="EH48" s="415"/>
      <c r="EI48" s="415"/>
      <c r="EJ48" s="415"/>
      <c r="EK48" s="415"/>
      <c r="EL48" s="415"/>
      <c r="EM48" s="416"/>
      <c r="EN48" s="416"/>
      <c r="EO48" s="416"/>
      <c r="EP48" s="416"/>
      <c r="EQ48" s="416"/>
      <c r="ER48" s="416"/>
      <c r="ES48" s="416"/>
      <c r="ET48" s="416"/>
      <c r="EU48" s="416"/>
      <c r="EV48" s="416"/>
      <c r="EW48" s="416"/>
      <c r="EX48" s="416"/>
      <c r="EY48" s="416"/>
      <c r="EZ48" s="416"/>
      <c r="FA48" s="416"/>
      <c r="FB48" s="416"/>
      <c r="FC48" s="416"/>
      <c r="FD48" s="416"/>
      <c r="FE48" s="416"/>
      <c r="FF48" s="416"/>
      <c r="FG48" s="416"/>
      <c r="FH48" s="416"/>
      <c r="FI48" s="416"/>
      <c r="FJ48" s="416"/>
      <c r="FK48" s="416"/>
      <c r="FL48" s="416"/>
      <c r="FM48" s="416"/>
      <c r="FN48" s="416"/>
      <c r="FO48" s="416"/>
      <c r="FP48" s="416"/>
      <c r="FQ48" s="416"/>
      <c r="FR48" s="416"/>
      <c r="FS48" s="416"/>
      <c r="FT48" s="416"/>
      <c r="FU48" s="416"/>
      <c r="FV48" s="416"/>
      <c r="FW48" s="416"/>
      <c r="FX48" s="416"/>
      <c r="FY48" s="416"/>
      <c r="FZ48" s="416"/>
      <c r="GA48" s="416"/>
      <c r="GB48" s="416"/>
      <c r="GC48" s="416"/>
      <c r="GD48" s="416"/>
      <c r="GE48" s="416"/>
      <c r="GF48" s="416"/>
      <c r="GG48" s="416"/>
      <c r="GH48" s="416"/>
      <c r="GI48" s="416"/>
      <c r="GJ48" s="416"/>
      <c r="GK48" s="416"/>
      <c r="GL48" s="416"/>
      <c r="GM48" s="416"/>
      <c r="GN48" s="416"/>
      <c r="GO48" s="416"/>
      <c r="GP48" s="416"/>
      <c r="GQ48" s="416"/>
      <c r="GR48" s="416"/>
      <c r="GS48" s="416"/>
      <c r="GT48" s="416"/>
      <c r="GU48" s="416"/>
      <c r="GV48" s="416"/>
      <c r="GW48" s="416"/>
      <c r="GX48" s="416"/>
      <c r="GY48" s="416"/>
      <c r="GZ48" s="416"/>
      <c r="HA48" s="416"/>
      <c r="HB48" s="416"/>
      <c r="HC48" s="416"/>
      <c r="HD48" s="416"/>
      <c r="HE48" s="416"/>
      <c r="HF48" s="416"/>
      <c r="HG48" s="416"/>
      <c r="HH48" s="416"/>
      <c r="HI48" s="416"/>
      <c r="HJ48" s="416"/>
      <c r="HK48" s="416"/>
      <c r="HL48" s="416"/>
      <c r="HM48" s="416"/>
      <c r="HN48" s="416"/>
      <c r="HO48" s="416"/>
      <c r="HP48" s="416"/>
      <c r="HQ48" s="416"/>
      <c r="HR48" s="416"/>
      <c r="HS48" s="416"/>
      <c r="HT48" s="416"/>
      <c r="HU48" s="416"/>
      <c r="HV48" s="416"/>
      <c r="HW48" s="416"/>
      <c r="HX48" s="416"/>
      <c r="HY48" s="416"/>
      <c r="HZ48" s="416"/>
      <c r="IA48" s="416"/>
      <c r="IB48" s="416"/>
      <c r="IC48" s="416"/>
      <c r="ID48" s="416"/>
      <c r="IE48" s="416"/>
      <c r="IF48" s="416"/>
      <c r="IG48" s="416"/>
      <c r="IH48" s="416"/>
      <c r="II48" s="416"/>
      <c r="IJ48" s="416"/>
      <c r="IK48" s="416"/>
      <c r="IL48" s="416"/>
      <c r="IM48" s="416"/>
      <c r="IN48" s="416"/>
      <c r="IO48" s="416"/>
      <c r="IP48" s="416"/>
      <c r="IQ48" s="416"/>
      <c r="IR48" s="416"/>
      <c r="IS48" s="416"/>
      <c r="IT48" s="416"/>
      <c r="IU48" s="416"/>
      <c r="IV48" s="416"/>
      <c r="IW48" s="416"/>
    </row>
    <row r="49" customFormat="false" ht="12.75" hidden="false" customHeight="false" outlineLevel="0" collapsed="false">
      <c r="A49" s="1289"/>
      <c r="B49" s="412"/>
      <c r="C49" s="416"/>
      <c r="D49" s="416"/>
      <c r="E49" s="416"/>
      <c r="F49" s="416"/>
      <c r="G49" s="416"/>
      <c r="H49" s="416"/>
      <c r="I49" s="416"/>
      <c r="J49" s="416"/>
      <c r="K49" s="416"/>
      <c r="L49" s="416"/>
      <c r="M49" s="416"/>
      <c r="N49" s="416"/>
      <c r="O49" s="416"/>
      <c r="P49" s="416"/>
      <c r="Q49" s="416"/>
      <c r="R49" s="416"/>
      <c r="S49" s="416"/>
      <c r="T49" s="416"/>
      <c r="U49" s="416"/>
      <c r="V49" s="415"/>
      <c r="W49" s="415"/>
      <c r="X49" s="415"/>
      <c r="Y49" s="415"/>
      <c r="Z49" s="415"/>
      <c r="AA49" s="415"/>
      <c r="AB49" s="415"/>
      <c r="AC49" s="415"/>
      <c r="AD49" s="415"/>
      <c r="AE49" s="415"/>
      <c r="AF49" s="415"/>
      <c r="AG49" s="415"/>
      <c r="AH49" s="415"/>
      <c r="AI49" s="415"/>
      <c r="AJ49" s="415"/>
      <c r="AK49" s="415"/>
      <c r="AL49" s="415"/>
      <c r="AM49" s="415"/>
      <c r="AN49" s="415"/>
      <c r="AO49" s="415"/>
      <c r="AP49" s="415"/>
      <c r="AQ49" s="415"/>
      <c r="AR49" s="415"/>
      <c r="AS49" s="415"/>
      <c r="AT49" s="415"/>
      <c r="AU49" s="415"/>
      <c r="AV49" s="415"/>
      <c r="AW49" s="415"/>
      <c r="AX49" s="415"/>
      <c r="AY49" s="415"/>
      <c r="AZ49" s="415"/>
      <c r="BA49" s="415"/>
      <c r="BB49" s="415"/>
      <c r="BC49" s="415"/>
      <c r="BD49" s="415"/>
      <c r="BE49" s="415"/>
      <c r="BF49" s="415"/>
      <c r="BG49" s="415"/>
      <c r="BH49" s="415"/>
      <c r="BI49" s="415"/>
      <c r="BJ49" s="415"/>
      <c r="BK49" s="415"/>
      <c r="BL49" s="415"/>
      <c r="BM49" s="415"/>
      <c r="BN49" s="415"/>
      <c r="BO49" s="415"/>
      <c r="BP49" s="415"/>
      <c r="BQ49" s="415"/>
      <c r="BR49" s="415"/>
      <c r="BS49" s="415"/>
      <c r="BT49" s="415"/>
      <c r="BU49" s="415"/>
      <c r="BV49" s="415"/>
      <c r="BW49" s="415"/>
      <c r="BX49" s="415"/>
      <c r="BY49" s="415"/>
      <c r="BZ49" s="415"/>
      <c r="CA49" s="415"/>
      <c r="CB49" s="415"/>
      <c r="CC49" s="415"/>
      <c r="CD49" s="415"/>
      <c r="CE49" s="415"/>
      <c r="CF49" s="415"/>
      <c r="CG49" s="415"/>
      <c r="CH49" s="415"/>
      <c r="CI49" s="415"/>
      <c r="CJ49" s="415"/>
      <c r="CK49" s="415"/>
      <c r="CL49" s="415"/>
      <c r="CM49" s="415"/>
      <c r="CN49" s="415"/>
      <c r="CO49" s="415"/>
      <c r="CP49" s="415"/>
      <c r="CQ49" s="415"/>
      <c r="CR49" s="415"/>
      <c r="CS49" s="415"/>
      <c r="CT49" s="415"/>
      <c r="CU49" s="415"/>
      <c r="CV49" s="415"/>
      <c r="CW49" s="415"/>
      <c r="CX49" s="415"/>
      <c r="CY49" s="415"/>
      <c r="CZ49" s="415"/>
      <c r="DA49" s="415"/>
      <c r="DB49" s="415"/>
      <c r="DC49" s="415"/>
      <c r="DD49" s="415"/>
      <c r="DE49" s="415"/>
      <c r="DF49" s="415"/>
      <c r="DG49" s="415"/>
      <c r="DH49" s="415"/>
      <c r="DI49" s="415"/>
      <c r="DJ49" s="415"/>
      <c r="DK49" s="415"/>
      <c r="DL49" s="415"/>
      <c r="DM49" s="415"/>
      <c r="DN49" s="415"/>
      <c r="DO49" s="415"/>
      <c r="DP49" s="415"/>
      <c r="DQ49" s="415"/>
      <c r="DR49" s="415"/>
      <c r="DS49" s="415"/>
      <c r="DT49" s="415"/>
      <c r="DU49" s="415"/>
      <c r="DV49" s="415"/>
      <c r="DW49" s="415"/>
      <c r="DX49" s="415"/>
      <c r="DY49" s="415"/>
      <c r="DZ49" s="415"/>
      <c r="EA49" s="415"/>
      <c r="EB49" s="415"/>
      <c r="EC49" s="415"/>
      <c r="ED49" s="415"/>
      <c r="EE49" s="415"/>
      <c r="EF49" s="415"/>
      <c r="EG49" s="415"/>
      <c r="EH49" s="415"/>
      <c r="EI49" s="415"/>
      <c r="EJ49" s="415"/>
      <c r="EK49" s="415"/>
      <c r="EL49" s="415"/>
      <c r="EM49" s="416"/>
      <c r="EN49" s="416"/>
      <c r="EO49" s="416"/>
      <c r="EP49" s="416"/>
      <c r="EQ49" s="416"/>
      <c r="ER49" s="416"/>
      <c r="ES49" s="416"/>
      <c r="ET49" s="416"/>
      <c r="EU49" s="416"/>
      <c r="EV49" s="416"/>
      <c r="EW49" s="416"/>
      <c r="EX49" s="416"/>
      <c r="EY49" s="416"/>
      <c r="EZ49" s="416"/>
      <c r="FA49" s="416"/>
      <c r="FB49" s="416"/>
      <c r="FC49" s="416"/>
      <c r="FD49" s="416"/>
      <c r="FE49" s="416"/>
      <c r="FF49" s="416"/>
      <c r="FG49" s="416"/>
      <c r="FH49" s="416"/>
      <c r="FI49" s="416"/>
      <c r="FJ49" s="416"/>
      <c r="FK49" s="416"/>
      <c r="FL49" s="416"/>
      <c r="FM49" s="416"/>
      <c r="FN49" s="416"/>
      <c r="FO49" s="416"/>
      <c r="FP49" s="416"/>
      <c r="FQ49" s="416"/>
      <c r="FR49" s="416"/>
      <c r="FS49" s="416"/>
      <c r="FT49" s="416"/>
      <c r="FU49" s="416"/>
      <c r="FV49" s="416"/>
      <c r="FW49" s="416"/>
      <c r="FX49" s="416"/>
      <c r="FY49" s="416"/>
      <c r="FZ49" s="416"/>
      <c r="GA49" s="416"/>
      <c r="GB49" s="416"/>
      <c r="GC49" s="416"/>
      <c r="GD49" s="416"/>
      <c r="GE49" s="416"/>
      <c r="GF49" s="416"/>
      <c r="GG49" s="416"/>
      <c r="GH49" s="416"/>
      <c r="GI49" s="416"/>
      <c r="GJ49" s="416"/>
      <c r="GK49" s="416"/>
      <c r="GL49" s="416"/>
      <c r="GM49" s="416"/>
      <c r="GN49" s="416"/>
      <c r="GO49" s="416"/>
      <c r="GP49" s="416"/>
      <c r="GQ49" s="416"/>
      <c r="GR49" s="416"/>
      <c r="GS49" s="416"/>
      <c r="GT49" s="416"/>
      <c r="GU49" s="416"/>
      <c r="GV49" s="416"/>
      <c r="GW49" s="416"/>
      <c r="GX49" s="416"/>
      <c r="GY49" s="416"/>
      <c r="GZ49" s="416"/>
      <c r="HA49" s="416"/>
      <c r="HB49" s="416"/>
      <c r="HC49" s="416"/>
      <c r="HD49" s="416"/>
      <c r="HE49" s="416"/>
      <c r="HF49" s="416"/>
      <c r="HG49" s="416"/>
      <c r="HH49" s="416"/>
      <c r="HI49" s="416"/>
      <c r="HJ49" s="416"/>
      <c r="HK49" s="416"/>
      <c r="HL49" s="416"/>
      <c r="HM49" s="416"/>
      <c r="HN49" s="416"/>
      <c r="HO49" s="416"/>
      <c r="HP49" s="416"/>
      <c r="HQ49" s="416"/>
      <c r="HR49" s="416"/>
      <c r="HS49" s="416"/>
      <c r="HT49" s="416"/>
      <c r="HU49" s="416"/>
      <c r="HV49" s="416"/>
      <c r="HW49" s="416"/>
      <c r="HX49" s="416"/>
      <c r="HY49" s="416"/>
      <c r="HZ49" s="416"/>
      <c r="IA49" s="416"/>
      <c r="IB49" s="416"/>
      <c r="IC49" s="416"/>
      <c r="ID49" s="416"/>
      <c r="IE49" s="416"/>
      <c r="IF49" s="416"/>
      <c r="IG49" s="416"/>
      <c r="IH49" s="416"/>
      <c r="II49" s="416"/>
      <c r="IJ49" s="416"/>
      <c r="IK49" s="416"/>
      <c r="IL49" s="416"/>
      <c r="IM49" s="416"/>
      <c r="IN49" s="416"/>
      <c r="IO49" s="416"/>
      <c r="IP49" s="416"/>
      <c r="IQ49" s="416"/>
      <c r="IR49" s="416"/>
      <c r="IS49" s="416"/>
      <c r="IT49" s="416"/>
      <c r="IU49" s="416"/>
      <c r="IV49" s="416"/>
      <c r="IW49" s="416"/>
    </row>
    <row r="50" customFormat="false" ht="12.75" hidden="false" customHeight="false" outlineLevel="0" collapsed="false">
      <c r="A50" s="1289"/>
      <c r="B50" s="412"/>
      <c r="C50" s="412"/>
      <c r="D50" s="415"/>
      <c r="E50" s="413"/>
      <c r="F50" s="415"/>
      <c r="G50" s="415"/>
      <c r="H50" s="415"/>
      <c r="I50" s="415"/>
      <c r="J50" s="415"/>
      <c r="K50" s="415"/>
      <c r="L50" s="415"/>
      <c r="M50" s="415"/>
      <c r="N50" s="415"/>
      <c r="O50" s="415"/>
      <c r="P50" s="415"/>
      <c r="Q50" s="415"/>
      <c r="R50" s="415"/>
      <c r="S50" s="415"/>
      <c r="T50" s="415"/>
      <c r="U50" s="415"/>
      <c r="V50" s="415"/>
      <c r="W50" s="415"/>
      <c r="X50" s="415"/>
      <c r="Y50" s="415"/>
      <c r="Z50" s="415"/>
      <c r="AA50" s="415"/>
      <c r="AB50" s="415"/>
      <c r="AC50" s="415"/>
      <c r="AD50" s="415"/>
      <c r="AE50" s="415"/>
      <c r="AF50" s="415"/>
      <c r="AG50" s="415"/>
      <c r="AH50" s="415"/>
      <c r="AI50" s="415"/>
      <c r="AJ50" s="415"/>
      <c r="AK50" s="415"/>
      <c r="AL50" s="415"/>
      <c r="AM50" s="415"/>
      <c r="AN50" s="415"/>
      <c r="AO50" s="415"/>
      <c r="AP50" s="415"/>
      <c r="AQ50" s="415"/>
      <c r="AR50" s="415"/>
      <c r="AS50" s="415"/>
      <c r="AT50" s="415"/>
      <c r="AU50" s="415"/>
      <c r="AV50" s="415"/>
      <c r="AW50" s="415"/>
      <c r="AX50" s="415"/>
      <c r="AY50" s="415"/>
      <c r="AZ50" s="415"/>
      <c r="BA50" s="415"/>
      <c r="BB50" s="415"/>
      <c r="BC50" s="415"/>
      <c r="BD50" s="415"/>
      <c r="BE50" s="415"/>
      <c r="BF50" s="415"/>
      <c r="BG50" s="415"/>
      <c r="BH50" s="415"/>
      <c r="BI50" s="415"/>
      <c r="BJ50" s="415"/>
      <c r="BK50" s="415"/>
      <c r="BL50" s="415"/>
      <c r="BM50" s="415"/>
      <c r="BN50" s="415"/>
      <c r="BO50" s="415"/>
      <c r="BP50" s="415"/>
      <c r="BQ50" s="415"/>
      <c r="BR50" s="415"/>
      <c r="BS50" s="415"/>
      <c r="BT50" s="415"/>
      <c r="BU50" s="415"/>
      <c r="BV50" s="415"/>
      <c r="BW50" s="415"/>
      <c r="BX50" s="415"/>
      <c r="BY50" s="415"/>
      <c r="BZ50" s="415"/>
      <c r="CA50" s="415"/>
      <c r="CB50" s="415"/>
      <c r="CC50" s="415"/>
      <c r="CD50" s="415"/>
      <c r="CE50" s="415"/>
      <c r="CF50" s="415"/>
      <c r="CG50" s="415"/>
      <c r="CH50" s="415"/>
      <c r="CI50" s="415"/>
      <c r="CJ50" s="415"/>
      <c r="CK50" s="415"/>
      <c r="CL50" s="415"/>
      <c r="CM50" s="415"/>
      <c r="CN50" s="415"/>
      <c r="CO50" s="415"/>
      <c r="CP50" s="415"/>
      <c r="CQ50" s="415"/>
      <c r="CR50" s="415"/>
      <c r="CS50" s="415"/>
      <c r="CT50" s="415"/>
      <c r="CU50" s="415"/>
      <c r="CV50" s="415"/>
      <c r="CW50" s="415"/>
      <c r="CX50" s="415"/>
      <c r="CY50" s="415"/>
      <c r="CZ50" s="415"/>
      <c r="DA50" s="415"/>
      <c r="DB50" s="415"/>
      <c r="DC50" s="415"/>
      <c r="DD50" s="415"/>
      <c r="DE50" s="415"/>
      <c r="DF50" s="415"/>
      <c r="DG50" s="415"/>
      <c r="DH50" s="415"/>
      <c r="DI50" s="415"/>
      <c r="DJ50" s="415"/>
      <c r="DK50" s="415"/>
      <c r="DL50" s="415"/>
      <c r="DM50" s="415"/>
      <c r="DN50" s="415"/>
      <c r="DO50" s="415"/>
      <c r="DP50" s="415"/>
      <c r="DQ50" s="415"/>
      <c r="DR50" s="415"/>
      <c r="DS50" s="415"/>
      <c r="DT50" s="415"/>
      <c r="DU50" s="415"/>
      <c r="DV50" s="415"/>
      <c r="DW50" s="415"/>
      <c r="DX50" s="415"/>
      <c r="DY50" s="415"/>
      <c r="DZ50" s="415"/>
      <c r="EA50" s="415"/>
      <c r="EB50" s="415"/>
      <c r="EC50" s="415"/>
      <c r="ED50" s="415"/>
      <c r="EE50" s="415"/>
      <c r="EF50" s="415"/>
      <c r="EG50" s="415"/>
      <c r="EH50" s="415"/>
      <c r="EI50" s="415"/>
      <c r="EJ50" s="415"/>
      <c r="EK50" s="415"/>
      <c r="EL50" s="415"/>
      <c r="EM50" s="416"/>
      <c r="EN50" s="416"/>
      <c r="EO50" s="416"/>
      <c r="EP50" s="416"/>
      <c r="EQ50" s="416"/>
      <c r="ER50" s="416"/>
      <c r="ES50" s="416"/>
      <c r="ET50" s="416"/>
      <c r="EU50" s="416"/>
      <c r="EV50" s="416"/>
      <c r="EW50" s="416"/>
      <c r="EX50" s="416"/>
      <c r="EY50" s="416"/>
      <c r="EZ50" s="416"/>
      <c r="FA50" s="416"/>
      <c r="FB50" s="416"/>
      <c r="FC50" s="416"/>
      <c r="FD50" s="416"/>
      <c r="FE50" s="416"/>
      <c r="FF50" s="416"/>
      <c r="FG50" s="416"/>
      <c r="FH50" s="416"/>
      <c r="FI50" s="416"/>
      <c r="FJ50" s="416"/>
      <c r="FK50" s="416"/>
      <c r="FL50" s="416"/>
      <c r="FM50" s="416"/>
      <c r="FN50" s="416"/>
      <c r="FO50" s="416"/>
      <c r="FP50" s="416"/>
      <c r="FQ50" s="416"/>
      <c r="FR50" s="416"/>
      <c r="FS50" s="416"/>
      <c r="FT50" s="416"/>
      <c r="FU50" s="416"/>
      <c r="FV50" s="416"/>
      <c r="FW50" s="416"/>
      <c r="FX50" s="416"/>
      <c r="FY50" s="416"/>
      <c r="FZ50" s="416"/>
      <c r="GA50" s="416"/>
      <c r="GB50" s="416"/>
      <c r="GC50" s="416"/>
      <c r="GD50" s="416"/>
      <c r="GE50" s="416"/>
      <c r="GF50" s="416"/>
      <c r="GG50" s="416"/>
      <c r="GH50" s="416"/>
      <c r="GI50" s="416"/>
      <c r="GJ50" s="416"/>
      <c r="GK50" s="416"/>
      <c r="GL50" s="416"/>
      <c r="GM50" s="416"/>
      <c r="GN50" s="416"/>
      <c r="GO50" s="416"/>
      <c r="GP50" s="416"/>
      <c r="GQ50" s="416"/>
      <c r="GR50" s="416"/>
      <c r="GS50" s="416"/>
      <c r="GT50" s="416"/>
      <c r="GU50" s="416"/>
      <c r="GV50" s="416"/>
      <c r="GW50" s="416"/>
      <c r="GX50" s="416"/>
      <c r="GY50" s="416"/>
      <c r="GZ50" s="416"/>
      <c r="HA50" s="416"/>
      <c r="HB50" s="416"/>
      <c r="HC50" s="416"/>
      <c r="HD50" s="416"/>
      <c r="HE50" s="416"/>
      <c r="HF50" s="416"/>
      <c r="HG50" s="416"/>
      <c r="HH50" s="416"/>
      <c r="HI50" s="416"/>
      <c r="HJ50" s="416"/>
      <c r="HK50" s="416"/>
      <c r="HL50" s="416"/>
      <c r="HM50" s="416"/>
      <c r="HN50" s="416"/>
      <c r="HO50" s="416"/>
      <c r="HP50" s="416"/>
      <c r="HQ50" s="416"/>
      <c r="HR50" s="416"/>
      <c r="HS50" s="416"/>
      <c r="HT50" s="416"/>
      <c r="HU50" s="416"/>
      <c r="HV50" s="416"/>
      <c r="HW50" s="416"/>
      <c r="HX50" s="416"/>
      <c r="HY50" s="416"/>
      <c r="HZ50" s="416"/>
      <c r="IA50" s="416"/>
      <c r="IB50" s="416"/>
      <c r="IC50" s="416"/>
      <c r="ID50" s="416"/>
      <c r="IE50" s="416"/>
      <c r="IF50" s="416"/>
      <c r="IG50" s="416"/>
      <c r="IH50" s="416"/>
      <c r="II50" s="416"/>
      <c r="IJ50" s="416"/>
      <c r="IK50" s="416"/>
      <c r="IL50" s="416"/>
      <c r="IM50" s="416"/>
      <c r="IN50" s="416"/>
      <c r="IO50" s="416"/>
      <c r="IP50" s="416"/>
      <c r="IQ50" s="416"/>
      <c r="IR50" s="416"/>
      <c r="IS50" s="416"/>
      <c r="IT50" s="416"/>
      <c r="IU50" s="416"/>
      <c r="IV50" s="416"/>
      <c r="IW50" s="416"/>
    </row>
    <row r="51" customFormat="false" ht="12.75" hidden="false" customHeight="false" outlineLevel="0" collapsed="false">
      <c r="A51" s="1289"/>
      <c r="B51" s="412"/>
      <c r="C51" s="412"/>
      <c r="D51" s="415"/>
      <c r="E51" s="413"/>
      <c r="F51" s="415"/>
      <c r="G51" s="415"/>
      <c r="H51" s="415"/>
      <c r="I51" s="415"/>
      <c r="J51" s="415"/>
      <c r="K51" s="415"/>
      <c r="L51" s="415"/>
      <c r="M51" s="415"/>
      <c r="N51" s="415"/>
      <c r="O51" s="415"/>
      <c r="P51" s="415"/>
      <c r="Q51" s="415"/>
      <c r="R51" s="415"/>
      <c r="S51" s="415"/>
      <c r="T51" s="415"/>
      <c r="U51" s="415"/>
      <c r="V51" s="415"/>
      <c r="W51" s="415"/>
      <c r="X51" s="415"/>
      <c r="Y51" s="415"/>
      <c r="Z51" s="415"/>
      <c r="AA51" s="415"/>
      <c r="AB51" s="415"/>
      <c r="AC51" s="415"/>
      <c r="AD51" s="415"/>
      <c r="AE51" s="415"/>
      <c r="AF51" s="415"/>
      <c r="AG51" s="415"/>
      <c r="AH51" s="415"/>
      <c r="AI51" s="415"/>
      <c r="AJ51" s="415"/>
      <c r="AK51" s="415"/>
      <c r="AL51" s="415"/>
      <c r="AM51" s="415"/>
      <c r="AN51" s="415"/>
      <c r="AO51" s="415"/>
      <c r="AP51" s="415"/>
      <c r="AQ51" s="415"/>
      <c r="AR51" s="415"/>
      <c r="AS51" s="415"/>
      <c r="AT51" s="415"/>
      <c r="AU51" s="415"/>
      <c r="AV51" s="415"/>
      <c r="AW51" s="415"/>
      <c r="AX51" s="415"/>
      <c r="AY51" s="415"/>
      <c r="AZ51" s="415"/>
      <c r="BA51" s="415"/>
      <c r="BB51" s="415"/>
      <c r="BC51" s="415"/>
      <c r="BD51" s="415"/>
      <c r="BE51" s="415"/>
      <c r="BF51" s="415"/>
      <c r="BG51" s="415"/>
      <c r="BH51" s="415"/>
      <c r="BI51" s="415"/>
      <c r="BJ51" s="415"/>
      <c r="BK51" s="415"/>
      <c r="BL51" s="415"/>
      <c r="BM51" s="415"/>
      <c r="BN51" s="415"/>
      <c r="BO51" s="415"/>
      <c r="BP51" s="415"/>
      <c r="BQ51" s="415"/>
      <c r="BR51" s="415"/>
      <c r="BS51" s="415"/>
      <c r="BT51" s="415"/>
      <c r="BU51" s="415"/>
      <c r="BV51" s="415"/>
      <c r="BW51" s="415"/>
      <c r="BX51" s="415"/>
      <c r="BY51" s="415"/>
      <c r="BZ51" s="415"/>
      <c r="CA51" s="415"/>
      <c r="CB51" s="415"/>
      <c r="CC51" s="415"/>
      <c r="CD51" s="415"/>
      <c r="CE51" s="415"/>
      <c r="CF51" s="415"/>
      <c r="CG51" s="415"/>
      <c r="CH51" s="415"/>
      <c r="CI51" s="415"/>
      <c r="CJ51" s="415"/>
      <c r="CK51" s="415"/>
      <c r="CL51" s="415"/>
      <c r="CM51" s="415"/>
      <c r="CN51" s="415"/>
      <c r="CO51" s="415"/>
      <c r="CP51" s="415"/>
      <c r="CQ51" s="415"/>
      <c r="CR51" s="415"/>
      <c r="CS51" s="415"/>
      <c r="CT51" s="415"/>
      <c r="CU51" s="415"/>
      <c r="CV51" s="415"/>
      <c r="CW51" s="415"/>
      <c r="CX51" s="415"/>
      <c r="CY51" s="415"/>
      <c r="CZ51" s="415"/>
      <c r="DA51" s="415"/>
      <c r="DB51" s="415"/>
      <c r="DC51" s="415"/>
      <c r="DD51" s="415"/>
      <c r="DE51" s="415"/>
      <c r="DF51" s="415"/>
      <c r="DG51" s="415"/>
      <c r="DH51" s="415"/>
      <c r="DI51" s="415"/>
      <c r="DJ51" s="415"/>
      <c r="DK51" s="415"/>
      <c r="DL51" s="415"/>
      <c r="DM51" s="415"/>
      <c r="DN51" s="415"/>
      <c r="DO51" s="415"/>
      <c r="DP51" s="415"/>
      <c r="DQ51" s="415"/>
      <c r="DR51" s="415"/>
      <c r="DS51" s="415"/>
      <c r="DT51" s="415"/>
      <c r="DU51" s="415"/>
      <c r="DV51" s="415"/>
      <c r="DW51" s="415"/>
      <c r="DX51" s="415"/>
      <c r="DY51" s="415"/>
      <c r="DZ51" s="415"/>
      <c r="EA51" s="415"/>
      <c r="EB51" s="415"/>
      <c r="EC51" s="415"/>
      <c r="ED51" s="415"/>
      <c r="EE51" s="415"/>
      <c r="EF51" s="415"/>
      <c r="EG51" s="415"/>
      <c r="EH51" s="415"/>
      <c r="EI51" s="415"/>
      <c r="EJ51" s="415"/>
      <c r="EK51" s="415"/>
      <c r="EL51" s="415"/>
      <c r="EM51" s="416"/>
      <c r="EN51" s="416"/>
      <c r="EO51" s="416"/>
      <c r="EP51" s="416"/>
      <c r="EQ51" s="416"/>
      <c r="ER51" s="416"/>
      <c r="ES51" s="416"/>
      <c r="ET51" s="416"/>
      <c r="EU51" s="416"/>
      <c r="EV51" s="416"/>
      <c r="EW51" s="416"/>
      <c r="EX51" s="416"/>
      <c r="EY51" s="416"/>
      <c r="EZ51" s="416"/>
      <c r="FA51" s="416"/>
      <c r="FB51" s="416"/>
      <c r="FC51" s="416"/>
      <c r="FD51" s="416"/>
      <c r="FE51" s="416"/>
      <c r="FF51" s="416"/>
      <c r="FG51" s="416"/>
      <c r="FH51" s="416"/>
      <c r="FI51" s="416"/>
      <c r="FJ51" s="416"/>
      <c r="FK51" s="416"/>
      <c r="FL51" s="416"/>
      <c r="FM51" s="416"/>
      <c r="FN51" s="416"/>
      <c r="FO51" s="416"/>
      <c r="FP51" s="416"/>
      <c r="FQ51" s="416"/>
      <c r="FR51" s="416"/>
      <c r="FS51" s="416"/>
      <c r="FT51" s="416"/>
      <c r="FU51" s="416"/>
      <c r="FV51" s="416"/>
      <c r="FW51" s="416"/>
      <c r="FX51" s="416"/>
      <c r="FY51" s="416"/>
      <c r="FZ51" s="416"/>
      <c r="GA51" s="416"/>
      <c r="GB51" s="416"/>
      <c r="GC51" s="416"/>
      <c r="GD51" s="416"/>
      <c r="GE51" s="416"/>
      <c r="GF51" s="416"/>
      <c r="GG51" s="416"/>
      <c r="GH51" s="416"/>
      <c r="GI51" s="416"/>
      <c r="GJ51" s="416"/>
      <c r="GK51" s="416"/>
      <c r="GL51" s="416"/>
      <c r="GM51" s="416"/>
      <c r="GN51" s="416"/>
      <c r="GO51" s="416"/>
      <c r="GP51" s="416"/>
      <c r="GQ51" s="416"/>
      <c r="GR51" s="416"/>
      <c r="GS51" s="416"/>
      <c r="GT51" s="416"/>
      <c r="GU51" s="416"/>
      <c r="GV51" s="416"/>
      <c r="GW51" s="416"/>
      <c r="GX51" s="416"/>
      <c r="GY51" s="416"/>
      <c r="GZ51" s="416"/>
      <c r="HA51" s="416"/>
      <c r="HB51" s="416"/>
      <c r="HC51" s="416"/>
      <c r="HD51" s="416"/>
      <c r="HE51" s="416"/>
      <c r="HF51" s="416"/>
      <c r="HG51" s="416"/>
      <c r="HH51" s="416"/>
      <c r="HI51" s="416"/>
      <c r="HJ51" s="416"/>
      <c r="HK51" s="416"/>
      <c r="HL51" s="416"/>
      <c r="HM51" s="416"/>
      <c r="HN51" s="416"/>
      <c r="HO51" s="416"/>
      <c r="HP51" s="416"/>
      <c r="HQ51" s="416"/>
      <c r="HR51" s="416"/>
      <c r="HS51" s="416"/>
      <c r="HT51" s="416"/>
      <c r="HU51" s="416"/>
      <c r="HV51" s="416"/>
      <c r="HW51" s="416"/>
      <c r="HX51" s="416"/>
      <c r="HY51" s="416"/>
      <c r="HZ51" s="416"/>
      <c r="IA51" s="416"/>
      <c r="IB51" s="416"/>
      <c r="IC51" s="416"/>
      <c r="ID51" s="416"/>
      <c r="IE51" s="416"/>
      <c r="IF51" s="416"/>
      <c r="IG51" s="416"/>
      <c r="IH51" s="416"/>
      <c r="II51" s="416"/>
      <c r="IJ51" s="416"/>
      <c r="IK51" s="416"/>
      <c r="IL51" s="416"/>
      <c r="IM51" s="416"/>
      <c r="IN51" s="416"/>
      <c r="IO51" s="416"/>
      <c r="IP51" s="416"/>
      <c r="IQ51" s="416"/>
      <c r="IR51" s="416"/>
      <c r="IS51" s="416"/>
      <c r="IT51" s="416"/>
      <c r="IU51" s="416"/>
      <c r="IV51" s="416"/>
      <c r="IW51" s="416"/>
    </row>
    <row r="52" customFormat="false" ht="12.75" hidden="false" customHeight="false" outlineLevel="0" collapsed="false">
      <c r="A52" s="1289"/>
      <c r="B52" s="413"/>
      <c r="C52" s="413"/>
      <c r="D52" s="413"/>
      <c r="E52" s="413"/>
      <c r="F52" s="413"/>
      <c r="G52" s="413"/>
      <c r="H52" s="413"/>
      <c r="I52" s="413"/>
      <c r="J52" s="413"/>
      <c r="K52" s="413"/>
      <c r="L52" s="413"/>
      <c r="M52" s="413"/>
      <c r="N52" s="413"/>
      <c r="O52" s="413"/>
      <c r="P52" s="413"/>
      <c r="Q52" s="413"/>
      <c r="R52" s="413"/>
      <c r="S52" s="413"/>
      <c r="T52" s="413"/>
      <c r="U52" s="413"/>
      <c r="V52" s="413"/>
      <c r="W52" s="413"/>
      <c r="X52" s="413"/>
      <c r="Y52" s="413"/>
      <c r="Z52" s="413"/>
      <c r="AA52" s="415"/>
      <c r="AB52" s="415"/>
      <c r="AC52" s="415"/>
      <c r="AD52" s="415"/>
      <c r="AE52" s="415"/>
      <c r="AF52" s="415"/>
      <c r="AG52" s="415"/>
      <c r="AH52" s="415"/>
      <c r="AI52" s="415"/>
      <c r="AJ52" s="415"/>
      <c r="AK52" s="415"/>
      <c r="AL52" s="415"/>
      <c r="AM52" s="415"/>
      <c r="AN52" s="415"/>
      <c r="AO52" s="415"/>
      <c r="AP52" s="415"/>
      <c r="AQ52" s="415"/>
      <c r="AR52" s="415"/>
      <c r="AS52" s="415"/>
      <c r="AT52" s="415"/>
      <c r="AU52" s="415"/>
      <c r="AV52" s="415"/>
      <c r="AW52" s="415"/>
      <c r="AX52" s="415"/>
      <c r="AY52" s="415"/>
      <c r="AZ52" s="415"/>
      <c r="BA52" s="415"/>
      <c r="BB52" s="415"/>
      <c r="BC52" s="415"/>
      <c r="BD52" s="415"/>
      <c r="BE52" s="415"/>
      <c r="BF52" s="415"/>
      <c r="BG52" s="415"/>
      <c r="BH52" s="415"/>
      <c r="BI52" s="415"/>
      <c r="BJ52" s="415"/>
      <c r="BK52" s="415"/>
      <c r="BL52" s="415"/>
      <c r="BM52" s="415"/>
      <c r="BN52" s="415"/>
      <c r="BO52" s="415"/>
      <c r="BP52" s="415"/>
      <c r="BQ52" s="415"/>
      <c r="BR52" s="415"/>
      <c r="BS52" s="415"/>
      <c r="BT52" s="415"/>
      <c r="BU52" s="415"/>
      <c r="BV52" s="415"/>
      <c r="BW52" s="415"/>
      <c r="BX52" s="415"/>
      <c r="BY52" s="415"/>
      <c r="BZ52" s="415"/>
      <c r="CA52" s="415"/>
      <c r="CB52" s="415"/>
      <c r="CC52" s="415"/>
      <c r="CD52" s="415"/>
      <c r="CE52" s="415"/>
      <c r="CF52" s="415"/>
      <c r="CG52" s="415"/>
      <c r="CH52" s="415"/>
      <c r="CI52" s="415"/>
      <c r="CJ52" s="415"/>
      <c r="CK52" s="415"/>
      <c r="CL52" s="415"/>
      <c r="CM52" s="415"/>
      <c r="CN52" s="415"/>
      <c r="CO52" s="415"/>
      <c r="CP52" s="415"/>
      <c r="CQ52" s="415"/>
      <c r="CR52" s="415"/>
      <c r="CS52" s="415"/>
      <c r="CT52" s="415"/>
      <c r="CU52" s="415"/>
      <c r="CV52" s="415"/>
      <c r="CW52" s="415"/>
      <c r="CX52" s="415"/>
      <c r="CY52" s="415"/>
      <c r="CZ52" s="415"/>
      <c r="DA52" s="415"/>
      <c r="DB52" s="415"/>
      <c r="DC52" s="415"/>
      <c r="DD52" s="415"/>
      <c r="DE52" s="415"/>
      <c r="DF52" s="415"/>
      <c r="DG52" s="415"/>
      <c r="DH52" s="415"/>
      <c r="DI52" s="415"/>
      <c r="DJ52" s="415"/>
      <c r="DK52" s="415"/>
      <c r="DL52" s="415"/>
      <c r="DM52" s="415"/>
      <c r="DN52" s="415"/>
      <c r="DO52" s="415"/>
      <c r="DP52" s="415"/>
      <c r="DQ52" s="415"/>
      <c r="DR52" s="415"/>
      <c r="DS52" s="415"/>
      <c r="DT52" s="415"/>
      <c r="DU52" s="415"/>
      <c r="DV52" s="415"/>
      <c r="DW52" s="415"/>
      <c r="DX52" s="415"/>
      <c r="DY52" s="415"/>
      <c r="DZ52" s="415"/>
      <c r="EA52" s="415"/>
      <c r="EB52" s="415"/>
      <c r="EC52" s="415"/>
      <c r="ED52" s="415"/>
      <c r="EE52" s="415"/>
      <c r="EF52" s="415"/>
      <c r="EG52" s="415"/>
      <c r="EH52" s="415"/>
      <c r="EI52" s="415"/>
      <c r="EJ52" s="415"/>
      <c r="EK52" s="415"/>
      <c r="EL52" s="415"/>
      <c r="EM52" s="416"/>
      <c r="EN52" s="416"/>
      <c r="EO52" s="416"/>
      <c r="EP52" s="416"/>
      <c r="EQ52" s="416"/>
      <c r="ER52" s="416"/>
      <c r="ES52" s="416"/>
      <c r="ET52" s="416"/>
      <c r="EU52" s="416"/>
      <c r="EV52" s="416"/>
      <c r="EW52" s="416"/>
      <c r="EX52" s="416"/>
      <c r="EY52" s="416"/>
      <c r="EZ52" s="416"/>
      <c r="FA52" s="416"/>
      <c r="FB52" s="416"/>
      <c r="FC52" s="416"/>
      <c r="FD52" s="416"/>
      <c r="FE52" s="416"/>
      <c r="FF52" s="416"/>
      <c r="FG52" s="416"/>
      <c r="FH52" s="416"/>
      <c r="FI52" s="416"/>
      <c r="FJ52" s="416"/>
      <c r="FK52" s="416"/>
      <c r="FL52" s="416"/>
      <c r="FM52" s="416"/>
      <c r="FN52" s="416"/>
      <c r="FO52" s="416"/>
      <c r="FP52" s="416"/>
      <c r="FQ52" s="416"/>
      <c r="FR52" s="416"/>
      <c r="FS52" s="416"/>
      <c r="FT52" s="416"/>
      <c r="FU52" s="416"/>
      <c r="FV52" s="416"/>
      <c r="FW52" s="416"/>
      <c r="FX52" s="416"/>
      <c r="FY52" s="416"/>
      <c r="FZ52" s="416"/>
      <c r="GA52" s="416"/>
      <c r="GB52" s="416"/>
      <c r="GC52" s="416"/>
      <c r="GD52" s="416"/>
      <c r="GE52" s="416"/>
      <c r="GF52" s="416"/>
      <c r="GG52" s="416"/>
      <c r="GH52" s="416"/>
      <c r="GI52" s="416"/>
      <c r="GJ52" s="416"/>
      <c r="GK52" s="416"/>
      <c r="GL52" s="416"/>
      <c r="GM52" s="416"/>
      <c r="GN52" s="416"/>
      <c r="GO52" s="416"/>
      <c r="GP52" s="416"/>
      <c r="GQ52" s="416"/>
      <c r="GR52" s="416"/>
      <c r="GS52" s="416"/>
      <c r="GT52" s="416"/>
      <c r="GU52" s="416"/>
      <c r="GV52" s="416"/>
      <c r="GW52" s="416"/>
      <c r="GX52" s="416"/>
      <c r="GY52" s="416"/>
      <c r="GZ52" s="416"/>
      <c r="HA52" s="416"/>
      <c r="HB52" s="416"/>
      <c r="HC52" s="416"/>
      <c r="HD52" s="416"/>
      <c r="HE52" s="416"/>
      <c r="HF52" s="416"/>
      <c r="HG52" s="416"/>
      <c r="HH52" s="416"/>
      <c r="HI52" s="416"/>
      <c r="HJ52" s="416"/>
      <c r="HK52" s="416"/>
      <c r="HL52" s="416"/>
      <c r="HM52" s="416"/>
      <c r="HN52" s="416"/>
      <c r="HO52" s="416"/>
      <c r="HP52" s="416"/>
      <c r="HQ52" s="416"/>
      <c r="HR52" s="416"/>
      <c r="HS52" s="416"/>
      <c r="HT52" s="416"/>
      <c r="HU52" s="416"/>
      <c r="HV52" s="416"/>
      <c r="HW52" s="416"/>
      <c r="HX52" s="416"/>
      <c r="HY52" s="416"/>
      <c r="HZ52" s="416"/>
      <c r="IA52" s="416"/>
      <c r="IB52" s="416"/>
      <c r="IC52" s="416"/>
      <c r="ID52" s="416"/>
      <c r="IE52" s="416"/>
      <c r="IF52" s="416"/>
      <c r="IG52" s="416"/>
      <c r="IH52" s="416"/>
      <c r="II52" s="416"/>
      <c r="IJ52" s="416"/>
      <c r="IK52" s="416"/>
      <c r="IL52" s="416"/>
      <c r="IM52" s="416"/>
      <c r="IN52" s="416"/>
      <c r="IO52" s="416"/>
      <c r="IP52" s="416"/>
      <c r="IQ52" s="416"/>
      <c r="IR52" s="416"/>
      <c r="IS52" s="416"/>
      <c r="IT52" s="416"/>
      <c r="IU52" s="416"/>
      <c r="IV52" s="416"/>
      <c r="IW52" s="416"/>
    </row>
    <row r="53" customFormat="false" ht="12.75" hidden="false" customHeight="false" outlineLevel="0" collapsed="false">
      <c r="A53" s="1287"/>
      <c r="B53" s="1288"/>
      <c r="C53" s="1288"/>
      <c r="D53" s="1288"/>
      <c r="E53" s="1288"/>
      <c r="F53" s="1288"/>
      <c r="G53" s="1288"/>
      <c r="H53" s="1288"/>
      <c r="I53" s="1288"/>
      <c r="J53" s="1288"/>
      <c r="K53" s="1288"/>
      <c r="L53" s="1288"/>
      <c r="M53" s="1288"/>
      <c r="N53" s="1288"/>
      <c r="O53" s="1288"/>
      <c r="P53" s="1288"/>
      <c r="Q53" s="1288"/>
      <c r="R53" s="1288"/>
      <c r="S53" s="1288"/>
      <c r="T53" s="1288"/>
      <c r="U53" s="1288"/>
      <c r="V53" s="1288"/>
      <c r="W53" s="1288"/>
      <c r="X53" s="1288"/>
      <c r="Y53" s="1288"/>
      <c r="Z53" s="1288"/>
      <c r="AA53" s="1288"/>
      <c r="AB53" s="1288"/>
      <c r="AC53" s="1288"/>
      <c r="AD53" s="1288"/>
      <c r="AE53" s="1288"/>
      <c r="AF53" s="1288"/>
      <c r="AG53" s="1288"/>
      <c r="AH53" s="1288"/>
      <c r="AI53" s="1288"/>
      <c r="AJ53" s="1288"/>
      <c r="AK53" s="1288"/>
      <c r="AL53" s="1288"/>
      <c r="AM53" s="1288"/>
      <c r="AN53" s="1288"/>
      <c r="AO53" s="1288"/>
      <c r="AP53" s="1288"/>
      <c r="AQ53" s="1288"/>
      <c r="AR53" s="1288"/>
      <c r="AS53" s="1288"/>
      <c r="AT53" s="1288"/>
      <c r="AU53" s="1288"/>
      <c r="AV53" s="1288"/>
      <c r="AW53" s="1288"/>
      <c r="AX53" s="1288"/>
      <c r="AY53" s="1288"/>
      <c r="AZ53" s="1288"/>
      <c r="BA53" s="1288"/>
      <c r="BB53" s="1288"/>
      <c r="BC53" s="1288"/>
      <c r="BD53" s="1288"/>
      <c r="BE53" s="1288"/>
      <c r="BF53" s="1288"/>
      <c r="BG53" s="1288"/>
      <c r="BH53" s="1288"/>
      <c r="BI53" s="1288"/>
      <c r="BJ53" s="1288"/>
      <c r="BK53" s="1288"/>
      <c r="BL53" s="1288"/>
      <c r="BM53" s="1288"/>
      <c r="BN53" s="1288"/>
      <c r="BO53" s="1288"/>
      <c r="BP53" s="1288"/>
      <c r="BQ53" s="1288"/>
      <c r="BR53" s="1288"/>
      <c r="BS53" s="1288"/>
      <c r="BT53" s="1288"/>
      <c r="BU53" s="1288"/>
      <c r="BV53" s="1288"/>
      <c r="BW53" s="1288"/>
      <c r="BX53" s="1288"/>
      <c r="BY53" s="1288"/>
      <c r="BZ53" s="1288"/>
      <c r="CA53" s="1288"/>
      <c r="CB53" s="1288"/>
      <c r="CC53" s="1288"/>
      <c r="CD53" s="1288"/>
      <c r="CE53" s="1288"/>
      <c r="CF53" s="1288"/>
      <c r="CG53" s="1288"/>
      <c r="CH53" s="1288"/>
      <c r="CI53" s="1288"/>
      <c r="CJ53" s="1288"/>
      <c r="CK53" s="1288"/>
      <c r="CL53" s="1288"/>
      <c r="CM53" s="1288"/>
      <c r="CN53" s="1288"/>
      <c r="CO53" s="1288"/>
      <c r="CP53" s="1288"/>
      <c r="CQ53" s="1288"/>
      <c r="CR53" s="1288"/>
      <c r="CS53" s="1288"/>
      <c r="CT53" s="1288"/>
      <c r="CU53" s="1288"/>
      <c r="CV53" s="1288"/>
      <c r="CW53" s="1288"/>
      <c r="CX53" s="1288"/>
      <c r="CY53" s="1288"/>
      <c r="CZ53" s="1288"/>
      <c r="DA53" s="1288"/>
      <c r="DB53" s="1288"/>
      <c r="DC53" s="1288"/>
      <c r="DD53" s="1288"/>
      <c r="DE53" s="1288"/>
      <c r="DF53" s="1288"/>
      <c r="DG53" s="1288"/>
      <c r="DH53" s="1288"/>
      <c r="DI53" s="1288"/>
      <c r="DJ53" s="1288"/>
      <c r="DK53" s="1288"/>
      <c r="DL53" s="1288"/>
      <c r="DM53" s="1288"/>
      <c r="DN53" s="1288"/>
      <c r="DO53" s="1288"/>
      <c r="DP53" s="1288"/>
      <c r="DQ53" s="1288"/>
      <c r="DR53" s="1288"/>
      <c r="DS53" s="1288"/>
      <c r="DT53" s="1288"/>
      <c r="DU53" s="1288"/>
      <c r="DV53" s="1288"/>
      <c r="DW53" s="1288"/>
      <c r="DX53" s="1288"/>
      <c r="DY53" s="1288"/>
      <c r="DZ53" s="1288"/>
      <c r="EA53" s="1288"/>
      <c r="EB53" s="1288"/>
      <c r="EC53" s="1288"/>
      <c r="ED53" s="1288"/>
      <c r="EE53" s="1288"/>
      <c r="EF53" s="1288"/>
      <c r="EG53" s="1288"/>
      <c r="EH53" s="1288"/>
      <c r="EI53" s="1288"/>
      <c r="EJ53" s="1288"/>
      <c r="EK53" s="1288"/>
      <c r="EL53" s="1288"/>
      <c r="EM53" s="1288"/>
      <c r="EN53" s="1288"/>
      <c r="EO53" s="1288"/>
      <c r="EP53" s="1288"/>
      <c r="EQ53" s="1288"/>
      <c r="ER53" s="1288"/>
      <c r="ES53" s="1288"/>
      <c r="ET53" s="1288"/>
      <c r="EU53" s="1288"/>
      <c r="EV53" s="1288"/>
      <c r="EW53" s="1288"/>
      <c r="EX53" s="1288"/>
      <c r="EY53" s="1288"/>
      <c r="EZ53" s="1288"/>
      <c r="FA53" s="1288"/>
      <c r="FB53" s="1288"/>
      <c r="FC53" s="1288"/>
      <c r="FD53" s="1288"/>
      <c r="FE53" s="1288"/>
      <c r="FF53" s="1288"/>
      <c r="FG53" s="1288"/>
      <c r="FH53" s="1288"/>
      <c r="FI53" s="1288"/>
      <c r="FJ53" s="1288"/>
      <c r="FK53" s="1288"/>
      <c r="FL53" s="1288"/>
      <c r="FM53" s="1288"/>
      <c r="FN53" s="1288"/>
      <c r="FO53" s="1288"/>
      <c r="FP53" s="1288"/>
      <c r="FQ53" s="1288"/>
      <c r="FR53" s="1288"/>
      <c r="FS53" s="1288"/>
      <c r="FT53" s="1288"/>
      <c r="FU53" s="1288"/>
      <c r="FV53" s="1288"/>
      <c r="FW53" s="1288"/>
      <c r="FX53" s="1288"/>
      <c r="FY53" s="1288"/>
      <c r="FZ53" s="1288"/>
      <c r="GA53" s="1288"/>
      <c r="GB53" s="1288"/>
      <c r="GC53" s="1288"/>
      <c r="GD53" s="1288"/>
      <c r="GE53" s="1288"/>
      <c r="GF53" s="1288"/>
      <c r="GG53" s="1288"/>
      <c r="GH53" s="1288"/>
      <c r="GI53" s="1288"/>
      <c r="GJ53" s="1288"/>
      <c r="GK53" s="1288"/>
      <c r="GL53" s="1288"/>
      <c r="GM53" s="1288"/>
      <c r="GN53" s="1288"/>
      <c r="GO53" s="1288"/>
      <c r="GP53" s="1288"/>
      <c r="GQ53" s="1288"/>
      <c r="GR53" s="1288"/>
      <c r="GS53" s="1288"/>
      <c r="GT53" s="1288"/>
      <c r="GU53" s="1288"/>
      <c r="GV53" s="1288"/>
      <c r="GW53" s="1288"/>
      <c r="GX53" s="1288"/>
      <c r="GY53" s="1288"/>
      <c r="GZ53" s="1288"/>
      <c r="HA53" s="1288"/>
      <c r="HB53" s="1288"/>
      <c r="HC53" s="1288"/>
      <c r="HD53" s="1288"/>
      <c r="HE53" s="1288"/>
      <c r="HF53" s="1288"/>
      <c r="HG53" s="1288"/>
      <c r="HH53" s="1288"/>
      <c r="HI53" s="1288"/>
      <c r="HJ53" s="1288"/>
      <c r="HK53" s="1288"/>
      <c r="HL53" s="1288"/>
      <c r="HM53" s="1288"/>
      <c r="HN53" s="1288"/>
      <c r="HO53" s="1288"/>
      <c r="HP53" s="1288"/>
      <c r="HQ53" s="1288"/>
      <c r="HR53" s="1288"/>
      <c r="HS53" s="1288"/>
      <c r="HT53" s="1288"/>
      <c r="HU53" s="1288"/>
      <c r="HV53" s="1288"/>
      <c r="HW53" s="1288"/>
      <c r="HX53" s="1288"/>
      <c r="HY53" s="1288"/>
      <c r="HZ53" s="1288"/>
      <c r="IA53" s="1288"/>
      <c r="IB53" s="1288"/>
      <c r="IC53" s="1288"/>
      <c r="ID53" s="1288"/>
      <c r="IE53" s="1288"/>
      <c r="IF53" s="1288"/>
      <c r="IG53" s="1288"/>
      <c r="IH53" s="1288"/>
      <c r="II53" s="1288"/>
      <c r="IJ53" s="1288"/>
      <c r="IK53" s="1288"/>
      <c r="IL53" s="1288"/>
      <c r="IM53" s="1288"/>
      <c r="IN53" s="1288"/>
      <c r="IO53" s="1288"/>
      <c r="IP53" s="1288"/>
      <c r="IQ53" s="1288"/>
      <c r="IR53" s="1288"/>
      <c r="IS53" s="1288"/>
      <c r="IT53" s="1288"/>
      <c r="IU53" s="1288"/>
      <c r="IV53" s="1288"/>
      <c r="IW53" s="1288"/>
    </row>
    <row r="57" customFormat="false" ht="18" hidden="false" customHeight="false" outlineLevel="0" collapsed="false">
      <c r="C57" s="1307" t="s">
        <v>834</v>
      </c>
    </row>
    <row r="58" customFormat="false" ht="12.75" hidden="false" customHeight="false" outlineLevel="0" collapsed="false">
      <c r="U58" s="15" t="s">
        <v>843</v>
      </c>
    </row>
    <row r="59" customFormat="false" ht="12.75" hidden="false" customHeight="false" outlineLevel="0" collapsed="false">
      <c r="C59" s="1308" t="s">
        <v>844</v>
      </c>
      <c r="D59" s="1275" t="n">
        <v>1</v>
      </c>
      <c r="E59" s="1275" t="n">
        <v>2</v>
      </c>
      <c r="F59" s="1275" t="n">
        <v>3</v>
      </c>
      <c r="G59" s="1275" t="n">
        <v>4</v>
      </c>
      <c r="H59" s="1275" t="n">
        <v>5</v>
      </c>
      <c r="I59" s="1275" t="n">
        <v>6</v>
      </c>
      <c r="J59" s="1275" t="n">
        <v>7</v>
      </c>
      <c r="K59" s="1275" t="n">
        <v>8</v>
      </c>
      <c r="L59" s="1275" t="n">
        <v>9</v>
      </c>
      <c r="M59" s="1275" t="n">
        <v>10</v>
      </c>
      <c r="N59" s="1275" t="n">
        <v>11</v>
      </c>
      <c r="O59" s="1275" t="n">
        <v>12</v>
      </c>
      <c r="P59" s="1275" t="n">
        <v>13</v>
      </c>
      <c r="Q59" s="1275" t="n">
        <v>14</v>
      </c>
      <c r="R59" s="1275" t="n">
        <v>15</v>
      </c>
      <c r="S59" s="1275" t="n">
        <v>16</v>
      </c>
      <c r="T59" s="1275" t="s">
        <v>837</v>
      </c>
    </row>
    <row r="60" customFormat="false" ht="12.75" hidden="false" customHeight="false" outlineLevel="0" collapsed="false">
      <c r="C60" s="1309" t="s">
        <v>845</v>
      </c>
      <c r="D60" s="252"/>
      <c r="E60" s="252"/>
      <c r="F60" s="252"/>
      <c r="G60" s="252"/>
      <c r="H60" s="252"/>
      <c r="I60" s="252"/>
      <c r="J60" s="252"/>
      <c r="K60" s="252"/>
      <c r="L60" s="252"/>
      <c r="M60" s="252"/>
      <c r="N60" s="252"/>
      <c r="O60" s="252"/>
      <c r="P60" s="252"/>
      <c r="Q60" s="252"/>
      <c r="R60" s="252"/>
      <c r="S60" s="252"/>
      <c r="T60" s="252"/>
    </row>
    <row r="61" customFormat="false" ht="12.75" hidden="false" customHeight="false" outlineLevel="0" collapsed="false">
      <c r="C61" s="1310" t="str">
        <f aca="false">+Draw!C15</f>
        <v>TURBINE PRICE</v>
      </c>
      <c r="D61" s="1311" t="n">
        <f aca="false">+Draw!E15*Internal!$F$93</f>
        <v>0</v>
      </c>
      <c r="E61" s="1311" t="n">
        <f aca="false">+Draw!F15*Internal!$F$93</f>
        <v>932.7997875</v>
      </c>
      <c r="F61" s="1311" t="n">
        <f aca="false">+Draw!G15*Internal!$F$93</f>
        <v>1865.599575</v>
      </c>
      <c r="G61" s="1311" t="n">
        <f aca="false">+Draw!H15*Internal!$F$93</f>
        <v>1865.599575</v>
      </c>
      <c r="H61" s="1311" t="n">
        <f aca="false">+Draw!I15*Internal!$F$93</f>
        <v>3731.19915</v>
      </c>
      <c r="I61" s="1311" t="n">
        <f aca="false">+Draw!J15*Internal!$F$93</f>
        <v>3731.19915</v>
      </c>
      <c r="J61" s="1311" t="n">
        <f aca="false">+Draw!K15*Internal!$F$93</f>
        <v>3731.19915</v>
      </c>
      <c r="K61" s="1311" t="n">
        <f aca="false">+Draw!L15*Internal!$F$93</f>
        <v>2798.3993625</v>
      </c>
      <c r="L61" s="1311" t="n">
        <f aca="false">+Draw!M15*Internal!$F$93</f>
        <v>0</v>
      </c>
      <c r="M61" s="1311" t="n">
        <f aca="false">+Draw!N15*Internal!$F$93</f>
        <v>0</v>
      </c>
      <c r="N61" s="1311" t="n">
        <f aca="false">+Draw!O15*Internal!$F$93</f>
        <v>0</v>
      </c>
      <c r="O61" s="1311" t="n">
        <f aca="false">+Draw!P15*Internal!$F$93</f>
        <v>0</v>
      </c>
      <c r="P61" s="1311" t="n">
        <f aca="false">+Draw!Q15*Internal!$F$93</f>
        <v>0</v>
      </c>
      <c r="Q61" s="1311" t="n">
        <f aca="false">+Draw!R15*Internal!$F$93</f>
        <v>0</v>
      </c>
      <c r="R61" s="1311" t="n">
        <f aca="false">+Draw!S15*Internal!$F$93</f>
        <v>0</v>
      </c>
      <c r="S61" s="1311" t="n">
        <f aca="false">+Draw!T15*Internal!$F$93</f>
        <v>0</v>
      </c>
      <c r="T61" s="1311" t="n">
        <f aca="false">SUM(D61:S61)</f>
        <v>18655.99575</v>
      </c>
      <c r="V61" s="1312" t="n">
        <f aca="false">+T61-Internal!F93</f>
        <v>0</v>
      </c>
    </row>
    <row r="62" customFormat="false" ht="12.75" hidden="false" customHeight="false" outlineLevel="0" collapsed="false">
      <c r="C62" s="1310" t="e">
        <f aca="false">+Draw!C16</f>
        <v>#REF!</v>
      </c>
      <c r="D62" s="1311" t="e">
        <f aca="false">+Draw!E16*#REF!</f>
        <v>#REF!</v>
      </c>
      <c r="E62" s="1311" t="e">
        <f aca="false">+Draw!F16*#REF!</f>
        <v>#REF!</v>
      </c>
      <c r="F62" s="1311" t="e">
        <f aca="false">+Draw!G16*#REF!</f>
        <v>#REF!</v>
      </c>
      <c r="G62" s="1311" t="e">
        <f aca="false">+Draw!H16*#REF!</f>
        <v>#REF!</v>
      </c>
      <c r="H62" s="1311" t="e">
        <f aca="false">+Draw!I16*#REF!</f>
        <v>#REF!</v>
      </c>
      <c r="I62" s="1311" t="e">
        <f aca="false">+Draw!J16*#REF!</f>
        <v>#REF!</v>
      </c>
      <c r="J62" s="1311" t="e">
        <f aca="false">+Draw!K16*#REF!</f>
        <v>#REF!</v>
      </c>
      <c r="K62" s="1311" t="e">
        <f aca="false">+Draw!L16*#REF!</f>
        <v>#REF!</v>
      </c>
      <c r="L62" s="1311" t="e">
        <f aca="false">+Draw!M16*#REF!</f>
        <v>#REF!</v>
      </c>
      <c r="M62" s="1311" t="e">
        <f aca="false">+Draw!N16*#REF!</f>
        <v>#REF!</v>
      </c>
      <c r="N62" s="1311" t="e">
        <f aca="false">+Draw!O16*#REF!</f>
        <v>#REF!</v>
      </c>
      <c r="O62" s="1311" t="e">
        <f aca="false">+Draw!P16*#REF!</f>
        <v>#REF!</v>
      </c>
      <c r="P62" s="1311" t="e">
        <f aca="false">+Draw!Q16*#REF!</f>
        <v>#REF!</v>
      </c>
      <c r="Q62" s="1311" t="e">
        <f aca="false">+Draw!R16*#REF!</f>
        <v>#REF!</v>
      </c>
      <c r="R62" s="1311" t="e">
        <f aca="false">+Draw!S16*#REF!</f>
        <v>#REF!</v>
      </c>
      <c r="S62" s="1311" t="e">
        <f aca="false">+Draw!T16*#REF!</f>
        <v>#REF!</v>
      </c>
      <c r="T62" s="1311" t="e">
        <f aca="false">SUM(D62:S62)</f>
        <v>#REF!</v>
      </c>
      <c r="V62" s="1312" t="e">
        <f aca="false">+T62-#REF!</f>
        <v>#REF!</v>
      </c>
    </row>
    <row r="63" customFormat="false" ht="12.75" hidden="false" customHeight="false" outlineLevel="0" collapsed="false">
      <c r="C63" s="1310" t="str">
        <f aca="false">+Draw!C17</f>
        <v>SHIPPING - WTG &amp; BLADES</v>
      </c>
      <c r="D63" s="1311" t="n">
        <f aca="false">+Draw!E17*Internal!$F$94</f>
        <v>149.063</v>
      </c>
      <c r="E63" s="1311" t="n">
        <f aca="false">+Draw!F17*Internal!$F$94</f>
        <v>149.063</v>
      </c>
      <c r="F63" s="1311" t="n">
        <f aca="false">+Draw!G17*Internal!$F$94</f>
        <v>149.063</v>
      </c>
      <c r="G63" s="1311" t="n">
        <f aca="false">+Draw!H17*Internal!$F$94</f>
        <v>149.063</v>
      </c>
      <c r="H63" s="1311" t="n">
        <f aca="false">+Draw!I17*Internal!$F$94</f>
        <v>149.063</v>
      </c>
      <c r="I63" s="1311" t="n">
        <f aca="false">+Draw!J17*Internal!$F$94</f>
        <v>0</v>
      </c>
      <c r="J63" s="1311" t="n">
        <f aca="false">+Draw!K17*Internal!$F$94</f>
        <v>0</v>
      </c>
      <c r="K63" s="1311" t="n">
        <f aca="false">+Draw!L17*Internal!$F$94</f>
        <v>0</v>
      </c>
      <c r="L63" s="1311" t="n">
        <f aca="false">+Draw!M17*Internal!$F$94</f>
        <v>0</v>
      </c>
      <c r="M63" s="1311" t="n">
        <f aca="false">+Draw!N17*Internal!$F$94</f>
        <v>0</v>
      </c>
      <c r="N63" s="1311" t="n">
        <f aca="false">+Draw!O17*Internal!$F$94</f>
        <v>0</v>
      </c>
      <c r="O63" s="1311" t="n">
        <f aca="false">+Draw!P17*Internal!$F$94</f>
        <v>0</v>
      </c>
      <c r="P63" s="1311" t="n">
        <f aca="false">+Draw!Q17*Internal!$F$94</f>
        <v>0</v>
      </c>
      <c r="Q63" s="1311" t="n">
        <f aca="false">+Draw!R17*Internal!$F$94</f>
        <v>0</v>
      </c>
      <c r="R63" s="1311" t="n">
        <f aca="false">+Draw!S17*Internal!$F$94</f>
        <v>0</v>
      </c>
      <c r="S63" s="1311" t="n">
        <f aca="false">+Draw!T17*Internal!$F$94</f>
        <v>0</v>
      </c>
      <c r="T63" s="1311" t="n">
        <f aca="false">SUM(D63:S63)</f>
        <v>745.315</v>
      </c>
      <c r="V63" s="1312" t="n">
        <f aca="false">+T63-Internal!F94</f>
        <v>0</v>
      </c>
    </row>
    <row r="64" customFormat="false" ht="12.75" hidden="false" customHeight="false" outlineLevel="0" collapsed="false">
      <c r="C64" s="1310" t="str">
        <f aca="false">+Draw!C18</f>
        <v>TOWER</v>
      </c>
      <c r="D64" s="1311" t="n">
        <f aca="false">+Draw!E18*Internal!$F$95</f>
        <v>0</v>
      </c>
      <c r="E64" s="1311" t="n">
        <f aca="false">+Draw!F18*Internal!$F$95</f>
        <v>0</v>
      </c>
      <c r="F64" s="1311" t="n">
        <f aca="false">+Draw!G18*Internal!$F$95</f>
        <v>600.484</v>
      </c>
      <c r="G64" s="1311" t="n">
        <f aca="false">+Draw!H18*Internal!$F$95</f>
        <v>600.484</v>
      </c>
      <c r="H64" s="1311" t="n">
        <f aca="false">+Draw!I18*Internal!$F$95</f>
        <v>1200.968</v>
      </c>
      <c r="I64" s="1311" t="n">
        <f aca="false">+Draw!J18*Internal!$F$95</f>
        <v>600.484</v>
      </c>
      <c r="J64" s="1311" t="n">
        <f aca="false">+Draw!K18*Internal!$F$95</f>
        <v>0</v>
      </c>
      <c r="K64" s="1311" t="n">
        <f aca="false">+Draw!L18*Internal!$F$95</f>
        <v>0</v>
      </c>
      <c r="L64" s="1311" t="n">
        <f aca="false">+Draw!M18*Internal!$F$95</f>
        <v>0</v>
      </c>
      <c r="M64" s="1311" t="n">
        <f aca="false">+Draw!N18*Internal!$F$95</f>
        <v>0</v>
      </c>
      <c r="N64" s="1311" t="n">
        <f aca="false">+Draw!O18*Internal!$F$95</f>
        <v>0</v>
      </c>
      <c r="O64" s="1311" t="n">
        <f aca="false">+Draw!P18*Internal!$F$95</f>
        <v>0</v>
      </c>
      <c r="P64" s="1311" t="n">
        <f aca="false">+Draw!Q18*Internal!$F$95</f>
        <v>0</v>
      </c>
      <c r="Q64" s="1311" t="n">
        <f aca="false">+Draw!R18*Internal!$F$95</f>
        <v>0</v>
      </c>
      <c r="R64" s="1311" t="n">
        <f aca="false">+Draw!S18*Internal!$F$95</f>
        <v>0</v>
      </c>
      <c r="S64" s="1311" t="n">
        <f aca="false">+Draw!T18*Internal!$F$95</f>
        <v>0</v>
      </c>
      <c r="T64" s="1311" t="n">
        <f aca="false">SUM(D64:S64)</f>
        <v>3002.42</v>
      </c>
      <c r="V64" s="1312" t="n">
        <f aca="false">+T64-Internal!F95</f>
        <v>0</v>
      </c>
    </row>
    <row r="65" customFormat="false" ht="12.75" hidden="false" customHeight="false" outlineLevel="0" collapsed="false">
      <c r="C65" s="1310" t="str">
        <f aca="false">+Draw!C19</f>
        <v>TOWER FREIGHT</v>
      </c>
      <c r="D65" s="1311" t="n">
        <f aca="false">+Draw!E19*Internal!$F$96</f>
        <v>0</v>
      </c>
      <c r="E65" s="1311" t="n">
        <f aca="false">+Draw!F19*Internal!$F$96</f>
        <v>163.162</v>
      </c>
      <c r="F65" s="1311" t="n">
        <f aca="false">+Draw!G19*Internal!$F$96</f>
        <v>163.162</v>
      </c>
      <c r="G65" s="1311" t="n">
        <f aca="false">+Draw!H19*Internal!$F$96</f>
        <v>81.581</v>
      </c>
      <c r="H65" s="1311" t="n">
        <f aca="false">+Draw!I19*Internal!$F$96</f>
        <v>0</v>
      </c>
      <c r="I65" s="1311" t="n">
        <f aca="false">+Draw!J19*Internal!$F$96</f>
        <v>0</v>
      </c>
      <c r="J65" s="1311" t="n">
        <f aca="false">+Draw!K19*Internal!$F$96</f>
        <v>0</v>
      </c>
      <c r="K65" s="1311" t="n">
        <f aca="false">+Draw!L19*Internal!$F$96</f>
        <v>0</v>
      </c>
      <c r="L65" s="1311" t="n">
        <f aca="false">+Draw!M19*Internal!$F$96</f>
        <v>0</v>
      </c>
      <c r="M65" s="1311" t="n">
        <f aca="false">+Draw!N19*Internal!$F$96</f>
        <v>0</v>
      </c>
      <c r="N65" s="1311" t="n">
        <f aca="false">+Draw!O19*Internal!$F$96</f>
        <v>0</v>
      </c>
      <c r="O65" s="1311" t="n">
        <f aca="false">+Draw!P19*Internal!$F$96</f>
        <v>0</v>
      </c>
      <c r="P65" s="1311" t="n">
        <f aca="false">+Draw!Q19*Internal!$F$96</f>
        <v>0</v>
      </c>
      <c r="Q65" s="1311" t="n">
        <f aca="false">+Draw!R19*Internal!$F$96</f>
        <v>0</v>
      </c>
      <c r="R65" s="1311" t="n">
        <f aca="false">+Draw!S19*Internal!$F$96</f>
        <v>0</v>
      </c>
      <c r="S65" s="1311" t="n">
        <f aca="false">+Draw!T19*Internal!$F$96</f>
        <v>0</v>
      </c>
      <c r="T65" s="1311" t="n">
        <f aca="false">SUM(D65:S65)</f>
        <v>407.905</v>
      </c>
      <c r="V65" s="1312" t="n">
        <f aca="false">+T65-Internal!F96</f>
        <v>0</v>
      </c>
    </row>
    <row r="66" customFormat="false" ht="12.75" hidden="false" customHeight="false" outlineLevel="0" collapsed="false">
      <c r="C66" s="1310" t="str">
        <f aca="false">+Draw!C20</f>
        <v>SERVICE OPTIONS</v>
      </c>
      <c r="D66" s="1311" t="n">
        <f aca="false">+Draw!E20*Internal!$F$97</f>
        <v>0</v>
      </c>
      <c r="E66" s="1311" t="n">
        <f aca="false">+Draw!F20*Internal!$F$97</f>
        <v>0</v>
      </c>
      <c r="F66" s="1311" t="n">
        <f aca="false">+Draw!G20*Internal!$F$97</f>
        <v>0</v>
      </c>
      <c r="G66" s="1311" t="n">
        <f aca="false">+Draw!H20*Internal!$F$97</f>
        <v>0</v>
      </c>
      <c r="H66" s="1311" t="n">
        <f aca="false">+Draw!I20*Internal!$F$97</f>
        <v>0</v>
      </c>
      <c r="I66" s="1311" t="n">
        <f aca="false">+Draw!J20*Internal!$F$97</f>
        <v>0</v>
      </c>
      <c r="J66" s="1311" t="n">
        <f aca="false">+Draw!K20*Internal!$F$97</f>
        <v>23</v>
      </c>
      <c r="K66" s="1311" t="n">
        <f aca="false">+Draw!L20*Internal!$F$97</f>
        <v>23</v>
      </c>
      <c r="L66" s="1311" t="n">
        <f aca="false">+Draw!M20*Internal!$F$97</f>
        <v>0</v>
      </c>
      <c r="M66" s="1311" t="n">
        <f aca="false">+Draw!N20*Internal!$F$97</f>
        <v>0</v>
      </c>
      <c r="N66" s="1311" t="n">
        <f aca="false">+Draw!O20*Internal!$F$97</f>
        <v>0</v>
      </c>
      <c r="O66" s="1311" t="n">
        <f aca="false">+Draw!P20*Internal!$F$97</f>
        <v>0</v>
      </c>
      <c r="P66" s="1311" t="n">
        <f aca="false">+Draw!Q20*Internal!$F$97</f>
        <v>0</v>
      </c>
      <c r="Q66" s="1311" t="n">
        <f aca="false">+Draw!R20*Internal!$F$97</f>
        <v>0</v>
      </c>
      <c r="R66" s="1311" t="n">
        <f aca="false">+Draw!S20*Internal!$F$97</f>
        <v>0</v>
      </c>
      <c r="S66" s="1311" t="n">
        <f aca="false">+Draw!T20*Internal!$F$97</f>
        <v>0</v>
      </c>
      <c r="T66" s="1311" t="n">
        <f aca="false">SUM(D66:S66)</f>
        <v>46</v>
      </c>
      <c r="V66" s="1312" t="n">
        <f aca="false">+T66-Internal!F97</f>
        <v>0</v>
      </c>
    </row>
    <row r="67" customFormat="false" ht="12.75" hidden="false" customHeight="false" outlineLevel="0" collapsed="false">
      <c r="C67" s="1310" t="str">
        <f aca="false">+Draw!C22</f>
        <v>MANUFACTURING COSTS</v>
      </c>
      <c r="D67" s="1311" t="n">
        <f aca="false">+Draw!E22*Internal!$F$99</f>
        <v>0</v>
      </c>
      <c r="E67" s="1311" t="n">
        <f aca="false">+Draw!F22*Internal!$F$99</f>
        <v>0</v>
      </c>
      <c r="F67" s="1311" t="n">
        <f aca="false">+Draw!G22*Internal!$F$99</f>
        <v>0</v>
      </c>
      <c r="G67" s="1311" t="n">
        <f aca="false">+Draw!H22*Internal!$F$99</f>
        <v>0</v>
      </c>
      <c r="H67" s="1311" t="n">
        <f aca="false">+Draw!I22*Internal!$F$99</f>
        <v>0</v>
      </c>
      <c r="I67" s="1311" t="n">
        <f aca="false">+Draw!J22*Internal!$F$99</f>
        <v>0</v>
      </c>
      <c r="J67" s="1311" t="n">
        <f aca="false">+Draw!K22*Internal!$F$99</f>
        <v>0</v>
      </c>
      <c r="K67" s="1311" t="n">
        <f aca="false">+Draw!L22*Internal!$F$99</f>
        <v>0</v>
      </c>
      <c r="L67" s="1311" t="n">
        <f aca="false">+Draw!M22*Internal!$F$99</f>
        <v>0</v>
      </c>
      <c r="M67" s="1311" t="n">
        <f aca="false">+Draw!N22*Internal!$F$99</f>
        <v>0</v>
      </c>
      <c r="N67" s="1311" t="n">
        <f aca="false">+Draw!O22*Internal!$F$99</f>
        <v>0</v>
      </c>
      <c r="O67" s="1311" t="n">
        <f aca="false">+Draw!P22*Internal!$F$99</f>
        <v>0</v>
      </c>
      <c r="P67" s="1311" t="n">
        <f aca="false">+Draw!Q22*Internal!$F$99</f>
        <v>0</v>
      </c>
      <c r="Q67" s="1311" t="n">
        <f aca="false">+Draw!R22*Internal!$F$99</f>
        <v>0</v>
      </c>
      <c r="R67" s="1311" t="n">
        <f aca="false">+Draw!S22*Internal!$F$99</f>
        <v>0</v>
      </c>
      <c r="S67" s="1311" t="n">
        <f aca="false">+Draw!T22*Internal!$F$99</f>
        <v>0</v>
      </c>
      <c r="T67" s="1311" t="n">
        <f aca="false">SUM(D67:S67)</f>
        <v>0</v>
      </c>
      <c r="V67" s="1312" t="n">
        <f aca="false">+T67-Internal!F99</f>
        <v>0</v>
      </c>
    </row>
    <row r="68" customFormat="false" ht="12.75" hidden="false" customHeight="false" outlineLevel="0" collapsed="false">
      <c r="C68" s="1310" t="str">
        <f aca="false">+Draw!C23</f>
        <v>CIVIL COSTS</v>
      </c>
      <c r="D68" s="1313" t="n">
        <f aca="false">+Draw!E23*Internal!$F$100</f>
        <v>840.81987</v>
      </c>
      <c r="E68" s="1313" t="n">
        <f aca="false">+Draw!F23*Internal!$F$100</f>
        <v>840.81987</v>
      </c>
      <c r="F68" s="1313" t="n">
        <f aca="false">+Draw!G23*Internal!$F$100</f>
        <v>866.29926</v>
      </c>
      <c r="G68" s="1313" t="n">
        <f aca="false">+Draw!H23*Internal!$F$100</f>
        <v>0</v>
      </c>
      <c r="H68" s="1313" t="n">
        <f aca="false">+Draw!I23*Internal!$F$100</f>
        <v>0</v>
      </c>
      <c r="I68" s="1313" t="n">
        <f aca="false">+Draw!J23*Internal!$F$100</f>
        <v>0</v>
      </c>
      <c r="J68" s="1313" t="n">
        <f aca="false">+Draw!K23*Internal!$F$100</f>
        <v>0</v>
      </c>
      <c r="K68" s="1313" t="n">
        <f aca="false">+Draw!L23*Internal!$F$100</f>
        <v>0</v>
      </c>
      <c r="L68" s="1313" t="n">
        <f aca="false">+Draw!M23*Internal!$F$100</f>
        <v>0</v>
      </c>
      <c r="M68" s="1313" t="n">
        <f aca="false">+Draw!N23*Internal!$F$100</f>
        <v>0</v>
      </c>
      <c r="N68" s="1313" t="n">
        <f aca="false">+Draw!O23*Internal!$F$100</f>
        <v>0</v>
      </c>
      <c r="O68" s="1313" t="n">
        <f aca="false">+Draw!P23*Internal!$F$100</f>
        <v>0</v>
      </c>
      <c r="P68" s="1313" t="n">
        <f aca="false">+Draw!Q23*Internal!$F$100</f>
        <v>0</v>
      </c>
      <c r="Q68" s="1313" t="n">
        <f aca="false">+Draw!R23*Internal!$F$100</f>
        <v>0</v>
      </c>
      <c r="R68" s="1313" t="n">
        <f aca="false">+Draw!S23*Internal!$F$100</f>
        <v>0</v>
      </c>
      <c r="S68" s="1313" t="n">
        <f aca="false">+Draw!T23*Internal!$F$100</f>
        <v>0</v>
      </c>
      <c r="T68" s="1311" t="n">
        <f aca="false">SUM(D68:S68)</f>
        <v>2547.939</v>
      </c>
      <c r="V68" s="1312" t="n">
        <f aca="false">+T68-Internal!F100</f>
        <v>0</v>
      </c>
    </row>
    <row r="69" customFormat="false" ht="12.75" hidden="false" customHeight="false" outlineLevel="0" collapsed="false">
      <c r="C69" s="1310" t="str">
        <f aca="false">+Draw!C24</f>
        <v>MECHANICAL/ERECTION</v>
      </c>
      <c r="D69" s="1311" t="n">
        <f aca="false">+Draw!E24*Internal!$F$101</f>
        <v>0</v>
      </c>
      <c r="E69" s="1311" t="n">
        <f aca="false">+Draw!F24*Internal!$F$101</f>
        <v>0</v>
      </c>
      <c r="F69" s="1311" t="n">
        <f aca="false">+Draw!G24*Internal!$F$101</f>
        <v>0</v>
      </c>
      <c r="G69" s="1311" t="n">
        <f aca="false">+Draw!H24*Internal!$F$101</f>
        <v>378.0945</v>
      </c>
      <c r="H69" s="1311" t="n">
        <f aca="false">+Draw!I24*Internal!$F$101</f>
        <v>378.0945</v>
      </c>
      <c r="I69" s="1311" t="n">
        <f aca="false">+Draw!J24*Internal!$F$101</f>
        <v>378.0945</v>
      </c>
      <c r="J69" s="1311" t="n">
        <f aca="false">+Draw!K24*Internal!$F$101</f>
        <v>378.0945</v>
      </c>
      <c r="K69" s="1311" t="n">
        <f aca="false">+Draw!L24*Internal!$F$101</f>
        <v>0</v>
      </c>
      <c r="L69" s="1311" t="n">
        <f aca="false">+Draw!M24*Internal!$F$101</f>
        <v>0</v>
      </c>
      <c r="M69" s="1311" t="n">
        <f aca="false">+Draw!N24*Internal!$F$101</f>
        <v>0</v>
      </c>
      <c r="N69" s="1311" t="n">
        <f aca="false">+Draw!O24*Internal!$F$101</f>
        <v>0</v>
      </c>
      <c r="O69" s="1311" t="n">
        <f aca="false">+Draw!P24*Internal!$F$101</f>
        <v>0</v>
      </c>
      <c r="P69" s="1311" t="n">
        <f aca="false">+Draw!Q24*Internal!$F$101</f>
        <v>0</v>
      </c>
      <c r="Q69" s="1311" t="n">
        <f aca="false">+Draw!R24*Internal!$F$101</f>
        <v>0</v>
      </c>
      <c r="R69" s="1311" t="n">
        <f aca="false">+Draw!S24*Internal!$F$101</f>
        <v>0</v>
      </c>
      <c r="S69" s="1311" t="n">
        <f aca="false">+Draw!T24*Internal!$F$101</f>
        <v>0</v>
      </c>
      <c r="T69" s="1311" t="n">
        <f aca="false">SUM(D69:S69)</f>
        <v>1512.378</v>
      </c>
      <c r="V69" s="1312" t="n">
        <f aca="false">+T69-Internal!F101</f>
        <v>0</v>
      </c>
    </row>
    <row r="70" customFormat="false" ht="12.75" hidden="false" customHeight="false" outlineLevel="0" collapsed="false">
      <c r="C70" s="1310" t="str">
        <f aca="false">+Draw!C25</f>
        <v>ELECTRICAL DISTRIBUTION</v>
      </c>
      <c r="D70" s="1311" t="n">
        <f aca="false">+Draw!E25*Internal!$F$102</f>
        <v>0</v>
      </c>
      <c r="E70" s="1311" t="n">
        <f aca="false">+Draw!F25*Internal!$F$102</f>
        <v>0</v>
      </c>
      <c r="F70" s="1311" t="n">
        <f aca="false">+Draw!G25*Internal!$F$102</f>
        <v>0</v>
      </c>
      <c r="G70" s="1311" t="n">
        <f aca="false">+Draw!H25*Internal!$F$102</f>
        <v>0</v>
      </c>
      <c r="H70" s="1311" t="n">
        <f aca="false">+Draw!I25*Internal!$F$102</f>
        <v>0</v>
      </c>
      <c r="I70" s="1311" t="n">
        <f aca="false">+Draw!J25*Internal!$F$102</f>
        <v>757.45692</v>
      </c>
      <c r="J70" s="1311" t="n">
        <f aca="false">+Draw!K25*Internal!$F$102</f>
        <v>757.45692</v>
      </c>
      <c r="K70" s="1311" t="n">
        <f aca="false">+Draw!L25*Internal!$F$102</f>
        <v>780.41016</v>
      </c>
      <c r="L70" s="1311" t="n">
        <f aca="false">+Draw!M25*Internal!$F$102</f>
        <v>0</v>
      </c>
      <c r="M70" s="1311" t="n">
        <f aca="false">+Draw!N25*Internal!$F$102</f>
        <v>0</v>
      </c>
      <c r="N70" s="1311" t="n">
        <f aca="false">+Draw!O25*Internal!$F$102</f>
        <v>0</v>
      </c>
      <c r="O70" s="1311" t="n">
        <f aca="false">+Draw!P25*Internal!$F$102</f>
        <v>0</v>
      </c>
      <c r="P70" s="1311" t="n">
        <f aca="false">+Draw!Q25*Internal!$F$102</f>
        <v>0</v>
      </c>
      <c r="Q70" s="1311" t="n">
        <f aca="false">+Draw!R25*Internal!$F$102</f>
        <v>0</v>
      </c>
      <c r="R70" s="1311" t="n">
        <f aca="false">+Draw!S25*Internal!$F$102</f>
        <v>0</v>
      </c>
      <c r="S70" s="1311" t="n">
        <f aca="false">+Draw!T25*Internal!$F$102</f>
        <v>0</v>
      </c>
      <c r="T70" s="1311" t="n">
        <f aca="false">SUM(D70:S70)</f>
        <v>2295.324</v>
      </c>
      <c r="V70" s="1312" t="n">
        <f aca="false">+T70-Internal!F102</f>
        <v>0</v>
      </c>
    </row>
    <row r="71" customFormat="false" ht="12.75" hidden="false" customHeight="false" outlineLevel="0" collapsed="false">
      <c r="C71" s="1310" t="str">
        <f aca="false">+Draw!C26</f>
        <v>ENGINEERING</v>
      </c>
      <c r="D71" s="1311" t="n">
        <f aca="false">+Draw!E26*Internal!$F$103</f>
        <v>0</v>
      </c>
      <c r="E71" s="1311" t="n">
        <f aca="false">+Draw!F26*Internal!$F$103</f>
        <v>0</v>
      </c>
      <c r="F71" s="1311" t="n">
        <f aca="false">+Draw!G26*Internal!$F$103</f>
        <v>0</v>
      </c>
      <c r="G71" s="1311" t="n">
        <f aca="false">+Draw!H26*Internal!$F$103</f>
        <v>94.525</v>
      </c>
      <c r="H71" s="1311" t="n">
        <f aca="false">+Draw!I26*Internal!$F$103</f>
        <v>94.525</v>
      </c>
      <c r="I71" s="1311" t="n">
        <f aca="false">+Draw!J26*Internal!$F$103</f>
        <v>94.525</v>
      </c>
      <c r="J71" s="1311" t="n">
        <f aca="false">+Draw!K26*Internal!$F$103</f>
        <v>94.525</v>
      </c>
      <c r="K71" s="1311" t="n">
        <f aca="false">+Draw!L26*Internal!$F$103</f>
        <v>0</v>
      </c>
      <c r="L71" s="1311" t="n">
        <f aca="false">+Draw!M26*Internal!$F$103</f>
        <v>0</v>
      </c>
      <c r="M71" s="1311" t="n">
        <f aca="false">+Draw!N26*Internal!$F$103</f>
        <v>0</v>
      </c>
      <c r="N71" s="1311" t="n">
        <f aca="false">+Draw!O26*Internal!$F$103</f>
        <v>0</v>
      </c>
      <c r="O71" s="1311" t="n">
        <f aca="false">+Draw!P26*Internal!$F$103</f>
        <v>0</v>
      </c>
      <c r="P71" s="1311" t="n">
        <f aca="false">+Draw!Q26*Internal!$F$103</f>
        <v>0</v>
      </c>
      <c r="Q71" s="1311" t="n">
        <f aca="false">+Draw!R26*Internal!$F$103</f>
        <v>0</v>
      </c>
      <c r="R71" s="1311" t="n">
        <f aca="false">+Draw!S26*Internal!$F$103</f>
        <v>0</v>
      </c>
      <c r="S71" s="1311" t="n">
        <f aca="false">+Draw!T26*Internal!$F$103</f>
        <v>0</v>
      </c>
      <c r="T71" s="1311" t="n">
        <f aca="false">SUM(D71:S71)</f>
        <v>378.1</v>
      </c>
      <c r="V71" s="1312" t="n">
        <f aca="false">+T71-Internal!F103</f>
        <v>0</v>
      </c>
    </row>
    <row r="72" customFormat="false" ht="12.75" hidden="false" customHeight="false" outlineLevel="0" collapsed="false">
      <c r="C72" s="1310" t="str">
        <f aca="false">+Draw!C27</f>
        <v>O&amp;M BLDG</v>
      </c>
      <c r="D72" s="1311" t="n">
        <f aca="false">+Draw!E27*Internal!$F$104</f>
        <v>0</v>
      </c>
      <c r="E72" s="1311" t="n">
        <f aca="false">+Draw!F27*Internal!$F$104</f>
        <v>0</v>
      </c>
      <c r="F72" s="1311" t="n">
        <f aca="false">+Draw!G27*Internal!$F$104</f>
        <v>0</v>
      </c>
      <c r="G72" s="1311" t="n">
        <f aca="false">+Draw!H27*Internal!$F$104</f>
        <v>34.875</v>
      </c>
      <c r="H72" s="1311" t="n">
        <f aca="false">+Draw!I27*Internal!$F$104</f>
        <v>34.875</v>
      </c>
      <c r="I72" s="1311" t="n">
        <f aca="false">+Draw!J27*Internal!$F$104</f>
        <v>34.875</v>
      </c>
      <c r="J72" s="1311" t="n">
        <f aca="false">+Draw!K27*Internal!$F$104</f>
        <v>34.875</v>
      </c>
      <c r="K72" s="1311" t="n">
        <f aca="false">+Draw!L27*Internal!$F$104</f>
        <v>0</v>
      </c>
      <c r="L72" s="1311" t="n">
        <f aca="false">+Draw!M27*Internal!$F$104</f>
        <v>0</v>
      </c>
      <c r="M72" s="1311" t="n">
        <f aca="false">+Draw!N27*Internal!$F$104</f>
        <v>0</v>
      </c>
      <c r="N72" s="1311" t="n">
        <f aca="false">+Draw!O27*Internal!$F$104</f>
        <v>0</v>
      </c>
      <c r="O72" s="1311" t="n">
        <f aca="false">+Draw!P27*Internal!$F$104</f>
        <v>0</v>
      </c>
      <c r="P72" s="1311" t="n">
        <f aca="false">+Draw!Q27*Internal!$F$104</f>
        <v>0</v>
      </c>
      <c r="Q72" s="1311" t="n">
        <f aca="false">+Draw!R27*Internal!$F$104</f>
        <v>0</v>
      </c>
      <c r="R72" s="1311" t="n">
        <f aca="false">+Draw!S27*Internal!$F$104</f>
        <v>0</v>
      </c>
      <c r="S72" s="1311" t="n">
        <f aca="false">+Draw!T27*Internal!$F$104</f>
        <v>0</v>
      </c>
      <c r="T72" s="1311" t="n">
        <f aca="false">SUM(D72:S72)</f>
        <v>139.5</v>
      </c>
      <c r="V72" s="1312" t="n">
        <f aca="false">+T72-Internal!F104</f>
        <v>0</v>
      </c>
    </row>
    <row r="73" customFormat="false" ht="12.75" hidden="false" customHeight="false" outlineLevel="0" collapsed="false">
      <c r="C73" s="1310" t="str">
        <f aca="false">+Draw!C28</f>
        <v>FACILITY STARTUP</v>
      </c>
      <c r="D73" s="1311" t="n">
        <f aca="false">+Draw!E28*Internal!$F$105</f>
        <v>0</v>
      </c>
      <c r="E73" s="1311" t="n">
        <f aca="false">+Draw!F28*Internal!$F$105</f>
        <v>0</v>
      </c>
      <c r="F73" s="1311" t="n">
        <f aca="false">+Draw!G28*Internal!$F$105</f>
        <v>0</v>
      </c>
      <c r="G73" s="1311" t="n">
        <f aca="false">+Draw!H28*Internal!$F$105</f>
        <v>0</v>
      </c>
      <c r="H73" s="1311" t="n">
        <f aca="false">+Draw!I28*Internal!$F$105</f>
        <v>0</v>
      </c>
      <c r="I73" s="1311" t="n">
        <f aca="false">+Draw!J28*Internal!$F$105</f>
        <v>32.2346</v>
      </c>
      <c r="J73" s="1311" t="n">
        <f aca="false">+Draw!K28*Internal!$F$105</f>
        <v>128.9384</v>
      </c>
      <c r="K73" s="1311" t="n">
        <f aca="false">+Draw!L28*Internal!$F$105</f>
        <v>0</v>
      </c>
      <c r="L73" s="1311" t="n">
        <f aca="false">+Draw!M28*Internal!$F$105</f>
        <v>0</v>
      </c>
      <c r="M73" s="1311" t="n">
        <f aca="false">+Draw!N28*Internal!$F$105</f>
        <v>0</v>
      </c>
      <c r="N73" s="1311" t="n">
        <f aca="false">+Draw!O28*Internal!$F$105</f>
        <v>0</v>
      </c>
      <c r="O73" s="1311" t="n">
        <f aca="false">+Draw!P28*Internal!$F$105</f>
        <v>0</v>
      </c>
      <c r="P73" s="1311" t="n">
        <f aca="false">+Draw!Q28*Internal!$F$105</f>
        <v>0</v>
      </c>
      <c r="Q73" s="1311" t="n">
        <f aca="false">+Draw!R28*Internal!$F$105</f>
        <v>0</v>
      </c>
      <c r="R73" s="1311" t="n">
        <f aca="false">+Draw!S28*Internal!$F$105</f>
        <v>0</v>
      </c>
      <c r="S73" s="1311" t="n">
        <f aca="false">+Draw!T28*Internal!$F$105</f>
        <v>0</v>
      </c>
      <c r="T73" s="1311" t="n">
        <f aca="false">SUM(D73:S73)</f>
        <v>161.173</v>
      </c>
      <c r="V73" s="1312" t="n">
        <f aca="false">+T73-Internal!F105</f>
        <v>0</v>
      </c>
    </row>
    <row r="74" customFormat="false" ht="12.75" hidden="false" customHeight="false" outlineLevel="0" collapsed="false">
      <c r="C74" s="1310" t="str">
        <f aca="false">+Draw!C30</f>
        <v>INTERCONNECTION COSTS</v>
      </c>
      <c r="D74" s="1311" t="n">
        <f aca="false">+Draw!E30*Internal!$F$106</f>
        <v>0</v>
      </c>
      <c r="E74" s="1311" t="n">
        <f aca="false">+Draw!F30*Internal!$F$106</f>
        <v>0</v>
      </c>
      <c r="F74" s="1311" t="n">
        <f aca="false">+Draw!G30*Internal!$F$106</f>
        <v>0</v>
      </c>
      <c r="G74" s="1311" t="n">
        <f aca="false">+Draw!H30*Internal!$F$106</f>
        <v>0</v>
      </c>
      <c r="H74" s="1311" t="n">
        <f aca="false">+Draw!I30*Internal!$F$106</f>
        <v>0</v>
      </c>
      <c r="I74" s="1311" t="n">
        <f aca="false">+Draw!J30*Internal!$F$106</f>
        <v>396</v>
      </c>
      <c r="J74" s="1311" t="n">
        <f aca="false">+Draw!K30*Internal!$F$106</f>
        <v>396</v>
      </c>
      <c r="K74" s="1311" t="n">
        <f aca="false">+Draw!L30*Internal!$F$106</f>
        <v>408</v>
      </c>
      <c r="L74" s="1311" t="n">
        <f aca="false">+Draw!M30*Internal!$F$106</f>
        <v>0</v>
      </c>
      <c r="M74" s="1311" t="n">
        <f aca="false">+Draw!N30*Internal!$F$106</f>
        <v>0</v>
      </c>
      <c r="N74" s="1311" t="n">
        <f aca="false">+Draw!O30*Internal!$F$106</f>
        <v>0</v>
      </c>
      <c r="O74" s="1311" t="n">
        <f aca="false">+Draw!P30*Internal!$F$106</f>
        <v>0</v>
      </c>
      <c r="P74" s="1311" t="n">
        <f aca="false">+Draw!Q30*Internal!$F$106</f>
        <v>0</v>
      </c>
      <c r="Q74" s="1311" t="n">
        <f aca="false">+Draw!R30*Internal!$F$106</f>
        <v>0</v>
      </c>
      <c r="R74" s="1311" t="n">
        <f aca="false">+Draw!S30*Internal!$F$106</f>
        <v>0</v>
      </c>
      <c r="S74" s="1311" t="n">
        <f aca="false">+Draw!T30*Internal!$F$106</f>
        <v>0</v>
      </c>
      <c r="T74" s="1311" t="n">
        <f aca="false">SUM(D74:S74)</f>
        <v>1200</v>
      </c>
      <c r="V74" s="1312" t="n">
        <f aca="false">+T74-Internal!F106</f>
        <v>0</v>
      </c>
    </row>
    <row r="75" customFormat="false" ht="12.75" hidden="false" customHeight="false" outlineLevel="0" collapsed="false">
      <c r="C75" s="1310" t="str">
        <f aca="false">+Draw!C31</f>
        <v>OTHER CONSTRUCTION COSTS</v>
      </c>
      <c r="D75" s="1311" t="n">
        <f aca="false">+Draw!E31*Internal!$F$107</f>
        <v>0</v>
      </c>
      <c r="E75" s="1311" t="n">
        <f aca="false">+Draw!F31*Internal!$F$107</f>
        <v>0</v>
      </c>
      <c r="F75" s="1311" t="n">
        <f aca="false">+Draw!G31*Internal!$F$107</f>
        <v>0</v>
      </c>
      <c r="G75" s="1311" t="n">
        <f aca="false">+Draw!H31*Internal!$F$107</f>
        <v>152.63225</v>
      </c>
      <c r="H75" s="1311" t="n">
        <f aca="false">+Draw!I31*Internal!$F$107</f>
        <v>152.63225</v>
      </c>
      <c r="I75" s="1311" t="n">
        <f aca="false">+Draw!J31*Internal!$F$107</f>
        <v>152.63225</v>
      </c>
      <c r="J75" s="1311" t="n">
        <f aca="false">+Draw!K31*Internal!$F$107</f>
        <v>152.63225</v>
      </c>
      <c r="K75" s="1311" t="n">
        <f aca="false">+Draw!L31*Internal!$F$107</f>
        <v>0</v>
      </c>
      <c r="L75" s="1311" t="n">
        <f aca="false">+Draw!M31*Internal!$F$107</f>
        <v>0</v>
      </c>
      <c r="M75" s="1311" t="n">
        <f aca="false">+Draw!N31*Internal!$F$107</f>
        <v>0</v>
      </c>
      <c r="N75" s="1311" t="n">
        <f aca="false">+Draw!O31*Internal!$F$107</f>
        <v>0</v>
      </c>
      <c r="O75" s="1311" t="n">
        <f aca="false">+Draw!P31*Internal!$F$107</f>
        <v>0</v>
      </c>
      <c r="P75" s="1311" t="n">
        <f aca="false">+Draw!Q31*Internal!$F$107</f>
        <v>0</v>
      </c>
      <c r="Q75" s="1311" t="n">
        <f aca="false">+Draw!R31*Internal!$F$107</f>
        <v>0</v>
      </c>
      <c r="R75" s="1311" t="n">
        <f aca="false">+Draw!S31*Internal!$F$107</f>
        <v>0</v>
      </c>
      <c r="S75" s="1311" t="n">
        <f aca="false">+Draw!T31*Internal!$F$107</f>
        <v>0</v>
      </c>
      <c r="T75" s="1311" t="n">
        <f aca="false">SUM(D75:S75)</f>
        <v>610.529</v>
      </c>
      <c r="V75" s="1312" t="n">
        <f aca="false">+T75-Internal!F107</f>
        <v>0</v>
      </c>
    </row>
    <row r="76" customFormat="false" ht="12.75" hidden="false" customHeight="false" outlineLevel="0" collapsed="false">
      <c r="C76" s="1310" t="str">
        <f aca="false">+Draw!C32</f>
        <v>CONSTRUCTION INTEREST</v>
      </c>
      <c r="D76" s="1311" t="n">
        <f aca="false">+Draw!E32*Srcs_Uses!$E$18</f>
        <v>0</v>
      </c>
      <c r="E76" s="1311" t="n">
        <f aca="false">+Draw!F32*Srcs_Uses!$E$18</f>
        <v>0</v>
      </c>
      <c r="F76" s="1311" t="n">
        <f aca="false">+Draw!G32*Srcs_Uses!$E$18</f>
        <v>0</v>
      </c>
      <c r="G76" s="1311" t="n">
        <f aca="false">+Draw!H32*Srcs_Uses!$E$18</f>
        <v>0</v>
      </c>
      <c r="H76" s="1311" t="n">
        <f aca="false">+Draw!I32*Srcs_Uses!$E$18</f>
        <v>0</v>
      </c>
      <c r="I76" s="1311" t="n">
        <f aca="false">+Draw!J32*Srcs_Uses!$E$18</f>
        <v>234.238079793275</v>
      </c>
      <c r="J76" s="1311" t="n">
        <f aca="false">+Draw!K32*Srcs_Uses!$E$18</f>
        <v>234.238079793275</v>
      </c>
      <c r="K76" s="1311" t="n">
        <f aca="false">+Draw!L32*Srcs_Uses!$E$18</f>
        <v>241.336203423374</v>
      </c>
      <c r="L76" s="1311" t="n">
        <f aca="false">+Draw!M32*Srcs_Uses!$E$18</f>
        <v>0</v>
      </c>
      <c r="M76" s="1311" t="n">
        <f aca="false">+Draw!N32*Srcs_Uses!$E$18</f>
        <v>0</v>
      </c>
      <c r="N76" s="1311" t="n">
        <f aca="false">+Draw!O32*Srcs_Uses!$E$18</f>
        <v>0</v>
      </c>
      <c r="O76" s="1311" t="n">
        <f aca="false">+Draw!P32*Srcs_Uses!$E$18</f>
        <v>0</v>
      </c>
      <c r="P76" s="1311" t="n">
        <f aca="false">+Draw!Q32*Srcs_Uses!$E$18</f>
        <v>0</v>
      </c>
      <c r="Q76" s="1311" t="n">
        <f aca="false">+Draw!R32*Srcs_Uses!$E$18</f>
        <v>0</v>
      </c>
      <c r="R76" s="1311" t="n">
        <f aca="false">+Draw!S32*Srcs_Uses!$E$18</f>
        <v>0</v>
      </c>
      <c r="S76" s="1311" t="n">
        <f aca="false">+Draw!T32*Srcs_Uses!$E$18</f>
        <v>0</v>
      </c>
      <c r="T76" s="1311" t="n">
        <f aca="false">SUM(D76:S76)</f>
        <v>709.812363009924</v>
      </c>
      <c r="V76" s="1312" t="n">
        <f aca="false">+T76-Srcs_Uses!E18</f>
        <v>0</v>
      </c>
    </row>
    <row r="77" customFormat="false" ht="12.75" hidden="false" customHeight="false" outlineLevel="0" collapsed="false">
      <c r="C77" s="1310" t="str">
        <f aca="false">+Draw!C33</f>
        <v>EWC DEVELOPER FEE</v>
      </c>
      <c r="D77" s="1311" t="n">
        <f aca="false">+Draw!E33*Internal!$F$112</f>
        <v>-0</v>
      </c>
      <c r="E77" s="1311" t="n">
        <f aca="false">+Draw!F33*Internal!$F$112</f>
        <v>-0</v>
      </c>
      <c r="F77" s="1311" t="n">
        <f aca="false">+Draw!G33*Internal!$F$112</f>
        <v>-0</v>
      </c>
      <c r="G77" s="1311" t="n">
        <f aca="false">+Draw!H33*Internal!$F$112</f>
        <v>-0</v>
      </c>
      <c r="H77" s="1311" t="n">
        <f aca="false">+Draw!I33*Internal!$F$112</f>
        <v>-0</v>
      </c>
      <c r="I77" s="1311" t="n">
        <f aca="false">+Draw!J33*Internal!$F$112</f>
        <v>-0</v>
      </c>
      <c r="J77" s="1311" t="n">
        <f aca="false">+Draw!K33*Internal!$F$112</f>
        <v>-0</v>
      </c>
      <c r="K77" s="1311" t="n">
        <f aca="false">+Draw!L33*Internal!$F$112</f>
        <v>-2039.25822796086</v>
      </c>
      <c r="L77" s="1311" t="n">
        <f aca="false">+Draw!M33*Internal!$F$112</f>
        <v>-0</v>
      </c>
      <c r="M77" s="1311" t="n">
        <f aca="false">+Draw!N33*Internal!$F$112</f>
        <v>-0</v>
      </c>
      <c r="N77" s="1311" t="n">
        <f aca="false">+Draw!O33*Internal!$F$112</f>
        <v>-0</v>
      </c>
      <c r="O77" s="1311" t="n">
        <f aca="false">+Draw!P33*Internal!$F$112</f>
        <v>-0</v>
      </c>
      <c r="P77" s="1311" t="n">
        <f aca="false">+Draw!Q33*Internal!$F$112</f>
        <v>-0</v>
      </c>
      <c r="Q77" s="1311" t="n">
        <f aca="false">+Draw!R33*Internal!$F$112</f>
        <v>-0</v>
      </c>
      <c r="R77" s="1311" t="n">
        <f aca="false">+Draw!S33*Internal!$F$112</f>
        <v>-0</v>
      </c>
      <c r="S77" s="1311" t="n">
        <f aca="false">+Draw!T33*Internal!$F$112</f>
        <v>-0</v>
      </c>
      <c r="T77" s="1311" t="n">
        <f aca="false">SUM(D77:S77)</f>
        <v>-2039.25822796086</v>
      </c>
      <c r="V77" s="1312" t="n">
        <f aca="false">+T77-Internal!F112</f>
        <v>0</v>
      </c>
    </row>
    <row r="78" customFormat="false" ht="12.75" hidden="false" customHeight="false" outlineLevel="0" collapsed="false">
      <c r="C78" s="1310" t="str">
        <f aca="false">+Draw!C34</f>
        <v>EPC WRAP FEE</v>
      </c>
      <c r="D78" s="1311" t="n">
        <f aca="false">+Draw!E34*Internal!$F$111</f>
        <v>0</v>
      </c>
      <c r="E78" s="1311" t="n">
        <f aca="false">+Draw!F34*Internal!$F$111</f>
        <v>0</v>
      </c>
      <c r="F78" s="1311" t="n">
        <f aca="false">+Draw!G34*Internal!$F$111</f>
        <v>0</v>
      </c>
      <c r="G78" s="1311" t="n">
        <f aca="false">+Draw!H34*Internal!$F$111</f>
        <v>0</v>
      </c>
      <c r="H78" s="1311" t="n">
        <f aca="false">+Draw!I34*Internal!$F$111</f>
        <v>0</v>
      </c>
      <c r="I78" s="1311" t="n">
        <f aca="false">+Draw!J34*Internal!$F$111</f>
        <v>0</v>
      </c>
      <c r="J78" s="1311" t="n">
        <f aca="false">+Draw!K34*Internal!$F$111</f>
        <v>0</v>
      </c>
      <c r="K78" s="1311" t="n">
        <f aca="false">+Draw!L34*Internal!$F$111</f>
        <v>0</v>
      </c>
      <c r="L78" s="1311" t="n">
        <f aca="false">+Draw!M34*Internal!$F$111</f>
        <v>0</v>
      </c>
      <c r="M78" s="1311" t="n">
        <f aca="false">+Draw!N34*Internal!$F$111</f>
        <v>0</v>
      </c>
      <c r="N78" s="1311" t="n">
        <f aca="false">+Draw!O34*Internal!$F$111</f>
        <v>0</v>
      </c>
      <c r="O78" s="1311" t="n">
        <f aca="false">+Draw!P34*Internal!$F$111</f>
        <v>0</v>
      </c>
      <c r="P78" s="1311" t="n">
        <f aca="false">+Draw!Q34*Internal!$F$111</f>
        <v>0</v>
      </c>
      <c r="Q78" s="1311" t="n">
        <f aca="false">+Draw!R34*Internal!$F$111</f>
        <v>0</v>
      </c>
      <c r="R78" s="1311" t="n">
        <f aca="false">+Draw!S34*Internal!$F$111</f>
        <v>0</v>
      </c>
      <c r="S78" s="1311" t="n">
        <f aca="false">+Draw!T34*Internal!$F$111</f>
        <v>0</v>
      </c>
      <c r="T78" s="1311" t="n">
        <f aca="false">SUM(D78:S78)</f>
        <v>0</v>
      </c>
      <c r="V78" s="1312" t="n">
        <f aca="false">+T78-Internal!F111</f>
        <v>0</v>
      </c>
    </row>
    <row r="79" customFormat="false" ht="12.75" hidden="false" customHeight="false" outlineLevel="0" collapsed="false">
      <c r="C79" s="1310" t="str">
        <f aca="false">+Draw!C35</f>
        <v>PREDEVELOPMENT EXPENSES TOTAL</v>
      </c>
      <c r="D79" s="1311" t="n">
        <f aca="false">+Draw!E35*Srcs_Uses!$E$16</f>
        <v>1013</v>
      </c>
      <c r="E79" s="1311" t="n">
        <f aca="false">+Draw!F35*Srcs_Uses!$E$16</f>
        <v>0</v>
      </c>
      <c r="F79" s="1311" t="n">
        <f aca="false">+Draw!G35*Srcs_Uses!$E$16</f>
        <v>0</v>
      </c>
      <c r="G79" s="1311" t="n">
        <f aca="false">+Draw!H35*Srcs_Uses!$E$16</f>
        <v>0</v>
      </c>
      <c r="H79" s="1311" t="n">
        <f aca="false">+Draw!I35*Srcs_Uses!$E$16</f>
        <v>0</v>
      </c>
      <c r="I79" s="1311" t="n">
        <f aca="false">+Draw!J35*Srcs_Uses!$E$16</f>
        <v>0</v>
      </c>
      <c r="J79" s="1311" t="n">
        <f aca="false">+Draw!K35*Srcs_Uses!$E$16</f>
        <v>0</v>
      </c>
      <c r="K79" s="1311" t="n">
        <f aca="false">+Draw!L35*Srcs_Uses!$E$16</f>
        <v>0</v>
      </c>
      <c r="L79" s="1311" t="n">
        <f aca="false">+Draw!M35*Srcs_Uses!$E$16</f>
        <v>0</v>
      </c>
      <c r="M79" s="1311" t="n">
        <f aca="false">+Draw!N35*Srcs_Uses!$E$16</f>
        <v>0</v>
      </c>
      <c r="N79" s="1311" t="n">
        <f aca="false">+Draw!O35*Srcs_Uses!$E$16</f>
        <v>0</v>
      </c>
      <c r="O79" s="1311" t="n">
        <f aca="false">+Draw!P35*Srcs_Uses!$E$16</f>
        <v>0</v>
      </c>
      <c r="P79" s="1311" t="n">
        <f aca="false">+Draw!Q35*Srcs_Uses!$E$16</f>
        <v>0</v>
      </c>
      <c r="Q79" s="1311" t="n">
        <f aca="false">+Draw!R35*Srcs_Uses!$E$16</f>
        <v>0</v>
      </c>
      <c r="R79" s="1311" t="n">
        <f aca="false">+Draw!S35*Srcs_Uses!$E$16</f>
        <v>0</v>
      </c>
      <c r="S79" s="1311" t="n">
        <f aca="false">+Draw!T35*Srcs_Uses!$E$16</f>
        <v>0</v>
      </c>
      <c r="T79" s="1311" t="n">
        <f aca="false">SUM(D79:S79)</f>
        <v>1013</v>
      </c>
      <c r="V79" s="1312" t="n">
        <f aca="false">+T79-Srcs_Uses!E16</f>
        <v>0</v>
      </c>
    </row>
    <row r="80" customFormat="false" ht="12.75" hidden="false" customHeight="false" outlineLevel="0" collapsed="false">
      <c r="C80" s="1310" t="str">
        <f aca="false">+Draw!C36</f>
        <v>LEGAL CLOSING</v>
      </c>
      <c r="D80" s="1311" t="n">
        <f aca="false">+Draw!E36*Srcs_Uses!$E$20</f>
        <v>0</v>
      </c>
      <c r="E80" s="1311" t="n">
        <f aca="false">+Draw!F36*Srcs_Uses!$E$20</f>
        <v>0</v>
      </c>
      <c r="F80" s="1311" t="n">
        <f aca="false">+Draw!G36*Srcs_Uses!$E$20</f>
        <v>0</v>
      </c>
      <c r="G80" s="1311" t="n">
        <f aca="false">+Draw!H36*Srcs_Uses!$E$20</f>
        <v>0</v>
      </c>
      <c r="H80" s="1311" t="n">
        <f aca="false">+Draw!I36*Srcs_Uses!$E$20</f>
        <v>0</v>
      </c>
      <c r="I80" s="1311" t="n">
        <f aca="false">+Draw!J36*Srcs_Uses!$E$20</f>
        <v>0</v>
      </c>
      <c r="J80" s="1311" t="n">
        <f aca="false">+Draw!K36*Srcs_Uses!$E$20</f>
        <v>1300</v>
      </c>
      <c r="K80" s="1311" t="n">
        <f aca="false">+Draw!L36*Srcs_Uses!$E$20</f>
        <v>0</v>
      </c>
      <c r="L80" s="1311" t="n">
        <f aca="false">+Draw!M36*Srcs_Uses!$E$20</f>
        <v>0</v>
      </c>
      <c r="M80" s="1311" t="n">
        <f aca="false">+Draw!N36*Srcs_Uses!$E$20</f>
        <v>0</v>
      </c>
      <c r="N80" s="1311" t="n">
        <f aca="false">+Draw!O36*Srcs_Uses!$E$20</f>
        <v>0</v>
      </c>
      <c r="O80" s="1311" t="n">
        <f aca="false">+Draw!P36*Srcs_Uses!$E$20</f>
        <v>0</v>
      </c>
      <c r="P80" s="1311" t="n">
        <f aca="false">+Draw!Q36*Srcs_Uses!$E$20</f>
        <v>0</v>
      </c>
      <c r="Q80" s="1311" t="n">
        <f aca="false">+Draw!R36*Srcs_Uses!$E$20</f>
        <v>0</v>
      </c>
      <c r="R80" s="1311" t="n">
        <f aca="false">+Draw!S36*Srcs_Uses!$E$20</f>
        <v>0</v>
      </c>
      <c r="S80" s="1311" t="n">
        <f aca="false">+Draw!T36*Srcs_Uses!$E$20</f>
        <v>0</v>
      </c>
      <c r="T80" s="1311" t="n">
        <f aca="false">SUM(D80:S80)</f>
        <v>1300</v>
      </c>
      <c r="V80" s="1312" t="n">
        <f aca="false">+T80-Srcs_Uses!E20</f>
        <v>0</v>
      </c>
    </row>
    <row r="81" customFormat="false" ht="12.75" hidden="false" customHeight="false" outlineLevel="0" collapsed="false">
      <c r="C81" s="1310" t="str">
        <f aca="false">+Draw!C37</f>
        <v>BANKING DUE DILIGENCE EXPENSES</v>
      </c>
      <c r="D81" s="1311" t="n">
        <f aca="false">+Draw!E37*Srcs_Uses!$E$21</f>
        <v>100</v>
      </c>
      <c r="E81" s="1311" t="n">
        <f aca="false">+Draw!F37*Srcs_Uses!$E$21</f>
        <v>0</v>
      </c>
      <c r="F81" s="1311" t="n">
        <f aca="false">+Draw!G37*Srcs_Uses!$E$21</f>
        <v>0</v>
      </c>
      <c r="G81" s="1311" t="n">
        <f aca="false">+Draw!H37*Srcs_Uses!$E$21</f>
        <v>0</v>
      </c>
      <c r="H81" s="1311" t="n">
        <f aca="false">+Draw!I37*Srcs_Uses!$E$21</f>
        <v>0</v>
      </c>
      <c r="I81" s="1311" t="n">
        <f aca="false">+Draw!J37*Srcs_Uses!$E$21</f>
        <v>0</v>
      </c>
      <c r="J81" s="1311" t="n">
        <f aca="false">+Draw!K37*Srcs_Uses!$E$21</f>
        <v>0</v>
      </c>
      <c r="K81" s="1311" t="n">
        <f aca="false">+Draw!L37*Srcs_Uses!$E$21</f>
        <v>0</v>
      </c>
      <c r="L81" s="1311" t="n">
        <f aca="false">+Draw!M37*Srcs_Uses!$E$21</f>
        <v>0</v>
      </c>
      <c r="M81" s="1311" t="n">
        <f aca="false">+Draw!N37*Srcs_Uses!$E$21</f>
        <v>0</v>
      </c>
      <c r="N81" s="1311" t="n">
        <f aca="false">+Draw!O37*Srcs_Uses!$E$21</f>
        <v>0</v>
      </c>
      <c r="O81" s="1311" t="n">
        <f aca="false">+Draw!P37*Srcs_Uses!$E$21</f>
        <v>0</v>
      </c>
      <c r="P81" s="1311" t="n">
        <f aca="false">+Draw!Q37*Srcs_Uses!$E$21</f>
        <v>0</v>
      </c>
      <c r="Q81" s="1311" t="n">
        <f aca="false">+Draw!R37*Srcs_Uses!$E$21</f>
        <v>0</v>
      </c>
      <c r="R81" s="1311" t="n">
        <f aca="false">+Draw!S37*Srcs_Uses!$E$21</f>
        <v>0</v>
      </c>
      <c r="S81" s="1311" t="n">
        <f aca="false">+Draw!T37*Srcs_Uses!$E$21</f>
        <v>0</v>
      </c>
      <c r="T81" s="1311" t="n">
        <f aca="false">SUM(D81:S81)</f>
        <v>100</v>
      </c>
      <c r="V81" s="1312" t="n">
        <f aca="false">+T81-Srcs_Uses!E21</f>
        <v>0</v>
      </c>
    </row>
    <row r="82" customFormat="false" ht="12.75" hidden="false" customHeight="false" outlineLevel="0" collapsed="false">
      <c r="C82" s="1310" t="str">
        <f aca="false">+Draw!C38</f>
        <v>INDEPENDENT ENGINEER</v>
      </c>
      <c r="D82" s="1311" t="n">
        <f aca="false">+Draw!E38*Srcs_Uses!$E$22</f>
        <v>4</v>
      </c>
      <c r="E82" s="1311" t="n">
        <f aca="false">+Draw!F38*Srcs_Uses!$E$22</f>
        <v>4</v>
      </c>
      <c r="F82" s="1311" t="n">
        <f aca="false">+Draw!G38*Srcs_Uses!$E$22</f>
        <v>4</v>
      </c>
      <c r="G82" s="1311" t="n">
        <f aca="false">+Draw!H38*Srcs_Uses!$E$22</f>
        <v>4</v>
      </c>
      <c r="H82" s="1311" t="n">
        <f aca="false">+Draw!I38*Srcs_Uses!$E$22</f>
        <v>4</v>
      </c>
      <c r="I82" s="1311" t="n">
        <f aca="false">+Draw!J38*Srcs_Uses!$E$22</f>
        <v>4</v>
      </c>
      <c r="J82" s="1311" t="n">
        <f aca="false">+Draw!K38*Srcs_Uses!$E$22</f>
        <v>4</v>
      </c>
      <c r="K82" s="1311" t="n">
        <f aca="false">+Draw!L38*Srcs_Uses!$E$22</f>
        <v>4</v>
      </c>
      <c r="L82" s="1311" t="n">
        <f aca="false">+Draw!M38*Srcs_Uses!$E$22</f>
        <v>4</v>
      </c>
      <c r="M82" s="1311" t="n">
        <f aca="false">+Draw!N38*Srcs_Uses!$E$22</f>
        <v>4</v>
      </c>
      <c r="N82" s="1311" t="n">
        <f aca="false">+Draw!O38*Srcs_Uses!$E$22</f>
        <v>0</v>
      </c>
      <c r="O82" s="1311" t="n">
        <f aca="false">+Draw!P38*Srcs_Uses!$E$22</f>
        <v>0</v>
      </c>
      <c r="P82" s="1311" t="n">
        <f aca="false">+Draw!Q38*Srcs_Uses!$E$22</f>
        <v>0</v>
      </c>
      <c r="Q82" s="1311" t="n">
        <f aca="false">+Draw!R38*Srcs_Uses!$E$22</f>
        <v>0</v>
      </c>
      <c r="R82" s="1311" t="n">
        <f aca="false">+Draw!S38*Srcs_Uses!$E$22</f>
        <v>0</v>
      </c>
      <c r="S82" s="1311" t="n">
        <f aca="false">+Draw!T38*Srcs_Uses!$E$22</f>
        <v>0</v>
      </c>
      <c r="T82" s="1311" t="n">
        <f aca="false">SUM(D82:S82)</f>
        <v>40</v>
      </c>
      <c r="V82" s="1312" t="n">
        <f aca="false">+T82-Srcs_Uses!E22</f>
        <v>0</v>
      </c>
    </row>
    <row r="83" customFormat="false" ht="12.75" hidden="false" customHeight="false" outlineLevel="0" collapsed="false">
      <c r="C83" s="1310" t="str">
        <f aca="false">+Draw!C39</f>
        <v>INSURANCE CONSULTANT FEES</v>
      </c>
      <c r="D83" s="1313" t="n">
        <f aca="false">+Draw!E39*Srcs_Uses!$E$23</f>
        <v>2.5</v>
      </c>
      <c r="E83" s="1313" t="n">
        <f aca="false">+Draw!F39*Srcs_Uses!$E$23</f>
        <v>2.5</v>
      </c>
      <c r="F83" s="1313" t="n">
        <f aca="false">+Draw!G39*Srcs_Uses!$E$23</f>
        <v>2.5</v>
      </c>
      <c r="G83" s="1313" t="n">
        <f aca="false">+Draw!H39*Srcs_Uses!$E$23</f>
        <v>2.5</v>
      </c>
      <c r="H83" s="1313" t="n">
        <f aca="false">+Draw!I39*Srcs_Uses!$E$23</f>
        <v>2.5</v>
      </c>
      <c r="I83" s="1313" t="n">
        <f aca="false">+Draw!J39*Srcs_Uses!$E$23</f>
        <v>2.5</v>
      </c>
      <c r="J83" s="1313" t="n">
        <f aca="false">+Draw!K39*Srcs_Uses!$E$23</f>
        <v>2.5</v>
      </c>
      <c r="K83" s="1313" t="n">
        <f aca="false">+Draw!L39*Srcs_Uses!$E$23</f>
        <v>2.5</v>
      </c>
      <c r="L83" s="1313" t="n">
        <f aca="false">+Draw!M39*Srcs_Uses!$E$23</f>
        <v>2.5</v>
      </c>
      <c r="M83" s="1313" t="n">
        <f aca="false">+Draw!N39*Srcs_Uses!$E$23</f>
        <v>2.5</v>
      </c>
      <c r="N83" s="1313" t="n">
        <f aca="false">+Draw!O39*Srcs_Uses!$E$23</f>
        <v>0</v>
      </c>
      <c r="O83" s="1313" t="n">
        <f aca="false">+Draw!P39*Srcs_Uses!$E$23</f>
        <v>0</v>
      </c>
      <c r="P83" s="1313" t="n">
        <f aca="false">+Draw!Q39*Srcs_Uses!$E$23</f>
        <v>0</v>
      </c>
      <c r="Q83" s="1313" t="n">
        <f aca="false">+Draw!R39*Srcs_Uses!$E$23</f>
        <v>0</v>
      </c>
      <c r="R83" s="1313" t="n">
        <f aca="false">+Draw!S39*Srcs_Uses!$E$23</f>
        <v>0</v>
      </c>
      <c r="S83" s="1313" t="n">
        <f aca="false">+Draw!T39*Srcs_Uses!$E$23</f>
        <v>0</v>
      </c>
      <c r="T83" s="1311" t="n">
        <f aca="false">SUM(D83:S83)</f>
        <v>25</v>
      </c>
      <c r="V83" s="1312" t="n">
        <f aca="false">+T83-Srcs_Uses!E23</f>
        <v>0</v>
      </c>
    </row>
    <row r="84" customFormat="false" ht="12.75" hidden="false" customHeight="false" outlineLevel="0" collapsed="false">
      <c r="C84" s="1310" t="str">
        <f aca="false">+Draw!C40</f>
        <v>INITIAL WORKING CAPITAL </v>
      </c>
      <c r="D84" s="1311" t="n">
        <f aca="false">+Draw!E40*Srcs_Uses!$E$24</f>
        <v>197.5</v>
      </c>
      <c r="E84" s="1311" t="n">
        <f aca="false">+Draw!F40*Srcs_Uses!$E$24</f>
        <v>0</v>
      </c>
      <c r="F84" s="1311" t="n">
        <f aca="false">+Draw!G40*Srcs_Uses!$E$24</f>
        <v>0</v>
      </c>
      <c r="G84" s="1311" t="n">
        <f aca="false">+Draw!H40*Srcs_Uses!$E$24</f>
        <v>0</v>
      </c>
      <c r="H84" s="1311" t="n">
        <f aca="false">+Draw!I40*Srcs_Uses!$E$24</f>
        <v>0</v>
      </c>
      <c r="I84" s="1311" t="n">
        <f aca="false">+Draw!J40*Srcs_Uses!$E$24</f>
        <v>0</v>
      </c>
      <c r="J84" s="1311" t="n">
        <f aca="false">+Draw!K40*Srcs_Uses!$E$24</f>
        <v>0</v>
      </c>
      <c r="K84" s="1311" t="n">
        <f aca="false">+Draw!L40*Srcs_Uses!$E$24</f>
        <v>0</v>
      </c>
      <c r="L84" s="1311" t="n">
        <f aca="false">+Draw!M40*Srcs_Uses!$E$24</f>
        <v>0</v>
      </c>
      <c r="M84" s="1311" t="n">
        <f aca="false">+Draw!N40*Srcs_Uses!$E$24</f>
        <v>0</v>
      </c>
      <c r="N84" s="1311" t="n">
        <f aca="false">+Draw!O40*Srcs_Uses!$E$24</f>
        <v>0</v>
      </c>
      <c r="O84" s="1311" t="n">
        <f aca="false">+Draw!P40*Srcs_Uses!$E$24</f>
        <v>0</v>
      </c>
      <c r="P84" s="1311" t="n">
        <f aca="false">+Draw!Q40*Srcs_Uses!$E$24</f>
        <v>0</v>
      </c>
      <c r="Q84" s="1311" t="n">
        <f aca="false">+Draw!R40*Srcs_Uses!$E$24</f>
        <v>0</v>
      </c>
      <c r="R84" s="1311" t="n">
        <f aca="false">+Draw!S40*Srcs_Uses!$E$24</f>
        <v>0</v>
      </c>
      <c r="S84" s="1311" t="n">
        <f aca="false">+Draw!T40*Srcs_Uses!$E$24</f>
        <v>0</v>
      </c>
      <c r="T84" s="1311" t="n">
        <f aca="false">SUM(D84:S84)</f>
        <v>197.5</v>
      </c>
      <c r="V84" s="1312" t="n">
        <f aca="false">+T84-Srcs_Uses!E24</f>
        <v>0</v>
      </c>
    </row>
    <row r="85" customFormat="false" ht="12.75" hidden="false" customHeight="false" outlineLevel="0" collapsed="false">
      <c r="C85" s="1310" t="str">
        <f aca="false">+Draw!C41</f>
        <v>LAND USE PAYMENT TO SMUD</v>
      </c>
      <c r="D85" s="1311" t="n">
        <f aca="false">+Draw!E41*Srcs_Uses!$E$25</f>
        <v>1500</v>
      </c>
      <c r="E85" s="1311" t="n">
        <f aca="false">+Draw!F41*Srcs_Uses!$E$25</f>
        <v>0</v>
      </c>
      <c r="F85" s="1311" t="n">
        <f aca="false">+Draw!G41*Srcs_Uses!$E$25</f>
        <v>0</v>
      </c>
      <c r="G85" s="1311" t="n">
        <f aca="false">+Draw!H41*Srcs_Uses!$E$25</f>
        <v>0</v>
      </c>
      <c r="H85" s="1311" t="n">
        <f aca="false">+Draw!I41*Srcs_Uses!$E$25</f>
        <v>0</v>
      </c>
      <c r="I85" s="1311" t="n">
        <f aca="false">+Draw!J41*Srcs_Uses!$E$25</f>
        <v>0</v>
      </c>
      <c r="J85" s="1311" t="n">
        <f aca="false">+Draw!K41*Srcs_Uses!$E$25</f>
        <v>0</v>
      </c>
      <c r="K85" s="1311" t="n">
        <f aca="false">+Draw!L41*Srcs_Uses!$E$25</f>
        <v>0</v>
      </c>
      <c r="L85" s="1311" t="n">
        <f aca="false">+Draw!M41*Srcs_Uses!$E$25</f>
        <v>0</v>
      </c>
      <c r="M85" s="1311" t="n">
        <f aca="false">+Draw!N41*Srcs_Uses!$E$25</f>
        <v>0</v>
      </c>
      <c r="N85" s="1311" t="n">
        <f aca="false">+Draw!O41*Srcs_Uses!$E$25</f>
        <v>0</v>
      </c>
      <c r="O85" s="1311" t="n">
        <f aca="false">+Draw!P41*Srcs_Uses!$E$25</f>
        <v>0</v>
      </c>
      <c r="P85" s="1311" t="n">
        <f aca="false">+Draw!Q41*Srcs_Uses!$E$25</f>
        <v>0</v>
      </c>
      <c r="Q85" s="1311" t="n">
        <f aca="false">+Draw!R41*Srcs_Uses!$E$25</f>
        <v>0</v>
      </c>
      <c r="R85" s="1311" t="n">
        <f aca="false">+Draw!S41*Srcs_Uses!$E$25</f>
        <v>0</v>
      </c>
      <c r="S85" s="1311" t="n">
        <f aca="false">+Draw!T41*Srcs_Uses!$E$25</f>
        <v>0</v>
      </c>
      <c r="T85" s="1311" t="n">
        <f aca="false">SUM(D85:S85)</f>
        <v>1500</v>
      </c>
      <c r="V85" s="1312" t="n">
        <f aca="false">+T85-Srcs_Uses!E25</f>
        <v>0</v>
      </c>
    </row>
    <row r="86" customFormat="false" ht="12.75" hidden="false" customHeight="false" outlineLevel="0" collapsed="false">
      <c r="C86" s="1310" t="str">
        <f aca="false">+Draw!C42</f>
        <v>EQUITY CLOSING EXPENSES</v>
      </c>
      <c r="D86" s="1311" t="n">
        <f aca="false">+Draw!E42*Srcs_Uses!$E$26</f>
        <v>0</v>
      </c>
      <c r="E86" s="1311" t="n">
        <f aca="false">+Draw!F42*Srcs_Uses!$E$26</f>
        <v>0</v>
      </c>
      <c r="F86" s="1311" t="n">
        <f aca="false">+Draw!G42*Srcs_Uses!$E$26</f>
        <v>0</v>
      </c>
      <c r="G86" s="1311" t="n">
        <f aca="false">+Draw!H42*Srcs_Uses!$E$26</f>
        <v>0</v>
      </c>
      <c r="H86" s="1311" t="n">
        <f aca="false">+Draw!I42*Srcs_Uses!$E$26</f>
        <v>0</v>
      </c>
      <c r="I86" s="1311" t="n">
        <f aca="false">+Draw!J42*Srcs_Uses!$E$26</f>
        <v>0</v>
      </c>
      <c r="J86" s="1311" t="n">
        <f aca="false">+Draw!K42*Srcs_Uses!$E$26</f>
        <v>0</v>
      </c>
      <c r="K86" s="1311" t="n">
        <f aca="false">+Draw!L42*Srcs_Uses!$E$26</f>
        <v>0</v>
      </c>
      <c r="L86" s="1311" t="n">
        <f aca="false">+Draw!M42*Srcs_Uses!$E$26</f>
        <v>0</v>
      </c>
      <c r="M86" s="1311" t="n">
        <f aca="false">+Draw!N42*Srcs_Uses!$E$26</f>
        <v>0</v>
      </c>
      <c r="N86" s="1311" t="n">
        <f aca="false">+Draw!O42*Srcs_Uses!$E$26</f>
        <v>0</v>
      </c>
      <c r="O86" s="1311" t="n">
        <f aca="false">+Draw!P42*Srcs_Uses!$E$26</f>
        <v>0</v>
      </c>
      <c r="P86" s="1311" t="n">
        <f aca="false">+Draw!Q42*Srcs_Uses!$E$26</f>
        <v>0</v>
      </c>
      <c r="Q86" s="1311" t="n">
        <f aca="false">+Draw!R42*Srcs_Uses!$E$26</f>
        <v>0</v>
      </c>
      <c r="R86" s="1311" t="n">
        <f aca="false">+Draw!S42*Srcs_Uses!$E$26</f>
        <v>0</v>
      </c>
      <c r="S86" s="1311" t="n">
        <f aca="false">+Draw!T42*Srcs_Uses!$E$26</f>
        <v>0</v>
      </c>
      <c r="T86" s="1311" t="n">
        <f aca="false">SUM(D86:S86)</f>
        <v>0</v>
      </c>
      <c r="V86" s="1312" t="n">
        <f aca="false">+T86-Srcs_Uses!E26</f>
        <v>0</v>
      </c>
    </row>
    <row r="87" customFormat="false" ht="12.75" hidden="false" customHeight="false" outlineLevel="0" collapsed="false">
      <c r="C87" s="1310" t="str">
        <f aca="false">+Draw!C43</f>
        <v>UTILITY INTERCONNECT COSTS</v>
      </c>
      <c r="D87" s="1311" t="n">
        <f aca="false">+Draw!E43*Srcs_Uses!$E$27</f>
        <v>0</v>
      </c>
      <c r="E87" s="1311" t="n">
        <f aca="false">+Draw!F43*Srcs_Uses!$E$27</f>
        <v>0</v>
      </c>
      <c r="F87" s="1311" t="n">
        <f aca="false">+Draw!G43*Srcs_Uses!$E$27</f>
        <v>0</v>
      </c>
      <c r="G87" s="1311" t="n">
        <f aca="false">+Draw!H43*Srcs_Uses!$E$27</f>
        <v>0</v>
      </c>
      <c r="H87" s="1311" t="n">
        <f aca="false">+Draw!I43*Srcs_Uses!$E$27</f>
        <v>0</v>
      </c>
      <c r="I87" s="1311" t="n">
        <f aca="false">+Draw!J43*Srcs_Uses!$E$27</f>
        <v>0</v>
      </c>
      <c r="J87" s="1311" t="n">
        <f aca="false">+Draw!K43*Srcs_Uses!$E$27</f>
        <v>0</v>
      </c>
      <c r="K87" s="1311" t="n">
        <f aca="false">+Draw!L43*Srcs_Uses!$E$27</f>
        <v>0</v>
      </c>
      <c r="L87" s="1311" t="n">
        <f aca="false">+Draw!M43*Srcs_Uses!$E$27</f>
        <v>0</v>
      </c>
      <c r="M87" s="1311" t="n">
        <f aca="false">+Draw!N43*Srcs_Uses!$E$27</f>
        <v>0</v>
      </c>
      <c r="N87" s="1311" t="n">
        <f aca="false">+Draw!O43*Srcs_Uses!$E$27</f>
        <v>0</v>
      </c>
      <c r="O87" s="1311" t="n">
        <f aca="false">+Draw!P43*Srcs_Uses!$E$27</f>
        <v>0</v>
      </c>
      <c r="P87" s="1311" t="n">
        <f aca="false">+Draw!Q43*Srcs_Uses!$E$27</f>
        <v>0</v>
      </c>
      <c r="Q87" s="1311" t="n">
        <f aca="false">+Draw!R43*Srcs_Uses!$E$27</f>
        <v>0</v>
      </c>
      <c r="R87" s="1311" t="n">
        <f aca="false">+Draw!S43*Srcs_Uses!$E$27</f>
        <v>0</v>
      </c>
      <c r="S87" s="1311" t="n">
        <f aca="false">+Draw!T43*Srcs_Uses!$E$27</f>
        <v>0</v>
      </c>
      <c r="T87" s="1311" t="n">
        <f aca="false">SUM(D87:S87)</f>
        <v>0</v>
      </c>
      <c r="V87" s="1312" t="n">
        <f aca="false">+T87-Srcs_Uses!E27</f>
        <v>0</v>
      </c>
    </row>
    <row r="88" customFormat="false" ht="12.75" hidden="false" customHeight="false" outlineLevel="0" collapsed="false">
      <c r="C88" s="1310" t="str">
        <f aca="false">+Draw!C44</f>
        <v>EQUITY FEE</v>
      </c>
      <c r="D88" s="1311" t="n">
        <f aca="false">+Draw!E44*Srcs_Uses!$E$28</f>
        <v>0</v>
      </c>
      <c r="E88" s="1311" t="n">
        <f aca="false">+Draw!F44*Srcs_Uses!$E$28</f>
        <v>0</v>
      </c>
      <c r="F88" s="1311" t="n">
        <f aca="false">+Draw!G44*Srcs_Uses!$E$28</f>
        <v>0</v>
      </c>
      <c r="G88" s="1311" t="n">
        <f aca="false">+Draw!H44*Srcs_Uses!$E$28</f>
        <v>130</v>
      </c>
      <c r="H88" s="1311" t="n">
        <f aca="false">+Draw!I44*Srcs_Uses!$E$28</f>
        <v>130</v>
      </c>
      <c r="I88" s="1311" t="n">
        <f aca="false">+Draw!J44*Srcs_Uses!$E$28</f>
        <v>130</v>
      </c>
      <c r="J88" s="1311" t="n">
        <f aca="false">+Draw!K44*Srcs_Uses!$E$28</f>
        <v>130</v>
      </c>
      <c r="K88" s="1311" t="n">
        <f aca="false">+Draw!L44*Srcs_Uses!$E$28</f>
        <v>0</v>
      </c>
      <c r="L88" s="1311" t="n">
        <f aca="false">+Draw!M44*Srcs_Uses!$E$28</f>
        <v>0</v>
      </c>
      <c r="M88" s="1311" t="n">
        <f aca="false">+Draw!N44*Srcs_Uses!$E$28</f>
        <v>0</v>
      </c>
      <c r="N88" s="1311" t="n">
        <f aca="false">+Draw!O44*Srcs_Uses!$E$28</f>
        <v>0</v>
      </c>
      <c r="O88" s="1311" t="n">
        <f aca="false">+Draw!P44*Srcs_Uses!$E$28</f>
        <v>0</v>
      </c>
      <c r="P88" s="1311" t="n">
        <f aca="false">+Draw!Q44*Srcs_Uses!$E$28</f>
        <v>0</v>
      </c>
      <c r="Q88" s="1311" t="n">
        <f aca="false">+Draw!R44*Srcs_Uses!$E$28</f>
        <v>0</v>
      </c>
      <c r="R88" s="1311" t="n">
        <f aca="false">+Draw!S44*Srcs_Uses!$E$28</f>
        <v>0</v>
      </c>
      <c r="S88" s="1311" t="n">
        <f aca="false">+Draw!T44*Srcs_Uses!$E$28</f>
        <v>0</v>
      </c>
      <c r="T88" s="1311" t="n">
        <f aca="false">SUM(D88:S88)</f>
        <v>520</v>
      </c>
      <c r="V88" s="1312" t="n">
        <f aca="false">+T88-Srcs_Uses!E28</f>
        <v>0</v>
      </c>
    </row>
    <row r="89" customFormat="false" ht="12.75" hidden="false" customHeight="false" outlineLevel="0" collapsed="false">
      <c r="C89" s="1310" t="str">
        <f aca="false">+Draw!C45</f>
        <v>CONSTRUCTION INSURANCE</v>
      </c>
      <c r="D89" s="1311" t="n">
        <f aca="false">+Draw!E45*Srcs_Uses!$E$17</f>
        <v>0</v>
      </c>
      <c r="E89" s="1311" t="n">
        <f aca="false">+Draw!F45*Srcs_Uses!$E$17</f>
        <v>0</v>
      </c>
      <c r="F89" s="1311" t="n">
        <f aca="false">+Draw!G45*Srcs_Uses!$E$17</f>
        <v>0</v>
      </c>
      <c r="G89" s="1311" t="n">
        <f aca="false">+Draw!H45*Srcs_Uses!$E$17</f>
        <v>47.6955</v>
      </c>
      <c r="H89" s="1311" t="n">
        <f aca="false">+Draw!I45*Srcs_Uses!$E$17</f>
        <v>0</v>
      </c>
      <c r="I89" s="1311" t="n">
        <f aca="false">+Draw!J45*Srcs_Uses!$E$17</f>
        <v>0</v>
      </c>
      <c r="J89" s="1311" t="n">
        <f aca="false">+Draw!K45*Srcs_Uses!$E$17</f>
        <v>47.6955</v>
      </c>
      <c r="K89" s="1311" t="n">
        <f aca="false">+Draw!L45*Srcs_Uses!$E$17</f>
        <v>0</v>
      </c>
      <c r="L89" s="1311" t="n">
        <f aca="false">+Draw!M45*Srcs_Uses!$E$17</f>
        <v>0</v>
      </c>
      <c r="M89" s="1311" t="n">
        <f aca="false">+Draw!N45*Srcs_Uses!$E$17</f>
        <v>0</v>
      </c>
      <c r="N89" s="1311" t="n">
        <f aca="false">+Draw!O45*Srcs_Uses!$E$17</f>
        <v>0</v>
      </c>
      <c r="O89" s="1311" t="n">
        <f aca="false">+Draw!P45*Srcs_Uses!$E$17</f>
        <v>0</v>
      </c>
      <c r="P89" s="1311" t="n">
        <f aca="false">+Draw!Q45*Srcs_Uses!$E$17</f>
        <v>0</v>
      </c>
      <c r="Q89" s="1311" t="n">
        <f aca="false">+Draw!R45*Srcs_Uses!$E$17</f>
        <v>0</v>
      </c>
      <c r="R89" s="1311" t="n">
        <f aca="false">+Draw!S45*Srcs_Uses!$E$17</f>
        <v>0</v>
      </c>
      <c r="S89" s="1311" t="n">
        <f aca="false">+Draw!T45*Srcs_Uses!$E$17</f>
        <v>0</v>
      </c>
      <c r="T89" s="1311" t="n">
        <f aca="false">SUM(D89:S89)</f>
        <v>95.391</v>
      </c>
      <c r="V89" s="1312" t="n">
        <f aca="false">+T89-Srcs_Uses!E17</f>
        <v>0</v>
      </c>
    </row>
    <row r="90" customFormat="false" ht="12.75" hidden="false" customHeight="false" outlineLevel="0" collapsed="false">
      <c r="C90" s="1310" t="str">
        <f aca="false">+Draw!C46</f>
        <v>EPC WARRANTY FEE</v>
      </c>
      <c r="D90" s="1311" t="n">
        <f aca="false">+Draw!E46*Srcs_Uses!$E$19</f>
        <v>0</v>
      </c>
      <c r="E90" s="1311" t="n">
        <f aca="false">+Draw!F46*Srcs_Uses!$E$19</f>
        <v>0</v>
      </c>
      <c r="F90" s="1311" t="n">
        <f aca="false">+Draw!G46*Srcs_Uses!$E$19</f>
        <v>0</v>
      </c>
      <c r="G90" s="1311" t="n">
        <f aca="false">+Draw!H46*Srcs_Uses!$E$19</f>
        <v>0</v>
      </c>
      <c r="H90" s="1311" t="n">
        <f aca="false">+Draw!I46*Srcs_Uses!$E$19</f>
        <v>0</v>
      </c>
      <c r="I90" s="1311" t="n">
        <f aca="false">+Draw!J46*Srcs_Uses!$E$19</f>
        <v>0</v>
      </c>
      <c r="J90" s="1311" t="n">
        <f aca="false">+Draw!K46*Srcs_Uses!$E$19</f>
        <v>0</v>
      </c>
      <c r="K90" s="1311" t="n">
        <f aca="false">+Draw!L46*Srcs_Uses!$E$19</f>
        <v>0</v>
      </c>
      <c r="L90" s="1311" t="n">
        <f aca="false">+Draw!M46*Srcs_Uses!$E$19</f>
        <v>0</v>
      </c>
      <c r="M90" s="1311" t="n">
        <f aca="false">+Draw!N46*Srcs_Uses!$E$19</f>
        <v>0</v>
      </c>
      <c r="N90" s="1311" t="n">
        <f aca="false">+Draw!O46*Srcs_Uses!$E$19</f>
        <v>0</v>
      </c>
      <c r="O90" s="1311" t="n">
        <f aca="false">+Draw!P46*Srcs_Uses!$E$19</f>
        <v>0</v>
      </c>
      <c r="P90" s="1311" t="n">
        <f aca="false">+Draw!Q46*Srcs_Uses!$E$19</f>
        <v>0</v>
      </c>
      <c r="Q90" s="1311" t="n">
        <f aca="false">+Draw!R46*Srcs_Uses!$E$19</f>
        <v>0</v>
      </c>
      <c r="R90" s="1311" t="n">
        <f aca="false">+Draw!S46*Srcs_Uses!$E$19</f>
        <v>0</v>
      </c>
      <c r="S90" s="1311" t="n">
        <f aca="false">+Draw!T46*Srcs_Uses!$E$19</f>
        <v>0</v>
      </c>
      <c r="T90" s="1311" t="n">
        <f aca="false">SUM(D90:S90)</f>
        <v>0</v>
      </c>
      <c r="V90" s="1312" t="n">
        <f aca="false">+T90-Srcs_Uses!E19</f>
        <v>0</v>
      </c>
    </row>
    <row r="91" customFormat="false" ht="12.75" hidden="false" customHeight="false" outlineLevel="0" collapsed="false">
      <c r="C91" s="1310" t="e">
        <f aca="false">+Draw!C47</f>
        <v>#REF!</v>
      </c>
      <c r="D91" s="1311" t="e">
        <f aca="false">+Draw!E47*#REF!</f>
        <v>#REF!</v>
      </c>
      <c r="E91" s="1311" t="e">
        <f aca="false">+Draw!F47*#REF!</f>
        <v>#REF!</v>
      </c>
      <c r="F91" s="1311" t="e">
        <f aca="false">+Draw!G47*#REF!</f>
        <v>#REF!</v>
      </c>
      <c r="G91" s="1311" t="e">
        <f aca="false">+Draw!H47*#REF!</f>
        <v>#REF!</v>
      </c>
      <c r="H91" s="1311" t="e">
        <f aca="false">+Draw!I47*#REF!</f>
        <v>#REF!</v>
      </c>
      <c r="I91" s="1311" t="e">
        <f aca="false">+Draw!J47*#REF!</f>
        <v>#REF!</v>
      </c>
      <c r="J91" s="1311" t="e">
        <f aca="false">+Draw!K47*#REF!</f>
        <v>#REF!</v>
      </c>
      <c r="K91" s="1311" t="e">
        <f aca="false">+Draw!L47*#REF!</f>
        <v>#REF!</v>
      </c>
      <c r="L91" s="1311" t="e">
        <f aca="false">+Draw!M47*#REF!</f>
        <v>#REF!</v>
      </c>
      <c r="M91" s="1311" t="e">
        <f aca="false">+Draw!N47*#REF!</f>
        <v>#REF!</v>
      </c>
      <c r="N91" s="1311" t="e">
        <f aca="false">+Draw!O47*#REF!</f>
        <v>#REF!</v>
      </c>
      <c r="O91" s="1311" t="e">
        <f aca="false">+Draw!P47*#REF!</f>
        <v>#REF!</v>
      </c>
      <c r="P91" s="1311" t="e">
        <f aca="false">+Draw!Q47*#REF!</f>
        <v>#REF!</v>
      </c>
      <c r="Q91" s="1311" t="e">
        <f aca="false">+Draw!R47*#REF!</f>
        <v>#REF!</v>
      </c>
      <c r="R91" s="1311" t="e">
        <f aca="false">+Draw!S47*#REF!</f>
        <v>#REF!</v>
      </c>
      <c r="S91" s="1311" t="e">
        <f aca="false">+Draw!T47*#REF!</f>
        <v>#REF!</v>
      </c>
      <c r="T91" s="1311" t="e">
        <f aca="false">SUM(D91:S91)</f>
        <v>#REF!</v>
      </c>
      <c r="V91" s="1312" t="e">
        <f aca="false">+T91-#REF!</f>
        <v>#REF!</v>
      </c>
    </row>
    <row r="92" customFormat="false" ht="12.75" hidden="false" customHeight="false" outlineLevel="0" collapsed="false">
      <c r="C92" s="1275" t="s">
        <v>305</v>
      </c>
      <c r="D92" s="1314" t="e">
        <f aca="false">SUM(D61:D91)</f>
        <v>#REF!</v>
      </c>
      <c r="E92" s="1314" t="e">
        <f aca="false">SUM(E61:E91)</f>
        <v>#REF!</v>
      </c>
      <c r="F92" s="1314" t="e">
        <f aca="false">SUM(F61:F91)</f>
        <v>#REF!</v>
      </c>
      <c r="G92" s="1314" t="e">
        <f aca="false">SUM(G61:G91)</f>
        <v>#REF!</v>
      </c>
      <c r="H92" s="1314" t="e">
        <f aca="false">SUM(H61:H91)</f>
        <v>#REF!</v>
      </c>
      <c r="I92" s="1314" t="e">
        <f aca="false">SUM(I61:I91)</f>
        <v>#REF!</v>
      </c>
      <c r="J92" s="1314" t="e">
        <f aca="false">SUM(J61:J91)</f>
        <v>#REF!</v>
      </c>
      <c r="K92" s="1314" t="e">
        <f aca="false">SUM(K61:K91)</f>
        <v>#REF!</v>
      </c>
      <c r="L92" s="1314" t="e">
        <f aca="false">SUM(L61:L91)</f>
        <v>#REF!</v>
      </c>
      <c r="M92" s="1314" t="e">
        <f aca="false">SUM(M61:M91)</f>
        <v>#REF!</v>
      </c>
      <c r="N92" s="1314" t="e">
        <f aca="false">SUM(N61:N91)</f>
        <v>#REF!</v>
      </c>
      <c r="O92" s="1314" t="e">
        <f aca="false">SUM(O61:O91)</f>
        <v>#REF!</v>
      </c>
      <c r="P92" s="1314" t="e">
        <f aca="false">SUM(P61:P91)</f>
        <v>#REF!</v>
      </c>
      <c r="Q92" s="1314" t="e">
        <f aca="false">SUM(Q61:Q91)</f>
        <v>#REF!</v>
      </c>
      <c r="R92" s="1314" t="e">
        <f aca="false">SUM(R61:R91)</f>
        <v>#REF!</v>
      </c>
      <c r="S92" s="1314" t="e">
        <f aca="false">SUM(S61:S91)</f>
        <v>#REF!</v>
      </c>
      <c r="T92" s="1314" t="e">
        <f aca="false">SUM(T61:T91)</f>
        <v>#REF!</v>
      </c>
    </row>
    <row r="93" customFormat="false" ht="12.75" hidden="false" customHeight="false" outlineLevel="0" collapsed="false">
      <c r="V93" s="1312"/>
    </row>
    <row r="94" customFormat="false" ht="12.75" hidden="false" customHeight="false" outlineLevel="0" collapsed="false">
      <c r="D94" s="252"/>
      <c r="E94" s="252"/>
      <c r="F94" s="252"/>
      <c r="G94" s="252"/>
      <c r="H94" s="252"/>
      <c r="I94" s="252"/>
      <c r="J94" s="252"/>
      <c r="K94" s="252"/>
      <c r="L94" s="252"/>
      <c r="M94" s="252"/>
      <c r="N94" s="252"/>
      <c r="O94" s="252"/>
      <c r="P94" s="252"/>
      <c r="Q94" s="252"/>
      <c r="R94" s="252"/>
      <c r="S94" s="252"/>
      <c r="T94" s="1311"/>
      <c r="V94" s="1312"/>
    </row>
    <row r="95" customFormat="false" ht="12.75" hidden="false" customHeight="false" outlineLevel="0" collapsed="false">
      <c r="D95" s="252"/>
      <c r="E95" s="252"/>
      <c r="F95" s="252"/>
      <c r="G95" s="252"/>
      <c r="H95" s="252"/>
      <c r="I95" s="252"/>
      <c r="J95" s="252"/>
      <c r="K95" s="252"/>
      <c r="L95" s="252"/>
      <c r="M95" s="252"/>
      <c r="N95" s="252"/>
      <c r="O95" s="252"/>
      <c r="P95" s="252"/>
      <c r="Q95" s="252"/>
      <c r="R95" s="252"/>
      <c r="S95" s="252"/>
      <c r="T95" s="1311"/>
      <c r="V95" s="1312"/>
    </row>
    <row r="96" customFormat="false" ht="12.75" hidden="false" customHeight="false" outlineLevel="0" collapsed="false">
      <c r="C96" s="1309" t="s">
        <v>846</v>
      </c>
      <c r="D96" s="252"/>
      <c r="E96" s="252"/>
      <c r="F96" s="252"/>
      <c r="G96" s="252"/>
      <c r="H96" s="252"/>
      <c r="I96" s="252"/>
      <c r="J96" s="252"/>
      <c r="K96" s="252"/>
      <c r="L96" s="252"/>
      <c r="M96" s="252"/>
      <c r="N96" s="252"/>
      <c r="O96" s="252"/>
      <c r="P96" s="252"/>
      <c r="Q96" s="252"/>
      <c r="R96" s="252"/>
      <c r="S96" s="252"/>
      <c r="T96" s="1311"/>
      <c r="V96" s="1312"/>
    </row>
    <row r="97" customFormat="false" ht="12.75" hidden="false" customHeight="false" outlineLevel="0" collapsed="false">
      <c r="C97" s="1275" t="str">
        <f aca="false">+C59</f>
        <v>Months &gt;&gt;&gt;</v>
      </c>
      <c r="D97" s="410" t="n">
        <f aca="false">+D59</f>
        <v>1</v>
      </c>
      <c r="E97" s="410" t="n">
        <f aca="false">+E59</f>
        <v>2</v>
      </c>
      <c r="F97" s="410" t="n">
        <f aca="false">+F59</f>
        <v>3</v>
      </c>
      <c r="G97" s="410" t="n">
        <f aca="false">+G59</f>
        <v>4</v>
      </c>
      <c r="H97" s="410" t="n">
        <f aca="false">+H59</f>
        <v>5</v>
      </c>
      <c r="I97" s="410" t="n">
        <f aca="false">+I59</f>
        <v>6</v>
      </c>
      <c r="J97" s="410" t="n">
        <f aca="false">+J59</f>
        <v>7</v>
      </c>
      <c r="K97" s="410" t="n">
        <f aca="false">+K59</f>
        <v>8</v>
      </c>
      <c r="L97" s="410" t="n">
        <f aca="false">+L59</f>
        <v>9</v>
      </c>
      <c r="M97" s="410" t="n">
        <f aca="false">+M59</f>
        <v>10</v>
      </c>
      <c r="N97" s="410" t="n">
        <f aca="false">+N59</f>
        <v>11</v>
      </c>
      <c r="O97" s="410" t="n">
        <f aca="false">+O59</f>
        <v>12</v>
      </c>
      <c r="P97" s="410" t="n">
        <f aca="false">+P59</f>
        <v>13</v>
      </c>
      <c r="Q97" s="410" t="n">
        <f aca="false">+Q59</f>
        <v>14</v>
      </c>
      <c r="R97" s="410" t="n">
        <f aca="false">+R59</f>
        <v>15</v>
      </c>
      <c r="S97" s="410" t="n">
        <f aca="false">+S59</f>
        <v>16</v>
      </c>
      <c r="T97" s="410" t="str">
        <f aca="false">+T59</f>
        <v>Total</v>
      </c>
      <c r="V97" s="1312"/>
    </row>
    <row r="98" customFormat="false" ht="12.75" hidden="false" customHeight="false" outlineLevel="0" collapsed="false">
      <c r="D98" s="252"/>
      <c r="E98" s="252"/>
      <c r="F98" s="252"/>
      <c r="G98" s="252"/>
      <c r="H98" s="252"/>
      <c r="I98" s="252"/>
      <c r="J98" s="252"/>
      <c r="K98" s="252"/>
      <c r="L98" s="252"/>
      <c r="M98" s="252"/>
      <c r="N98" s="252"/>
      <c r="O98" s="252"/>
      <c r="P98" s="252"/>
      <c r="Q98" s="252"/>
      <c r="R98" s="252"/>
      <c r="S98" s="252"/>
      <c r="T98" s="1311"/>
      <c r="V98" s="1312"/>
    </row>
    <row r="99" customFormat="false" ht="12.75" hidden="false" customHeight="false" outlineLevel="0" collapsed="false">
      <c r="C99" s="0" t="s">
        <v>847</v>
      </c>
      <c r="D99" s="1311" t="e">
        <f aca="false">+D92</f>
        <v>#REF!</v>
      </c>
      <c r="E99" s="1311" t="e">
        <f aca="false">+E92</f>
        <v>#REF!</v>
      </c>
      <c r="F99" s="1311" t="e">
        <f aca="false">+F92</f>
        <v>#REF!</v>
      </c>
      <c r="G99" s="1311" t="e">
        <f aca="false">+G92</f>
        <v>#REF!</v>
      </c>
      <c r="H99" s="1311" t="e">
        <f aca="false">+H92</f>
        <v>#REF!</v>
      </c>
      <c r="I99" s="1311" t="e">
        <f aca="false">+I92</f>
        <v>#REF!</v>
      </c>
      <c r="J99" s="1311" t="e">
        <f aca="false">+J92</f>
        <v>#REF!</v>
      </c>
      <c r="K99" s="1311" t="e">
        <f aca="false">+K92</f>
        <v>#REF!</v>
      </c>
      <c r="L99" s="1311" t="e">
        <f aca="false">+L92</f>
        <v>#REF!</v>
      </c>
      <c r="M99" s="1311" t="e">
        <f aca="false">+M92</f>
        <v>#REF!</v>
      </c>
      <c r="N99" s="1311" t="e">
        <f aca="false">+N92</f>
        <v>#REF!</v>
      </c>
      <c r="O99" s="1311" t="e">
        <f aca="false">+O92</f>
        <v>#REF!</v>
      </c>
      <c r="P99" s="1311" t="e">
        <f aca="false">+P92</f>
        <v>#REF!</v>
      </c>
      <c r="Q99" s="1311" t="e">
        <f aca="false">+Q92</f>
        <v>#REF!</v>
      </c>
      <c r="R99" s="1311" t="e">
        <f aca="false">+R92</f>
        <v>#REF!</v>
      </c>
      <c r="S99" s="1311" t="e">
        <f aca="false">+S92</f>
        <v>#REF!</v>
      </c>
      <c r="T99" s="1311"/>
      <c r="V99" s="1312"/>
    </row>
    <row r="100" customFormat="false" ht="12.75" hidden="false" customHeight="false" outlineLevel="0" collapsed="false">
      <c r="C100" s="0" t="s">
        <v>848</v>
      </c>
      <c r="D100" s="1311" t="e">
        <f aca="false">+D99</f>
        <v>#REF!</v>
      </c>
      <c r="E100" s="1311" t="e">
        <f aca="false">+D100+E99</f>
        <v>#REF!</v>
      </c>
      <c r="F100" s="1311" t="e">
        <f aca="false">+E100+F99</f>
        <v>#REF!</v>
      </c>
      <c r="G100" s="1311" t="e">
        <f aca="false">+F100+G99</f>
        <v>#REF!</v>
      </c>
      <c r="H100" s="1311" t="e">
        <f aca="false">+G100+H99</f>
        <v>#REF!</v>
      </c>
      <c r="I100" s="1311" t="e">
        <f aca="false">+H100+I99</f>
        <v>#REF!</v>
      </c>
      <c r="J100" s="1311" t="e">
        <f aca="false">+I100+J99</f>
        <v>#REF!</v>
      </c>
      <c r="K100" s="1311" t="e">
        <f aca="false">+J100+K99</f>
        <v>#REF!</v>
      </c>
      <c r="L100" s="1311" t="e">
        <f aca="false">+K100+L99</f>
        <v>#REF!</v>
      </c>
      <c r="M100" s="1311" t="e">
        <f aca="false">+L100+M99</f>
        <v>#REF!</v>
      </c>
      <c r="N100" s="1311" t="e">
        <f aca="false">+M100+N99</f>
        <v>#REF!</v>
      </c>
      <c r="O100" s="1311" t="e">
        <f aca="false">+N100+O99</f>
        <v>#REF!</v>
      </c>
      <c r="P100" s="1311" t="e">
        <f aca="false">+O100+P99</f>
        <v>#REF!</v>
      </c>
      <c r="Q100" s="1311" t="e">
        <f aca="false">+P100+Q99</f>
        <v>#REF!</v>
      </c>
      <c r="R100" s="1311" t="e">
        <f aca="false">+Q100+R99</f>
        <v>#REF!</v>
      </c>
      <c r="S100" s="1311" t="e">
        <f aca="false">+R100+S99</f>
        <v>#REF!</v>
      </c>
      <c r="T100" s="1311"/>
      <c r="V100" s="1312"/>
    </row>
    <row r="101" customFormat="false" ht="12.75" hidden="false" customHeight="false" outlineLevel="0" collapsed="false">
      <c r="D101" s="252"/>
      <c r="E101" s="252"/>
      <c r="F101" s="252"/>
      <c r="G101" s="252"/>
      <c r="H101" s="252"/>
      <c r="I101" s="252"/>
      <c r="J101" s="252"/>
      <c r="K101" s="252"/>
      <c r="L101" s="252"/>
      <c r="M101" s="252"/>
      <c r="N101" s="252"/>
      <c r="O101" s="252"/>
      <c r="P101" s="252"/>
      <c r="Q101" s="252"/>
      <c r="R101" s="252"/>
      <c r="S101" s="252"/>
      <c r="T101" s="1311"/>
      <c r="V101" s="1312"/>
    </row>
    <row r="102" customFormat="false" ht="12.75" hidden="false" customHeight="false" outlineLevel="0" collapsed="false">
      <c r="D102" s="252"/>
      <c r="E102" s="252"/>
      <c r="F102" s="252"/>
      <c r="G102" s="252"/>
      <c r="H102" s="252"/>
      <c r="I102" s="252"/>
      <c r="J102" s="252"/>
      <c r="K102" s="252"/>
      <c r="L102" s="252"/>
      <c r="M102" s="252"/>
      <c r="N102" s="252"/>
      <c r="O102" s="252"/>
      <c r="P102" s="252"/>
      <c r="Q102" s="252"/>
      <c r="R102" s="252"/>
      <c r="S102" s="252"/>
      <c r="T102" s="1311"/>
      <c r="V102" s="1312"/>
    </row>
    <row r="103" customFormat="false" ht="13.5" hidden="false" customHeight="false" outlineLevel="0" collapsed="false">
      <c r="D103" s="252"/>
      <c r="E103" s="252"/>
      <c r="F103" s="252"/>
      <c r="G103" s="252"/>
      <c r="H103" s="252"/>
      <c r="I103" s="252"/>
      <c r="J103" s="252"/>
      <c r="K103" s="252"/>
      <c r="L103" s="252"/>
      <c r="M103" s="252"/>
      <c r="N103" s="252"/>
      <c r="O103" s="252"/>
      <c r="P103" s="252"/>
      <c r="Q103" s="252"/>
      <c r="R103" s="252"/>
      <c r="S103" s="252"/>
      <c r="T103" s="1311"/>
      <c r="V103" s="1312"/>
    </row>
    <row r="104" customFormat="false" ht="12.75" hidden="false" customHeight="false" outlineLevel="0" collapsed="false">
      <c r="C104" s="1178"/>
      <c r="D104" s="1315"/>
      <c r="E104" s="1315"/>
      <c r="F104" s="1315"/>
      <c r="G104" s="1315"/>
      <c r="H104" s="1315"/>
      <c r="I104" s="1315"/>
      <c r="J104" s="1315"/>
      <c r="K104" s="1315"/>
      <c r="L104" s="1315"/>
      <c r="M104" s="1315"/>
      <c r="N104" s="1315"/>
      <c r="O104" s="1315"/>
      <c r="P104" s="1315"/>
      <c r="Q104" s="1315"/>
      <c r="R104" s="1315"/>
      <c r="S104" s="1315"/>
      <c r="T104" s="1316"/>
      <c r="V104" s="1312"/>
    </row>
    <row r="105" customFormat="false" ht="20.25" hidden="false" customHeight="false" outlineLevel="0" collapsed="false">
      <c r="C105" s="1317" t="s">
        <v>849</v>
      </c>
      <c r="D105" s="215"/>
      <c r="E105" s="215"/>
      <c r="F105" s="215"/>
      <c r="G105" s="215"/>
      <c r="H105" s="215"/>
      <c r="I105" s="215"/>
      <c r="J105" s="215"/>
      <c r="K105" s="215"/>
      <c r="L105" s="215"/>
      <c r="M105" s="215"/>
      <c r="N105" s="215"/>
      <c r="O105" s="215"/>
      <c r="P105" s="215"/>
      <c r="Q105" s="215"/>
      <c r="R105" s="215"/>
      <c r="S105" s="215"/>
      <c r="T105" s="1318"/>
      <c r="V105" s="1312"/>
    </row>
    <row r="106" customFormat="false" ht="12.75" hidden="false" customHeight="false" outlineLevel="0" collapsed="false">
      <c r="C106" s="1180" t="s">
        <v>850</v>
      </c>
      <c r="D106" s="681" t="n">
        <f aca="false">+Draw!E9</f>
        <v>0</v>
      </c>
      <c r="E106" s="681" t="n">
        <f aca="false">+Draw!F9</f>
        <v>0</v>
      </c>
      <c r="F106" s="681" t="n">
        <f aca="false">+Draw!G9</f>
        <v>10</v>
      </c>
      <c r="G106" s="681" t="n">
        <f aca="false">+Draw!H9</f>
        <v>10</v>
      </c>
      <c r="H106" s="681" t="n">
        <f aca="false">+Draw!I9</f>
        <v>10</v>
      </c>
      <c r="I106" s="681" t="n">
        <f aca="false">+Draw!J9</f>
        <v>10</v>
      </c>
      <c r="J106" s="681" t="n">
        <f aca="false">+Draw!K9</f>
        <v>0</v>
      </c>
      <c r="K106" s="681" t="n">
        <f aca="false">+Draw!L9</f>
        <v>0</v>
      </c>
      <c r="L106" s="681" t="n">
        <f aca="false">+Draw!M9</f>
        <v>0</v>
      </c>
      <c r="M106" s="681" t="n">
        <f aca="false">+Draw!N9</f>
        <v>0</v>
      </c>
      <c r="N106" s="681" t="n">
        <f aca="false">+Draw!O9</f>
        <v>0</v>
      </c>
      <c r="O106" s="681" t="n">
        <f aca="false">+Draw!P9</f>
        <v>0</v>
      </c>
      <c r="P106" s="681" t="n">
        <f aca="false">+Draw!Q9</f>
        <v>0</v>
      </c>
      <c r="Q106" s="681" t="n">
        <f aca="false">+Draw!R9</f>
        <v>0</v>
      </c>
      <c r="R106" s="681" t="n">
        <f aca="false">+Draw!S9</f>
        <v>0</v>
      </c>
      <c r="S106" s="681" t="n">
        <f aca="false">+Draw!T9</f>
        <v>0</v>
      </c>
      <c r="T106" s="1319" t="str">
        <f aca="false">+Draw!U9</f>
        <v>ERROR</v>
      </c>
      <c r="U106" s="100"/>
      <c r="V106" s="100"/>
      <c r="W106" s="100"/>
    </row>
    <row r="107" customFormat="false" ht="12.75" hidden="false" customHeight="false" outlineLevel="0" collapsed="false">
      <c r="C107" s="1180" t="s">
        <v>851</v>
      </c>
      <c r="D107" s="1320" t="n">
        <f aca="false">+D106</f>
        <v>0</v>
      </c>
      <c r="E107" s="1320" t="n">
        <f aca="false">D107+E106</f>
        <v>0</v>
      </c>
      <c r="F107" s="1320" t="n">
        <f aca="false">E107+F106</f>
        <v>10</v>
      </c>
      <c r="G107" s="1320" t="n">
        <f aca="false">F107+G106</f>
        <v>20</v>
      </c>
      <c r="H107" s="1320" t="n">
        <f aca="false">G107+H106</f>
        <v>30</v>
      </c>
      <c r="I107" s="1320" t="n">
        <f aca="false">H107+I106</f>
        <v>40</v>
      </c>
      <c r="J107" s="1320" t="n">
        <f aca="false">I107+J106</f>
        <v>40</v>
      </c>
      <c r="K107" s="1320" t="n">
        <f aca="false">J107+K106</f>
        <v>40</v>
      </c>
      <c r="L107" s="1320" t="n">
        <f aca="false">K107+L106</f>
        <v>40</v>
      </c>
      <c r="M107" s="1320" t="n">
        <f aca="false">L107+M106</f>
        <v>40</v>
      </c>
      <c r="N107" s="1320" t="n">
        <f aca="false">M107+N106</f>
        <v>40</v>
      </c>
      <c r="O107" s="1320" t="n">
        <f aca="false">N107+O106</f>
        <v>40</v>
      </c>
      <c r="P107" s="1320" t="n">
        <f aca="false">O107+P106</f>
        <v>40</v>
      </c>
      <c r="Q107" s="1320" t="n">
        <f aca="false">P107+Q106</f>
        <v>40</v>
      </c>
      <c r="R107" s="1320" t="n">
        <f aca="false">Q107+R106</f>
        <v>40</v>
      </c>
      <c r="S107" s="1320" t="n">
        <f aca="false">R107+S106</f>
        <v>40</v>
      </c>
      <c r="T107" s="1318"/>
      <c r="V107" s="1312"/>
    </row>
    <row r="108" customFormat="false" ht="12.75" hidden="false" customHeight="false" outlineLevel="0" collapsed="false">
      <c r="C108" s="1180" t="s">
        <v>852</v>
      </c>
      <c r="D108" s="1320" t="n">
        <f aca="false">Draw!E11</f>
        <v>1500</v>
      </c>
      <c r="E108" s="1320" t="n">
        <f aca="false">Draw!F11</f>
        <v>1500</v>
      </c>
      <c r="F108" s="1320" t="n">
        <f aca="false">Draw!G11</f>
        <v>1500</v>
      </c>
      <c r="G108" s="1320" t="n">
        <f aca="false">Draw!H11</f>
        <v>1500</v>
      </c>
      <c r="H108" s="1320" t="n">
        <f aca="false">Draw!I11</f>
        <v>1500</v>
      </c>
      <c r="I108" s="1320" t="n">
        <f aca="false">Draw!J11</f>
        <v>1500</v>
      </c>
      <c r="J108" s="1320" t="n">
        <f aca="false">Draw!K11</f>
        <v>1500</v>
      </c>
      <c r="K108" s="1320" t="n">
        <f aca="false">Draw!L11</f>
        <v>1500</v>
      </c>
      <c r="L108" s="1320" t="n">
        <f aca="false">Draw!M11</f>
        <v>1500</v>
      </c>
      <c r="M108" s="1320" t="n">
        <f aca="false">Draw!N11</f>
        <v>1500</v>
      </c>
      <c r="N108" s="1320" t="n">
        <f aca="false">Draw!O11</f>
        <v>1500</v>
      </c>
      <c r="O108" s="1320" t="n">
        <f aca="false">Draw!P11</f>
        <v>1500</v>
      </c>
      <c r="P108" s="1320" t="n">
        <f aca="false">Draw!Q11</f>
        <v>1500</v>
      </c>
      <c r="Q108" s="1320" t="n">
        <f aca="false">Draw!R11</f>
        <v>1500</v>
      </c>
      <c r="R108" s="1320" t="n">
        <f aca="false">Draw!S11</f>
        <v>1500</v>
      </c>
      <c r="S108" s="1320" t="n">
        <f aca="false">Draw!T11</f>
        <v>1500</v>
      </c>
      <c r="T108" s="1320" t="n">
        <f aca="false">Draw!U11</f>
        <v>0</v>
      </c>
      <c r="V108" s="1312"/>
    </row>
    <row r="109" customFormat="false" ht="12.75" hidden="false" customHeight="false" outlineLevel="0" collapsed="false">
      <c r="C109" s="1180" t="s">
        <v>853</v>
      </c>
      <c r="D109" s="1320" t="n">
        <f aca="false">+Assum!$E$102*D108*Draw!D107*(8760*Draw!E12)*0.001</f>
        <v>0</v>
      </c>
      <c r="E109" s="1320" t="n">
        <f aca="false">+Assum!$E$102*E108*Draw!E107*(8760*Draw!F12)*0.001</f>
        <v>0</v>
      </c>
      <c r="F109" s="1320" t="n">
        <f aca="false">+Assum!$E$102*F108*Draw!F107*(8760*Draw!G12)*0.001</f>
        <v>13835.2092776667</v>
      </c>
      <c r="G109" s="1320" t="n">
        <f aca="false">+Assum!$E$102*G108*Draw!G107*(8760*Draw!H12)*0.001</f>
        <v>27670.4185553334</v>
      </c>
      <c r="H109" s="1320" t="n">
        <f aca="false">+Assum!$E$102*H108*Draw!H107*(8760*Draw!I12)*0.001</f>
        <v>0</v>
      </c>
      <c r="I109" s="1320" t="n">
        <f aca="false">+Assum!$E$102*I108*Draw!I107*(8760*Draw!J12)*0.001</f>
        <v>0</v>
      </c>
      <c r="J109" s="1320" t="n">
        <f aca="false">+Assum!$E$102*J108*Draw!J107*(8760*Draw!K12)*0.001</f>
        <v>0</v>
      </c>
      <c r="K109" s="1320" t="n">
        <f aca="false">+Assum!$E$102*K108*Draw!K107*(8760*Draw!L12)*0.001</f>
        <v>0</v>
      </c>
      <c r="L109" s="1320" t="n">
        <f aca="false">+Assum!$E$102*L108*Draw!L107*(8760*Draw!M12)*0.001</f>
        <v>0</v>
      </c>
      <c r="M109" s="1320" t="n">
        <f aca="false">+Assum!$E$102*M108*Draw!M107*(8760*Draw!N12)*0.001</f>
        <v>0</v>
      </c>
      <c r="N109" s="1320" t="n">
        <f aca="false">+Assum!$E$102*N108*Draw!N107*(8760*Draw!O12)*0.001</f>
        <v>0</v>
      </c>
      <c r="O109" s="1320" t="n">
        <f aca="false">+Assum!$E$102*O108*Draw!O107*(8760*Draw!P12)*0.001</f>
        <v>0</v>
      </c>
      <c r="P109" s="1320" t="n">
        <f aca="false">+Assum!$E$102*P108*Draw!P107*(8760*Draw!Q12)*0.001</f>
        <v>0</v>
      </c>
      <c r="Q109" s="1320" t="n">
        <f aca="false">+Assum!$E$102*Q108*Draw!Q107*(8760*Draw!R12)*0.001</f>
        <v>0</v>
      </c>
      <c r="R109" s="1320" t="n">
        <f aca="false">+Assum!$E$102*R108*Draw!R107*(8760*Draw!S12)*0.001</f>
        <v>0</v>
      </c>
      <c r="S109" s="1320" t="n">
        <f aca="false">+Assum!$E$102*S108*Draw!S107*(8760*Draw!T12)*0.001</f>
        <v>0</v>
      </c>
      <c r="T109" s="1320" t="n">
        <f aca="false">+Assum!$E$102*T108*Draw!T107*(8760*Draw!U12)*0.001</f>
        <v>0</v>
      </c>
      <c r="V109" s="1312"/>
    </row>
    <row r="110" customFormat="false" ht="12.75" hidden="false" customHeight="false" outlineLevel="0" collapsed="false">
      <c r="C110" s="1180" t="s">
        <v>854</v>
      </c>
      <c r="D110" s="215" t="n">
        <f aca="false">+CashFlow!E8</f>
        <v>0.0291</v>
      </c>
      <c r="E110" s="215" t="n">
        <f aca="false">+D110</f>
        <v>0.0291</v>
      </c>
      <c r="F110" s="215" t="n">
        <f aca="false">+E110</f>
        <v>0.0291</v>
      </c>
      <c r="G110" s="215" t="n">
        <f aca="false">+F110</f>
        <v>0.0291</v>
      </c>
      <c r="H110" s="215" t="n">
        <f aca="false">+G110</f>
        <v>0.0291</v>
      </c>
      <c r="I110" s="215" t="n">
        <f aca="false">+H110</f>
        <v>0.0291</v>
      </c>
      <c r="J110" s="215" t="n">
        <f aca="false">+I110</f>
        <v>0.0291</v>
      </c>
      <c r="K110" s="215" t="n">
        <f aca="false">+J110</f>
        <v>0.0291</v>
      </c>
      <c r="L110" s="215" t="n">
        <f aca="false">+K110</f>
        <v>0.0291</v>
      </c>
      <c r="M110" s="215" t="n">
        <f aca="false">+L110</f>
        <v>0.0291</v>
      </c>
      <c r="N110" s="215" t="n">
        <f aca="false">+M110</f>
        <v>0.0291</v>
      </c>
      <c r="O110" s="215" t="n">
        <f aca="false">+N110</f>
        <v>0.0291</v>
      </c>
      <c r="P110" s="215" t="n">
        <f aca="false">+O110</f>
        <v>0.0291</v>
      </c>
      <c r="Q110" s="215" t="n">
        <f aca="false">+P110</f>
        <v>0.0291</v>
      </c>
      <c r="R110" s="215" t="n">
        <f aca="false">+Q110</f>
        <v>0.0291</v>
      </c>
      <c r="S110" s="215" t="n">
        <f aca="false">+R110</f>
        <v>0.0291</v>
      </c>
      <c r="T110" s="1318"/>
      <c r="V110" s="1312"/>
    </row>
    <row r="111" customFormat="false" ht="12.75" hidden="false" customHeight="false" outlineLevel="0" collapsed="false">
      <c r="C111" s="1180"/>
      <c r="D111" s="215"/>
      <c r="E111" s="215"/>
      <c r="F111" s="215"/>
      <c r="G111" s="215"/>
      <c r="H111" s="215"/>
      <c r="I111" s="215"/>
      <c r="J111" s="215"/>
      <c r="K111" s="215"/>
      <c r="L111" s="215"/>
      <c r="M111" s="215"/>
      <c r="N111" s="215"/>
      <c r="O111" s="215"/>
      <c r="P111" s="215"/>
      <c r="Q111" s="215"/>
      <c r="R111" s="215"/>
      <c r="S111" s="215"/>
      <c r="T111" s="1318"/>
      <c r="V111" s="1312"/>
    </row>
    <row r="112" customFormat="false" ht="12.75" hidden="false" customHeight="false" outlineLevel="0" collapsed="false">
      <c r="C112" s="1321" t="s">
        <v>855</v>
      </c>
      <c r="D112" s="1320" t="n">
        <f aca="false">+D110*D109</f>
        <v>0</v>
      </c>
      <c r="E112" s="1320" t="n">
        <f aca="false">+E110*E109</f>
        <v>0</v>
      </c>
      <c r="F112" s="1320" t="n">
        <f aca="false">+F110*F109</f>
        <v>402.604589980101</v>
      </c>
      <c r="G112" s="1320" t="n">
        <f aca="false">+G110*G109</f>
        <v>805.209179960202</v>
      </c>
      <c r="H112" s="1320" t="n">
        <f aca="false">+H110*H109</f>
        <v>0</v>
      </c>
      <c r="I112" s="1320" t="n">
        <f aca="false">+I110*I109</f>
        <v>0</v>
      </c>
      <c r="J112" s="1320" t="n">
        <f aca="false">+J110*J109</f>
        <v>0</v>
      </c>
      <c r="K112" s="1320" t="n">
        <f aca="false">+K110*K109</f>
        <v>0</v>
      </c>
      <c r="L112" s="1320" t="n">
        <f aca="false">+L110*L109</f>
        <v>0</v>
      </c>
      <c r="M112" s="1320" t="n">
        <f aca="false">+M110*M109</f>
        <v>0</v>
      </c>
      <c r="N112" s="1320" t="n">
        <f aca="false">+N110*N109</f>
        <v>0</v>
      </c>
      <c r="O112" s="1320" t="n">
        <f aca="false">+O110*O109</f>
        <v>0</v>
      </c>
      <c r="P112" s="1320" t="n">
        <f aca="false">+P110*P109</f>
        <v>0</v>
      </c>
      <c r="Q112" s="1320" t="n">
        <f aca="false">+Q110*Q109</f>
        <v>0</v>
      </c>
      <c r="R112" s="1320" t="n">
        <f aca="false">+R110*R109</f>
        <v>0</v>
      </c>
      <c r="S112" s="1320" t="n">
        <f aca="false">+S110*S109</f>
        <v>0</v>
      </c>
      <c r="T112" s="1318" t="n">
        <f aca="false">SUM(D112:S112)</f>
        <v>1207.8137699403</v>
      </c>
      <c r="V112" s="1312"/>
    </row>
    <row r="113" customFormat="false" ht="12.75" hidden="false" customHeight="false" outlineLevel="0" collapsed="false">
      <c r="C113" s="1180"/>
      <c r="D113" s="215"/>
      <c r="E113" s="215"/>
      <c r="F113" s="215"/>
      <c r="G113" s="215"/>
      <c r="H113" s="215"/>
      <c r="I113" s="215"/>
      <c r="J113" s="215"/>
      <c r="K113" s="215"/>
      <c r="L113" s="215"/>
      <c r="M113" s="215"/>
      <c r="N113" s="215"/>
      <c r="O113" s="215"/>
      <c r="P113" s="215"/>
      <c r="Q113" s="215"/>
      <c r="R113" s="215"/>
      <c r="S113" s="215"/>
      <c r="T113" s="1318"/>
      <c r="V113" s="1312"/>
    </row>
    <row r="114" customFormat="false" ht="12.75" hidden="false" customHeight="false" outlineLevel="0" collapsed="false">
      <c r="C114" s="1321" t="s">
        <v>693</v>
      </c>
      <c r="D114" s="215"/>
      <c r="E114" s="215"/>
      <c r="F114" s="215"/>
      <c r="G114" s="215"/>
      <c r="H114" s="215"/>
      <c r="I114" s="215"/>
      <c r="J114" s="215"/>
      <c r="K114" s="215"/>
      <c r="L114" s="215"/>
      <c r="M114" s="215"/>
      <c r="N114" s="215"/>
      <c r="O114" s="215"/>
      <c r="P114" s="215"/>
      <c r="Q114" s="215"/>
      <c r="R114" s="215"/>
      <c r="S114" s="215"/>
      <c r="T114" s="1181"/>
    </row>
    <row r="115" customFormat="false" ht="12.75" hidden="false" customHeight="false" outlineLevel="0" collapsed="false">
      <c r="C115" s="1180" t="s">
        <v>856</v>
      </c>
      <c r="D115" s="1322" t="e">
        <f aca="false">(+Assum!$E$140+#REF!)*D106</f>
        <v>#REF!</v>
      </c>
      <c r="E115" s="1322" t="e">
        <f aca="false">(+Assum!$E$140+#REF!)*E106</f>
        <v>#REF!</v>
      </c>
      <c r="F115" s="1322" t="e">
        <f aca="false">(+Assum!$E$140+#REF!)*F106</f>
        <v>#REF!</v>
      </c>
      <c r="G115" s="1322" t="e">
        <f aca="false">(+Assum!$E$140+#REF!)*G106</f>
        <v>#REF!</v>
      </c>
      <c r="H115" s="1322" t="e">
        <f aca="false">(+Assum!$E$140+#REF!)*H106</f>
        <v>#REF!</v>
      </c>
      <c r="I115" s="1322" t="e">
        <f aca="false">(+Assum!$E$140+#REF!)*I106</f>
        <v>#REF!</v>
      </c>
      <c r="J115" s="1322" t="e">
        <f aca="false">(+Assum!$E$140+#REF!)*J106</f>
        <v>#REF!</v>
      </c>
      <c r="K115" s="1322" t="e">
        <f aca="false">(+Assum!$E$140+#REF!)*K106</f>
        <v>#REF!</v>
      </c>
      <c r="L115" s="1322" t="e">
        <f aca="false">(+Assum!$E$140+#REF!)*L106</f>
        <v>#REF!</v>
      </c>
      <c r="M115" s="1322" t="e">
        <f aca="false">(+Assum!$E$140+#REF!)*M106</f>
        <v>#REF!</v>
      </c>
      <c r="N115" s="1322" t="e">
        <f aca="false">(+Assum!$E$140+#REF!)*N106</f>
        <v>#REF!</v>
      </c>
      <c r="O115" s="1322" t="e">
        <f aca="false">(+Assum!$E$140+#REF!)*O106</f>
        <v>#REF!</v>
      </c>
      <c r="P115" s="1322" t="e">
        <f aca="false">(+Assum!$E$140+#REF!)*P106</f>
        <v>#REF!</v>
      </c>
      <c r="Q115" s="1322" t="e">
        <f aca="false">(+Assum!$E$140+#REF!)*Q106</f>
        <v>#REF!</v>
      </c>
      <c r="R115" s="1322" t="e">
        <f aca="false">(+Assum!$E$140+#REF!)*R106</f>
        <v>#REF!</v>
      </c>
      <c r="S115" s="1322" t="e">
        <f aca="false">(+Assum!$E$140+#REF!)*S106</f>
        <v>#REF!</v>
      </c>
      <c r="T115" s="1323" t="e">
        <f aca="false">SUM(D115:S115)</f>
        <v>#REF!</v>
      </c>
    </row>
    <row r="116" customFormat="false" ht="12.75" hidden="false" customHeight="false" outlineLevel="0" collapsed="false">
      <c r="C116" s="1180" t="s">
        <v>857</v>
      </c>
      <c r="D116" s="681" t="n">
        <f aca="false">+Assum!$E$147*D112</f>
        <v>0</v>
      </c>
      <c r="E116" s="681" t="n">
        <f aca="false">+Assum!$E$147*E112</f>
        <v>0</v>
      </c>
      <c r="F116" s="681" t="n">
        <f aca="false">+Assum!$E$147*F112</f>
        <v>0</v>
      </c>
      <c r="G116" s="681" t="n">
        <f aca="false">+Assum!$E$147*G112</f>
        <v>0</v>
      </c>
      <c r="H116" s="681" t="n">
        <f aca="false">+Assum!$E$147*H112</f>
        <v>0</v>
      </c>
      <c r="I116" s="681" t="n">
        <f aca="false">+Assum!$E$147*I112</f>
        <v>0</v>
      </c>
      <c r="J116" s="681" t="n">
        <f aca="false">+Assum!$E$147*J112</f>
        <v>0</v>
      </c>
      <c r="K116" s="681" t="n">
        <f aca="false">+Assum!$E$147*K112</f>
        <v>0</v>
      </c>
      <c r="L116" s="681" t="n">
        <f aca="false">+Assum!$E$147*L112</f>
        <v>0</v>
      </c>
      <c r="M116" s="681" t="n">
        <f aca="false">+Assum!$E$147*M112</f>
        <v>0</v>
      </c>
      <c r="N116" s="681" t="n">
        <f aca="false">+Assum!$E$147*N112</f>
        <v>0</v>
      </c>
      <c r="O116" s="681" t="n">
        <f aca="false">+Assum!$E$147*O112</f>
        <v>0</v>
      </c>
      <c r="P116" s="681" t="n">
        <f aca="false">+Assum!$E$147*P112</f>
        <v>0</v>
      </c>
      <c r="Q116" s="681" t="n">
        <f aca="false">+Assum!$E$147*Q112</f>
        <v>0</v>
      </c>
      <c r="R116" s="681" t="n">
        <f aca="false">+Assum!$E$147*R112</f>
        <v>0</v>
      </c>
      <c r="S116" s="681" t="n">
        <f aca="false">+Assum!$E$147*S112</f>
        <v>0</v>
      </c>
      <c r="T116" s="1323" t="n">
        <f aca="false">SUM(D116:S116)</f>
        <v>0</v>
      </c>
    </row>
    <row r="117" customFormat="false" ht="12.75" hidden="false" customHeight="false" outlineLevel="0" collapsed="false">
      <c r="C117" s="1180" t="s">
        <v>858</v>
      </c>
      <c r="D117" s="215"/>
      <c r="E117" s="215"/>
      <c r="F117" s="215"/>
      <c r="G117" s="215"/>
      <c r="H117" s="215" t="n">
        <f aca="false">+Assum!H64*Assum!H66</f>
        <v>21.7726688587467</v>
      </c>
      <c r="I117" s="215"/>
      <c r="J117" s="215"/>
      <c r="K117" s="215"/>
      <c r="L117" s="215"/>
      <c r="M117" s="215"/>
      <c r="N117" s="215"/>
      <c r="O117" s="215"/>
      <c r="P117" s="215"/>
      <c r="Q117" s="215"/>
      <c r="R117" s="215"/>
      <c r="S117" s="215"/>
      <c r="T117" s="1181"/>
    </row>
    <row r="118" customFormat="false" ht="12.75" hidden="false" customHeight="false" outlineLevel="0" collapsed="false">
      <c r="C118" s="1180"/>
      <c r="D118" s="215"/>
      <c r="E118" s="215"/>
      <c r="F118" s="215"/>
      <c r="G118" s="215"/>
      <c r="H118" s="215"/>
      <c r="I118" s="215"/>
      <c r="J118" s="215"/>
      <c r="K118" s="215"/>
      <c r="L118" s="215"/>
      <c r="M118" s="215"/>
      <c r="N118" s="215"/>
      <c r="O118" s="215"/>
      <c r="P118" s="215"/>
      <c r="Q118" s="215"/>
      <c r="R118" s="215"/>
      <c r="S118" s="215"/>
      <c r="T118" s="1181"/>
    </row>
    <row r="119" customFormat="false" ht="12.75" hidden="false" customHeight="false" outlineLevel="0" collapsed="false">
      <c r="C119" s="1321" t="s">
        <v>859</v>
      </c>
      <c r="D119" s="1322" t="e">
        <f aca="false">SUM(D115:D118)</f>
        <v>#REF!</v>
      </c>
      <c r="E119" s="1322" t="e">
        <f aca="false">SUM(E115:E118)</f>
        <v>#REF!</v>
      </c>
      <c r="F119" s="1322" t="e">
        <f aca="false">SUM(F115:F118)</f>
        <v>#REF!</v>
      </c>
      <c r="G119" s="1322" t="e">
        <f aca="false">SUM(G115:G118)</f>
        <v>#REF!</v>
      </c>
      <c r="H119" s="1322" t="e">
        <f aca="false">SUM(H115:H118)</f>
        <v>#REF!</v>
      </c>
      <c r="I119" s="1322" t="e">
        <f aca="false">SUM(I115:I118)</f>
        <v>#REF!</v>
      </c>
      <c r="J119" s="1322" t="e">
        <f aca="false">SUM(J115:J118)</f>
        <v>#REF!</v>
      </c>
      <c r="K119" s="1322" t="e">
        <f aca="false">SUM(K115:K118)</f>
        <v>#REF!</v>
      </c>
      <c r="L119" s="1322" t="e">
        <f aca="false">SUM(L115:L118)</f>
        <v>#REF!</v>
      </c>
      <c r="M119" s="1322" t="e">
        <f aca="false">SUM(M115:M118)</f>
        <v>#REF!</v>
      </c>
      <c r="N119" s="1322" t="e">
        <f aca="false">SUM(N115:N118)</f>
        <v>#REF!</v>
      </c>
      <c r="O119" s="1322" t="e">
        <f aca="false">SUM(O115:O118)</f>
        <v>#REF!</v>
      </c>
      <c r="P119" s="1322" t="e">
        <f aca="false">SUM(P115:P118)</f>
        <v>#REF!</v>
      </c>
      <c r="Q119" s="1322" t="e">
        <f aca="false">SUM(Q115:Q118)</f>
        <v>#REF!</v>
      </c>
      <c r="R119" s="1322" t="e">
        <f aca="false">SUM(R115:R118)</f>
        <v>#REF!</v>
      </c>
      <c r="S119" s="1322" t="e">
        <f aca="false">SUM(S115:S118)</f>
        <v>#REF!</v>
      </c>
      <c r="T119" s="1323" t="e">
        <f aca="false">SUM(D119:S119)</f>
        <v>#REF!</v>
      </c>
    </row>
    <row r="120" customFormat="false" ht="12.75" hidden="false" customHeight="false" outlineLevel="0" collapsed="false">
      <c r="C120" s="1180"/>
      <c r="D120" s="215"/>
      <c r="E120" s="215"/>
      <c r="F120" s="215"/>
      <c r="G120" s="215"/>
      <c r="H120" s="215"/>
      <c r="I120" s="215"/>
      <c r="J120" s="215"/>
      <c r="K120" s="215"/>
      <c r="L120" s="215"/>
      <c r="M120" s="215"/>
      <c r="N120" s="215"/>
      <c r="O120" s="215"/>
      <c r="P120" s="215"/>
      <c r="Q120" s="215"/>
      <c r="R120" s="215"/>
      <c r="S120" s="215"/>
      <c r="T120" s="1181"/>
    </row>
    <row r="121" customFormat="false" ht="12.75" hidden="false" customHeight="false" outlineLevel="0" collapsed="false">
      <c r="C121" s="1321" t="s">
        <v>860</v>
      </c>
      <c r="D121" s="1322" t="e">
        <f aca="false">+D112-D119</f>
        <v>#REF!</v>
      </c>
      <c r="E121" s="1322" t="e">
        <f aca="false">+E112-E119</f>
        <v>#REF!</v>
      </c>
      <c r="F121" s="1322" t="e">
        <f aca="false">+F112-F119</f>
        <v>#REF!</v>
      </c>
      <c r="G121" s="1322" t="e">
        <f aca="false">+G112-G119</f>
        <v>#REF!</v>
      </c>
      <c r="H121" s="1322" t="e">
        <f aca="false">+H112-H119</f>
        <v>#REF!</v>
      </c>
      <c r="I121" s="1322" t="e">
        <f aca="false">+I112-I119</f>
        <v>#REF!</v>
      </c>
      <c r="J121" s="1322" t="e">
        <f aca="false">+J112-J119</f>
        <v>#REF!</v>
      </c>
      <c r="K121" s="1322" t="e">
        <f aca="false">+K112-K119</f>
        <v>#REF!</v>
      </c>
      <c r="L121" s="1322" t="e">
        <f aca="false">+L112-L119</f>
        <v>#REF!</v>
      </c>
      <c r="M121" s="1322" t="e">
        <f aca="false">+M112-M119</f>
        <v>#REF!</v>
      </c>
      <c r="N121" s="1322" t="e">
        <f aca="false">+N112-N119</f>
        <v>#REF!</v>
      </c>
      <c r="O121" s="1322" t="e">
        <f aca="false">+O112-O119</f>
        <v>#REF!</v>
      </c>
      <c r="P121" s="1322" t="e">
        <f aca="false">+P112-P119</f>
        <v>#REF!</v>
      </c>
      <c r="Q121" s="1322" t="e">
        <f aca="false">+Q112-Q119</f>
        <v>#REF!</v>
      </c>
      <c r="R121" s="1322" t="e">
        <f aca="false">+R112-R119</f>
        <v>#REF!</v>
      </c>
      <c r="S121" s="1322" t="e">
        <f aca="false">+S112-S119</f>
        <v>#REF!</v>
      </c>
      <c r="T121" s="1323" t="e">
        <f aca="false">SUM(D121:S121)</f>
        <v>#REF!</v>
      </c>
    </row>
    <row r="122" customFormat="false" ht="12.75" hidden="false" customHeight="false" outlineLevel="0" collapsed="false">
      <c r="C122" s="1180"/>
      <c r="D122" s="215"/>
      <c r="E122" s="215"/>
      <c r="F122" s="215"/>
      <c r="G122" s="215"/>
      <c r="H122" s="215"/>
      <c r="I122" s="215"/>
      <c r="J122" s="215"/>
      <c r="K122" s="215"/>
      <c r="L122" s="215"/>
      <c r="M122" s="215"/>
      <c r="N122" s="215"/>
      <c r="O122" s="215"/>
      <c r="P122" s="215"/>
      <c r="Q122" s="215"/>
      <c r="R122" s="215"/>
      <c r="S122" s="215"/>
      <c r="T122" s="1181"/>
    </row>
    <row r="123" customFormat="false" ht="12.75" hidden="false" customHeight="false" outlineLevel="0" collapsed="false">
      <c r="C123" s="1324" t="s">
        <v>861</v>
      </c>
      <c r="D123" s="1325" t="e">
        <f aca="false">IF((+D99-D121)&gt;0,(+D99-D121),0)</f>
        <v>#REF!</v>
      </c>
      <c r="E123" s="1325" t="e">
        <f aca="false">IF((+E99-E121)&gt;0,(+E99-E121),0)</f>
        <v>#REF!</v>
      </c>
      <c r="F123" s="1325" t="e">
        <f aca="false">IF((+F99-F121)&gt;0,(+F99-F121),0)</f>
        <v>#REF!</v>
      </c>
      <c r="G123" s="1325" t="e">
        <f aca="false">IF((+G99-G121)&gt;0,(+G99-G121),0)</f>
        <v>#REF!</v>
      </c>
      <c r="H123" s="1325" t="e">
        <f aca="false">IF((+H99-H121)&gt;0,(+H99-H121),0)</f>
        <v>#REF!</v>
      </c>
      <c r="I123" s="1325" t="e">
        <f aca="false">IF((+I99-I121)&gt;0,(+I99-I121),0)</f>
        <v>#REF!</v>
      </c>
      <c r="J123" s="1325" t="e">
        <f aca="false">IF((+J99-J121)&gt;0,(+J99-J121),0)</f>
        <v>#REF!</v>
      </c>
      <c r="K123" s="1325" t="e">
        <f aca="false">IF((+K99-K121)&gt;0,(+K99-K121),0)</f>
        <v>#REF!</v>
      </c>
      <c r="L123" s="1325" t="e">
        <f aca="false">IF((+L99-L121)&gt;0,(+L99-L121),0)</f>
        <v>#REF!</v>
      </c>
      <c r="M123" s="1325" t="e">
        <f aca="false">IF((+M99-M121)&gt;0,(+M99-M121),0)</f>
        <v>#REF!</v>
      </c>
      <c r="N123" s="1325" t="e">
        <f aca="false">IF((+N99-N121)&gt;0,(+N99-N121),0)</f>
        <v>#REF!</v>
      </c>
      <c r="O123" s="1325" t="e">
        <f aca="false">IF((+O99-O121)&gt;0,(+O99-O121),0)</f>
        <v>#REF!</v>
      </c>
      <c r="P123" s="1325" t="e">
        <f aca="false">IF((+P99-P121)&gt;0,(+P99-P121),0)</f>
        <v>#REF!</v>
      </c>
      <c r="Q123" s="1325" t="e">
        <f aca="false">IF((+Q99-Q121)&gt;0,(+Q99-Q121),0)</f>
        <v>#REF!</v>
      </c>
      <c r="R123" s="1325" t="e">
        <f aca="false">IF((+R99-R121)&gt;0,(+R99-R121),0)</f>
        <v>#REF!</v>
      </c>
      <c r="S123" s="1325" t="e">
        <f aca="false">IF((+S99-S121)&gt;0,(+S99-S121),0)</f>
        <v>#REF!</v>
      </c>
      <c r="T123" s="1326"/>
    </row>
    <row r="124" customFormat="false" ht="12.75" hidden="false" customHeight="false" outlineLevel="0" collapsed="false">
      <c r="C124" s="1321" t="s">
        <v>862</v>
      </c>
      <c r="D124" s="1327" t="e">
        <f aca="false">+D123</f>
        <v>#REF!</v>
      </c>
      <c r="E124" s="1327" t="e">
        <f aca="false">IF((E123)&gt;0,(D124+E123),0)</f>
        <v>#REF!</v>
      </c>
      <c r="F124" s="1327" t="e">
        <f aca="false">IF((F123)&gt;0,(E124+F123),0)</f>
        <v>#REF!</v>
      </c>
      <c r="G124" s="1327" t="e">
        <f aca="false">IF((G123)&gt;0,(F124+G123),0)</f>
        <v>#REF!</v>
      </c>
      <c r="H124" s="1327" t="e">
        <f aca="false">IF((H123)&gt;0,(G124+H123),0)</f>
        <v>#REF!</v>
      </c>
      <c r="I124" s="1327" t="e">
        <f aca="false">IF((I123)&gt;0,(H124+I123),0)</f>
        <v>#REF!</v>
      </c>
      <c r="J124" s="1327" t="e">
        <f aca="false">IF((J123)&gt;0,(I124+J123),0)</f>
        <v>#REF!</v>
      </c>
      <c r="K124" s="1327" t="e">
        <f aca="false">IF((K123)&gt;0,(J124+K123),0)</f>
        <v>#REF!</v>
      </c>
      <c r="L124" s="1327" t="e">
        <f aca="false">IF((L123)&gt;0,(K124+L123),0)</f>
        <v>#REF!</v>
      </c>
      <c r="M124" s="1327" t="e">
        <f aca="false">IF((M123)&gt;0,(L124+M123),0)</f>
        <v>#REF!</v>
      </c>
      <c r="N124" s="1327" t="e">
        <f aca="false">IF((N123)&gt;0,(M124+N123),0)</f>
        <v>#REF!</v>
      </c>
      <c r="O124" s="1327" t="e">
        <f aca="false">IF((O123)&gt;0,(N124+O123),0)</f>
        <v>#REF!</v>
      </c>
      <c r="P124" s="1327" t="e">
        <f aca="false">IF((P123)&gt;0,(O124+P123),0)</f>
        <v>#REF!</v>
      </c>
      <c r="Q124" s="1327" t="e">
        <f aca="false">IF((Q123)&gt;0,(P124+Q123),0)</f>
        <v>#REF!</v>
      </c>
      <c r="R124" s="1327" t="e">
        <f aca="false">IF((R123)&gt;0,(Q124+R123),0)</f>
        <v>#REF!</v>
      </c>
      <c r="S124" s="1327" t="e">
        <f aca="false">IF((S123)&gt;0,(R124+S123),0)</f>
        <v>#REF!</v>
      </c>
      <c r="T124" s="1181"/>
    </row>
    <row r="125" customFormat="false" ht="12.75" hidden="false" customHeight="false" outlineLevel="0" collapsed="false">
      <c r="C125" s="1180"/>
      <c r="D125" s="215"/>
      <c r="E125" s="215"/>
      <c r="F125" s="215"/>
      <c r="G125" s="215"/>
      <c r="H125" s="215"/>
      <c r="I125" s="215"/>
      <c r="J125" s="215"/>
      <c r="K125" s="215"/>
      <c r="L125" s="215"/>
      <c r="M125" s="215"/>
      <c r="N125" s="215"/>
      <c r="O125" s="215"/>
      <c r="P125" s="215"/>
      <c r="Q125" s="215"/>
      <c r="R125" s="215"/>
      <c r="S125" s="215"/>
      <c r="T125" s="1181"/>
    </row>
    <row r="126" customFormat="false" ht="12.75" hidden="false" customHeight="false" outlineLevel="0" collapsed="false">
      <c r="C126" s="1180"/>
      <c r="D126" s="215"/>
      <c r="E126" s="215"/>
      <c r="F126" s="215"/>
      <c r="G126" s="215"/>
      <c r="H126" s="215"/>
      <c r="I126" s="215"/>
      <c r="J126" s="215"/>
      <c r="K126" s="215"/>
      <c r="L126" s="215"/>
      <c r="M126" s="215"/>
      <c r="N126" s="215"/>
      <c r="O126" s="215"/>
      <c r="P126" s="215"/>
      <c r="Q126" s="215"/>
      <c r="R126" s="215"/>
      <c r="S126" s="215"/>
      <c r="T126" s="1181"/>
    </row>
    <row r="127" customFormat="false" ht="13.5" hidden="false" customHeight="false" outlineLevel="0" collapsed="false">
      <c r="C127" s="1221"/>
      <c r="D127" s="1328"/>
      <c r="E127" s="1328"/>
      <c r="F127" s="1328"/>
      <c r="G127" s="1328"/>
      <c r="H127" s="1328"/>
      <c r="I127" s="1328"/>
      <c r="J127" s="1328"/>
      <c r="K127" s="1328"/>
      <c r="L127" s="1328"/>
      <c r="M127" s="1328"/>
      <c r="N127" s="1328"/>
      <c r="O127" s="1328"/>
      <c r="P127" s="1328"/>
      <c r="Q127" s="1328"/>
      <c r="R127" s="1328"/>
      <c r="S127" s="1328"/>
      <c r="T127" s="1329"/>
    </row>
  </sheetData>
  <printOptions headings="tru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rowBreaks count="1" manualBreakCount="1">
    <brk id="102" man="true" max="16383" min="0"/>
  </rowBreaks>
  <colBreaks count="1" manualBreakCount="1">
    <brk id="1" man="true" max="65535" min="0"/>
  </col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AQ88"/>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C4" activeCellId="0" sqref="C4"/>
    </sheetView>
  </sheetViews>
  <sheetFormatPr defaultColWidth="8.70703125" defaultRowHeight="12.75" customHeight="true" zeroHeight="false" outlineLevelRow="0" outlineLevelCol="0"/>
  <cols>
    <col collapsed="false" customWidth="true" hidden="false" outlineLevel="0" max="1" min="1" style="21" width="4.7"/>
    <col collapsed="false" customWidth="true" hidden="false" outlineLevel="0" max="2" min="2" style="21" width="47.28"/>
    <col collapsed="false" customWidth="true" hidden="false" outlineLevel="0" max="3" min="3" style="21" width="18.7"/>
    <col collapsed="false" customWidth="true" hidden="false" outlineLevel="0" max="4" min="4" style="21" width="16.42"/>
    <col collapsed="false" customWidth="true" hidden="false" outlineLevel="0" max="5" min="5" style="21" width="15.41"/>
    <col collapsed="false" customWidth="true" hidden="false" outlineLevel="0" max="6" min="6" style="21" width="10.71"/>
    <col collapsed="false" customWidth="true" hidden="false" outlineLevel="0" max="7" min="7" style="21" width="20.85"/>
    <col collapsed="false" customWidth="true" hidden="false" outlineLevel="0" max="8" min="8" style="21" width="15.28"/>
    <col collapsed="false" customWidth="true" hidden="false" outlineLevel="0" max="9" min="9" style="21" width="13.7"/>
    <col collapsed="false" customWidth="true" hidden="false" outlineLevel="0" max="10" min="10" style="21" width="15.85"/>
    <col collapsed="false" customWidth="true" hidden="false" outlineLevel="0" max="11" min="11" style="21" width="11.85"/>
    <col collapsed="false" customWidth="true" hidden="false" outlineLevel="0" max="12" min="12" style="21" width="11.42"/>
    <col collapsed="false" customWidth="true" hidden="false" outlineLevel="0" max="13" min="13" style="21" width="11.28"/>
    <col collapsed="false" customWidth="true" hidden="false" outlineLevel="0" max="17" min="14" style="21" width="9.7"/>
    <col collapsed="false" customWidth="false" hidden="false" outlineLevel="0" max="257" min="18" style="21" width="8.7"/>
  </cols>
  <sheetData>
    <row r="1" customFormat="false" ht="14.25" hidden="false" customHeight="true" outlineLevel="0" collapsed="false"/>
    <row r="2" customFormat="false" ht="14.25" hidden="false" customHeight="true" outlineLevel="0" collapsed="false"/>
    <row r="3" customFormat="false" ht="14.25" hidden="false" customHeight="true" outlineLevel="0" collapsed="false"/>
    <row r="4" customFormat="false" ht="14.25" hidden="false" customHeight="true" outlineLevel="0" collapsed="false">
      <c r="B4" s="1330"/>
      <c r="C4" s="1331" t="s">
        <v>863</v>
      </c>
      <c r="D4" s="1332"/>
      <c r="E4" s="1333" t="str">
        <f aca="false">Assum!$F$19&amp;" "&amp;FIXED(Assum!$F$31,2,TRUE())&amp;"MW Project"</f>
        <v>SMUD - Solano 34.50MW Project</v>
      </c>
      <c r="F4" s="1334"/>
      <c r="G4" s="1334"/>
      <c r="H4" s="1334"/>
      <c r="I4" s="1334"/>
      <c r="J4" s="1334"/>
      <c r="K4" s="1334"/>
      <c r="L4" s="1334"/>
      <c r="M4" s="1334"/>
      <c r="N4" s="1334"/>
      <c r="O4" s="1334"/>
      <c r="P4" s="1334"/>
      <c r="Q4" s="1334"/>
      <c r="R4" s="1334"/>
      <c r="S4" s="1334"/>
      <c r="T4" s="1334"/>
      <c r="U4" s="1334"/>
      <c r="V4" s="1334"/>
      <c r="W4" s="1334"/>
      <c r="X4" s="1334"/>
      <c r="Y4" s="1334"/>
      <c r="Z4" s="1334"/>
      <c r="AA4" s="1334"/>
      <c r="AB4" s="1334"/>
      <c r="AC4" s="1334"/>
      <c r="AD4" s="1334"/>
      <c r="AE4" s="1334"/>
      <c r="AF4" s="1334"/>
      <c r="AG4" s="1334"/>
      <c r="AH4" s="1334"/>
      <c r="AI4" s="1334"/>
      <c r="AJ4" s="1334"/>
      <c r="AK4" s="1334"/>
      <c r="AL4" s="1334"/>
      <c r="AM4" s="1334"/>
      <c r="AN4" s="1334"/>
      <c r="AO4" s="1334"/>
      <c r="AP4" s="1334"/>
      <c r="AQ4" s="1334"/>
    </row>
    <row r="5" customFormat="false" ht="15.75" hidden="false" customHeight="false" outlineLevel="0" collapsed="false">
      <c r="B5" s="1330"/>
      <c r="C5" s="1335"/>
      <c r="D5" s="1334"/>
      <c r="E5" s="1336"/>
      <c r="F5" s="1334"/>
      <c r="G5" s="1334"/>
      <c r="H5" s="1334"/>
      <c r="I5" s="1334"/>
      <c r="J5" s="1334"/>
      <c r="K5" s="1334"/>
      <c r="L5" s="1334"/>
      <c r="M5" s="1334"/>
      <c r="N5" s="1334"/>
      <c r="O5" s="1334"/>
      <c r="P5" s="1334"/>
      <c r="Q5" s="1334"/>
      <c r="R5" s="1334"/>
      <c r="S5" s="1334"/>
      <c r="T5" s="1334"/>
      <c r="U5" s="1334"/>
      <c r="V5" s="1334"/>
      <c r="W5" s="1334"/>
      <c r="X5" s="1334"/>
      <c r="Y5" s="1334"/>
      <c r="Z5" s="1334"/>
      <c r="AA5" s="1334"/>
      <c r="AB5" s="1334"/>
      <c r="AC5" s="1334"/>
      <c r="AD5" s="1334"/>
      <c r="AE5" s="1334"/>
      <c r="AF5" s="1334"/>
      <c r="AG5" s="1334"/>
      <c r="AH5" s="1334"/>
      <c r="AI5" s="1334"/>
      <c r="AJ5" s="1334"/>
      <c r="AK5" s="1334"/>
      <c r="AL5" s="1334"/>
      <c r="AM5" s="1334"/>
      <c r="AN5" s="1334"/>
      <c r="AO5" s="1334"/>
      <c r="AP5" s="1334"/>
      <c r="AQ5" s="1334"/>
    </row>
    <row r="6" customFormat="false" ht="15.75" hidden="false" customHeight="false" outlineLevel="0" collapsed="false">
      <c r="B6" s="1330"/>
      <c r="C6" s="1335"/>
      <c r="D6" s="1334"/>
      <c r="E6" s="1336"/>
      <c r="F6" s="1334"/>
      <c r="G6" s="1334"/>
      <c r="H6" s="1334"/>
      <c r="I6" s="1334"/>
      <c r="J6" s="1334"/>
      <c r="K6" s="1334"/>
      <c r="L6" s="1334"/>
      <c r="M6" s="1334"/>
      <c r="N6" s="1334"/>
      <c r="O6" s="1334"/>
      <c r="P6" s="1334"/>
      <c r="Q6" s="1334"/>
      <c r="R6" s="1334"/>
      <c r="S6" s="1334"/>
      <c r="T6" s="1334"/>
      <c r="U6" s="1334"/>
      <c r="V6" s="1334"/>
      <c r="W6" s="1334"/>
      <c r="X6" s="1334"/>
      <c r="Y6" s="1334"/>
      <c r="Z6" s="1334"/>
      <c r="AA6" s="1334"/>
      <c r="AB6" s="1334"/>
      <c r="AC6" s="1334"/>
      <c r="AD6" s="1334"/>
      <c r="AE6" s="1334"/>
      <c r="AF6" s="1334"/>
      <c r="AG6" s="1334"/>
      <c r="AH6" s="1334"/>
      <c r="AI6" s="1334"/>
      <c r="AJ6" s="1334"/>
      <c r="AK6" s="1334"/>
      <c r="AL6" s="1334"/>
      <c r="AM6" s="1334"/>
      <c r="AN6" s="1334"/>
      <c r="AO6" s="1334"/>
      <c r="AP6" s="1334"/>
      <c r="AQ6" s="1334"/>
    </row>
    <row r="7" customFormat="false" ht="15.75" hidden="false" customHeight="false" outlineLevel="0" collapsed="false">
      <c r="B7" s="1330"/>
      <c r="C7" s="1335"/>
      <c r="D7" s="1334"/>
      <c r="E7" s="1336"/>
      <c r="F7" s="1334"/>
      <c r="G7" s="1334"/>
      <c r="H7" s="1334"/>
      <c r="I7" s="1334"/>
      <c r="J7" s="1334"/>
      <c r="K7" s="1334"/>
      <c r="L7" s="1334"/>
      <c r="M7" s="1334"/>
      <c r="N7" s="1334"/>
      <c r="O7" s="1334"/>
      <c r="P7" s="1334"/>
      <c r="Q7" s="1334"/>
      <c r="R7" s="1334"/>
      <c r="S7" s="1334"/>
      <c r="T7" s="1334"/>
      <c r="U7" s="1334"/>
      <c r="V7" s="1334"/>
      <c r="W7" s="1334"/>
      <c r="X7" s="1334"/>
      <c r="Y7" s="1334"/>
      <c r="Z7" s="1334"/>
      <c r="AA7" s="1334"/>
      <c r="AB7" s="1334"/>
      <c r="AC7" s="1334"/>
      <c r="AD7" s="1334"/>
      <c r="AE7" s="1334"/>
      <c r="AF7" s="1334"/>
      <c r="AG7" s="1334"/>
      <c r="AH7" s="1334"/>
      <c r="AI7" s="1334"/>
      <c r="AJ7" s="1334"/>
      <c r="AK7" s="1334"/>
      <c r="AL7" s="1334"/>
      <c r="AM7" s="1334"/>
      <c r="AN7" s="1334"/>
      <c r="AO7" s="1334"/>
      <c r="AP7" s="1334"/>
      <c r="AQ7" s="1334"/>
    </row>
    <row r="8" customFormat="false" ht="15.75" hidden="false" customHeight="false" outlineLevel="0" collapsed="false">
      <c r="B8" s="1334"/>
      <c r="C8" s="1337"/>
      <c r="D8" s="1336"/>
      <c r="E8" s="1334"/>
      <c r="F8" s="1338" t="n">
        <f aca="false">zcell1</f>
        <v>0</v>
      </c>
      <c r="G8" s="1338" t="n">
        <f aca="false">zcell1</f>
        <v>0</v>
      </c>
      <c r="H8" s="1338" t="n">
        <f aca="false">zcell1</f>
        <v>0</v>
      </c>
      <c r="I8" s="1339"/>
      <c r="J8" s="1339"/>
      <c r="K8" s="1334"/>
      <c r="L8" s="1334"/>
      <c r="M8" s="1334"/>
      <c r="N8" s="1334"/>
      <c r="P8" s="1334"/>
      <c r="Q8" s="1334"/>
      <c r="R8" s="1334"/>
      <c r="S8" s="1334"/>
      <c r="T8" s="1334"/>
      <c r="U8" s="1334"/>
      <c r="V8" s="1334"/>
      <c r="W8" s="1334"/>
      <c r="X8" s="1334"/>
      <c r="Y8" s="1334"/>
      <c r="Z8" s="1334"/>
      <c r="AA8" s="1334"/>
      <c r="AB8" s="1334"/>
      <c r="AC8" s="1334"/>
      <c r="AD8" s="1334"/>
      <c r="AE8" s="1334"/>
      <c r="AF8" s="1334"/>
      <c r="AG8" s="1334"/>
      <c r="AH8" s="1334"/>
      <c r="AI8" s="1334"/>
      <c r="AJ8" s="1334"/>
      <c r="AK8" s="1334"/>
      <c r="AL8" s="1334"/>
      <c r="AM8" s="1334"/>
      <c r="AN8" s="1334"/>
      <c r="AO8" s="1334"/>
      <c r="AP8" s="1334"/>
      <c r="AQ8" s="1334"/>
    </row>
    <row r="9" customFormat="false" ht="12.75" hidden="false" customHeight="false" outlineLevel="0" collapsed="false">
      <c r="B9" s="1340" t="s">
        <v>412</v>
      </c>
      <c r="C9" s="1334"/>
      <c r="D9" s="1339" t="n">
        <f aca="false">Assum!F30</f>
        <v>23</v>
      </c>
      <c r="E9" s="1341" t="s">
        <v>864</v>
      </c>
      <c r="F9" s="1338" t="n">
        <f aca="false">Assum!H30</f>
        <v>0</v>
      </c>
      <c r="G9" s="1338" t="n">
        <f aca="false">Assum!I30</f>
        <v>23</v>
      </c>
      <c r="H9" s="1338" t="n">
        <f aca="false">Assum!J30</f>
        <v>0</v>
      </c>
      <c r="I9" s="1339"/>
      <c r="J9" s="1339"/>
      <c r="K9" s="1334"/>
      <c r="L9" s="1334"/>
      <c r="M9" s="1334"/>
      <c r="N9" s="1334"/>
      <c r="P9" s="1334"/>
      <c r="Q9" s="1334"/>
      <c r="R9" s="1334"/>
      <c r="S9" s="1334"/>
      <c r="T9" s="1334"/>
      <c r="U9" s="1334"/>
      <c r="V9" s="1334"/>
      <c r="W9" s="1334"/>
      <c r="X9" s="1334"/>
      <c r="Y9" s="1334"/>
      <c r="Z9" s="1334"/>
      <c r="AA9" s="1334"/>
      <c r="AB9" s="1334"/>
      <c r="AC9" s="1334"/>
      <c r="AD9" s="1334"/>
      <c r="AE9" s="1334"/>
      <c r="AF9" s="1334"/>
      <c r="AG9" s="1334"/>
      <c r="AH9" s="1334"/>
      <c r="AI9" s="1334"/>
      <c r="AJ9" s="1334"/>
      <c r="AK9" s="1334"/>
      <c r="AL9" s="1334"/>
      <c r="AM9" s="1334"/>
      <c r="AN9" s="1334"/>
      <c r="AO9" s="1334"/>
      <c r="AP9" s="1334"/>
      <c r="AQ9" s="1334"/>
    </row>
    <row r="10" customFormat="false" ht="12.75" hidden="false" customHeight="false" outlineLevel="0" collapsed="false">
      <c r="B10" s="1339" t="s">
        <v>865</v>
      </c>
      <c r="C10" s="1334"/>
      <c r="D10" s="1342" t="n">
        <f aca="false">Assum!E102</f>
        <v>0.421163143916795</v>
      </c>
      <c r="E10" s="1339"/>
      <c r="F10" s="1339"/>
      <c r="G10" s="1343"/>
      <c r="H10" s="1339"/>
      <c r="I10" s="1339"/>
      <c r="J10" s="1339"/>
      <c r="K10" s="1334"/>
      <c r="L10" s="1334"/>
      <c r="M10" s="1334"/>
      <c r="N10" s="1334"/>
      <c r="P10" s="1334"/>
      <c r="Q10" s="1334"/>
      <c r="R10" s="1334"/>
      <c r="S10" s="1334"/>
      <c r="T10" s="1334"/>
      <c r="U10" s="1334"/>
      <c r="V10" s="1334"/>
      <c r="W10" s="1334"/>
      <c r="X10" s="1334"/>
      <c r="Y10" s="1334"/>
      <c r="Z10" s="1334"/>
      <c r="AA10" s="1334"/>
      <c r="AB10" s="1334"/>
      <c r="AC10" s="1334"/>
      <c r="AD10" s="1334"/>
      <c r="AE10" s="1334"/>
      <c r="AF10" s="1334"/>
      <c r="AG10" s="1334"/>
      <c r="AH10" s="1334"/>
      <c r="AI10" s="1334"/>
      <c r="AJ10" s="1334"/>
      <c r="AK10" s="1334"/>
      <c r="AL10" s="1334"/>
      <c r="AM10" s="1334"/>
      <c r="AN10" s="1334"/>
      <c r="AO10" s="1334"/>
      <c r="AP10" s="1334"/>
      <c r="AQ10" s="1334"/>
    </row>
    <row r="11" customFormat="false" ht="12.75" hidden="false" customHeight="false" outlineLevel="0" collapsed="false">
      <c r="B11" s="1344" t="s">
        <v>866</v>
      </c>
      <c r="C11" s="1345" t="n">
        <f aca="false">Assum!D122</f>
        <v>0.0825</v>
      </c>
      <c r="D11" s="1346" t="n">
        <f aca="false">Assum!E122</f>
        <v>0.0291</v>
      </c>
      <c r="E11" s="1339"/>
      <c r="F11" s="1339"/>
      <c r="G11" s="1339"/>
      <c r="H11" s="1339"/>
      <c r="I11" s="1339"/>
      <c r="J11" s="1339"/>
      <c r="K11" s="1334"/>
      <c r="L11" s="1334"/>
      <c r="M11" s="1334"/>
      <c r="N11" s="1334"/>
      <c r="P11" s="1334"/>
      <c r="Q11" s="1334"/>
      <c r="R11" s="1334"/>
      <c r="S11" s="1334"/>
      <c r="T11" s="1334"/>
      <c r="U11" s="1334"/>
      <c r="V11" s="1334"/>
      <c r="W11" s="1334"/>
      <c r="X11" s="1334"/>
      <c r="Y11" s="1334"/>
      <c r="Z11" s="1334"/>
      <c r="AA11" s="1334"/>
      <c r="AB11" s="1334"/>
      <c r="AC11" s="1334"/>
      <c r="AD11" s="1334"/>
      <c r="AE11" s="1334"/>
      <c r="AF11" s="1334"/>
      <c r="AG11" s="1334"/>
      <c r="AH11" s="1334"/>
      <c r="AI11" s="1334"/>
      <c r="AJ11" s="1334"/>
      <c r="AK11" s="1334"/>
      <c r="AL11" s="1334"/>
      <c r="AM11" s="1334"/>
      <c r="AN11" s="1334"/>
      <c r="AO11" s="1334"/>
      <c r="AP11" s="1334"/>
      <c r="AQ11" s="1334"/>
    </row>
    <row r="12" customFormat="false" ht="12.75" hidden="false" customHeight="false" outlineLevel="0" collapsed="false">
      <c r="B12" s="1344"/>
      <c r="C12" s="1334"/>
      <c r="D12" s="1347"/>
      <c r="E12" s="1339"/>
      <c r="F12" s="1339"/>
      <c r="G12" s="1339"/>
      <c r="H12" s="1339"/>
      <c r="I12" s="1339"/>
      <c r="J12" s="1339"/>
      <c r="K12" s="1334"/>
      <c r="L12" s="1334"/>
      <c r="M12" s="1334"/>
      <c r="N12" s="1334"/>
      <c r="P12" s="1334"/>
      <c r="Q12" s="1334"/>
      <c r="R12" s="1334"/>
      <c r="S12" s="1334"/>
      <c r="T12" s="1334"/>
      <c r="U12" s="1334"/>
      <c r="V12" s="1334"/>
      <c r="W12" s="1334"/>
      <c r="X12" s="1334"/>
      <c r="Y12" s="1334"/>
      <c r="Z12" s="1334"/>
      <c r="AA12" s="1334"/>
      <c r="AB12" s="1334"/>
      <c r="AC12" s="1334"/>
      <c r="AD12" s="1334"/>
      <c r="AE12" s="1334"/>
      <c r="AF12" s="1334"/>
      <c r="AG12" s="1334"/>
      <c r="AH12" s="1334"/>
      <c r="AI12" s="1334"/>
      <c r="AJ12" s="1334"/>
      <c r="AK12" s="1334"/>
      <c r="AL12" s="1334"/>
      <c r="AM12" s="1334"/>
      <c r="AN12" s="1334"/>
      <c r="AO12" s="1334"/>
      <c r="AP12" s="1334"/>
      <c r="AQ12" s="1334"/>
    </row>
    <row r="13" customFormat="false" ht="12.75" hidden="false" customHeight="false" outlineLevel="0" collapsed="false">
      <c r="B13" s="1344" t="s">
        <v>867</v>
      </c>
      <c r="C13" s="1334"/>
      <c r="D13" s="1346" t="n">
        <f aca="false">Assum!E110</f>
        <v>0.0291</v>
      </c>
      <c r="E13" s="1334"/>
      <c r="F13" s="1334"/>
      <c r="G13" s="1334"/>
      <c r="H13" s="1334"/>
      <c r="I13" s="1334"/>
      <c r="J13" s="1334"/>
      <c r="K13" s="1334"/>
      <c r="L13" s="1334"/>
      <c r="M13" s="1334"/>
      <c r="N13" s="1334"/>
      <c r="P13" s="1334"/>
      <c r="Q13" s="1334"/>
      <c r="R13" s="1334"/>
      <c r="S13" s="1334"/>
      <c r="T13" s="1334"/>
      <c r="U13" s="1334"/>
      <c r="V13" s="1334"/>
      <c r="W13" s="1334"/>
      <c r="X13" s="1334"/>
      <c r="Y13" s="1334"/>
      <c r="Z13" s="1334"/>
      <c r="AA13" s="1334"/>
      <c r="AB13" s="1334"/>
      <c r="AC13" s="1334"/>
      <c r="AD13" s="1334"/>
      <c r="AE13" s="1334"/>
      <c r="AF13" s="1334"/>
      <c r="AG13" s="1334"/>
      <c r="AH13" s="1334"/>
      <c r="AI13" s="1334"/>
      <c r="AJ13" s="1334"/>
      <c r="AK13" s="1334"/>
      <c r="AL13" s="1334"/>
      <c r="AM13" s="1334"/>
      <c r="AN13" s="1334"/>
      <c r="AO13" s="1334"/>
      <c r="AP13" s="1334"/>
      <c r="AQ13" s="1334"/>
    </row>
    <row r="14" customFormat="false" ht="12.75" hidden="false" customHeight="false" outlineLevel="0" collapsed="false">
      <c r="B14" s="1344"/>
      <c r="C14" s="1334"/>
      <c r="D14" s="1347"/>
      <c r="E14" s="1339"/>
      <c r="G14" s="1339"/>
      <c r="H14" s="1339"/>
      <c r="I14" s="1339"/>
      <c r="J14" s="1339"/>
      <c r="K14" s="1334"/>
      <c r="L14" s="1334"/>
      <c r="M14" s="1334"/>
      <c r="N14" s="1334"/>
      <c r="P14" s="1334"/>
      <c r="Q14" s="1334"/>
      <c r="R14" s="1334"/>
      <c r="S14" s="1334"/>
      <c r="T14" s="1334"/>
      <c r="U14" s="1334"/>
      <c r="V14" s="1334"/>
      <c r="W14" s="1334"/>
      <c r="X14" s="1334"/>
      <c r="Y14" s="1334"/>
      <c r="Z14" s="1334"/>
      <c r="AA14" s="1334"/>
      <c r="AB14" s="1334"/>
      <c r="AC14" s="1334"/>
      <c r="AD14" s="1334"/>
      <c r="AE14" s="1334"/>
      <c r="AF14" s="1334"/>
      <c r="AG14" s="1334"/>
      <c r="AH14" s="1334"/>
      <c r="AI14" s="1334"/>
      <c r="AJ14" s="1334"/>
      <c r="AK14" s="1334"/>
      <c r="AL14" s="1334"/>
      <c r="AM14" s="1334"/>
      <c r="AN14" s="1334"/>
      <c r="AO14" s="1334"/>
      <c r="AP14" s="1334"/>
      <c r="AQ14" s="1334"/>
    </row>
    <row r="15" customFormat="false" ht="12.75" hidden="false" customHeight="false" outlineLevel="0" collapsed="false">
      <c r="B15" s="1344" t="s">
        <v>868</v>
      </c>
      <c r="C15" s="1334"/>
      <c r="D15" s="1346" t="n">
        <f aca="false">CashFlow!E8</f>
        <v>0.0291</v>
      </c>
      <c r="E15" s="1334"/>
      <c r="F15" s="1339"/>
      <c r="G15" s="1339"/>
      <c r="H15" s="1339"/>
      <c r="I15" s="1339"/>
      <c r="J15" s="1339"/>
      <c r="K15" s="1334"/>
      <c r="L15" s="1334"/>
      <c r="M15" s="1334"/>
      <c r="N15" s="1334"/>
      <c r="P15" s="1334"/>
      <c r="Q15" s="1334"/>
      <c r="R15" s="1334"/>
      <c r="S15" s="1334"/>
      <c r="T15" s="1334"/>
      <c r="U15" s="1334"/>
      <c r="V15" s="1334"/>
      <c r="W15" s="1334"/>
      <c r="X15" s="1334"/>
      <c r="Y15" s="1334"/>
      <c r="Z15" s="1334"/>
      <c r="AA15" s="1334"/>
      <c r="AB15" s="1334"/>
      <c r="AC15" s="1334"/>
      <c r="AD15" s="1334"/>
      <c r="AE15" s="1334"/>
      <c r="AF15" s="1334"/>
      <c r="AG15" s="1334"/>
      <c r="AH15" s="1334"/>
      <c r="AI15" s="1334"/>
      <c r="AJ15" s="1334"/>
      <c r="AK15" s="1334"/>
      <c r="AL15" s="1334"/>
      <c r="AM15" s="1334"/>
      <c r="AN15" s="1334"/>
      <c r="AO15" s="1334"/>
      <c r="AP15" s="1334"/>
      <c r="AQ15" s="1334"/>
    </row>
    <row r="16" customFormat="false" ht="12.75" hidden="false" customHeight="false" outlineLevel="0" collapsed="false">
      <c r="B16" s="1334"/>
      <c r="C16" s="1334"/>
      <c r="D16" s="1334"/>
      <c r="E16" s="1334"/>
      <c r="F16" s="1339"/>
      <c r="G16" s="1334"/>
      <c r="H16" s="1334"/>
      <c r="I16" s="1334"/>
      <c r="J16" s="1334"/>
      <c r="K16" s="1334"/>
      <c r="L16" s="1334"/>
      <c r="M16" s="1334"/>
      <c r="N16" s="1334"/>
      <c r="P16" s="1334"/>
      <c r="Q16" s="1334"/>
      <c r="R16" s="1334"/>
      <c r="S16" s="1334"/>
      <c r="T16" s="1334"/>
      <c r="U16" s="1334"/>
      <c r="V16" s="1334"/>
      <c r="W16" s="1334"/>
      <c r="X16" s="1334"/>
      <c r="Y16" s="1334"/>
      <c r="Z16" s="1334"/>
      <c r="AA16" s="1334"/>
      <c r="AB16" s="1334"/>
      <c r="AC16" s="1334"/>
      <c r="AD16" s="1334"/>
      <c r="AE16" s="1334"/>
      <c r="AF16" s="1334"/>
      <c r="AG16" s="1334"/>
      <c r="AH16" s="1334"/>
      <c r="AI16" s="1334"/>
      <c r="AJ16" s="1334"/>
      <c r="AK16" s="1334"/>
      <c r="AL16" s="1334"/>
      <c r="AM16" s="1334"/>
      <c r="AN16" s="1334"/>
      <c r="AO16" s="1334"/>
      <c r="AP16" s="1334"/>
      <c r="AQ16" s="1334"/>
    </row>
    <row r="17" customFormat="false" ht="12.75" hidden="false" customHeight="false" outlineLevel="0" collapsed="false">
      <c r="B17" s="1334"/>
      <c r="C17" s="1334"/>
      <c r="D17" s="1334"/>
      <c r="E17" s="1334"/>
      <c r="F17" s="1339"/>
      <c r="G17" s="1334"/>
      <c r="H17" s="1334"/>
      <c r="I17" s="1334"/>
      <c r="J17" s="1334"/>
      <c r="K17" s="1334"/>
      <c r="L17" s="1334"/>
      <c r="M17" s="1334"/>
      <c r="N17" s="1334"/>
      <c r="P17" s="1334"/>
      <c r="Q17" s="1334"/>
      <c r="R17" s="1334"/>
      <c r="S17" s="1334"/>
      <c r="T17" s="1334"/>
      <c r="U17" s="1334"/>
      <c r="V17" s="1334"/>
      <c r="W17" s="1334"/>
      <c r="X17" s="1334"/>
      <c r="Y17" s="1334"/>
      <c r="Z17" s="1334"/>
      <c r="AA17" s="1334"/>
      <c r="AB17" s="1334"/>
      <c r="AC17" s="1334"/>
      <c r="AD17" s="1334"/>
      <c r="AE17" s="1334"/>
      <c r="AF17" s="1334"/>
      <c r="AG17" s="1334"/>
      <c r="AH17" s="1334"/>
      <c r="AI17" s="1334"/>
      <c r="AJ17" s="1334"/>
      <c r="AK17" s="1334"/>
      <c r="AL17" s="1334"/>
      <c r="AM17" s="1334"/>
      <c r="AN17" s="1334"/>
      <c r="AO17" s="1334"/>
      <c r="AP17" s="1334"/>
      <c r="AQ17" s="1334"/>
    </row>
    <row r="18" customFormat="false" ht="13.5" hidden="false" customHeight="false" outlineLevel="0" collapsed="false">
      <c r="C18" s="1334"/>
      <c r="D18" s="1348"/>
      <c r="E18" s="1348"/>
      <c r="F18" s="1348"/>
      <c r="G18" s="1348"/>
      <c r="H18" s="1334"/>
      <c r="I18" s="1334"/>
      <c r="J18" s="1334"/>
      <c r="K18" s="1334"/>
      <c r="L18" s="1334"/>
      <c r="M18" s="1334"/>
      <c r="N18" s="1334"/>
      <c r="P18" s="1334"/>
      <c r="Q18" s="1334"/>
      <c r="R18" s="1334"/>
      <c r="S18" s="1334"/>
      <c r="T18" s="1334"/>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row>
    <row r="19" customFormat="false" ht="12.75" hidden="false" customHeight="false" outlineLevel="0" collapsed="false">
      <c r="B19" s="1349" t="str">
        <f aca="false">Srcs_Uses!B5</f>
        <v>SOURCES OF FUNDS</v>
      </c>
      <c r="C19" s="1350" t="str">
        <f aca="false">Srcs_Uses!E5</f>
        <v>$TOTAL (000)</v>
      </c>
      <c r="D19" s="1350" t="str">
        <f aca="false">Srcs_Uses!F5</f>
        <v>% TOTAL</v>
      </c>
      <c r="E19" s="1351" t="str">
        <f aca="false">Srcs_Uses!G5</f>
        <v>$ PER KW</v>
      </c>
      <c r="F19" s="1348"/>
      <c r="G19" s="1349" t="s">
        <v>869</v>
      </c>
      <c r="H19" s="1352" t="s">
        <v>870</v>
      </c>
      <c r="I19" s="1352" t="s">
        <v>440</v>
      </c>
      <c r="J19" s="1353" t="s">
        <v>871</v>
      </c>
      <c r="K19" s="1354"/>
      <c r="L19" s="1354"/>
      <c r="M19" s="1354"/>
      <c r="N19" s="1355"/>
      <c r="P19" s="1334"/>
      <c r="Q19" s="1334"/>
      <c r="R19" s="1334"/>
      <c r="S19" s="1334"/>
      <c r="T19" s="1334"/>
      <c r="U19" s="1334"/>
      <c r="V19" s="1334"/>
      <c r="W19" s="1334"/>
      <c r="X19" s="1334"/>
      <c r="Y19" s="1334"/>
      <c r="Z19" s="1334"/>
      <c r="AA19" s="1334"/>
      <c r="AB19" s="1334"/>
      <c r="AC19" s="1334"/>
      <c r="AD19" s="1334"/>
      <c r="AE19" s="1334"/>
      <c r="AF19" s="1334"/>
      <c r="AG19" s="1334"/>
      <c r="AH19" s="1334"/>
      <c r="AI19" s="1334"/>
      <c r="AJ19" s="1334"/>
      <c r="AK19" s="1334"/>
      <c r="AL19" s="1334"/>
      <c r="AM19" s="1334"/>
      <c r="AN19" s="1334"/>
      <c r="AO19" s="1334"/>
      <c r="AP19" s="1334"/>
      <c r="AQ19" s="1334"/>
    </row>
    <row r="20" customFormat="false" ht="12.75" hidden="false" customHeight="false" outlineLevel="0" collapsed="false">
      <c r="B20" s="1356" t="str">
        <f aca="false">Srcs_Uses!B6</f>
        <v>OUTSIDE EQUITY</v>
      </c>
      <c r="C20" s="674" t="n">
        <f aca="false">Srcs_Uses!E6</f>
        <v>26230.8505492135</v>
      </c>
      <c r="D20" s="1357" t="n">
        <f aca="false">Srcs_Uses!F6</f>
        <v>0.671265069638178</v>
      </c>
      <c r="E20" s="1358" t="n">
        <f aca="false">Srcs_Uses!G6</f>
        <v>760.314508672855</v>
      </c>
      <c r="F20" s="1348"/>
      <c r="G20" s="1356" t="s">
        <v>872</v>
      </c>
      <c r="H20" s="1359" t="n">
        <f aca="false">Srcs_Uses!E6</f>
        <v>26230.8505492135</v>
      </c>
      <c r="I20" s="451" t="n">
        <f aca="false">H20/$H$22</f>
        <v>0.99</v>
      </c>
      <c r="J20" s="256" t="n">
        <f aca="false">Assum!E198</f>
        <v>0.3955</v>
      </c>
      <c r="K20" s="1360"/>
      <c r="L20" s="1360"/>
      <c r="M20" s="1360"/>
      <c r="N20" s="1361"/>
      <c r="P20" s="1334"/>
      <c r="Q20" s="1334"/>
      <c r="R20" s="1334"/>
      <c r="S20" s="1334"/>
      <c r="T20" s="1334"/>
      <c r="U20" s="1334"/>
      <c r="V20" s="1334"/>
      <c r="W20" s="1334"/>
      <c r="X20" s="1334"/>
      <c r="Y20" s="1334"/>
      <c r="Z20" s="1334"/>
      <c r="AA20" s="1334"/>
      <c r="AB20" s="1334"/>
      <c r="AC20" s="1334"/>
      <c r="AD20" s="1334"/>
      <c r="AE20" s="1334"/>
      <c r="AF20" s="1334"/>
      <c r="AG20" s="1334"/>
      <c r="AH20" s="1334"/>
      <c r="AI20" s="1334"/>
      <c r="AJ20" s="1334"/>
      <c r="AK20" s="1334"/>
      <c r="AL20" s="1334"/>
      <c r="AM20" s="1334"/>
      <c r="AN20" s="1334"/>
      <c r="AO20" s="1334"/>
      <c r="AP20" s="1334"/>
      <c r="AQ20" s="1334"/>
    </row>
    <row r="21" customFormat="false" ht="12.75" hidden="false" customHeight="false" outlineLevel="0" collapsed="false">
      <c r="B21" s="1356" t="str">
        <f aca="false">Srcs_Uses!B7</f>
        <v>EWC EQUITY</v>
      </c>
      <c r="C21" s="674" t="n">
        <f aca="false">Srcs_Uses!E7</f>
        <v>264.958086355692</v>
      </c>
      <c r="D21" s="1357" t="n">
        <f aca="false">Srcs_Uses!F7</f>
        <v>0.00678045524887048</v>
      </c>
      <c r="E21" s="1358" t="n">
        <f aca="false">Srcs_Uses!G7</f>
        <v>7.67994453204905</v>
      </c>
      <c r="F21" s="1348"/>
      <c r="G21" s="1356" t="s">
        <v>873</v>
      </c>
      <c r="H21" s="1359" t="n">
        <f aca="false">Srcs_Uses!E7</f>
        <v>264.958086355692</v>
      </c>
      <c r="I21" s="451" t="n">
        <f aca="false">H21/$H$22</f>
        <v>0.01</v>
      </c>
      <c r="J21" s="256" t="n">
        <f aca="false">Assum!E199</f>
        <v>0.3955</v>
      </c>
      <c r="K21" s="1360"/>
      <c r="L21" s="1360"/>
      <c r="M21" s="1360"/>
      <c r="N21" s="1361"/>
      <c r="P21" s="1334"/>
      <c r="Q21" s="1334"/>
      <c r="R21" s="1334"/>
      <c r="S21" s="1334"/>
      <c r="T21" s="1334"/>
      <c r="U21" s="1334"/>
      <c r="V21" s="1334"/>
      <c r="W21" s="1334"/>
      <c r="X21" s="1334"/>
      <c r="Y21" s="1334"/>
      <c r="Z21" s="1334"/>
      <c r="AA21" s="1334"/>
      <c r="AB21" s="1334"/>
      <c r="AC21" s="1334"/>
      <c r="AD21" s="1334"/>
      <c r="AE21" s="1334"/>
      <c r="AF21" s="1334"/>
      <c r="AG21" s="1334"/>
      <c r="AH21" s="1334"/>
      <c r="AI21" s="1334"/>
      <c r="AJ21" s="1334"/>
      <c r="AK21" s="1334"/>
      <c r="AL21" s="1334"/>
      <c r="AM21" s="1334"/>
      <c r="AN21" s="1334"/>
      <c r="AO21" s="1334"/>
      <c r="AP21" s="1334"/>
      <c r="AQ21" s="1334"/>
    </row>
    <row r="22" customFormat="false" ht="13.5" hidden="false" customHeight="false" outlineLevel="0" collapsed="false">
      <c r="B22" s="1356" t="str">
        <f aca="false">Srcs_Uses!B8</f>
        <v>SENIOR BANK DEBT</v>
      </c>
      <c r="C22" s="674" t="n">
        <f aca="false">Srcs_Uses!E8</f>
        <v>12580.9312927461</v>
      </c>
      <c r="D22" s="1357" t="n">
        <f aca="false">Srcs_Uses!F8</f>
        <v>0.321954475112952</v>
      </c>
      <c r="E22" s="1358" t="n">
        <f aca="false">Srcs_Uses!G8</f>
        <v>364.66467515206</v>
      </c>
      <c r="F22" s="1348"/>
      <c r="G22" s="1362" t="s">
        <v>446</v>
      </c>
      <c r="H22" s="1363" t="n">
        <f aca="false">SUM(H20:H21)</f>
        <v>26495.8086355692</v>
      </c>
      <c r="I22" s="330" t="n">
        <f aca="false">H22/$H$22</f>
        <v>1</v>
      </c>
      <c r="J22" s="1360"/>
      <c r="K22" s="1360"/>
      <c r="L22" s="1360"/>
      <c r="M22" s="1360"/>
      <c r="N22" s="1361"/>
      <c r="P22" s="1334"/>
      <c r="Q22" s="1334"/>
      <c r="R22" s="1334"/>
      <c r="S22" s="1334"/>
      <c r="T22" s="1334"/>
      <c r="U22" s="1334"/>
      <c r="V22" s="1334"/>
      <c r="W22" s="1334"/>
      <c r="X22" s="1334"/>
      <c r="Y22" s="1334"/>
      <c r="Z22" s="1334"/>
      <c r="AA22" s="1334"/>
      <c r="AB22" s="1334"/>
      <c r="AC22" s="1334"/>
      <c r="AD22" s="1334"/>
      <c r="AE22" s="1334"/>
      <c r="AF22" s="1334"/>
      <c r="AG22" s="1334"/>
      <c r="AH22" s="1334"/>
      <c r="AI22" s="1334"/>
      <c r="AJ22" s="1334"/>
      <c r="AK22" s="1334"/>
      <c r="AL22" s="1334"/>
      <c r="AM22" s="1334"/>
      <c r="AN22" s="1334"/>
      <c r="AO22" s="1334"/>
      <c r="AP22" s="1334"/>
      <c r="AQ22" s="1334"/>
    </row>
    <row r="23" customFormat="false" ht="12.75" hidden="false" customHeight="false" outlineLevel="0" collapsed="false">
      <c r="B23" s="1356" t="str">
        <f aca="false">Srcs_Uses!B9</f>
        <v>JUNIOR DEBT</v>
      </c>
      <c r="C23" s="674" t="n">
        <f aca="false">Srcs_Uses!E9</f>
        <v>0</v>
      </c>
      <c r="D23" s="1357" t="n">
        <f aca="false">Srcs_Uses!F9</f>
        <v>0</v>
      </c>
      <c r="E23" s="1358" t="n">
        <f aca="false">Srcs_Uses!G9</f>
        <v>0</v>
      </c>
      <c r="F23" s="1348"/>
      <c r="G23" s="1356"/>
      <c r="H23" s="1364"/>
      <c r="I23" s="1365"/>
      <c r="J23" s="1365"/>
      <c r="K23" s="1360"/>
      <c r="L23" s="1360"/>
      <c r="M23" s="1360"/>
      <c r="N23" s="1361"/>
      <c r="P23" s="1334"/>
      <c r="Q23" s="1334"/>
      <c r="R23" s="1334"/>
      <c r="S23" s="1334"/>
      <c r="T23" s="1334"/>
      <c r="U23" s="1334"/>
      <c r="V23" s="1334"/>
      <c r="W23" s="1334"/>
      <c r="X23" s="1334"/>
      <c r="Y23" s="1334"/>
      <c r="Z23" s="1334"/>
      <c r="AA23" s="1334"/>
      <c r="AB23" s="1334"/>
      <c r="AC23" s="1334"/>
      <c r="AD23" s="1334"/>
      <c r="AE23" s="1334"/>
      <c r="AF23" s="1334"/>
      <c r="AG23" s="1334"/>
      <c r="AH23" s="1334"/>
      <c r="AI23" s="1334"/>
      <c r="AJ23" s="1334"/>
      <c r="AK23" s="1334"/>
      <c r="AL23" s="1334"/>
      <c r="AM23" s="1334"/>
      <c r="AN23" s="1334"/>
      <c r="AO23" s="1334"/>
      <c r="AP23" s="1334"/>
      <c r="AQ23" s="1334"/>
    </row>
    <row r="24" customFormat="false" ht="13.5" hidden="false" customHeight="false" outlineLevel="0" collapsed="false">
      <c r="B24" s="1366" t="str">
        <f aca="false">Srcs_Uses!B10</f>
        <v>      CASH SUB-TOTAL</v>
      </c>
      <c r="C24" s="1048" t="n">
        <f aca="false">Srcs_Uses!E10</f>
        <v>39076.7399283153</v>
      </c>
      <c r="D24" s="1367" t="n">
        <f aca="false">Srcs_Uses!F10</f>
        <v>1</v>
      </c>
      <c r="E24" s="1368" t="n">
        <f aca="false">Srcs_Uses!G10</f>
        <v>1132.65912835696</v>
      </c>
      <c r="F24" s="1348"/>
      <c r="G24" s="1356"/>
      <c r="H24" s="1359"/>
      <c r="I24" s="1360"/>
      <c r="J24" s="1360"/>
      <c r="K24" s="1360"/>
      <c r="L24" s="1360"/>
      <c r="M24" s="1360"/>
      <c r="N24" s="1361"/>
      <c r="P24" s="1334"/>
      <c r="Q24" s="1334"/>
      <c r="R24" s="1334"/>
      <c r="S24" s="1334"/>
      <c r="T24" s="1334"/>
      <c r="U24" s="1334"/>
      <c r="V24" s="1334"/>
      <c r="W24" s="1334"/>
      <c r="X24" s="1334"/>
      <c r="Y24" s="1334"/>
      <c r="Z24" s="1334"/>
      <c r="AA24" s="1334"/>
      <c r="AB24" s="1334"/>
      <c r="AC24" s="1334"/>
      <c r="AD24" s="1334"/>
      <c r="AE24" s="1334"/>
      <c r="AF24" s="1334"/>
      <c r="AG24" s="1334"/>
      <c r="AH24" s="1334"/>
      <c r="AI24" s="1334"/>
      <c r="AJ24" s="1334"/>
      <c r="AK24" s="1334"/>
      <c r="AL24" s="1334"/>
      <c r="AM24" s="1334"/>
      <c r="AN24" s="1334"/>
      <c r="AO24" s="1334"/>
      <c r="AP24" s="1334"/>
      <c r="AQ24" s="1334"/>
    </row>
    <row r="25" customFormat="false" ht="13.5" hidden="false" customHeight="false" outlineLevel="0" collapsed="false">
      <c r="B25" s="1369"/>
      <c r="C25" s="100"/>
      <c r="D25" s="1263"/>
      <c r="E25" s="1262"/>
      <c r="F25" s="1348"/>
      <c r="G25" s="1370"/>
      <c r="H25" s="1371" t="s">
        <v>333</v>
      </c>
      <c r="I25" s="1371"/>
      <c r="J25" s="1360"/>
      <c r="K25" s="1263"/>
      <c r="L25" s="1371" t="s">
        <v>874</v>
      </c>
      <c r="M25" s="1371"/>
      <c r="N25" s="1361"/>
      <c r="P25" s="1334"/>
      <c r="Q25" s="1334"/>
      <c r="R25" s="1334"/>
      <c r="S25" s="1334"/>
      <c r="T25" s="1334"/>
      <c r="U25" s="1334"/>
      <c r="V25" s="1334"/>
      <c r="W25" s="1334"/>
      <c r="X25" s="1334"/>
      <c r="Y25" s="1334"/>
      <c r="Z25" s="1334"/>
      <c r="AA25" s="1334"/>
      <c r="AB25" s="1334"/>
      <c r="AC25" s="1334"/>
      <c r="AD25" s="1334"/>
      <c r="AE25" s="1334"/>
      <c r="AF25" s="1334"/>
      <c r="AG25" s="1334"/>
      <c r="AH25" s="1334"/>
      <c r="AI25" s="1334"/>
      <c r="AJ25" s="1334"/>
      <c r="AK25" s="1334"/>
      <c r="AL25" s="1334"/>
      <c r="AM25" s="1334"/>
      <c r="AN25" s="1334"/>
      <c r="AO25" s="1334"/>
      <c r="AP25" s="1334"/>
      <c r="AQ25" s="1334"/>
    </row>
    <row r="26" customFormat="false" ht="13.5" hidden="false" customHeight="false" outlineLevel="0" collapsed="false">
      <c r="B26" s="1362" t="str">
        <f aca="false">Srcs_Uses!B12</f>
        <v>     CASH &amp; NON-CASH TOTAL</v>
      </c>
      <c r="C26" s="1372" t="n">
        <f aca="false">Srcs_Uses!E12</f>
        <v>39076.7399283153</v>
      </c>
      <c r="D26" s="1373" t="n">
        <f aca="false">Srcs_Uses!F12</f>
        <v>1</v>
      </c>
      <c r="E26" s="1374" t="n">
        <f aca="false">Srcs_Uses!G12</f>
        <v>1132.65912835696</v>
      </c>
      <c r="F26" s="1348"/>
      <c r="G26" s="1375"/>
      <c r="H26" s="1376" t="s">
        <v>423</v>
      </c>
      <c r="I26" s="1376"/>
      <c r="J26" s="1360"/>
      <c r="K26" s="1263"/>
      <c r="L26" s="1376" t="s">
        <v>424</v>
      </c>
      <c r="M26" s="1376"/>
      <c r="N26" s="1361"/>
      <c r="P26" s="1334"/>
      <c r="Q26" s="1334"/>
      <c r="R26" s="1334"/>
      <c r="S26" s="1334"/>
      <c r="T26" s="1334"/>
      <c r="U26" s="1334"/>
      <c r="V26" s="1334"/>
      <c r="W26" s="1334"/>
      <c r="X26" s="1334"/>
      <c r="Y26" s="1334"/>
      <c r="Z26" s="1334"/>
      <c r="AA26" s="1334"/>
      <c r="AB26" s="1334"/>
      <c r="AC26" s="1334"/>
      <c r="AD26" s="1334"/>
      <c r="AE26" s="1334"/>
      <c r="AF26" s="1334"/>
      <c r="AG26" s="1334"/>
      <c r="AH26" s="1334"/>
      <c r="AI26" s="1334"/>
      <c r="AJ26" s="1334"/>
      <c r="AK26" s="1334"/>
      <c r="AL26" s="1334"/>
      <c r="AM26" s="1334"/>
      <c r="AN26" s="1334"/>
      <c r="AO26" s="1334"/>
      <c r="AP26" s="1334"/>
      <c r="AQ26" s="1334"/>
    </row>
    <row r="27" customFormat="false" ht="12.75" hidden="false" customHeight="false" outlineLevel="0" collapsed="false">
      <c r="B27" s="1369"/>
      <c r="C27" s="674"/>
      <c r="D27" s="1357"/>
      <c r="E27" s="1358"/>
      <c r="F27" s="1348"/>
      <c r="G27" s="1377"/>
      <c r="H27" s="1378" t="s">
        <v>665</v>
      </c>
      <c r="I27" s="1378" t="s">
        <v>875</v>
      </c>
      <c r="J27" s="1379"/>
      <c r="K27" s="1263"/>
      <c r="L27" s="1378" t="s">
        <v>665</v>
      </c>
      <c r="M27" s="1378" t="s">
        <v>875</v>
      </c>
      <c r="N27" s="1361"/>
      <c r="P27" s="1334"/>
      <c r="Q27" s="1334"/>
      <c r="R27" s="1334"/>
      <c r="S27" s="1334"/>
      <c r="T27" s="1334"/>
      <c r="U27" s="1334"/>
      <c r="V27" s="1334"/>
      <c r="W27" s="1334"/>
      <c r="X27" s="1334"/>
      <c r="Y27" s="1334"/>
      <c r="Z27" s="1334"/>
      <c r="AA27" s="1334"/>
      <c r="AB27" s="1334"/>
      <c r="AC27" s="1334"/>
      <c r="AD27" s="1334"/>
      <c r="AE27" s="1334"/>
      <c r="AF27" s="1334"/>
      <c r="AG27" s="1334"/>
      <c r="AH27" s="1334"/>
      <c r="AI27" s="1334"/>
      <c r="AJ27" s="1334"/>
      <c r="AK27" s="1334"/>
      <c r="AL27" s="1334"/>
      <c r="AM27" s="1334"/>
      <c r="AN27" s="1334"/>
      <c r="AO27" s="1334"/>
      <c r="AP27" s="1334"/>
      <c r="AQ27" s="1334"/>
    </row>
    <row r="28" customFormat="false" ht="12.75" hidden="false" customHeight="false" outlineLevel="0" collapsed="false">
      <c r="B28" s="1356"/>
      <c r="C28" s="674"/>
      <c r="D28" s="1357"/>
      <c r="E28" s="1358"/>
      <c r="F28" s="1348"/>
      <c r="G28" s="1356" t="s">
        <v>876</v>
      </c>
      <c r="H28" s="1380" t="n">
        <f aca="false">Assum!E337</f>
        <v>0.99</v>
      </c>
      <c r="I28" s="1380" t="n">
        <f aca="false">Assum!E341</f>
        <v>0.99</v>
      </c>
      <c r="J28" s="1381"/>
      <c r="K28" s="1263"/>
      <c r="L28" s="1380" t="n">
        <f aca="false">Assum!E338</f>
        <v>0.01</v>
      </c>
      <c r="M28" s="1380" t="n">
        <f aca="false">Assum!E342</f>
        <v>0.01</v>
      </c>
      <c r="N28" s="1361"/>
      <c r="P28" s="1334"/>
      <c r="Q28" s="1334"/>
      <c r="R28" s="1334"/>
      <c r="S28" s="1334"/>
      <c r="T28" s="1334"/>
      <c r="U28" s="1334"/>
      <c r="V28" s="1334"/>
      <c r="W28" s="1334"/>
      <c r="X28" s="1334"/>
      <c r="Y28" s="1334"/>
      <c r="Z28" s="1334"/>
      <c r="AA28" s="1334"/>
      <c r="AB28" s="1334"/>
      <c r="AC28" s="1334"/>
      <c r="AD28" s="1334"/>
      <c r="AE28" s="1334"/>
      <c r="AF28" s="1334"/>
      <c r="AG28" s="1334"/>
      <c r="AH28" s="1334"/>
      <c r="AI28" s="1334"/>
      <c r="AJ28" s="1334"/>
      <c r="AK28" s="1334"/>
      <c r="AL28" s="1334"/>
      <c r="AM28" s="1334"/>
      <c r="AN28" s="1334"/>
      <c r="AO28" s="1334"/>
      <c r="AP28" s="1334"/>
      <c r="AQ28" s="1334"/>
    </row>
    <row r="29" customFormat="false" ht="12.75" hidden="false" customHeight="false" outlineLevel="0" collapsed="false">
      <c r="B29" s="1382" t="str">
        <f aca="false">Srcs_Uses!B14</f>
        <v>USES OF FUNDS</v>
      </c>
      <c r="C29" s="674"/>
      <c r="D29" s="1357"/>
      <c r="E29" s="1358"/>
      <c r="F29" s="1348"/>
      <c r="G29" s="1375"/>
      <c r="H29" s="1383"/>
      <c r="I29" s="1383"/>
      <c r="J29" s="1360"/>
      <c r="K29" s="1263"/>
      <c r="L29" s="1383"/>
      <c r="M29" s="1383"/>
      <c r="N29" s="1361"/>
      <c r="P29" s="1334"/>
      <c r="Q29" s="1334"/>
      <c r="R29" s="1334"/>
      <c r="S29" s="1334"/>
      <c r="T29" s="1334"/>
      <c r="U29" s="1334"/>
      <c r="V29" s="1334"/>
      <c r="W29" s="1334"/>
      <c r="X29" s="1334"/>
      <c r="Y29" s="1334"/>
      <c r="Z29" s="1334"/>
      <c r="AA29" s="1334"/>
      <c r="AB29" s="1334"/>
      <c r="AC29" s="1334"/>
      <c r="AD29" s="1334"/>
      <c r="AE29" s="1334"/>
      <c r="AF29" s="1334"/>
      <c r="AG29" s="1334"/>
      <c r="AH29" s="1334"/>
      <c r="AI29" s="1334"/>
      <c r="AJ29" s="1334"/>
      <c r="AK29" s="1334"/>
      <c r="AL29" s="1334"/>
      <c r="AM29" s="1334"/>
      <c r="AN29" s="1334"/>
      <c r="AO29" s="1334"/>
      <c r="AP29" s="1334"/>
      <c r="AQ29" s="1334"/>
    </row>
    <row r="30" customFormat="false" ht="12.75" hidden="false" customHeight="false" outlineLevel="0" collapsed="false">
      <c r="B30" s="1356" t="str">
        <f aca="false">Srcs_Uses!B15</f>
        <v>PRIMARY FACILITY COSTS</v>
      </c>
      <c r="C30" s="674" t="n">
        <f aca="false">Srcs_Uses!E15</f>
        <v>33214.8225959142</v>
      </c>
      <c r="D30" s="1357" t="n">
        <f aca="false">Srcs_Uses!F15</f>
        <v>0.849989601405988</v>
      </c>
      <c r="E30" s="1358" t="n">
        <f aca="false">Srcs_Uses!G15</f>
        <v>962.74848104099</v>
      </c>
      <c r="F30" s="1348"/>
      <c r="G30" s="1384"/>
      <c r="H30" s="1378" t="s">
        <v>877</v>
      </c>
      <c r="I30" s="1378" t="s">
        <v>426</v>
      </c>
      <c r="J30" s="1385"/>
      <c r="K30" s="1263"/>
      <c r="L30" s="1378" t="s">
        <v>877</v>
      </c>
      <c r="M30" s="1378" t="s">
        <v>426</v>
      </c>
      <c r="N30" s="1361"/>
      <c r="P30" s="1334"/>
      <c r="Q30" s="1334"/>
      <c r="R30" s="1334"/>
      <c r="S30" s="1334"/>
      <c r="T30" s="1334"/>
      <c r="U30" s="1334"/>
      <c r="V30" s="1334"/>
      <c r="W30" s="1334"/>
      <c r="X30" s="1334"/>
      <c r="Y30" s="1334"/>
      <c r="Z30" s="1334"/>
      <c r="AA30" s="1334"/>
      <c r="AB30" s="1334"/>
      <c r="AC30" s="1334"/>
      <c r="AD30" s="1334"/>
      <c r="AE30" s="1334"/>
      <c r="AF30" s="1334"/>
      <c r="AG30" s="1334"/>
      <c r="AH30" s="1334"/>
      <c r="AI30" s="1334"/>
      <c r="AJ30" s="1334"/>
      <c r="AK30" s="1334"/>
      <c r="AL30" s="1334"/>
      <c r="AM30" s="1334"/>
      <c r="AN30" s="1334"/>
      <c r="AO30" s="1334"/>
      <c r="AP30" s="1334"/>
      <c r="AQ30" s="1334"/>
    </row>
    <row r="31" customFormat="false" ht="12.75" hidden="false" customHeight="false" outlineLevel="0" collapsed="false">
      <c r="B31" s="1356" t="str">
        <f aca="false">Srcs_Uses!B16</f>
        <v>PREDEVELOPMENT EXPENSES TOTAL</v>
      </c>
      <c r="C31" s="674" t="n">
        <f aca="false">Srcs_Uses!E16</f>
        <v>1013</v>
      </c>
      <c r="D31" s="1357" t="n">
        <f aca="false">Srcs_Uses!F16</f>
        <v>0.0259233498459265</v>
      </c>
      <c r="E31" s="1358" t="n">
        <f aca="false">Srcs_Uses!G16</f>
        <v>29.3623188405797</v>
      </c>
      <c r="F31" s="1348"/>
      <c r="G31" s="1386" t="s">
        <v>878</v>
      </c>
      <c r="H31" s="1380" t="n">
        <f aca="false">Outside!D70</f>
        <v>-0.215385834924812</v>
      </c>
      <c r="I31" s="1380" t="n">
        <f aca="false">Outside!D65</f>
        <v>0.126472759435792</v>
      </c>
      <c r="J31" s="1380"/>
      <c r="K31" s="1263"/>
      <c r="L31" s="280" t="n">
        <f aca="false">EWC!D70</f>
        <v>-0.215385834924812</v>
      </c>
      <c r="M31" s="1380" t="n">
        <f aca="false">EWC!D65</f>
        <v>0.126472759435792</v>
      </c>
      <c r="N31" s="1361"/>
      <c r="P31" s="1334"/>
      <c r="Q31" s="1334"/>
      <c r="R31" s="1334"/>
      <c r="S31" s="1334"/>
      <c r="T31" s="1334"/>
      <c r="U31" s="1334"/>
      <c r="V31" s="1334"/>
      <c r="W31" s="1334"/>
      <c r="X31" s="1334"/>
      <c r="Y31" s="1334"/>
      <c r="Z31" s="1334"/>
      <c r="AA31" s="1334"/>
      <c r="AB31" s="1334"/>
      <c r="AC31" s="1334"/>
      <c r="AD31" s="1334"/>
      <c r="AE31" s="1334"/>
      <c r="AF31" s="1334"/>
      <c r="AG31" s="1334"/>
      <c r="AH31" s="1334"/>
      <c r="AI31" s="1334"/>
      <c r="AJ31" s="1334"/>
      <c r="AK31" s="1334"/>
      <c r="AL31" s="1334"/>
      <c r="AM31" s="1334"/>
      <c r="AN31" s="1334"/>
      <c r="AO31" s="1334"/>
      <c r="AP31" s="1334"/>
      <c r="AQ31" s="1334"/>
    </row>
    <row r="32" customFormat="false" ht="12.75" hidden="false" customHeight="false" outlineLevel="0" collapsed="false">
      <c r="B32" s="1356" t="str">
        <f aca="false">Srcs_Uses!B17</f>
        <v>CONSTRUCTION INSURANCE</v>
      </c>
      <c r="C32" s="674" t="n">
        <f aca="false">Srcs_Uses!E17</f>
        <v>95.391</v>
      </c>
      <c r="D32" s="1357" t="n">
        <f aca="false">Srcs_Uses!F17</f>
        <v>0.0024411197089366</v>
      </c>
      <c r="E32" s="1358" t="n">
        <f aca="false">Srcs_Uses!G17</f>
        <v>2.76495652173913</v>
      </c>
      <c r="F32" s="1348"/>
      <c r="G32" s="1386" t="s">
        <v>879</v>
      </c>
      <c r="H32" s="1380" t="n">
        <f aca="false">Outside!D71</f>
        <v>-0.0381829974578543</v>
      </c>
      <c r="I32" s="1380" t="n">
        <f aca="false">Outside!D66</f>
        <v>0.13</v>
      </c>
      <c r="J32" s="1380"/>
      <c r="K32" s="1263"/>
      <c r="L32" s="280" t="n">
        <f aca="false">EWC!D71</f>
        <v>-0.0381829974578542</v>
      </c>
      <c r="M32" s="1380" t="n">
        <f aca="false">EWC!D66</f>
        <v>0.13</v>
      </c>
      <c r="N32" s="1361"/>
      <c r="P32" s="1334"/>
      <c r="Q32" s="1334"/>
      <c r="R32" s="1334"/>
      <c r="S32" s="1334"/>
      <c r="T32" s="1334"/>
      <c r="U32" s="1334"/>
      <c r="V32" s="1334"/>
      <c r="W32" s="1334"/>
      <c r="X32" s="1334"/>
      <c r="Y32" s="1334"/>
      <c r="Z32" s="1334"/>
      <c r="AA32" s="1334"/>
      <c r="AB32" s="1334"/>
      <c r="AC32" s="1334"/>
      <c r="AD32" s="1334"/>
      <c r="AE32" s="1334"/>
      <c r="AF32" s="1334"/>
      <c r="AG32" s="1334"/>
      <c r="AH32" s="1334"/>
      <c r="AI32" s="1334"/>
      <c r="AJ32" s="1334"/>
      <c r="AK32" s="1334"/>
      <c r="AL32" s="1334"/>
      <c r="AM32" s="1334"/>
      <c r="AN32" s="1334"/>
      <c r="AO32" s="1334"/>
      <c r="AP32" s="1334"/>
      <c r="AQ32" s="1334"/>
    </row>
    <row r="33" customFormat="false" ht="12.75" hidden="false" customHeight="false" outlineLevel="0" collapsed="false">
      <c r="B33" s="1356" t="str">
        <f aca="false">Srcs_Uses!B18</f>
        <v>CONSTRUCTION INTEREST</v>
      </c>
      <c r="C33" s="674" t="n">
        <f aca="false">Srcs_Uses!E18</f>
        <v>709.812363009924</v>
      </c>
      <c r="D33" s="1357" t="n">
        <f aca="false">Srcs_Uses!F18</f>
        <v>0.0181645747396545</v>
      </c>
      <c r="E33" s="1358" t="n">
        <f aca="false">Srcs_Uses!G18</f>
        <v>20.574271391592</v>
      </c>
      <c r="F33" s="1348"/>
      <c r="G33" s="1386" t="s">
        <v>880</v>
      </c>
      <c r="H33" s="1380" t="n">
        <f aca="false">Outside!D72</f>
        <v>-0.0381829974578543</v>
      </c>
      <c r="I33" s="1380" t="n">
        <f aca="false">Outside!D67</f>
        <v>0.13</v>
      </c>
      <c r="J33" s="1380"/>
      <c r="K33" s="1263"/>
      <c r="L33" s="280" t="n">
        <f aca="false">EWC!D72</f>
        <v>-0.0381829974578542</v>
      </c>
      <c r="M33" s="1380" t="n">
        <f aca="false">EWC!D67</f>
        <v>0.13</v>
      </c>
      <c r="N33" s="1361"/>
      <c r="P33" s="1334"/>
      <c r="Q33" s="1334"/>
      <c r="R33" s="1334"/>
      <c r="S33" s="1334"/>
      <c r="T33" s="1334"/>
      <c r="U33" s="1334"/>
      <c r="V33" s="1334"/>
      <c r="W33" s="1334"/>
      <c r="X33" s="1334"/>
      <c r="Y33" s="1334"/>
      <c r="Z33" s="1334"/>
      <c r="AA33" s="1334"/>
      <c r="AB33" s="1334"/>
      <c r="AC33" s="1334"/>
      <c r="AD33" s="1334"/>
      <c r="AE33" s="1334"/>
      <c r="AF33" s="1334"/>
      <c r="AG33" s="1334"/>
      <c r="AH33" s="1334"/>
      <c r="AI33" s="1334"/>
      <c r="AJ33" s="1334"/>
      <c r="AK33" s="1334"/>
      <c r="AL33" s="1334"/>
      <c r="AM33" s="1334"/>
      <c r="AN33" s="1334"/>
      <c r="AO33" s="1334"/>
      <c r="AP33" s="1334"/>
      <c r="AQ33" s="1334"/>
    </row>
    <row r="34" customFormat="false" ht="12.75" hidden="false" customHeight="false" outlineLevel="0" collapsed="false">
      <c r="B34" s="1356" t="str">
        <f aca="false">Srcs_Uses!B19</f>
        <v>EPC WARRANTY FEE</v>
      </c>
      <c r="C34" s="674" t="n">
        <f aca="false">Srcs_Uses!E19</f>
        <v>0</v>
      </c>
      <c r="D34" s="1357" t="n">
        <f aca="false">Srcs_Uses!F19</f>
        <v>0</v>
      </c>
      <c r="E34" s="1358" t="n">
        <f aca="false">Srcs_Uses!G19</f>
        <v>0</v>
      </c>
      <c r="F34" s="1348"/>
      <c r="G34" s="1370"/>
      <c r="H34" s="1360"/>
      <c r="I34" s="1360"/>
      <c r="J34" s="1360"/>
      <c r="K34" s="1263"/>
      <c r="L34" s="1360"/>
      <c r="M34" s="1365"/>
      <c r="N34" s="1361"/>
      <c r="P34" s="1334"/>
      <c r="Q34" s="1334"/>
      <c r="R34" s="1334"/>
      <c r="S34" s="1334"/>
      <c r="T34" s="1334"/>
      <c r="U34" s="1334"/>
      <c r="V34" s="1334"/>
      <c r="W34" s="1334"/>
      <c r="X34" s="1334"/>
      <c r="Y34" s="1334"/>
      <c r="Z34" s="1334"/>
      <c r="AA34" s="1334"/>
      <c r="AB34" s="1334"/>
      <c r="AC34" s="1334"/>
      <c r="AD34" s="1334"/>
      <c r="AE34" s="1334"/>
      <c r="AF34" s="1334"/>
      <c r="AG34" s="1334"/>
      <c r="AH34" s="1334"/>
      <c r="AI34" s="1334"/>
      <c r="AJ34" s="1334"/>
      <c r="AK34" s="1334"/>
      <c r="AL34" s="1334"/>
      <c r="AM34" s="1334"/>
      <c r="AN34" s="1334"/>
      <c r="AO34" s="1334"/>
      <c r="AP34" s="1334"/>
      <c r="AQ34" s="1334"/>
    </row>
    <row r="35" customFormat="false" ht="12.75" hidden="false" customHeight="false" outlineLevel="0" collapsed="false">
      <c r="B35" s="1356" t="str">
        <f aca="false">Srcs_Uses!B20</f>
        <v>LEGAL CLOSING</v>
      </c>
      <c r="C35" s="674" t="n">
        <f aca="false">Srcs_Uses!E20</f>
        <v>1300</v>
      </c>
      <c r="D35" s="1357" t="n">
        <f aca="false">Srcs_Uses!F20</f>
        <v>0.0332678724577536</v>
      </c>
      <c r="E35" s="1358" t="n">
        <f aca="false">Srcs_Uses!G20</f>
        <v>37.6811594202899</v>
      </c>
      <c r="F35" s="1348"/>
      <c r="G35" s="1377"/>
      <c r="H35" s="1378" t="s">
        <v>881</v>
      </c>
      <c r="I35" s="1378" t="s">
        <v>433</v>
      </c>
      <c r="J35" s="1387"/>
      <c r="K35" s="1263"/>
      <c r="L35" s="1378" t="s">
        <v>881</v>
      </c>
      <c r="M35" s="1378" t="s">
        <v>433</v>
      </c>
      <c r="N35" s="1361"/>
      <c r="P35" s="1334"/>
      <c r="Q35" s="1334"/>
      <c r="R35" s="1334"/>
      <c r="S35" s="1334"/>
      <c r="T35" s="1334"/>
      <c r="U35" s="1334"/>
      <c r="V35" s="1334"/>
      <c r="W35" s="1334"/>
      <c r="X35" s="1334"/>
      <c r="Y35" s="1334"/>
      <c r="Z35" s="1334"/>
      <c r="AA35" s="1334"/>
      <c r="AB35" s="1334"/>
      <c r="AC35" s="1334"/>
      <c r="AD35" s="1334"/>
      <c r="AE35" s="1334"/>
      <c r="AF35" s="1334"/>
      <c r="AG35" s="1334"/>
      <c r="AH35" s="1334"/>
      <c r="AI35" s="1334"/>
      <c r="AJ35" s="1334"/>
      <c r="AK35" s="1334"/>
      <c r="AL35" s="1334"/>
      <c r="AM35" s="1334"/>
      <c r="AN35" s="1334"/>
      <c r="AO35" s="1334"/>
      <c r="AP35" s="1334"/>
      <c r="AQ35" s="1334"/>
    </row>
    <row r="36" customFormat="false" ht="12.75" hidden="false" customHeight="false" outlineLevel="0" collapsed="false">
      <c r="B36" s="1356" t="str">
        <f aca="false">Srcs_Uses!B21</f>
        <v>BANKING DUE DILIGENCE EXPENSES</v>
      </c>
      <c r="C36" s="674" t="n">
        <f aca="false">Srcs_Uses!E21</f>
        <v>100</v>
      </c>
      <c r="D36" s="1357" t="n">
        <f aca="false">Srcs_Uses!F21</f>
        <v>0.00255906711213489</v>
      </c>
      <c r="E36" s="1358" t="n">
        <f aca="false">Srcs_Uses!G21</f>
        <v>2.89855072463768</v>
      </c>
      <c r="F36" s="1348"/>
      <c r="G36" s="1375"/>
      <c r="H36" s="1388" t="n">
        <f aca="false">Assum!$E$326</f>
        <v>0.13</v>
      </c>
      <c r="I36" s="1388" t="n">
        <f aca="false">Assum!$E$326</f>
        <v>0.13</v>
      </c>
      <c r="J36" s="1388"/>
      <c r="K36" s="1263"/>
      <c r="L36" s="1388" t="n">
        <f aca="false">Assum!E326</f>
        <v>0.13</v>
      </c>
      <c r="M36" s="1388" t="n">
        <f aca="false">Assum!E326</f>
        <v>0.13</v>
      </c>
      <c r="N36" s="1361"/>
      <c r="P36" s="1334"/>
      <c r="Q36" s="1334"/>
      <c r="R36" s="1334"/>
      <c r="S36" s="1334"/>
      <c r="T36" s="1334"/>
      <c r="U36" s="1334"/>
      <c r="V36" s="1334"/>
      <c r="W36" s="1334"/>
      <c r="X36" s="1334"/>
      <c r="Y36" s="1334"/>
      <c r="Z36" s="1334"/>
      <c r="AA36" s="1334"/>
      <c r="AB36" s="1334"/>
      <c r="AC36" s="1334"/>
      <c r="AD36" s="1334"/>
      <c r="AE36" s="1334"/>
      <c r="AF36" s="1334"/>
      <c r="AG36" s="1334"/>
      <c r="AH36" s="1334"/>
      <c r="AI36" s="1334"/>
      <c r="AJ36" s="1334"/>
      <c r="AK36" s="1334"/>
      <c r="AL36" s="1334"/>
      <c r="AM36" s="1334"/>
      <c r="AN36" s="1334"/>
      <c r="AO36" s="1334"/>
      <c r="AP36" s="1334"/>
      <c r="AQ36" s="1334"/>
    </row>
    <row r="37" customFormat="false" ht="12.75" hidden="false" customHeight="false" outlineLevel="0" collapsed="false">
      <c r="B37" s="1356" t="str">
        <f aca="false">Srcs_Uses!B22</f>
        <v>INDEPENDENT ENGINEER</v>
      </c>
      <c r="C37" s="674" t="n">
        <f aca="false">Srcs_Uses!E22</f>
        <v>40</v>
      </c>
      <c r="D37" s="1357" t="n">
        <f aca="false">Srcs_Uses!F22</f>
        <v>0.00102362684485396</v>
      </c>
      <c r="E37" s="1358" t="n">
        <f aca="false">Srcs_Uses!G22</f>
        <v>1.15942028985507</v>
      </c>
      <c r="F37" s="1348"/>
      <c r="G37" s="1356" t="s">
        <v>882</v>
      </c>
      <c r="H37" s="1371" t="n">
        <f aca="false">Outside!E70</f>
        <v>-23199.3062779864</v>
      </c>
      <c r="I37" s="1371" t="n">
        <f aca="false">Outside!E65</f>
        <v>-278.127090956715</v>
      </c>
      <c r="J37" s="1371"/>
      <c r="K37" s="1263"/>
      <c r="L37" s="1371" t="n">
        <f aca="false">EWC!E70</f>
        <v>-234.336427050368</v>
      </c>
      <c r="M37" s="1371" t="n">
        <f aca="false">EWC!E65</f>
        <v>-2.80936455511831</v>
      </c>
      <c r="N37" s="1361"/>
      <c r="P37" s="1334"/>
      <c r="Q37" s="1334"/>
      <c r="R37" s="1334"/>
      <c r="S37" s="1334"/>
      <c r="T37" s="1334"/>
      <c r="U37" s="1334"/>
      <c r="V37" s="1334"/>
      <c r="W37" s="1334"/>
      <c r="X37" s="1334"/>
      <c r="Y37" s="1334"/>
      <c r="Z37" s="1334"/>
      <c r="AA37" s="1334"/>
      <c r="AB37" s="1334"/>
      <c r="AC37" s="1334"/>
      <c r="AD37" s="1334"/>
      <c r="AE37" s="1334"/>
      <c r="AF37" s="1334"/>
      <c r="AG37" s="1334"/>
      <c r="AH37" s="1334"/>
      <c r="AI37" s="1334"/>
      <c r="AJ37" s="1334"/>
      <c r="AK37" s="1334"/>
      <c r="AL37" s="1334"/>
      <c r="AM37" s="1334"/>
      <c r="AN37" s="1334"/>
      <c r="AO37" s="1334"/>
      <c r="AP37" s="1334"/>
      <c r="AQ37" s="1334"/>
    </row>
    <row r="38" customFormat="false" ht="12.75" hidden="false" customHeight="false" outlineLevel="0" collapsed="false">
      <c r="B38" s="1356" t="str">
        <f aca="false">Srcs_Uses!B23</f>
        <v>INSURANCE CONSULTANT FEES</v>
      </c>
      <c r="C38" s="674" t="n">
        <f aca="false">Srcs_Uses!E23</f>
        <v>25</v>
      </c>
      <c r="D38" s="1357" t="n">
        <f aca="false">Srcs_Uses!F23</f>
        <v>0.000639766778033723</v>
      </c>
      <c r="E38" s="1358" t="n">
        <f aca="false">Srcs_Uses!G23</f>
        <v>0.72463768115942</v>
      </c>
      <c r="F38" s="1348"/>
      <c r="G38" s="1356" t="s">
        <v>883</v>
      </c>
      <c r="H38" s="1371" t="n">
        <f aca="false">Outside!E71</f>
        <v>-21904.2325119779</v>
      </c>
      <c r="I38" s="1371" t="n">
        <f aca="false">Outside!E66</f>
        <v>6.53699316899292E-013</v>
      </c>
      <c r="J38" s="1371"/>
      <c r="K38" s="1263"/>
      <c r="L38" s="1371" t="n">
        <f aca="false">EWC!E71</f>
        <v>-221.254873858363</v>
      </c>
      <c r="M38" s="1371" t="n">
        <f aca="false">EWC!E66</f>
        <v>-3.26405569239796E-014</v>
      </c>
      <c r="N38" s="1361"/>
      <c r="P38" s="1334"/>
      <c r="Q38" s="1334"/>
      <c r="R38" s="1334"/>
      <c r="S38" s="1334"/>
      <c r="T38" s="1334"/>
      <c r="U38" s="1334"/>
      <c r="V38" s="1334"/>
      <c r="W38" s="1334"/>
      <c r="X38" s="1334"/>
      <c r="Y38" s="1334"/>
      <c r="Z38" s="1334"/>
      <c r="AA38" s="1334"/>
      <c r="AB38" s="1334"/>
      <c r="AC38" s="1334"/>
      <c r="AD38" s="1334"/>
      <c r="AE38" s="1334"/>
      <c r="AF38" s="1334"/>
      <c r="AG38" s="1334"/>
      <c r="AH38" s="1334"/>
      <c r="AI38" s="1334"/>
      <c r="AJ38" s="1334"/>
      <c r="AK38" s="1334"/>
      <c r="AL38" s="1334"/>
      <c r="AM38" s="1334"/>
      <c r="AN38" s="1334"/>
      <c r="AO38" s="1334"/>
      <c r="AP38" s="1334"/>
      <c r="AQ38" s="1334"/>
    </row>
    <row r="39" customFormat="false" ht="12.75" hidden="false" customHeight="false" outlineLevel="0" collapsed="false">
      <c r="B39" s="1356" t="str">
        <f aca="false">Srcs_Uses!B24</f>
        <v>INITIAL WORKING CAPITAL </v>
      </c>
      <c r="C39" s="674" t="n">
        <f aca="false">Srcs_Uses!E24</f>
        <v>197.5</v>
      </c>
      <c r="D39" s="1357" t="n">
        <f aca="false">Srcs_Uses!F24</f>
        <v>0.00505415754646641</v>
      </c>
      <c r="E39" s="1358" t="n">
        <f aca="false">Srcs_Uses!G24</f>
        <v>5.72463768115942</v>
      </c>
      <c r="F39" s="1348"/>
      <c r="G39" s="1356" t="s">
        <v>884</v>
      </c>
      <c r="H39" s="1371" t="n">
        <f aca="false">Outside!E72</f>
        <v>-21904.2325119779</v>
      </c>
      <c r="I39" s="1371" t="n">
        <f aca="false">Outside!E67</f>
        <v>6.53699316899292E-013</v>
      </c>
      <c r="J39" s="1371"/>
      <c r="K39" s="1263"/>
      <c r="L39" s="1371" t="n">
        <f aca="false">EWC!E72</f>
        <v>-221.254873858363</v>
      </c>
      <c r="M39" s="1371" t="n">
        <f aca="false">EWC!E67</f>
        <v>-3.26405569239796E-014</v>
      </c>
      <c r="N39" s="1361"/>
      <c r="P39" s="1334"/>
      <c r="Q39" s="1334"/>
      <c r="R39" s="1334"/>
      <c r="S39" s="1334"/>
      <c r="T39" s="1334"/>
      <c r="U39" s="1334"/>
      <c r="V39" s="1334"/>
      <c r="W39" s="1334"/>
      <c r="X39" s="1334"/>
      <c r="Y39" s="1334"/>
      <c r="Z39" s="1334"/>
      <c r="AA39" s="1334"/>
      <c r="AB39" s="1334"/>
      <c r="AC39" s="1334"/>
      <c r="AD39" s="1334"/>
      <c r="AE39" s="1334"/>
      <c r="AF39" s="1334"/>
      <c r="AG39" s="1334"/>
      <c r="AH39" s="1334"/>
      <c r="AI39" s="1334"/>
      <c r="AJ39" s="1334"/>
      <c r="AK39" s="1334"/>
      <c r="AL39" s="1334"/>
      <c r="AM39" s="1334"/>
      <c r="AN39" s="1334"/>
      <c r="AO39" s="1334"/>
      <c r="AP39" s="1334"/>
      <c r="AQ39" s="1334"/>
    </row>
    <row r="40" customFormat="false" ht="13.5" hidden="false" customHeight="false" outlineLevel="0" collapsed="false">
      <c r="B40" s="1356" t="str">
        <f aca="false">Srcs_Uses!B25</f>
        <v>LAND USE PAYMENT TO SMUD</v>
      </c>
      <c r="C40" s="674" t="n">
        <f aca="false">Srcs_Uses!E25</f>
        <v>1500</v>
      </c>
      <c r="D40" s="1357" t="n">
        <f aca="false">Srcs_Uses!F25</f>
        <v>0.0383860066820234</v>
      </c>
      <c r="E40" s="1358" t="n">
        <f aca="false">Srcs_Uses!G25</f>
        <v>43.4782608695652</v>
      </c>
      <c r="F40" s="1348"/>
      <c r="G40" s="1389"/>
      <c r="H40" s="1390"/>
      <c r="I40" s="1390"/>
      <c r="J40" s="1390"/>
      <c r="K40" s="1390"/>
      <c r="L40" s="1390"/>
      <c r="M40" s="1390"/>
      <c r="N40" s="1391"/>
      <c r="P40" s="1334"/>
      <c r="Q40" s="1334"/>
      <c r="R40" s="1334"/>
      <c r="S40" s="1334"/>
      <c r="T40" s="1334"/>
      <c r="U40" s="1334"/>
      <c r="V40" s="1334"/>
      <c r="W40" s="1334"/>
      <c r="X40" s="1334"/>
      <c r="Y40" s="1334"/>
      <c r="Z40" s="1334"/>
      <c r="AA40" s="1334"/>
      <c r="AB40" s="1334"/>
      <c r="AC40" s="1334"/>
      <c r="AD40" s="1334"/>
      <c r="AE40" s="1334"/>
      <c r="AF40" s="1334"/>
      <c r="AG40" s="1334"/>
      <c r="AH40" s="1334"/>
      <c r="AI40" s="1334"/>
      <c r="AJ40" s="1334"/>
      <c r="AK40" s="1334"/>
      <c r="AL40" s="1334"/>
      <c r="AM40" s="1334"/>
      <c r="AN40" s="1334"/>
      <c r="AO40" s="1334"/>
      <c r="AP40" s="1334"/>
      <c r="AQ40" s="1334"/>
    </row>
    <row r="41" customFormat="false" ht="12.75" hidden="false" customHeight="false" outlineLevel="0" collapsed="false">
      <c r="B41" s="1356" t="str">
        <f aca="false">Srcs_Uses!B26</f>
        <v>EQUITY CLOSING EXPENSES</v>
      </c>
      <c r="C41" s="674" t="n">
        <f aca="false">Srcs_Uses!E26</f>
        <v>0</v>
      </c>
      <c r="D41" s="1357" t="n">
        <f aca="false">Srcs_Uses!F26</f>
        <v>0</v>
      </c>
      <c r="E41" s="1358" t="n">
        <f aca="false">Srcs_Uses!G26</f>
        <v>0</v>
      </c>
      <c r="F41" s="1348"/>
      <c r="G41" s="1334"/>
      <c r="H41" s="1339"/>
      <c r="I41" s="1339"/>
      <c r="J41" s="1339"/>
      <c r="K41" s="1334"/>
      <c r="L41" s="1334"/>
      <c r="M41" s="1334"/>
      <c r="N41" s="1334"/>
      <c r="P41" s="1334"/>
      <c r="Q41" s="1334"/>
      <c r="R41" s="1334"/>
      <c r="S41" s="1334"/>
      <c r="T41" s="1334"/>
      <c r="U41" s="1334"/>
      <c r="V41" s="1334"/>
      <c r="W41" s="1334"/>
      <c r="X41" s="1334"/>
      <c r="Y41" s="1334"/>
      <c r="Z41" s="1334"/>
      <c r="AA41" s="1334"/>
      <c r="AB41" s="1334"/>
      <c r="AC41" s="1334"/>
      <c r="AD41" s="1334"/>
      <c r="AE41" s="1334"/>
      <c r="AF41" s="1334"/>
      <c r="AG41" s="1334"/>
      <c r="AH41" s="1334"/>
      <c r="AI41" s="1334"/>
      <c r="AJ41" s="1334"/>
      <c r="AK41" s="1334"/>
      <c r="AL41" s="1334"/>
      <c r="AM41" s="1334"/>
      <c r="AN41" s="1334"/>
      <c r="AO41" s="1334"/>
      <c r="AP41" s="1334"/>
      <c r="AQ41" s="1334"/>
    </row>
    <row r="42" customFormat="false" ht="12.75" hidden="false" customHeight="false" outlineLevel="0" collapsed="false">
      <c r="B42" s="1356" t="str">
        <f aca="false">Srcs_Uses!B27</f>
        <v>UTILITY INTERCONNECT COSTS</v>
      </c>
      <c r="C42" s="674" t="n">
        <f aca="false">Srcs_Uses!E27</f>
        <v>0</v>
      </c>
      <c r="D42" s="1357" t="n">
        <f aca="false">Srcs_Uses!F27</f>
        <v>0</v>
      </c>
      <c r="E42" s="1358" t="n">
        <f aca="false">Srcs_Uses!G27</f>
        <v>0</v>
      </c>
      <c r="F42" s="1348"/>
      <c r="G42" s="1334"/>
      <c r="H42" s="1339"/>
      <c r="I42" s="1339"/>
      <c r="J42" s="1339"/>
      <c r="K42" s="1334"/>
      <c r="L42" s="1334"/>
      <c r="M42" s="1334"/>
      <c r="N42" s="1334"/>
      <c r="P42" s="1334"/>
      <c r="Q42" s="1334"/>
      <c r="R42" s="1334"/>
      <c r="S42" s="1334"/>
      <c r="T42" s="1334"/>
      <c r="U42" s="1334"/>
      <c r="V42" s="1334"/>
      <c r="W42" s="1334"/>
      <c r="X42" s="1334"/>
      <c r="Y42" s="1334"/>
      <c r="Z42" s="1334"/>
      <c r="AA42" s="1334"/>
      <c r="AB42" s="1334"/>
      <c r="AC42" s="1334"/>
      <c r="AD42" s="1334"/>
      <c r="AE42" s="1334"/>
      <c r="AF42" s="1334"/>
      <c r="AG42" s="1334"/>
      <c r="AH42" s="1334"/>
      <c r="AI42" s="1334"/>
      <c r="AJ42" s="1334"/>
      <c r="AK42" s="1334"/>
      <c r="AL42" s="1334"/>
      <c r="AM42" s="1334"/>
      <c r="AN42" s="1334"/>
      <c r="AO42" s="1334"/>
      <c r="AP42" s="1334"/>
      <c r="AQ42" s="1334"/>
    </row>
    <row r="43" customFormat="false" ht="12.75" hidden="false" customHeight="false" outlineLevel="0" collapsed="false">
      <c r="B43" s="1356" t="str">
        <f aca="false">Srcs_Uses!B28</f>
        <v>EQUITY FEE</v>
      </c>
      <c r="C43" s="674" t="n">
        <f aca="false">Srcs_Uses!E28</f>
        <v>520</v>
      </c>
      <c r="D43" s="1357" t="n">
        <f aca="false">Srcs_Uses!F28</f>
        <v>0.0133071489831014</v>
      </c>
      <c r="E43" s="1358" t="n">
        <f aca="false">Srcs_Uses!G28</f>
        <v>15.0724637681159</v>
      </c>
      <c r="F43" s="1348"/>
      <c r="G43" s="1334"/>
      <c r="H43" s="1339"/>
      <c r="I43" s="1339"/>
      <c r="J43" s="1339"/>
      <c r="K43" s="1334"/>
      <c r="L43" s="1334"/>
      <c r="M43" s="1334"/>
      <c r="N43" s="1334"/>
      <c r="P43" s="1334"/>
      <c r="Q43" s="1334"/>
      <c r="R43" s="1334"/>
      <c r="S43" s="1334"/>
      <c r="T43" s="1334"/>
      <c r="U43" s="1334"/>
      <c r="V43" s="1334"/>
      <c r="W43" s="1334"/>
      <c r="X43" s="1334"/>
      <c r="Y43" s="1334"/>
      <c r="Z43" s="1334"/>
      <c r="AA43" s="1334"/>
      <c r="AB43" s="1334"/>
      <c r="AC43" s="1334"/>
      <c r="AD43" s="1334"/>
      <c r="AE43" s="1334"/>
      <c r="AF43" s="1334"/>
      <c r="AG43" s="1334"/>
      <c r="AH43" s="1334"/>
      <c r="AI43" s="1334"/>
      <c r="AJ43" s="1334"/>
      <c r="AK43" s="1334"/>
      <c r="AL43" s="1334"/>
      <c r="AM43" s="1334"/>
      <c r="AN43" s="1334"/>
      <c r="AO43" s="1334"/>
      <c r="AP43" s="1334"/>
      <c r="AQ43" s="1334"/>
    </row>
    <row r="44" customFormat="false" ht="12.75" hidden="false" customHeight="false" outlineLevel="0" collapsed="false">
      <c r="B44" s="1356" t="str">
        <f aca="false">Srcs_Uses!B29</f>
        <v>LIQUIDATED DAMAGES</v>
      </c>
      <c r="C44" s="674" t="n">
        <f aca="false">Srcs_Uses!E29</f>
        <v>0</v>
      </c>
      <c r="D44" s="1357" t="n">
        <f aca="false">Srcs_Uses!F29</f>
        <v>0</v>
      </c>
      <c r="E44" s="1358" t="n">
        <f aca="false">Srcs_Uses!G29</f>
        <v>0</v>
      </c>
      <c r="F44" s="1348"/>
      <c r="G44" s="1334"/>
      <c r="H44" s="1339"/>
      <c r="I44" s="1339"/>
      <c r="J44" s="1339"/>
      <c r="K44" s="1334"/>
      <c r="L44" s="1334"/>
      <c r="M44" s="1334"/>
      <c r="N44" s="1334"/>
      <c r="P44" s="1334"/>
      <c r="Q44" s="1334"/>
      <c r="R44" s="1334"/>
      <c r="S44" s="1334"/>
      <c r="T44" s="1334"/>
      <c r="U44" s="1334"/>
      <c r="V44" s="1334"/>
      <c r="W44" s="1334"/>
      <c r="X44" s="1334"/>
      <c r="Y44" s="1334"/>
      <c r="Z44" s="1334"/>
      <c r="AA44" s="1334"/>
      <c r="AB44" s="1334"/>
      <c r="AC44" s="1334"/>
      <c r="AD44" s="1334"/>
      <c r="AE44" s="1334"/>
      <c r="AF44" s="1334"/>
      <c r="AG44" s="1334"/>
      <c r="AH44" s="1334"/>
      <c r="AI44" s="1334"/>
      <c r="AJ44" s="1334"/>
      <c r="AK44" s="1334"/>
      <c r="AL44" s="1334"/>
      <c r="AM44" s="1334"/>
      <c r="AN44" s="1334"/>
      <c r="AO44" s="1334"/>
      <c r="AP44" s="1334"/>
      <c r="AQ44" s="1334"/>
    </row>
    <row r="45" customFormat="false" ht="12.75" hidden="false" customHeight="false" outlineLevel="0" collapsed="false">
      <c r="B45" s="1356" t="str">
        <f aca="false">Srcs_Uses!B30</f>
        <v>TITLE INSURANCE</v>
      </c>
      <c r="C45" s="674" t="n">
        <f aca="false">Srcs_Uses!E30</f>
        <v>172.5</v>
      </c>
      <c r="D45" s="1357" t="n">
        <f aca="false">Srcs_Uses!F30</f>
        <v>0.00441439076843269</v>
      </c>
      <c r="E45" s="1358" t="n">
        <f aca="false">Srcs_Uses!G30</f>
        <v>5</v>
      </c>
      <c r="F45" s="1348"/>
      <c r="G45" s="1334"/>
      <c r="H45" s="1392"/>
      <c r="I45" s="1348"/>
      <c r="J45" s="1348"/>
      <c r="K45" s="1348"/>
      <c r="L45" s="1334"/>
      <c r="M45" s="1334"/>
      <c r="N45" s="1334"/>
      <c r="P45" s="1334"/>
      <c r="Q45" s="1334"/>
      <c r="R45" s="1334"/>
      <c r="S45" s="1334"/>
      <c r="T45" s="1334"/>
      <c r="U45" s="1334"/>
      <c r="V45" s="1334"/>
      <c r="W45" s="1334"/>
      <c r="X45" s="1334"/>
      <c r="Y45" s="1334"/>
      <c r="Z45" s="1334"/>
      <c r="AA45" s="1334"/>
      <c r="AB45" s="1334"/>
      <c r="AC45" s="1334"/>
      <c r="AD45" s="1334"/>
      <c r="AE45" s="1334"/>
      <c r="AF45" s="1334"/>
      <c r="AG45" s="1334"/>
      <c r="AH45" s="1334"/>
      <c r="AI45" s="1334"/>
      <c r="AJ45" s="1334"/>
      <c r="AK45" s="1334"/>
      <c r="AL45" s="1334"/>
      <c r="AM45" s="1334"/>
      <c r="AN45" s="1334"/>
      <c r="AO45" s="1334"/>
      <c r="AP45" s="1334"/>
      <c r="AQ45" s="1334"/>
    </row>
    <row r="46" customFormat="false" ht="12.75" hidden="false" customHeight="false" outlineLevel="0" collapsed="false">
      <c r="B46" s="1356" t="str">
        <f aca="false">Srcs_Uses!B31</f>
        <v>SR DEBT ARRANGEMENT FEE</v>
      </c>
      <c r="C46" s="674" t="n">
        <f aca="false">Srcs_Uses!E31</f>
        <v>188.713969391191</v>
      </c>
      <c r="D46" s="1357" t="n">
        <f aca="false">Srcs_Uses!F31</f>
        <v>0.00482931712669428</v>
      </c>
      <c r="E46" s="1358" t="n">
        <f aca="false">Srcs_Uses!G31</f>
        <v>5.4699701272809</v>
      </c>
      <c r="F46" s="1348"/>
      <c r="G46" s="1334"/>
      <c r="H46" s="1392"/>
      <c r="I46" s="1348"/>
      <c r="J46" s="1348"/>
      <c r="K46" s="1348"/>
      <c r="L46" s="1334"/>
      <c r="M46" s="1334"/>
      <c r="N46" s="1334"/>
      <c r="P46" s="1334"/>
      <c r="Q46" s="1334"/>
      <c r="R46" s="1334"/>
      <c r="S46" s="1334"/>
      <c r="T46" s="1334"/>
      <c r="U46" s="1334"/>
      <c r="V46" s="1334"/>
      <c r="W46" s="1334"/>
      <c r="X46" s="1334"/>
      <c r="Y46" s="1334"/>
      <c r="Z46" s="1334"/>
      <c r="AA46" s="1334"/>
      <c r="AB46" s="1334"/>
      <c r="AC46" s="1334"/>
      <c r="AD46" s="1334"/>
      <c r="AE46" s="1334"/>
      <c r="AF46" s="1334"/>
      <c r="AG46" s="1334"/>
      <c r="AH46" s="1334"/>
      <c r="AI46" s="1334"/>
      <c r="AJ46" s="1334"/>
      <c r="AK46" s="1334"/>
      <c r="AL46" s="1334"/>
      <c r="AM46" s="1334"/>
      <c r="AN46" s="1334"/>
      <c r="AO46" s="1334"/>
      <c r="AP46" s="1334"/>
      <c r="AQ46" s="1334"/>
    </row>
    <row r="47" customFormat="false" ht="12.75" hidden="false" customHeight="false" outlineLevel="0" collapsed="false">
      <c r="B47" s="1356" t="str">
        <f aca="false">Srcs_Uses!B32</f>
        <v>JR DEBT ARRANGEMENT FEE</v>
      </c>
      <c r="C47" s="674" t="n">
        <f aca="false">Srcs_Uses!E32</f>
        <v>0</v>
      </c>
      <c r="D47" s="1357" t="n">
        <f aca="false">Srcs_Uses!F32</f>
        <v>0</v>
      </c>
      <c r="E47" s="1358" t="n">
        <f aca="false">Srcs_Uses!G32</f>
        <v>0</v>
      </c>
      <c r="F47" s="1348"/>
      <c r="G47" s="1334"/>
      <c r="H47" s="1392"/>
      <c r="I47" s="1348"/>
      <c r="J47" s="1348"/>
      <c r="K47" s="1348"/>
      <c r="L47" s="1334"/>
      <c r="M47" s="1334"/>
      <c r="N47" s="1334"/>
      <c r="P47" s="1334"/>
      <c r="Q47" s="1334"/>
      <c r="R47" s="1334"/>
      <c r="S47" s="1334"/>
      <c r="T47" s="1334"/>
      <c r="U47" s="1334"/>
      <c r="V47" s="1334"/>
      <c r="W47" s="1334"/>
      <c r="X47" s="1334"/>
      <c r="Y47" s="1334"/>
      <c r="Z47" s="1334"/>
      <c r="AA47" s="1334"/>
      <c r="AB47" s="1334"/>
      <c r="AC47" s="1334"/>
      <c r="AD47" s="1334"/>
      <c r="AE47" s="1334"/>
      <c r="AF47" s="1334"/>
      <c r="AG47" s="1334"/>
      <c r="AH47" s="1334"/>
      <c r="AI47" s="1334"/>
      <c r="AJ47" s="1334"/>
      <c r="AK47" s="1334"/>
      <c r="AL47" s="1334"/>
      <c r="AM47" s="1334"/>
      <c r="AN47" s="1334"/>
      <c r="AO47" s="1334"/>
      <c r="AP47" s="1334"/>
      <c r="AQ47" s="1334"/>
    </row>
    <row r="48" customFormat="false" ht="13.5" hidden="false" customHeight="false" outlineLevel="0" collapsed="false">
      <c r="B48" s="1362" t="str">
        <f aca="false">Srcs_Uses!B33</f>
        <v>      TOTAL</v>
      </c>
      <c r="C48" s="1372" t="n">
        <f aca="false">Srcs_Uses!E33</f>
        <v>39076.7399283153</v>
      </c>
      <c r="D48" s="1373" t="n">
        <f aca="false">Srcs_Uses!F33</f>
        <v>1</v>
      </c>
      <c r="E48" s="1374" t="n">
        <f aca="false">Srcs_Uses!G33</f>
        <v>1132.65912835696</v>
      </c>
      <c r="F48" s="1348"/>
      <c r="G48" s="1334"/>
      <c r="H48" s="1392"/>
      <c r="I48" s="1348"/>
      <c r="J48" s="1348"/>
      <c r="K48" s="1348"/>
      <c r="L48" s="1334"/>
      <c r="M48" s="1334"/>
      <c r="N48" s="1334"/>
      <c r="P48" s="1334"/>
      <c r="Q48" s="1334"/>
      <c r="R48" s="1334"/>
      <c r="S48" s="1334"/>
      <c r="T48" s="1334"/>
      <c r="U48" s="1334"/>
      <c r="V48" s="1334"/>
      <c r="W48" s="1334"/>
      <c r="X48" s="1334"/>
      <c r="Y48" s="1334"/>
      <c r="Z48" s="1334"/>
      <c r="AA48" s="1334"/>
      <c r="AB48" s="1334"/>
      <c r="AC48" s="1334"/>
      <c r="AD48" s="1334"/>
      <c r="AE48" s="1334"/>
      <c r="AF48" s="1334"/>
      <c r="AG48" s="1334"/>
      <c r="AH48" s="1334"/>
      <c r="AI48" s="1334"/>
      <c r="AJ48" s="1334"/>
      <c r="AK48" s="1334"/>
      <c r="AL48" s="1334"/>
      <c r="AM48" s="1334"/>
      <c r="AN48" s="1334"/>
      <c r="AO48" s="1334"/>
      <c r="AP48" s="1334"/>
      <c r="AQ48" s="1334"/>
    </row>
    <row r="49" customFormat="false" ht="12.75" hidden="false" customHeight="false" outlineLevel="0" collapsed="false">
      <c r="F49" s="1348"/>
      <c r="G49" s="1334"/>
      <c r="H49" s="1339"/>
      <c r="I49" s="1339"/>
      <c r="J49" s="1339"/>
      <c r="K49" s="1334"/>
      <c r="L49" s="1334"/>
      <c r="M49" s="1334"/>
      <c r="N49" s="1334"/>
      <c r="P49" s="1334"/>
      <c r="Q49" s="1334"/>
      <c r="R49" s="1334"/>
      <c r="S49" s="1334"/>
      <c r="T49" s="1334"/>
      <c r="U49" s="1334"/>
      <c r="V49" s="1334"/>
      <c r="W49" s="1334"/>
      <c r="X49" s="1334"/>
      <c r="Y49" s="1334"/>
      <c r="Z49" s="1334"/>
      <c r="AA49" s="1334"/>
      <c r="AB49" s="1334"/>
      <c r="AC49" s="1334"/>
      <c r="AD49" s="1334"/>
      <c r="AE49" s="1334"/>
      <c r="AF49" s="1334"/>
      <c r="AG49" s="1334"/>
      <c r="AH49" s="1334"/>
      <c r="AI49" s="1334"/>
      <c r="AJ49" s="1334"/>
      <c r="AK49" s="1334"/>
      <c r="AL49" s="1334"/>
      <c r="AM49" s="1334"/>
      <c r="AN49" s="1334"/>
      <c r="AO49" s="1334"/>
      <c r="AP49" s="1334"/>
      <c r="AQ49" s="1334"/>
    </row>
    <row r="50" customFormat="false" ht="12.75" hidden="false" customHeight="false" outlineLevel="0" collapsed="false">
      <c r="F50" s="1348"/>
      <c r="G50" s="1334"/>
      <c r="H50" s="1339"/>
      <c r="I50" s="1339"/>
      <c r="J50" s="1339"/>
      <c r="K50" s="1334"/>
      <c r="L50" s="1334"/>
      <c r="M50" s="1334"/>
      <c r="N50" s="1334"/>
      <c r="P50" s="1334"/>
      <c r="Q50" s="1334"/>
      <c r="R50" s="1334"/>
      <c r="S50" s="1334"/>
      <c r="T50" s="1334"/>
      <c r="U50" s="1334"/>
      <c r="V50" s="1334"/>
      <c r="W50" s="1334"/>
      <c r="X50" s="1334"/>
      <c r="Y50" s="1334"/>
      <c r="Z50" s="1334"/>
      <c r="AA50" s="1334"/>
      <c r="AB50" s="1334"/>
      <c r="AC50" s="1334"/>
      <c r="AD50" s="1334"/>
      <c r="AE50" s="1334"/>
      <c r="AF50" s="1334"/>
      <c r="AG50" s="1334"/>
      <c r="AH50" s="1334"/>
      <c r="AI50" s="1334"/>
      <c r="AJ50" s="1334"/>
      <c r="AK50" s="1334"/>
      <c r="AL50" s="1334"/>
      <c r="AM50" s="1334"/>
      <c r="AN50" s="1334"/>
      <c r="AO50" s="1334"/>
      <c r="AP50" s="1334"/>
      <c r="AQ50" s="1334"/>
    </row>
    <row r="51" customFormat="false" ht="12.75" hidden="false" customHeight="false" outlineLevel="0" collapsed="false">
      <c r="B51" s="1334"/>
      <c r="C51" s="1339"/>
      <c r="D51" s="1342"/>
      <c r="E51" s="1339"/>
      <c r="F51" s="1393"/>
      <c r="G51" s="1393"/>
      <c r="H51" s="1339"/>
      <c r="I51" s="1339"/>
      <c r="J51" s="1339"/>
      <c r="K51" s="1334"/>
      <c r="L51" s="1334"/>
      <c r="M51" s="1334"/>
      <c r="N51" s="1334"/>
      <c r="P51" s="1334"/>
      <c r="Q51" s="1334"/>
      <c r="R51" s="1334"/>
      <c r="S51" s="1334"/>
      <c r="T51" s="1334"/>
      <c r="U51" s="1334"/>
      <c r="V51" s="1334"/>
      <c r="W51" s="1334"/>
      <c r="X51" s="1334"/>
      <c r="Y51" s="1334"/>
      <c r="Z51" s="1334"/>
      <c r="AA51" s="1334"/>
      <c r="AB51" s="1334"/>
      <c r="AC51" s="1334"/>
      <c r="AD51" s="1334"/>
      <c r="AE51" s="1334"/>
      <c r="AF51" s="1334"/>
      <c r="AG51" s="1334"/>
      <c r="AH51" s="1334"/>
      <c r="AI51" s="1334"/>
      <c r="AJ51" s="1334"/>
      <c r="AK51" s="1334"/>
      <c r="AL51" s="1334"/>
      <c r="AM51" s="1334"/>
      <c r="AN51" s="1334"/>
      <c r="AO51" s="1334"/>
      <c r="AP51" s="1334"/>
      <c r="AQ51" s="1334"/>
    </row>
    <row r="52" customFormat="false" ht="13.5" hidden="false" customHeight="false" outlineLevel="0" collapsed="false">
      <c r="B52" s="1334"/>
      <c r="C52" s="1339"/>
      <c r="D52" s="1342"/>
      <c r="E52" s="1339"/>
      <c r="F52" s="1339"/>
      <c r="G52" s="1339"/>
      <c r="H52" s="1339"/>
      <c r="I52" s="1339"/>
      <c r="J52" s="1339"/>
      <c r="K52" s="1334"/>
      <c r="L52" s="1334"/>
      <c r="M52" s="1334"/>
      <c r="N52" s="1334"/>
      <c r="P52" s="1334"/>
      <c r="Q52" s="1334"/>
      <c r="R52" s="1334"/>
      <c r="S52" s="1334"/>
      <c r="T52" s="1334"/>
      <c r="U52" s="1334"/>
      <c r="V52" s="1334"/>
      <c r="W52" s="1334"/>
      <c r="X52" s="1334"/>
      <c r="Y52" s="1334"/>
      <c r="Z52" s="1334"/>
      <c r="AA52" s="1334"/>
      <c r="AB52" s="1334"/>
      <c r="AC52" s="1334"/>
      <c r="AD52" s="1334"/>
      <c r="AE52" s="1334"/>
      <c r="AF52" s="1334"/>
      <c r="AG52" s="1334"/>
      <c r="AH52" s="1334"/>
      <c r="AI52" s="1334"/>
      <c r="AJ52" s="1334"/>
      <c r="AK52" s="1334"/>
      <c r="AL52" s="1334"/>
      <c r="AM52" s="1334"/>
      <c r="AN52" s="1334"/>
      <c r="AO52" s="1334"/>
      <c r="AP52" s="1334"/>
      <c r="AQ52" s="1334"/>
    </row>
    <row r="53" customFormat="false" ht="12.75" hidden="false" customHeight="false" outlineLevel="0" collapsed="false">
      <c r="B53" s="1349" t="s">
        <v>453</v>
      </c>
      <c r="C53" s="1394"/>
      <c r="D53" s="1395" t="s">
        <v>885</v>
      </c>
      <c r="E53" s="1396" t="s">
        <v>451</v>
      </c>
      <c r="F53" s="1354"/>
      <c r="G53" s="1397" t="s">
        <v>886</v>
      </c>
      <c r="H53" s="1354"/>
      <c r="I53" s="1354"/>
      <c r="J53" s="1354"/>
      <c r="K53" s="1354"/>
      <c r="L53" s="1354"/>
      <c r="M53" s="1354"/>
      <c r="N53" s="1354"/>
      <c r="O53" s="1354"/>
      <c r="P53" s="1354"/>
      <c r="Q53" s="1355"/>
      <c r="R53" s="1334"/>
      <c r="S53" s="1334"/>
      <c r="T53" s="1334"/>
      <c r="U53" s="1334"/>
      <c r="V53" s="1334"/>
      <c r="W53" s="1334"/>
      <c r="X53" s="1334"/>
      <c r="Y53" s="1334"/>
      <c r="Z53" s="1334"/>
      <c r="AA53" s="1334"/>
      <c r="AB53" s="1334"/>
      <c r="AC53" s="1334"/>
      <c r="AD53" s="1334"/>
      <c r="AE53" s="1334"/>
      <c r="AF53" s="1334"/>
      <c r="AG53" s="1334"/>
      <c r="AH53" s="1334"/>
      <c r="AI53" s="1334"/>
      <c r="AJ53" s="1334"/>
      <c r="AK53" s="1334"/>
      <c r="AL53" s="1334"/>
      <c r="AM53" s="1334"/>
      <c r="AN53" s="1334"/>
      <c r="AO53" s="1334"/>
      <c r="AP53" s="1334"/>
      <c r="AQ53" s="1334"/>
    </row>
    <row r="54" customFormat="false" ht="12.75" hidden="false" customHeight="false" outlineLevel="0" collapsed="false">
      <c r="B54" s="1356"/>
      <c r="C54" s="1398" t="s">
        <v>454</v>
      </c>
      <c r="D54" s="1399" t="s">
        <v>455</v>
      </c>
      <c r="E54" s="1400" t="s">
        <v>456</v>
      </c>
      <c r="F54" s="1360"/>
      <c r="G54" s="1378"/>
      <c r="H54" s="1401" t="n">
        <f aca="false">SrDebt!E27</f>
        <v>35795</v>
      </c>
      <c r="I54" s="1401" t="n">
        <f aca="false">SrDebt!F27</f>
        <v>36158</v>
      </c>
      <c r="J54" s="1401" t="n">
        <f aca="false">SrDebt!G27</f>
        <v>36523</v>
      </c>
      <c r="K54" s="1401" t="n">
        <f aca="false">SrDebt!H27</f>
        <v>36889</v>
      </c>
      <c r="L54" s="1401" t="n">
        <f aca="false">SrDebt!I27</f>
        <v>37254</v>
      </c>
      <c r="M54" s="1401" t="n">
        <f aca="false">SrDebt!J27</f>
        <v>37619</v>
      </c>
      <c r="N54" s="1401" t="n">
        <f aca="false">SrDebt!K27</f>
        <v>37984</v>
      </c>
      <c r="O54" s="1401" t="n">
        <f aca="false">SrDebt!L27</f>
        <v>38350</v>
      </c>
      <c r="P54" s="1401" t="n">
        <f aca="false">SrDebt!M27</f>
        <v>38715</v>
      </c>
      <c r="Q54" s="1402" t="n">
        <f aca="false">SrDebt!N27</f>
        <v>39080</v>
      </c>
      <c r="R54" s="1334"/>
      <c r="S54" s="1334"/>
      <c r="T54" s="1334"/>
      <c r="U54" s="1334"/>
      <c r="V54" s="1334"/>
      <c r="W54" s="1334"/>
      <c r="X54" s="1334"/>
      <c r="Y54" s="1334"/>
      <c r="Z54" s="1334"/>
      <c r="AA54" s="1334"/>
      <c r="AB54" s="1334"/>
      <c r="AC54" s="1334"/>
      <c r="AD54" s="1334"/>
      <c r="AE54" s="1334"/>
      <c r="AF54" s="1334"/>
      <c r="AG54" s="1334"/>
      <c r="AH54" s="1334"/>
      <c r="AI54" s="1334"/>
      <c r="AJ54" s="1334"/>
      <c r="AK54" s="1334"/>
      <c r="AL54" s="1334"/>
      <c r="AM54" s="1334"/>
      <c r="AN54" s="1334"/>
      <c r="AO54" s="1334"/>
      <c r="AP54" s="1334"/>
      <c r="AQ54" s="1334"/>
    </row>
    <row r="55" customFormat="false" ht="12.75" hidden="false" customHeight="false" outlineLevel="0" collapsed="false">
      <c r="B55" s="1356" t="s">
        <v>887</v>
      </c>
      <c r="C55" s="1403" t="n">
        <f aca="false">ROUNDDOWN(SrDebt!G21,0)</f>
        <v>17</v>
      </c>
      <c r="D55" s="1404" t="n">
        <f aca="false">Assum!E249</f>
        <v>0.100196432444355</v>
      </c>
      <c r="E55" s="1405" t="n">
        <f aca="false">Assum!E230</f>
        <v>12580.9312927461</v>
      </c>
      <c r="F55" s="1360"/>
      <c r="G55" s="1406" t="s">
        <v>888</v>
      </c>
      <c r="H55" s="1407" t="n">
        <f aca="false">SrDebt!E12</f>
        <v>1.4</v>
      </c>
      <c r="I55" s="1407" t="n">
        <f aca="false">SrDebt!F12</f>
        <v>1.4</v>
      </c>
      <c r="J55" s="1407" t="n">
        <f aca="false">SrDebt!G12</f>
        <v>1.4</v>
      </c>
      <c r="K55" s="1407" t="n">
        <f aca="false">SrDebt!H12</f>
        <v>1.4</v>
      </c>
      <c r="L55" s="1407" t="n">
        <f aca="false">SrDebt!I12</f>
        <v>1.4</v>
      </c>
      <c r="M55" s="1407" t="n">
        <f aca="false">SrDebt!J12</f>
        <v>1.4</v>
      </c>
      <c r="N55" s="1407" t="n">
        <f aca="false">SrDebt!K12</f>
        <v>1.4</v>
      </c>
      <c r="O55" s="1407" t="n">
        <f aca="false">SrDebt!L12</f>
        <v>1.4</v>
      </c>
      <c r="P55" s="1407" t="n">
        <f aca="false">SrDebt!M12</f>
        <v>1.4</v>
      </c>
      <c r="Q55" s="1408" t="n">
        <f aca="false">SrDebt!N12</f>
        <v>1.4</v>
      </c>
      <c r="R55" s="1334"/>
      <c r="S55" s="1409"/>
      <c r="T55" s="1334"/>
      <c r="U55" s="1334"/>
      <c r="V55" s="1334"/>
      <c r="W55" s="1334"/>
      <c r="X55" s="1334"/>
      <c r="Y55" s="1334"/>
      <c r="Z55" s="1334"/>
      <c r="AA55" s="1334"/>
      <c r="AB55" s="1334"/>
      <c r="AC55" s="1334"/>
      <c r="AD55" s="1334"/>
      <c r="AE55" s="1334"/>
      <c r="AF55" s="1334"/>
      <c r="AG55" s="1334"/>
      <c r="AH55" s="1334"/>
      <c r="AI55" s="1334"/>
      <c r="AJ55" s="1334"/>
      <c r="AK55" s="1334"/>
      <c r="AL55" s="1334"/>
      <c r="AM55" s="1334"/>
      <c r="AN55" s="1334"/>
      <c r="AO55" s="1334"/>
      <c r="AP55" s="1334"/>
      <c r="AQ55" s="1334"/>
    </row>
    <row r="56" customFormat="false" ht="12.75" hidden="false" customHeight="false" outlineLevel="0" collapsed="false">
      <c r="B56" s="1356" t="s">
        <v>889</v>
      </c>
      <c r="C56" s="1403" t="n">
        <f aca="false">ROUNDDOWN(JrDebt!G38,0)</f>
        <v>0</v>
      </c>
      <c r="D56" s="1410" t="n">
        <f aca="false">Assum!E292</f>
        <v>0.055</v>
      </c>
      <c r="E56" s="1405" t="n">
        <f aca="false">Assum!C274</f>
        <v>0</v>
      </c>
      <c r="F56" s="1360"/>
      <c r="G56" s="1406" t="s">
        <v>890</v>
      </c>
      <c r="H56" s="1364" t="str">
        <f aca="false">JrDebt!E30</f>
        <v/>
      </c>
      <c r="I56" s="1364" t="str">
        <f aca="false">JrDebt!F30</f>
        <v/>
      </c>
      <c r="J56" s="1364" t="str">
        <f aca="false">JrDebt!G30</f>
        <v/>
      </c>
      <c r="K56" s="1364" t="str">
        <f aca="false">JrDebt!H30</f>
        <v/>
      </c>
      <c r="L56" s="1364" t="str">
        <f aca="false">JrDebt!I30</f>
        <v/>
      </c>
      <c r="M56" s="1364" t="str">
        <f aca="false">JrDebt!J30</f>
        <v/>
      </c>
      <c r="N56" s="1364" t="str">
        <f aca="false">JrDebt!K30</f>
        <v/>
      </c>
      <c r="O56" s="1364" t="str">
        <f aca="false">JrDebt!L30</f>
        <v/>
      </c>
      <c r="P56" s="1364" t="str">
        <f aca="false">JrDebt!M30</f>
        <v/>
      </c>
      <c r="Q56" s="1411" t="str">
        <f aca="false">JrDebt!N30</f>
        <v/>
      </c>
      <c r="R56" s="1334"/>
      <c r="S56" s="1409"/>
      <c r="T56" s="1334"/>
      <c r="U56" s="1334"/>
      <c r="V56" s="1334"/>
      <c r="W56" s="1334"/>
      <c r="X56" s="1334"/>
      <c r="Y56" s="1334"/>
      <c r="Z56" s="1334"/>
      <c r="AA56" s="1334"/>
      <c r="AB56" s="1334"/>
      <c r="AC56" s="1334"/>
      <c r="AD56" s="1334"/>
      <c r="AE56" s="1334"/>
      <c r="AF56" s="1334"/>
      <c r="AG56" s="1334"/>
      <c r="AH56" s="1334"/>
      <c r="AI56" s="1334"/>
      <c r="AJ56" s="1334"/>
      <c r="AK56" s="1334"/>
      <c r="AL56" s="1334"/>
      <c r="AM56" s="1334"/>
      <c r="AN56" s="1334"/>
      <c r="AO56" s="1334"/>
      <c r="AP56" s="1334"/>
      <c r="AQ56" s="1334"/>
    </row>
    <row r="57" customFormat="false" ht="12.75" hidden="false" customHeight="false" outlineLevel="0" collapsed="false">
      <c r="B57" s="1356" t="s">
        <v>891</v>
      </c>
      <c r="C57" s="1403"/>
      <c r="D57" s="1410" t="n">
        <f aca="false">(E55/E57)*D55+(E56/E57)*D56</f>
        <v>0.100196432444355</v>
      </c>
      <c r="E57" s="1405" t="n">
        <f aca="false">E55+E56</f>
        <v>12580.9312927461</v>
      </c>
      <c r="F57" s="1360"/>
      <c r="G57" s="1406"/>
      <c r="H57" s="1412"/>
      <c r="I57" s="1412"/>
      <c r="J57" s="1412"/>
      <c r="K57" s="1412"/>
      <c r="L57" s="1412"/>
      <c r="M57" s="1412"/>
      <c r="N57" s="1412"/>
      <c r="O57" s="1412"/>
      <c r="P57" s="1412"/>
      <c r="Q57" s="1413"/>
      <c r="R57" s="1334"/>
      <c r="S57" s="1409"/>
      <c r="T57" s="1334"/>
      <c r="U57" s="1334"/>
      <c r="V57" s="1334"/>
      <c r="W57" s="1334"/>
      <c r="X57" s="1334"/>
      <c r="Y57" s="1334"/>
      <c r="Z57" s="1334"/>
      <c r="AA57" s="1334"/>
      <c r="AB57" s="1334"/>
      <c r="AC57" s="1334"/>
      <c r="AD57" s="1334"/>
      <c r="AE57" s="1334"/>
      <c r="AF57" s="1334"/>
      <c r="AG57" s="1334"/>
      <c r="AH57" s="1334"/>
      <c r="AI57" s="1334"/>
      <c r="AJ57" s="1334"/>
      <c r="AK57" s="1334"/>
      <c r="AL57" s="1334"/>
      <c r="AM57" s="1334"/>
      <c r="AN57" s="1334"/>
      <c r="AO57" s="1334"/>
      <c r="AP57" s="1334"/>
      <c r="AQ57" s="1334"/>
    </row>
    <row r="58" customFormat="false" ht="12.75" hidden="false" customHeight="false" outlineLevel="0" collapsed="false">
      <c r="B58" s="1414"/>
      <c r="C58" s="1360"/>
      <c r="D58" s="1360"/>
      <c r="E58" s="1360"/>
      <c r="F58" s="1360"/>
      <c r="G58" s="1406"/>
      <c r="H58" s="1401" t="n">
        <f aca="false">SrDebt!O27</f>
        <v>39445</v>
      </c>
      <c r="I58" s="1401" t="n">
        <f aca="false">SrDebt!P27</f>
        <v>39811</v>
      </c>
      <c r="J58" s="1401" t="n">
        <f aca="false">SrDebt!Q27</f>
        <v>40176</v>
      </c>
      <c r="K58" s="1401" t="n">
        <f aca="false">SrDebt!R27</f>
        <v>40541</v>
      </c>
      <c r="L58" s="1401" t="n">
        <f aca="false">SrDebt!S27</f>
        <v>40906</v>
      </c>
      <c r="M58" s="1401" t="n">
        <f aca="false">SrDebt!T27</f>
        <v>41272</v>
      </c>
      <c r="N58" s="1401" t="n">
        <f aca="false">SrDebt!U27</f>
        <v>41637</v>
      </c>
      <c r="O58" s="1401" t="n">
        <f aca="false">SrDebt!V27</f>
        <v>42002</v>
      </c>
      <c r="P58" s="1401" t="n">
        <f aca="false">SrDebt!W27</f>
        <v>42367</v>
      </c>
      <c r="Q58" s="1402" t="n">
        <f aca="false">SrDebt!X27</f>
        <v>42733</v>
      </c>
      <c r="R58" s="1334"/>
      <c r="S58" s="1409"/>
      <c r="T58" s="1334"/>
      <c r="U58" s="1334"/>
      <c r="V58" s="1334"/>
      <c r="W58" s="1334"/>
      <c r="X58" s="1334"/>
      <c r="Y58" s="1334"/>
      <c r="Z58" s="1334"/>
      <c r="AA58" s="1334"/>
      <c r="AB58" s="1334"/>
      <c r="AC58" s="1334"/>
      <c r="AD58" s="1334"/>
      <c r="AE58" s="1334"/>
      <c r="AF58" s="1334"/>
      <c r="AG58" s="1334"/>
      <c r="AH58" s="1334"/>
      <c r="AI58" s="1334"/>
      <c r="AJ58" s="1334"/>
      <c r="AK58" s="1334"/>
      <c r="AL58" s="1334"/>
      <c r="AM58" s="1334"/>
      <c r="AN58" s="1334"/>
      <c r="AO58" s="1334"/>
      <c r="AP58" s="1334"/>
      <c r="AQ58" s="1334"/>
    </row>
    <row r="59" customFormat="false" ht="12.75" hidden="false" customHeight="false" outlineLevel="0" collapsed="false">
      <c r="B59" s="1369"/>
      <c r="C59" s="1263"/>
      <c r="D59" s="1263"/>
      <c r="E59" s="1263"/>
      <c r="F59" s="1263"/>
      <c r="G59" s="1406" t="s">
        <v>888</v>
      </c>
      <c r="H59" s="1407" t="n">
        <f aca="false">SrDebt!O12</f>
        <v>1.4</v>
      </c>
      <c r="I59" s="1407" t="n">
        <f aca="false">SrDebt!P12</f>
        <v>1.4</v>
      </c>
      <c r="J59" s="1407" t="n">
        <f aca="false">SrDebt!Q12</f>
        <v>1.4</v>
      </c>
      <c r="K59" s="1407" t="n">
        <f aca="false">SrDebt!R12</f>
        <v>1.4</v>
      </c>
      <c r="L59" s="1407" t="n">
        <f aca="false">SrDebt!S12</f>
        <v>1.4</v>
      </c>
      <c r="M59" s="1407" t="n">
        <f aca="false">SrDebt!T12</f>
        <v>1.4</v>
      </c>
      <c r="N59" s="1407" t="n">
        <f aca="false">SrDebt!U12</f>
        <v>1.4810861714886</v>
      </c>
      <c r="O59" s="1407" t="str">
        <f aca="false">SrDebt!V12</f>
        <v> </v>
      </c>
      <c r="P59" s="1412" t="str">
        <f aca="false">SrDebt!W12</f>
        <v> </v>
      </c>
      <c r="Q59" s="1413" t="str">
        <f aca="false">SrDebt!X12</f>
        <v> </v>
      </c>
      <c r="R59" s="1334"/>
      <c r="S59" s="1409"/>
      <c r="T59" s="1334"/>
      <c r="U59" s="1334"/>
      <c r="V59" s="1334"/>
      <c r="W59" s="1334"/>
      <c r="X59" s="1334"/>
      <c r="Y59" s="1334"/>
      <c r="Z59" s="1334"/>
      <c r="AA59" s="1334"/>
      <c r="AB59" s="1334"/>
      <c r="AC59" s="1334"/>
      <c r="AD59" s="1334"/>
      <c r="AE59" s="1334"/>
      <c r="AF59" s="1334"/>
      <c r="AG59" s="1334"/>
      <c r="AH59" s="1334"/>
      <c r="AI59" s="1334"/>
      <c r="AJ59" s="1334"/>
      <c r="AK59" s="1334"/>
      <c r="AL59" s="1334"/>
      <c r="AM59" s="1334"/>
      <c r="AN59" s="1334"/>
      <c r="AO59" s="1334"/>
      <c r="AP59" s="1334"/>
      <c r="AQ59" s="1334"/>
    </row>
    <row r="60" customFormat="false" ht="12.75" hidden="false" customHeight="false" outlineLevel="0" collapsed="false">
      <c r="B60" s="1369"/>
      <c r="C60" s="1263"/>
      <c r="D60" s="1263"/>
      <c r="E60" s="1263"/>
      <c r="F60" s="1263"/>
      <c r="G60" s="1406" t="s">
        <v>890</v>
      </c>
      <c r="H60" s="1364" t="str">
        <f aca="false">JrDebt!O30</f>
        <v/>
      </c>
      <c r="I60" s="1364" t="str">
        <f aca="false">JrDebt!P30</f>
        <v/>
      </c>
      <c r="J60" s="1364" t="str">
        <f aca="false">JrDebt!Q30</f>
        <v/>
      </c>
      <c r="K60" s="1364" t="str">
        <f aca="false">JrDebt!R30</f>
        <v/>
      </c>
      <c r="L60" s="1364" t="str">
        <f aca="false">JrDebt!S30</f>
        <v/>
      </c>
      <c r="M60" s="1364" t="str">
        <f aca="false">JrDebt!T30</f>
        <v/>
      </c>
      <c r="N60" s="1364" t="str">
        <f aca="false">JrDebt!U30</f>
        <v/>
      </c>
      <c r="O60" s="1364" t="str">
        <f aca="false">JrDebt!V30</f>
        <v/>
      </c>
      <c r="P60" s="1364" t="str">
        <f aca="false">JrDebt!W30</f>
        <v/>
      </c>
      <c r="Q60" s="1411" t="str">
        <f aca="false">JrDebt!X30</f>
        <v/>
      </c>
      <c r="R60" s="1334"/>
      <c r="S60" s="1334"/>
      <c r="T60" s="1334"/>
      <c r="U60" s="1334"/>
      <c r="V60" s="1334"/>
      <c r="W60" s="1334"/>
      <c r="X60" s="1334"/>
      <c r="Y60" s="1334"/>
      <c r="Z60" s="1334"/>
      <c r="AA60" s="1334"/>
      <c r="AB60" s="1334"/>
      <c r="AC60" s="1334"/>
      <c r="AD60" s="1334"/>
      <c r="AE60" s="1334"/>
      <c r="AF60" s="1334"/>
      <c r="AG60" s="1334"/>
      <c r="AH60" s="1334"/>
      <c r="AI60" s="1334"/>
      <c r="AJ60" s="1334"/>
      <c r="AK60" s="1334"/>
      <c r="AL60" s="1334"/>
      <c r="AM60" s="1334"/>
      <c r="AN60" s="1334"/>
      <c r="AO60" s="1334"/>
      <c r="AP60" s="1334"/>
      <c r="AQ60" s="1334"/>
    </row>
    <row r="61" customFormat="false" ht="13.5" hidden="false" customHeight="false" outlineLevel="0" collapsed="false">
      <c r="B61" s="1415"/>
      <c r="C61" s="1390"/>
      <c r="D61" s="1390"/>
      <c r="E61" s="1390"/>
      <c r="F61" s="1390"/>
      <c r="G61" s="1390"/>
      <c r="H61" s="1390"/>
      <c r="I61" s="1390"/>
      <c r="J61" s="1390"/>
      <c r="K61" s="1390"/>
      <c r="L61" s="1390"/>
      <c r="M61" s="1390"/>
      <c r="N61" s="1390"/>
      <c r="O61" s="1416"/>
      <c r="P61" s="1390"/>
      <c r="Q61" s="1391"/>
      <c r="R61" s="1334"/>
      <c r="S61" s="1334"/>
      <c r="T61" s="1334"/>
      <c r="U61" s="1334"/>
      <c r="V61" s="1334"/>
      <c r="W61" s="1334"/>
      <c r="X61" s="1334"/>
      <c r="Y61" s="1334"/>
      <c r="Z61" s="1334"/>
      <c r="AA61" s="1334"/>
      <c r="AB61" s="1334"/>
      <c r="AC61" s="1334"/>
      <c r="AD61" s="1334"/>
      <c r="AE61" s="1334"/>
      <c r="AF61" s="1334"/>
      <c r="AG61" s="1334"/>
      <c r="AH61" s="1334"/>
      <c r="AI61" s="1334"/>
      <c r="AJ61" s="1334"/>
      <c r="AK61" s="1334"/>
      <c r="AL61" s="1334"/>
      <c r="AM61" s="1334"/>
      <c r="AN61" s="1334"/>
      <c r="AO61" s="1334"/>
      <c r="AP61" s="1334"/>
      <c r="AQ61" s="1334"/>
    </row>
    <row r="62" customFormat="false" ht="12.75" hidden="false" customHeight="false" outlineLevel="0" collapsed="false">
      <c r="H62" s="1334"/>
      <c r="I62" s="1334"/>
      <c r="J62" s="1334"/>
      <c r="K62" s="1334"/>
      <c r="L62" s="1334"/>
      <c r="M62" s="1334"/>
      <c r="N62" s="1334"/>
      <c r="P62" s="1334"/>
      <c r="Q62" s="1334"/>
      <c r="R62" s="1334"/>
      <c r="S62" s="1334"/>
      <c r="T62" s="1334"/>
      <c r="U62" s="1334"/>
      <c r="V62" s="1334"/>
      <c r="W62" s="1334"/>
      <c r="X62" s="1334"/>
      <c r="Y62" s="1334"/>
      <c r="Z62" s="1334"/>
      <c r="AA62" s="1334"/>
      <c r="AB62" s="1334"/>
      <c r="AC62" s="1334"/>
      <c r="AD62" s="1334"/>
      <c r="AE62" s="1334"/>
      <c r="AF62" s="1334"/>
      <c r="AG62" s="1334"/>
      <c r="AH62" s="1334"/>
      <c r="AI62" s="1334"/>
      <c r="AJ62" s="1334"/>
      <c r="AK62" s="1334"/>
      <c r="AL62" s="1334"/>
      <c r="AM62" s="1334"/>
      <c r="AN62" s="1334"/>
      <c r="AO62" s="1334"/>
      <c r="AP62" s="1334"/>
      <c r="AQ62" s="1334"/>
    </row>
    <row r="63" customFormat="false" ht="12.75" hidden="false" customHeight="false" outlineLevel="0" collapsed="false">
      <c r="H63" s="1334"/>
      <c r="I63" s="1334"/>
      <c r="J63" s="1334"/>
      <c r="K63" s="1334"/>
      <c r="L63" s="1417"/>
      <c r="M63" s="1334"/>
      <c r="N63" s="1334"/>
      <c r="P63" s="1334"/>
      <c r="Q63" s="1334"/>
      <c r="R63" s="1334"/>
      <c r="S63" s="1334"/>
      <c r="T63" s="1334"/>
      <c r="U63" s="1334"/>
      <c r="V63" s="1334"/>
      <c r="W63" s="1334"/>
      <c r="X63" s="1334"/>
      <c r="Y63" s="1334"/>
      <c r="Z63" s="1334"/>
      <c r="AA63" s="1334"/>
      <c r="AB63" s="1334"/>
      <c r="AC63" s="1334"/>
      <c r="AD63" s="1334"/>
      <c r="AE63" s="1334"/>
      <c r="AF63" s="1334"/>
      <c r="AG63" s="1334"/>
      <c r="AH63" s="1334"/>
      <c r="AI63" s="1334"/>
      <c r="AJ63" s="1334"/>
      <c r="AK63" s="1334"/>
      <c r="AL63" s="1334"/>
      <c r="AM63" s="1334"/>
      <c r="AN63" s="1334"/>
      <c r="AO63" s="1334"/>
      <c r="AP63" s="1334"/>
      <c r="AQ63" s="1334"/>
    </row>
    <row r="64" customFormat="false" ht="12.75" hidden="false" customHeight="false" outlineLevel="0" collapsed="false">
      <c r="H64" s="1334"/>
      <c r="I64" s="1334"/>
      <c r="J64" s="1334"/>
      <c r="K64" s="1334"/>
      <c r="L64" s="1418"/>
      <c r="M64" s="1334"/>
      <c r="N64" s="1334"/>
      <c r="P64" s="1334"/>
      <c r="Q64" s="1334"/>
      <c r="R64" s="1334"/>
      <c r="S64" s="1334"/>
      <c r="T64" s="1334"/>
      <c r="U64" s="1334"/>
      <c r="V64" s="1334"/>
      <c r="W64" s="1334"/>
      <c r="X64" s="1334"/>
      <c r="Y64" s="1334"/>
      <c r="Z64" s="1334"/>
      <c r="AA64" s="1334"/>
      <c r="AB64" s="1334"/>
      <c r="AC64" s="1334"/>
      <c r="AD64" s="1334"/>
      <c r="AE64" s="1334"/>
      <c r="AF64" s="1334"/>
      <c r="AG64" s="1334"/>
      <c r="AH64" s="1334"/>
      <c r="AI64" s="1334"/>
      <c r="AJ64" s="1334"/>
      <c r="AK64" s="1334"/>
      <c r="AL64" s="1334"/>
      <c r="AM64" s="1334"/>
      <c r="AN64" s="1334"/>
      <c r="AO64" s="1334"/>
      <c r="AP64" s="1334"/>
      <c r="AQ64" s="1334"/>
    </row>
    <row r="65" customFormat="false" ht="12.75" hidden="false" customHeight="false" outlineLevel="0" collapsed="false">
      <c r="H65" s="1334"/>
      <c r="I65" s="1334"/>
      <c r="J65" s="1334"/>
      <c r="K65" s="1334"/>
      <c r="L65" s="1334"/>
      <c r="M65" s="1334"/>
      <c r="N65" s="1334"/>
      <c r="P65" s="1334"/>
      <c r="Q65" s="1334"/>
      <c r="R65" s="1334"/>
      <c r="S65" s="1409"/>
      <c r="T65" s="1334"/>
      <c r="U65" s="1334"/>
      <c r="V65" s="1334"/>
      <c r="W65" s="1334"/>
      <c r="X65" s="1334"/>
      <c r="Y65" s="1334"/>
      <c r="Z65" s="1334"/>
      <c r="AA65" s="1334"/>
      <c r="AB65" s="1334"/>
      <c r="AC65" s="1334"/>
      <c r="AD65" s="1334"/>
      <c r="AE65" s="1334"/>
      <c r="AF65" s="1334"/>
      <c r="AG65" s="1334"/>
      <c r="AH65" s="1334"/>
      <c r="AI65" s="1334"/>
      <c r="AJ65" s="1334"/>
      <c r="AK65" s="1334"/>
      <c r="AL65" s="1334"/>
      <c r="AM65" s="1334"/>
      <c r="AN65" s="1334"/>
      <c r="AO65" s="1334"/>
      <c r="AP65" s="1334"/>
      <c r="AQ65" s="1334"/>
    </row>
    <row r="66" customFormat="false" ht="12.75" hidden="false" customHeight="false" outlineLevel="0" collapsed="false">
      <c r="H66" s="1343"/>
      <c r="I66" s="1334"/>
      <c r="J66" s="1334"/>
      <c r="K66" s="1337"/>
      <c r="L66" s="1337"/>
      <c r="M66" s="1334"/>
      <c r="N66" s="1334"/>
      <c r="P66" s="1334"/>
      <c r="Q66" s="1334"/>
      <c r="R66" s="1334"/>
      <c r="S66" s="1409"/>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row>
    <row r="67" customFormat="false" ht="12.75" hidden="false" customHeight="false" outlineLevel="0" collapsed="false">
      <c r="H67" s="1334"/>
      <c r="I67" s="1334"/>
      <c r="J67" s="1334"/>
      <c r="K67" s="1348"/>
      <c r="L67" s="1334"/>
      <c r="M67" s="1334"/>
      <c r="N67" s="1334"/>
      <c r="P67" s="1334"/>
      <c r="Q67" s="1334"/>
      <c r="R67" s="1334"/>
      <c r="S67" s="1409"/>
      <c r="T67" s="1334"/>
      <c r="U67" s="1334"/>
      <c r="V67" s="1334"/>
      <c r="W67" s="1334"/>
      <c r="X67" s="1334"/>
      <c r="Y67" s="1334"/>
      <c r="Z67" s="1334"/>
      <c r="AA67" s="1334"/>
      <c r="AB67" s="1334"/>
      <c r="AC67" s="1334"/>
      <c r="AD67" s="1334"/>
      <c r="AE67" s="1334"/>
      <c r="AF67" s="1334"/>
      <c r="AG67" s="1334"/>
      <c r="AH67" s="1334"/>
      <c r="AI67" s="1334"/>
      <c r="AJ67" s="1334"/>
      <c r="AK67" s="1334"/>
      <c r="AL67" s="1334"/>
      <c r="AM67" s="1334"/>
      <c r="AN67" s="1334"/>
      <c r="AO67" s="1334"/>
      <c r="AP67" s="1334"/>
      <c r="AQ67" s="1334"/>
    </row>
    <row r="68" customFormat="false" ht="12.75" hidden="false" customHeight="false" outlineLevel="0" collapsed="false">
      <c r="H68" s="1334"/>
      <c r="I68" s="1334"/>
      <c r="J68" s="1334"/>
      <c r="K68" s="1334"/>
      <c r="L68" s="1334"/>
      <c r="M68" s="1334"/>
      <c r="N68" s="1334"/>
      <c r="P68" s="1334"/>
      <c r="Q68" s="1334"/>
      <c r="R68" s="1334"/>
      <c r="S68" s="1409"/>
      <c r="T68" s="1334"/>
      <c r="U68" s="1334"/>
      <c r="V68" s="1334"/>
      <c r="W68" s="1334"/>
      <c r="X68" s="1334"/>
      <c r="Y68" s="1334"/>
      <c r="Z68" s="1334"/>
      <c r="AA68" s="1334"/>
      <c r="AB68" s="1334"/>
      <c r="AC68" s="1334"/>
      <c r="AD68" s="1334"/>
      <c r="AE68" s="1334"/>
      <c r="AF68" s="1334"/>
      <c r="AG68" s="1334"/>
      <c r="AH68" s="1334"/>
      <c r="AI68" s="1334"/>
      <c r="AJ68" s="1334"/>
      <c r="AK68" s="1334"/>
      <c r="AL68" s="1334"/>
      <c r="AM68" s="1334"/>
      <c r="AN68" s="1334"/>
      <c r="AO68" s="1334"/>
      <c r="AP68" s="1334"/>
      <c r="AQ68" s="1334"/>
    </row>
    <row r="69" customFormat="false" ht="12.75" hidden="false" customHeight="false" outlineLevel="0" collapsed="false">
      <c r="H69" s="1334"/>
      <c r="I69" s="1334"/>
      <c r="J69" s="1334"/>
      <c r="K69" s="1334"/>
      <c r="L69" s="1334"/>
      <c r="M69" s="1334"/>
      <c r="N69" s="1334"/>
      <c r="P69" s="1334"/>
      <c r="Q69" s="1334"/>
      <c r="R69" s="1334"/>
      <c r="S69" s="1409"/>
      <c r="T69" s="1334"/>
      <c r="U69" s="1334"/>
      <c r="V69" s="1334"/>
      <c r="W69" s="1334"/>
      <c r="X69" s="1334"/>
      <c r="Y69" s="1334"/>
      <c r="Z69" s="1334"/>
      <c r="AA69" s="1334"/>
      <c r="AB69" s="1334"/>
      <c r="AC69" s="1334"/>
      <c r="AD69" s="1334"/>
      <c r="AE69" s="1334"/>
      <c r="AF69" s="1334"/>
      <c r="AG69" s="1334"/>
      <c r="AH69" s="1334"/>
      <c r="AI69" s="1334"/>
      <c r="AJ69" s="1334"/>
      <c r="AK69" s="1334"/>
      <c r="AL69" s="1334"/>
      <c r="AM69" s="1334"/>
      <c r="AN69" s="1334"/>
      <c r="AO69" s="1334"/>
      <c r="AP69" s="1334"/>
      <c r="AQ69" s="1334"/>
    </row>
    <row r="70" customFormat="false" ht="12.75" hidden="false" customHeight="false" outlineLevel="0" collapsed="false">
      <c r="H70" s="1341"/>
      <c r="I70" s="1334"/>
      <c r="J70" s="1334"/>
      <c r="K70" s="1334"/>
      <c r="L70" s="1341"/>
      <c r="M70" s="1334"/>
      <c r="N70" s="1334"/>
      <c r="P70" s="1334"/>
      <c r="Q70" s="1334"/>
      <c r="R70" s="1334"/>
      <c r="S70" s="1409"/>
      <c r="T70" s="1334"/>
      <c r="U70" s="1334"/>
      <c r="V70" s="1334"/>
      <c r="W70" s="1334"/>
      <c r="X70" s="1334"/>
      <c r="Y70" s="1334"/>
      <c r="Z70" s="1334"/>
      <c r="AA70" s="1334"/>
      <c r="AB70" s="1334"/>
      <c r="AC70" s="1334"/>
      <c r="AD70" s="1334"/>
      <c r="AE70" s="1334"/>
      <c r="AF70" s="1334"/>
      <c r="AG70" s="1334"/>
      <c r="AH70" s="1334"/>
      <c r="AI70" s="1334"/>
      <c r="AJ70" s="1334"/>
      <c r="AK70" s="1334"/>
      <c r="AL70" s="1334"/>
      <c r="AM70" s="1334"/>
      <c r="AN70" s="1334"/>
      <c r="AO70" s="1334"/>
      <c r="AP70" s="1334"/>
      <c r="AQ70" s="1334"/>
    </row>
    <row r="71" customFormat="false" ht="12.75" hidden="false" customHeight="false" outlineLevel="0" collapsed="false">
      <c r="H71" s="1341"/>
      <c r="I71" s="1334"/>
      <c r="J71" s="1334"/>
      <c r="K71" s="1334"/>
      <c r="L71" s="1334"/>
      <c r="M71" s="1334"/>
      <c r="N71" s="1334"/>
      <c r="P71" s="1334"/>
      <c r="Q71" s="1334"/>
      <c r="R71" s="1334"/>
      <c r="S71" s="1409"/>
      <c r="T71" s="1334"/>
      <c r="U71" s="1334"/>
      <c r="V71" s="1334"/>
      <c r="W71" s="1334"/>
      <c r="X71" s="1334"/>
      <c r="Y71" s="1334"/>
      <c r="Z71" s="1334"/>
      <c r="AA71" s="1334"/>
      <c r="AB71" s="1334"/>
      <c r="AC71" s="1334"/>
      <c r="AD71" s="1334"/>
      <c r="AE71" s="1334"/>
      <c r="AF71" s="1334"/>
      <c r="AG71" s="1334"/>
      <c r="AH71" s="1334"/>
      <c r="AI71" s="1334"/>
      <c r="AJ71" s="1334"/>
      <c r="AK71" s="1334"/>
      <c r="AL71" s="1334"/>
      <c r="AM71" s="1334"/>
      <c r="AN71" s="1334"/>
      <c r="AO71" s="1334"/>
      <c r="AP71" s="1334"/>
      <c r="AQ71" s="1334"/>
    </row>
    <row r="72" customFormat="false" ht="12.75" hidden="false" customHeight="false" outlineLevel="0" collapsed="false">
      <c r="H72" s="1334"/>
      <c r="I72" s="1334"/>
      <c r="J72" s="1334"/>
      <c r="K72" s="1334"/>
      <c r="L72" s="1334"/>
      <c r="M72" s="1334"/>
      <c r="N72" s="1334"/>
      <c r="P72" s="1334"/>
      <c r="Q72" s="1334"/>
      <c r="R72" s="1334"/>
      <c r="S72" s="1334"/>
      <c r="T72" s="1334"/>
      <c r="U72" s="1334"/>
      <c r="V72" s="1334"/>
      <c r="W72" s="1334"/>
      <c r="X72" s="1334"/>
      <c r="Y72" s="1334"/>
      <c r="Z72" s="1334"/>
      <c r="AA72" s="1334"/>
      <c r="AB72" s="1334"/>
      <c r="AC72" s="1334"/>
      <c r="AD72" s="1334"/>
      <c r="AE72" s="1334"/>
      <c r="AF72" s="1334"/>
      <c r="AG72" s="1334"/>
      <c r="AH72" s="1334"/>
      <c r="AI72" s="1334"/>
      <c r="AJ72" s="1334"/>
      <c r="AK72" s="1334"/>
      <c r="AL72" s="1334"/>
      <c r="AM72" s="1334"/>
      <c r="AN72" s="1334"/>
      <c r="AO72" s="1334"/>
      <c r="AP72" s="1334"/>
      <c r="AQ72" s="1334"/>
    </row>
    <row r="73" customFormat="false" ht="12.75" hidden="false" customHeight="false" outlineLevel="0" collapsed="false">
      <c r="H73" s="1341"/>
      <c r="I73" s="1334"/>
      <c r="J73" s="1334"/>
      <c r="K73" s="1334"/>
      <c r="L73" s="1341"/>
      <c r="M73" s="1334"/>
      <c r="N73" s="1334"/>
      <c r="P73" s="1334"/>
      <c r="Q73" s="1334"/>
      <c r="R73" s="1334"/>
      <c r="S73" s="1334"/>
      <c r="T73" s="1334"/>
      <c r="U73" s="1334"/>
      <c r="V73" s="1334"/>
      <c r="W73" s="1334"/>
      <c r="X73" s="1334"/>
      <c r="Y73" s="1334"/>
      <c r="Z73" s="1334"/>
      <c r="AA73" s="1334"/>
      <c r="AB73" s="1334"/>
      <c r="AC73" s="1334"/>
      <c r="AD73" s="1334"/>
      <c r="AE73" s="1334"/>
      <c r="AF73" s="1334"/>
      <c r="AG73" s="1334"/>
      <c r="AH73" s="1334"/>
      <c r="AI73" s="1334"/>
      <c r="AJ73" s="1334"/>
      <c r="AK73" s="1334"/>
      <c r="AL73" s="1334"/>
      <c r="AM73" s="1334"/>
      <c r="AN73" s="1334"/>
      <c r="AO73" s="1334"/>
      <c r="AP73" s="1334"/>
      <c r="AQ73" s="1334"/>
    </row>
    <row r="74" customFormat="false" ht="12.75" hidden="false" customHeight="false" outlineLevel="0" collapsed="false">
      <c r="H74" s="1341"/>
      <c r="I74" s="1334"/>
      <c r="J74" s="1334"/>
      <c r="K74" s="1334"/>
      <c r="L74" s="1334"/>
      <c r="M74" s="1334"/>
      <c r="N74" s="1334"/>
      <c r="P74" s="1334"/>
      <c r="Q74" s="1334"/>
      <c r="R74" s="1334"/>
      <c r="S74" s="1341"/>
      <c r="T74" s="1341"/>
      <c r="U74" s="1341"/>
      <c r="V74" s="1341"/>
      <c r="W74" s="1341"/>
      <c r="X74" s="1341"/>
      <c r="Y74" s="1341"/>
      <c r="Z74" s="1341"/>
      <c r="AA74" s="1341"/>
      <c r="AB74" s="1341"/>
      <c r="AC74" s="1341"/>
      <c r="AD74" s="1341"/>
      <c r="AE74" s="1341"/>
      <c r="AF74" s="1341"/>
      <c r="AG74" s="1341"/>
      <c r="AH74" s="1341"/>
      <c r="AI74" s="1341"/>
      <c r="AJ74" s="1341"/>
      <c r="AK74" s="1341"/>
      <c r="AL74" s="1341"/>
      <c r="AM74" s="1341"/>
      <c r="AN74" s="1341"/>
      <c r="AO74" s="1341"/>
      <c r="AP74" s="1341"/>
      <c r="AQ74" s="1341"/>
    </row>
    <row r="75" customFormat="false" ht="12.75" hidden="false" customHeight="false" outlineLevel="0" collapsed="false">
      <c r="H75" s="1348"/>
      <c r="I75" s="1334"/>
      <c r="J75" s="1334"/>
      <c r="K75" s="1334"/>
      <c r="L75" s="1334"/>
      <c r="M75" s="1334"/>
      <c r="N75" s="1334"/>
      <c r="P75" s="1334"/>
      <c r="Q75" s="1334"/>
      <c r="R75" s="1334"/>
      <c r="S75" s="1334"/>
      <c r="T75" s="1334"/>
      <c r="U75" s="1334"/>
      <c r="V75" s="1334"/>
      <c r="W75" s="1334"/>
      <c r="X75" s="1334"/>
      <c r="Y75" s="1334"/>
      <c r="Z75" s="1334"/>
      <c r="AA75" s="1334"/>
      <c r="AB75" s="1334"/>
      <c r="AC75" s="1334"/>
      <c r="AD75" s="1334"/>
      <c r="AE75" s="1334"/>
      <c r="AF75" s="1334"/>
      <c r="AG75" s="1334"/>
      <c r="AH75" s="1334"/>
      <c r="AI75" s="1334"/>
      <c r="AJ75" s="1334"/>
      <c r="AK75" s="1334"/>
      <c r="AL75" s="1334"/>
      <c r="AM75" s="1334"/>
      <c r="AN75" s="1334"/>
      <c r="AO75" s="1334"/>
      <c r="AP75" s="1334"/>
      <c r="AQ75" s="1334"/>
    </row>
    <row r="76" customFormat="false" ht="12.75" hidden="false" customHeight="false" outlineLevel="0" collapsed="false">
      <c r="H76" s="1348"/>
      <c r="I76" s="1334"/>
      <c r="J76" s="1334"/>
      <c r="K76" s="1334"/>
      <c r="L76" s="1334"/>
      <c r="M76" s="1334"/>
      <c r="N76" s="1334"/>
      <c r="P76" s="1334"/>
      <c r="Q76" s="1334"/>
      <c r="R76" s="1334"/>
      <c r="S76" s="1334"/>
      <c r="T76" s="1334"/>
      <c r="U76" s="1334"/>
      <c r="V76" s="1334"/>
      <c r="W76" s="1334"/>
      <c r="X76" s="1334"/>
      <c r="Y76" s="1334"/>
      <c r="Z76" s="1334"/>
      <c r="AA76" s="1334"/>
      <c r="AB76" s="1334"/>
      <c r="AC76" s="1334"/>
      <c r="AD76" s="1334"/>
      <c r="AE76" s="1334"/>
      <c r="AF76" s="1334"/>
      <c r="AG76" s="1334"/>
      <c r="AH76" s="1334"/>
      <c r="AI76" s="1334"/>
      <c r="AJ76" s="1334"/>
      <c r="AK76" s="1334"/>
      <c r="AL76" s="1334"/>
      <c r="AM76" s="1334"/>
      <c r="AN76" s="1334"/>
      <c r="AO76" s="1334"/>
      <c r="AP76" s="1334"/>
      <c r="AQ76" s="1334"/>
    </row>
    <row r="77" customFormat="false" ht="12.75" hidden="false" customHeight="false" outlineLevel="0" collapsed="false">
      <c r="H77" s="1339"/>
      <c r="I77" s="1334"/>
      <c r="J77" s="1334"/>
      <c r="K77" s="1334"/>
      <c r="L77" s="1334"/>
      <c r="M77" s="1334"/>
      <c r="N77" s="1334"/>
      <c r="P77" s="1334"/>
      <c r="Q77" s="1334"/>
      <c r="R77" s="1334"/>
      <c r="S77" s="1334"/>
      <c r="T77" s="1334"/>
      <c r="U77" s="1334"/>
      <c r="V77" s="1334"/>
      <c r="W77" s="1334"/>
      <c r="X77" s="1334"/>
      <c r="Y77" s="1334"/>
      <c r="Z77" s="1334"/>
      <c r="AA77" s="1334"/>
      <c r="AB77" s="1334"/>
      <c r="AC77" s="1334"/>
      <c r="AD77" s="1334"/>
      <c r="AE77" s="1334"/>
      <c r="AF77" s="1334"/>
      <c r="AG77" s="1334"/>
      <c r="AH77" s="1334"/>
      <c r="AI77" s="1334"/>
      <c r="AJ77" s="1334"/>
      <c r="AK77" s="1334"/>
      <c r="AL77" s="1334"/>
      <c r="AM77" s="1334"/>
      <c r="AN77" s="1334"/>
      <c r="AO77" s="1334"/>
      <c r="AP77" s="1334"/>
      <c r="AQ77" s="1334"/>
    </row>
    <row r="78" customFormat="false" ht="12.75" hidden="false" customHeight="false" outlineLevel="0" collapsed="false">
      <c r="H78" s="1348"/>
      <c r="I78" s="1334"/>
      <c r="J78" s="1334"/>
      <c r="K78" s="1334"/>
      <c r="L78" s="1341"/>
      <c r="M78" s="1334"/>
      <c r="N78" s="1334"/>
      <c r="P78" s="1334"/>
      <c r="Q78" s="1334"/>
      <c r="R78" s="1334"/>
      <c r="S78" s="1341"/>
      <c r="T78" s="1341"/>
      <c r="U78" s="1341"/>
      <c r="V78" s="1341"/>
      <c r="W78" s="1341"/>
      <c r="X78" s="1341"/>
      <c r="Y78" s="1341"/>
      <c r="Z78" s="1341"/>
      <c r="AA78" s="1341"/>
      <c r="AB78" s="1341"/>
      <c r="AC78" s="1341"/>
      <c r="AD78" s="1341"/>
      <c r="AE78" s="1341"/>
      <c r="AF78" s="1341"/>
      <c r="AG78" s="1341"/>
      <c r="AH78" s="1341"/>
      <c r="AI78" s="1341"/>
      <c r="AJ78" s="1341"/>
      <c r="AK78" s="1341"/>
      <c r="AL78" s="1341"/>
      <c r="AM78" s="1341"/>
      <c r="AN78" s="1341"/>
      <c r="AO78" s="1341"/>
      <c r="AP78" s="1341"/>
      <c r="AQ78" s="1341"/>
    </row>
    <row r="79" customFormat="false" ht="12.75" hidden="false" customHeight="false" outlineLevel="0" collapsed="false">
      <c r="H79" s="1419"/>
      <c r="I79" s="1334"/>
      <c r="J79" s="1334"/>
      <c r="K79" s="1334"/>
      <c r="L79" s="1334"/>
      <c r="M79" s="1334"/>
      <c r="N79" s="1334"/>
      <c r="P79" s="1334"/>
      <c r="Q79" s="1334"/>
      <c r="R79" s="1334"/>
      <c r="S79" s="1334"/>
      <c r="T79" s="1334"/>
      <c r="U79" s="1334"/>
      <c r="V79" s="1334"/>
      <c r="W79" s="1334"/>
      <c r="X79" s="1334"/>
      <c r="Y79" s="1334"/>
      <c r="Z79" s="1334"/>
      <c r="AA79" s="1417"/>
      <c r="AB79" s="1417"/>
      <c r="AC79" s="1417"/>
      <c r="AD79" s="1417"/>
      <c r="AE79" s="1417"/>
      <c r="AF79" s="1417"/>
      <c r="AG79" s="1417"/>
      <c r="AH79" s="1417"/>
      <c r="AI79" s="1417"/>
      <c r="AJ79" s="1417"/>
      <c r="AK79" s="1417"/>
      <c r="AL79" s="1417"/>
      <c r="AM79" s="1417"/>
      <c r="AN79" s="1417"/>
      <c r="AO79" s="1417"/>
      <c r="AP79" s="1417"/>
      <c r="AQ79" s="1417"/>
    </row>
    <row r="80" customFormat="false" ht="12.75" hidden="false" customHeight="false" outlineLevel="0" collapsed="false">
      <c r="H80" s="1348"/>
      <c r="I80" s="1334"/>
      <c r="J80" s="1334"/>
      <c r="K80" s="1334"/>
      <c r="L80" s="1334"/>
      <c r="M80" s="1334"/>
      <c r="N80" s="1334"/>
      <c r="P80" s="1334"/>
      <c r="Q80" s="1334"/>
      <c r="R80" s="1334"/>
      <c r="S80" s="1334"/>
      <c r="T80" s="1334"/>
      <c r="U80" s="1334"/>
      <c r="V80" s="1334"/>
      <c r="W80" s="1334"/>
      <c r="X80" s="1334"/>
      <c r="Y80" s="1334"/>
      <c r="Z80" s="1334"/>
      <c r="AA80" s="1417"/>
      <c r="AB80" s="1417"/>
      <c r="AC80" s="1417"/>
      <c r="AD80" s="1417"/>
      <c r="AE80" s="1417"/>
      <c r="AF80" s="1417"/>
      <c r="AG80" s="1417"/>
      <c r="AH80" s="1417"/>
      <c r="AI80" s="1417"/>
      <c r="AJ80" s="1417"/>
      <c r="AK80" s="1417"/>
      <c r="AL80" s="1417"/>
      <c r="AM80" s="1417"/>
      <c r="AN80" s="1417"/>
      <c r="AO80" s="1417"/>
      <c r="AP80" s="1417"/>
      <c r="AQ80" s="1417"/>
    </row>
    <row r="81" customFormat="false" ht="12.75" hidden="false" customHeight="false" outlineLevel="0" collapsed="false">
      <c r="H81" s="1348"/>
      <c r="I81" s="1334"/>
      <c r="J81" s="1334"/>
      <c r="K81" s="1334"/>
      <c r="L81" s="1334"/>
      <c r="M81" s="1334"/>
      <c r="N81" s="1334"/>
      <c r="P81" s="1334"/>
      <c r="Q81" s="1334"/>
      <c r="R81" s="1334"/>
      <c r="S81" s="1334"/>
      <c r="T81" s="1334"/>
      <c r="U81" s="1334"/>
      <c r="V81" s="1334"/>
      <c r="W81" s="1334"/>
      <c r="X81" s="1334"/>
      <c r="Y81" s="1334"/>
      <c r="Z81" s="1334"/>
      <c r="AA81" s="1417"/>
      <c r="AB81" s="1417"/>
      <c r="AC81" s="1417"/>
      <c r="AD81" s="1417"/>
      <c r="AE81" s="1417"/>
      <c r="AF81" s="1417"/>
      <c r="AG81" s="1417"/>
      <c r="AH81" s="1417"/>
      <c r="AI81" s="1417"/>
      <c r="AJ81" s="1417"/>
      <c r="AK81" s="1417"/>
      <c r="AL81" s="1417"/>
      <c r="AM81" s="1417"/>
      <c r="AN81" s="1417"/>
      <c r="AO81" s="1417"/>
      <c r="AP81" s="1417"/>
      <c r="AQ81" s="1417"/>
    </row>
    <row r="82" customFormat="false" ht="12.75" hidden="false" customHeight="false" outlineLevel="0" collapsed="false">
      <c r="H82" s="1348"/>
      <c r="I82" s="1334"/>
      <c r="J82" s="1334"/>
      <c r="K82" s="1334"/>
      <c r="L82" s="1334"/>
      <c r="M82" s="1334"/>
      <c r="N82" s="1334"/>
      <c r="P82" s="1334"/>
      <c r="Q82" s="1334"/>
      <c r="R82" s="1334"/>
      <c r="S82" s="1334"/>
      <c r="T82" s="1334"/>
      <c r="U82" s="1334"/>
      <c r="V82" s="1334"/>
      <c r="W82" s="1334"/>
      <c r="X82" s="1334"/>
      <c r="Y82" s="1334"/>
      <c r="Z82" s="1334"/>
      <c r="AA82" s="1334"/>
      <c r="AB82" s="1334"/>
      <c r="AC82" s="1334"/>
      <c r="AD82" s="1334"/>
      <c r="AE82" s="1334"/>
      <c r="AF82" s="1334"/>
      <c r="AG82" s="1334"/>
      <c r="AH82" s="1334"/>
      <c r="AI82" s="1334"/>
      <c r="AJ82" s="1334"/>
      <c r="AK82" s="1334"/>
      <c r="AL82" s="1334"/>
      <c r="AM82" s="1334"/>
      <c r="AN82" s="1334"/>
      <c r="AO82" s="1334"/>
      <c r="AP82" s="1334"/>
      <c r="AQ82" s="1334"/>
    </row>
    <row r="83" customFormat="false" ht="12.75" hidden="false" customHeight="false" outlineLevel="0" collapsed="false">
      <c r="H83" s="1339"/>
      <c r="I83" s="1334"/>
      <c r="J83" s="1334"/>
      <c r="K83" s="1334"/>
      <c r="L83" s="1334"/>
      <c r="M83" s="1334"/>
      <c r="N83" s="1334"/>
      <c r="P83" s="1334"/>
      <c r="Q83" s="1334"/>
      <c r="R83" s="1334"/>
      <c r="S83" s="1341"/>
      <c r="T83" s="1341"/>
      <c r="U83" s="1341"/>
      <c r="V83" s="1341"/>
      <c r="W83" s="1341"/>
      <c r="X83" s="1341"/>
      <c r="Y83" s="1341"/>
      <c r="Z83" s="1341"/>
      <c r="AA83" s="1341"/>
      <c r="AB83" s="1341"/>
      <c r="AC83" s="1341"/>
      <c r="AD83" s="1341"/>
      <c r="AE83" s="1341"/>
      <c r="AF83" s="1341"/>
      <c r="AG83" s="1341"/>
      <c r="AH83" s="1341"/>
      <c r="AI83" s="1341"/>
      <c r="AJ83" s="1341"/>
      <c r="AK83" s="1341"/>
      <c r="AL83" s="1341"/>
      <c r="AM83" s="1341"/>
      <c r="AN83" s="1341"/>
      <c r="AO83" s="1341"/>
      <c r="AP83" s="1341"/>
      <c r="AQ83" s="1341"/>
    </row>
    <row r="84" customFormat="false" ht="12.75" hidden="false" customHeight="false" outlineLevel="0" collapsed="false">
      <c r="B84" s="1337"/>
      <c r="C84" s="1339"/>
      <c r="D84" s="1339"/>
      <c r="E84" s="1339"/>
      <c r="F84" s="1339"/>
      <c r="G84" s="1334"/>
      <c r="H84" s="1334"/>
      <c r="I84" s="1339"/>
      <c r="J84" s="1339"/>
      <c r="K84" s="1334"/>
      <c r="L84" s="1334"/>
      <c r="M84" s="1334"/>
      <c r="N84" s="1334"/>
      <c r="P84" s="1334"/>
      <c r="Q84" s="1334"/>
      <c r="R84" s="1334"/>
      <c r="S84" s="1334"/>
      <c r="T84" s="1334"/>
      <c r="U84" s="1334"/>
      <c r="V84" s="1334"/>
      <c r="W84" s="1334"/>
      <c r="X84" s="1334"/>
      <c r="Y84" s="1334"/>
      <c r="Z84" s="1334"/>
      <c r="AA84" s="1334"/>
      <c r="AB84" s="1334"/>
      <c r="AC84" s="1334"/>
      <c r="AD84" s="1334"/>
      <c r="AE84" s="1334"/>
      <c r="AF84" s="1334"/>
      <c r="AG84" s="1334"/>
      <c r="AH84" s="1334"/>
      <c r="AI84" s="1334"/>
      <c r="AJ84" s="1334"/>
      <c r="AK84" s="1334"/>
      <c r="AL84" s="1334"/>
      <c r="AM84" s="1334"/>
      <c r="AN84" s="1334"/>
      <c r="AO84" s="1334"/>
      <c r="AP84" s="1334"/>
      <c r="AQ84" s="1334"/>
    </row>
    <row r="85" customFormat="false" ht="12.75" hidden="false" customHeight="false" outlineLevel="0" collapsed="false">
      <c r="B85" s="1334"/>
      <c r="C85" s="1334"/>
      <c r="D85" s="1334"/>
      <c r="E85" s="1334"/>
      <c r="F85" s="1334"/>
      <c r="G85" s="1334"/>
      <c r="H85" s="1334"/>
      <c r="I85" s="1334"/>
      <c r="J85" s="1334"/>
      <c r="K85" s="1334"/>
      <c r="L85" s="1334"/>
      <c r="M85" s="1334"/>
      <c r="N85" s="1334"/>
      <c r="P85" s="1334"/>
      <c r="Q85" s="1334"/>
      <c r="R85" s="1334"/>
      <c r="S85" s="1334"/>
      <c r="T85" s="1334"/>
      <c r="U85" s="1334"/>
      <c r="V85" s="1334"/>
      <c r="W85" s="1334"/>
      <c r="X85" s="1334"/>
      <c r="Y85" s="1334"/>
      <c r="Z85" s="1334"/>
      <c r="AA85" s="1334"/>
      <c r="AB85" s="1334"/>
      <c r="AC85" s="1334"/>
      <c r="AD85" s="1334"/>
      <c r="AE85" s="1334"/>
      <c r="AF85" s="1334"/>
      <c r="AG85" s="1334"/>
      <c r="AH85" s="1334"/>
      <c r="AI85" s="1334"/>
      <c r="AJ85" s="1334"/>
      <c r="AK85" s="1334"/>
      <c r="AL85" s="1334"/>
      <c r="AM85" s="1334"/>
      <c r="AN85" s="1334"/>
      <c r="AO85" s="1334"/>
      <c r="AP85" s="1334"/>
      <c r="AQ85" s="1334"/>
    </row>
    <row r="86" customFormat="false" ht="12.75" hidden="false" customHeight="false" outlineLevel="0" collapsed="false">
      <c r="B86" s="1334"/>
      <c r="C86" s="1334"/>
      <c r="D86" s="1334"/>
      <c r="E86" s="1334"/>
      <c r="F86" s="1334"/>
      <c r="G86" s="1334"/>
      <c r="H86" s="1334"/>
      <c r="I86" s="1334"/>
      <c r="J86" s="1334"/>
      <c r="K86" s="1334"/>
      <c r="L86" s="1334"/>
      <c r="M86" s="1334"/>
      <c r="N86" s="1334"/>
      <c r="O86" s="1334"/>
      <c r="P86" s="1334"/>
      <c r="Q86" s="1334"/>
      <c r="R86" s="1334"/>
    </row>
    <row r="87" customFormat="false" ht="12.75" hidden="false" customHeight="false" outlineLevel="0" collapsed="false">
      <c r="B87" s="1334"/>
      <c r="C87" s="1334"/>
      <c r="D87" s="1334"/>
      <c r="E87" s="1334"/>
      <c r="F87" s="1334"/>
      <c r="G87" s="1334"/>
      <c r="H87" s="1334"/>
      <c r="I87" s="1334"/>
      <c r="J87" s="1334"/>
      <c r="K87" s="1334"/>
      <c r="L87" s="1334"/>
      <c r="M87" s="1334"/>
      <c r="N87" s="1334"/>
      <c r="O87" s="1334"/>
      <c r="P87" s="1334"/>
      <c r="Q87" s="1334"/>
      <c r="R87" s="1334"/>
    </row>
    <row r="88" customFormat="false" ht="12.75" hidden="false" customHeight="false" outlineLevel="0" collapsed="false">
      <c r="B88" s="1334"/>
      <c r="C88" s="1334"/>
      <c r="D88" s="1334"/>
      <c r="E88" s="1334"/>
      <c r="F88" s="1334"/>
      <c r="G88" s="1334"/>
      <c r="H88" s="1334"/>
      <c r="I88" s="1334"/>
      <c r="J88" s="1334"/>
      <c r="K88" s="1334"/>
      <c r="L88" s="1334"/>
      <c r="M88" s="1334"/>
      <c r="N88" s="1334"/>
      <c r="O88" s="1334"/>
      <c r="P88" s="1334"/>
      <c r="Q88" s="1334"/>
      <c r="R88" s="1334"/>
    </row>
  </sheetData>
  <mergeCells count="4">
    <mergeCell ref="H25:I25"/>
    <mergeCell ref="L25:M25"/>
    <mergeCell ref="H26:I26"/>
    <mergeCell ref="L26:M26"/>
  </mergeCells>
  <printOptions headings="false" gridLines="false" gridLinesSet="true" horizontalCentered="false" verticalCentered="false"/>
  <pageMargins left="0.3" right="0.320138888888889" top="0.629861111111111" bottom="0.6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5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84765625" defaultRowHeight="12.75" customHeight="true" zeroHeight="false" outlineLevelRow="0" outlineLevelCol="0"/>
  <cols>
    <col collapsed="false" customWidth="true" hidden="false" outlineLevel="0" max="1" min="1" style="0" width="2.84"/>
    <col collapsed="false" customWidth="true" hidden="false" outlineLevel="0" max="2" min="2" style="0" width="44.85"/>
    <col collapsed="false" customWidth="true" hidden="false" outlineLevel="0" max="3" min="3" style="0" width="7.7"/>
    <col collapsed="false" customWidth="true" hidden="false" outlineLevel="0" max="4" min="4" style="0" width="12.42"/>
    <col collapsed="false" customWidth="true" hidden="false" outlineLevel="0" max="5" min="5" style="0" width="6.7"/>
    <col collapsed="false" customWidth="true" hidden="false" outlineLevel="0" max="6" min="6" style="0" width="18.41"/>
    <col collapsed="false" customWidth="true" hidden="false" outlineLevel="0" max="7" min="7" style="0" width="23.41"/>
    <col collapsed="false" customWidth="true" hidden="false" outlineLevel="0" max="8" min="8" style="0" width="20.28"/>
    <col collapsed="false" customWidth="true" hidden="false" outlineLevel="0" max="9" min="9" style="0" width="18.28"/>
    <col collapsed="false" customWidth="true" hidden="false" outlineLevel="0" max="10" min="10" style="0" width="10.13"/>
    <col collapsed="false" customWidth="true" hidden="false" outlineLevel="0" max="11" min="11" style="0" width="14.85"/>
  </cols>
  <sheetData>
    <row r="1" customFormat="false" ht="15.75" hidden="false" customHeight="false" outlineLevel="0" collapsed="false">
      <c r="A1" s="1"/>
      <c r="B1" s="2" t="str">
        <f aca="false">Assum!$F$19&amp;" "&amp;FIXED(Assum!$F$31,2,TRUE())&amp;"  MW Project"</f>
        <v>SMUD - Solano 34.50  MW Project</v>
      </c>
      <c r="C1" s="1"/>
      <c r="D1" s="1"/>
      <c r="E1" s="3"/>
      <c r="F1" s="1"/>
      <c r="G1" s="4" t="n">
        <v>1</v>
      </c>
      <c r="H1" s="5" t="n">
        <f aca="false">G1+1</f>
        <v>2</v>
      </c>
      <c r="I1" s="5" t="n">
        <f aca="false">H1+1</f>
        <v>3</v>
      </c>
      <c r="J1" s="5" t="n">
        <f aca="false">I1+1</f>
        <v>4</v>
      </c>
      <c r="K1" s="5" t="n">
        <f aca="false">J1+1</f>
        <v>5</v>
      </c>
      <c r="L1" s="5" t="n">
        <f aca="false">K1+1</f>
        <v>6</v>
      </c>
      <c r="M1" s="5" t="n">
        <f aca="false">L1+1</f>
        <v>7</v>
      </c>
      <c r="N1" s="5" t="n">
        <f aca="false">M1+1</f>
        <v>8</v>
      </c>
      <c r="O1" s="5" t="n">
        <f aca="false">N1+1</f>
        <v>9</v>
      </c>
      <c r="P1" s="5" t="n">
        <f aca="false">O1+1</f>
        <v>10</v>
      </c>
      <c r="Q1" s="5" t="n">
        <f aca="false">P1+1</f>
        <v>11</v>
      </c>
      <c r="R1" s="5" t="n">
        <f aca="false">Q1+1</f>
        <v>12</v>
      </c>
      <c r="S1" s="5" t="n">
        <f aca="false">R1+1</f>
        <v>13</v>
      </c>
      <c r="T1" s="5" t="n">
        <f aca="false">S1+1</f>
        <v>14</v>
      </c>
      <c r="U1" s="5" t="n">
        <f aca="false">T1+1</f>
        <v>15</v>
      </c>
      <c r="V1" s="5" t="n">
        <f aca="false">U1+1</f>
        <v>16</v>
      </c>
      <c r="W1" s="5" t="n">
        <f aca="false">V1+1</f>
        <v>17</v>
      </c>
      <c r="X1" s="5" t="n">
        <f aca="false">W1+1</f>
        <v>18</v>
      </c>
      <c r="Y1" s="5" t="n">
        <f aca="false">X1+1</f>
        <v>19</v>
      </c>
      <c r="Z1" s="5" t="n">
        <f aca="false">Y1+1</f>
        <v>20</v>
      </c>
      <c r="AA1" s="5" t="n">
        <f aca="false">Z1+1</f>
        <v>21</v>
      </c>
      <c r="AB1" s="5" t="n">
        <f aca="false">AA1+1</f>
        <v>22</v>
      </c>
      <c r="AC1" s="5" t="n">
        <f aca="false">AB1+1</f>
        <v>23</v>
      </c>
      <c r="AD1" s="5" t="n">
        <f aca="false">AC1+1</f>
        <v>24</v>
      </c>
      <c r="AE1" s="5" t="n">
        <f aca="false">AD1+1</f>
        <v>25</v>
      </c>
      <c r="AF1" s="5" t="n">
        <f aca="false">AE1+1</f>
        <v>26</v>
      </c>
      <c r="AG1" s="5" t="n">
        <f aca="false">AF1+1</f>
        <v>27</v>
      </c>
      <c r="AH1" s="5" t="n">
        <f aca="false">AG1+1</f>
        <v>28</v>
      </c>
      <c r="AI1" s="5" t="n">
        <f aca="false">AH1+1</f>
        <v>29</v>
      </c>
      <c r="AJ1" s="5" t="n">
        <f aca="false">AI1+1</f>
        <v>30</v>
      </c>
      <c r="AK1" s="6" t="n">
        <f aca="false">AJ1+1</f>
        <v>31</v>
      </c>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row>
    <row r="2" customFormat="false" ht="15.75" hidden="false" customHeight="false" outlineLevel="0" collapsed="false">
      <c r="A2" s="1"/>
      <c r="B2" s="2" t="s">
        <v>0</v>
      </c>
      <c r="C2" s="1"/>
      <c r="D2" s="3"/>
      <c r="E2" s="3"/>
      <c r="F2" s="1"/>
      <c r="G2" s="7" t="n">
        <f aca="false">Assum!H25</f>
        <v>2002</v>
      </c>
      <c r="H2" s="8" t="n">
        <f aca="false">G2+1</f>
        <v>2003</v>
      </c>
      <c r="I2" s="8" t="n">
        <f aca="false">H2+1</f>
        <v>2004</v>
      </c>
      <c r="J2" s="8" t="n">
        <f aca="false">I2+1</f>
        <v>2005</v>
      </c>
      <c r="K2" s="8" t="n">
        <f aca="false">J2+1</f>
        <v>2006</v>
      </c>
      <c r="L2" s="8" t="n">
        <f aca="false">K2+1</f>
        <v>2007</v>
      </c>
      <c r="M2" s="8" t="n">
        <f aca="false">L2+1</f>
        <v>2008</v>
      </c>
      <c r="N2" s="8" t="n">
        <f aca="false">M2+1</f>
        <v>2009</v>
      </c>
      <c r="O2" s="8" t="n">
        <f aca="false">N2+1</f>
        <v>2010</v>
      </c>
      <c r="P2" s="8" t="n">
        <f aca="false">O2+1</f>
        <v>2011</v>
      </c>
      <c r="Q2" s="8" t="n">
        <f aca="false">P2+1</f>
        <v>2012</v>
      </c>
      <c r="R2" s="8" t="n">
        <f aca="false">Q2+1</f>
        <v>2013</v>
      </c>
      <c r="S2" s="8" t="n">
        <f aca="false">R2+1</f>
        <v>2014</v>
      </c>
      <c r="T2" s="8" t="n">
        <f aca="false">S2+1</f>
        <v>2015</v>
      </c>
      <c r="U2" s="8" t="n">
        <f aca="false">T2+1</f>
        <v>2016</v>
      </c>
      <c r="V2" s="8" t="n">
        <f aca="false">U2+1</f>
        <v>2017</v>
      </c>
      <c r="W2" s="8" t="n">
        <f aca="false">V2+1</f>
        <v>2018</v>
      </c>
      <c r="X2" s="8" t="n">
        <f aca="false">W2+1</f>
        <v>2019</v>
      </c>
      <c r="Y2" s="8" t="n">
        <f aca="false">X2+1</f>
        <v>2020</v>
      </c>
      <c r="Z2" s="8" t="n">
        <f aca="false">Y2+1</f>
        <v>2021</v>
      </c>
      <c r="AA2" s="8" t="n">
        <f aca="false">Z2+1</f>
        <v>2022</v>
      </c>
      <c r="AB2" s="8" t="n">
        <f aca="false">AA2+1</f>
        <v>2023</v>
      </c>
      <c r="AC2" s="8" t="n">
        <f aca="false">AB2+1</f>
        <v>2024</v>
      </c>
      <c r="AD2" s="8" t="n">
        <f aca="false">AC2+1</f>
        <v>2025</v>
      </c>
      <c r="AE2" s="8" t="n">
        <f aca="false">AD2+1</f>
        <v>2026</v>
      </c>
      <c r="AF2" s="8" t="n">
        <f aca="false">AE2+1</f>
        <v>2027</v>
      </c>
      <c r="AG2" s="8" t="n">
        <f aca="false">AF2+1</f>
        <v>2028</v>
      </c>
      <c r="AH2" s="8" t="n">
        <f aca="false">AG2+1</f>
        <v>2029</v>
      </c>
      <c r="AI2" s="8" t="n">
        <f aca="false">AH2+1</f>
        <v>2030</v>
      </c>
      <c r="AJ2" s="8" t="n">
        <f aca="false">AI2+1</f>
        <v>2031</v>
      </c>
      <c r="AK2" s="9" t="n">
        <f aca="false">AJ2+1</f>
        <v>2032</v>
      </c>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row>
    <row r="3" customFormat="false" ht="12.75" hidden="false" customHeight="false" outlineLevel="0" collapsed="false">
      <c r="D3" s="3"/>
    </row>
    <row r="4" customFormat="false" ht="12.75" hidden="false" customHeight="false" outlineLevel="0" collapsed="false">
      <c r="B4" s="10" t="s">
        <v>1</v>
      </c>
      <c r="C4" s="10"/>
      <c r="G4" s="11" t="str">
        <f aca="true">CELL("FILENAME")</f>
        <v>'file:///mnt/12tb/@roms/datasets/enron/EDRM Enron Email Data Set v2 XML/filtered-attachments/xls/SMUD_34.5_MW_6_12_00_EddieM_Breakeven.xls'#$Internal</v>
      </c>
    </row>
    <row r="5" customFormat="false" ht="12.75" hidden="false" customHeight="false" outlineLevel="0" collapsed="false">
      <c r="B5" s="12" t="n">
        <f aca="true">NOW()</f>
        <v>44464.8931431833</v>
      </c>
      <c r="C5" s="12"/>
    </row>
    <row r="6" customFormat="false" ht="12.75" hidden="false" customHeight="false" outlineLevel="0" collapsed="false">
      <c r="B6" s="13" t="n">
        <f aca="true">NOW()</f>
        <v>44464.8931431834</v>
      </c>
      <c r="C6" s="13"/>
      <c r="F6" s="14"/>
    </row>
    <row r="7" customFormat="false" ht="12.75" hidden="false" customHeight="false" outlineLevel="0" collapsed="false">
      <c r="B7" s="15" t="s">
        <v>2</v>
      </c>
      <c r="C7" s="15"/>
    </row>
    <row r="9" customFormat="false" ht="12.75" hidden="false" customHeight="false" outlineLevel="0" collapsed="false">
      <c r="B9" s="16"/>
      <c r="C9" s="16"/>
    </row>
    <row r="13" customFormat="false" ht="12.75" hidden="false" customHeight="false" outlineLevel="0" collapsed="false">
      <c r="A13" s="17"/>
      <c r="B13" s="17"/>
      <c r="C13" s="17"/>
      <c r="D13" s="17"/>
      <c r="E13" s="17"/>
      <c r="F13" s="17"/>
      <c r="G13" s="18"/>
      <c r="H13" s="18"/>
      <c r="I13" s="18"/>
      <c r="J13" s="18"/>
      <c r="K13" s="18"/>
      <c r="L13" s="19"/>
      <c r="M13" s="19"/>
      <c r="N13" s="19"/>
      <c r="O13" s="19"/>
      <c r="P13" s="19"/>
      <c r="Q13" s="20"/>
      <c r="R13" s="20"/>
      <c r="S13" s="20"/>
      <c r="T13" s="20"/>
      <c r="U13" s="20"/>
      <c r="V13" s="20"/>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row r="14" customFormat="false" ht="12.75" hidden="false" customHeight="false" outlineLevel="0" collapsed="false">
      <c r="A14" s="21"/>
      <c r="B14" s="21"/>
      <c r="C14" s="21"/>
      <c r="D14" s="21"/>
      <c r="E14" s="21"/>
      <c r="F14" s="21"/>
      <c r="G14" s="22"/>
      <c r="H14" s="22"/>
      <c r="I14" s="22"/>
      <c r="J14" s="22"/>
      <c r="K14" s="22"/>
      <c r="L14" s="23"/>
      <c r="M14" s="23"/>
      <c r="N14" s="23"/>
      <c r="O14" s="23"/>
      <c r="P14" s="23"/>
      <c r="Q14" s="24"/>
      <c r="R14" s="24"/>
      <c r="S14" s="24"/>
      <c r="T14" s="24"/>
      <c r="U14" s="24"/>
      <c r="V14" s="24"/>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c r="FZ14" s="21"/>
      <c r="GA14" s="21"/>
      <c r="GB14" s="21"/>
      <c r="GC14" s="21"/>
      <c r="GD14" s="21"/>
      <c r="GE14" s="21"/>
      <c r="GF14" s="21"/>
      <c r="GG14" s="21"/>
      <c r="GH14" s="21"/>
      <c r="GI14" s="21"/>
      <c r="GJ14" s="21"/>
      <c r="GK14" s="21"/>
      <c r="GL14" s="21"/>
      <c r="GM14" s="21"/>
      <c r="GN14" s="21"/>
      <c r="GO14" s="21"/>
      <c r="GP14" s="21"/>
      <c r="GQ14" s="21"/>
      <c r="GR14" s="21"/>
      <c r="GS14" s="21"/>
      <c r="GT14" s="21"/>
      <c r="GU14" s="21"/>
      <c r="GV14" s="21"/>
      <c r="GW14" s="21"/>
      <c r="GX14" s="21"/>
      <c r="GY14" s="21"/>
      <c r="GZ14" s="21"/>
      <c r="HA14" s="21"/>
      <c r="HB14" s="21"/>
      <c r="HC14" s="21"/>
      <c r="HD14" s="21"/>
      <c r="HE14" s="21"/>
      <c r="HF14" s="21"/>
      <c r="HG14" s="21"/>
      <c r="HH14" s="21"/>
      <c r="HI14" s="21"/>
      <c r="HJ14" s="21"/>
      <c r="HK14" s="21"/>
      <c r="HL14" s="21"/>
      <c r="HM14" s="21"/>
      <c r="HN14" s="21"/>
      <c r="HO14" s="21"/>
      <c r="HP14" s="21"/>
      <c r="HQ14" s="21"/>
      <c r="HR14" s="21"/>
      <c r="HS14" s="21"/>
      <c r="HT14" s="21"/>
      <c r="HU14" s="21"/>
      <c r="HV14" s="21"/>
      <c r="HW14" s="21"/>
      <c r="HX14" s="21"/>
      <c r="HY14" s="21"/>
      <c r="HZ14" s="21"/>
      <c r="IA14" s="21"/>
      <c r="IB14" s="21"/>
      <c r="IC14" s="21"/>
      <c r="ID14" s="21"/>
      <c r="IE14" s="21"/>
      <c r="IF14" s="21"/>
      <c r="IG14" s="21"/>
      <c r="IH14" s="21"/>
      <c r="II14" s="21"/>
      <c r="IJ14" s="21"/>
      <c r="IK14" s="21"/>
      <c r="IL14" s="21"/>
      <c r="IM14" s="21"/>
      <c r="IN14" s="21"/>
      <c r="IO14" s="21"/>
      <c r="IP14" s="21"/>
      <c r="IQ14" s="21"/>
      <c r="IR14" s="21"/>
      <c r="IS14" s="21"/>
      <c r="IT14" s="21"/>
      <c r="IU14" s="21"/>
      <c r="IV14" s="21"/>
      <c r="IW14" s="21"/>
    </row>
    <row r="15" customFormat="false" ht="12.75" hidden="false" customHeight="false" outlineLevel="0" collapsed="false">
      <c r="F15" s="25" t="s">
        <v>3</v>
      </c>
      <c r="G15" s="22"/>
      <c r="H15" s="22"/>
      <c r="I15" s="22"/>
      <c r="J15" s="22"/>
      <c r="K15" s="22"/>
      <c r="L15" s="23"/>
      <c r="M15" s="23"/>
      <c r="N15" s="23"/>
      <c r="O15" s="23"/>
      <c r="P15" s="23"/>
      <c r="Q15" s="24"/>
      <c r="R15" s="24"/>
      <c r="S15" s="24"/>
      <c r="T15" s="24"/>
      <c r="U15" s="24"/>
      <c r="V15" s="24"/>
    </row>
    <row r="16" customFormat="false" ht="12.75" hidden="false" customHeight="false" outlineLevel="0" collapsed="false">
      <c r="F16" s="26"/>
      <c r="G16" s="26" t="s">
        <v>4</v>
      </c>
      <c r="H16" s="26"/>
      <c r="I16" s="27"/>
      <c r="J16" s="22"/>
      <c r="K16" s="22"/>
      <c r="L16" s="23"/>
      <c r="M16" s="23"/>
      <c r="N16" s="23"/>
      <c r="O16" s="23"/>
      <c r="P16" s="23"/>
      <c r="Q16" s="24"/>
      <c r="R16" s="24"/>
      <c r="S16" s="24"/>
      <c r="T16" s="24"/>
      <c r="U16" s="24"/>
      <c r="V16" s="24"/>
    </row>
    <row r="17" customFormat="false" ht="12.75" hidden="false" customHeight="false" outlineLevel="0" collapsed="false">
      <c r="B17" s="27" t="s">
        <v>5</v>
      </c>
      <c r="C17" s="27"/>
      <c r="F17" s="28"/>
      <c r="G17" s="26" t="n">
        <v>1500</v>
      </c>
      <c r="H17" s="26"/>
      <c r="V17" s="24"/>
    </row>
    <row r="18" customFormat="false" ht="12.75" hidden="false" customHeight="false" outlineLevel="0" collapsed="false">
      <c r="B18" s="27" t="s">
        <v>6</v>
      </c>
      <c r="C18" s="27"/>
      <c r="D18" s="29" t="n">
        <f aca="false">SUM(F18:H18)</f>
        <v>23</v>
      </c>
      <c r="F18" s="26"/>
      <c r="G18" s="26" t="n">
        <v>23</v>
      </c>
      <c r="H18" s="26"/>
    </row>
    <row r="19" customFormat="false" ht="12.75" hidden="false" customHeight="false" outlineLevel="0" collapsed="false">
      <c r="B19" s="30" t="s">
        <v>7</v>
      </c>
      <c r="C19" s="30"/>
      <c r="D19" s="31" t="n">
        <f aca="false">SUMPRODUCT(F17:H17,F18:H18)/1000</f>
        <v>34.5</v>
      </c>
      <c r="F19" s="26"/>
      <c r="G19" s="26" t="n">
        <f aca="false">764.255+5+3.25</f>
        <v>772.505</v>
      </c>
      <c r="H19" s="26"/>
      <c r="I19" s="0" t="s">
        <v>8</v>
      </c>
    </row>
    <row r="20" customFormat="false" ht="12.75" hidden="false" customHeight="false" outlineLevel="0" collapsed="false">
      <c r="B20" s="27" t="s">
        <v>9</v>
      </c>
      <c r="C20" s="27"/>
      <c r="F20" s="26"/>
      <c r="G20" s="26"/>
      <c r="H20" s="26"/>
    </row>
    <row r="21" customFormat="false" ht="12.75" hidden="false" customHeight="false" outlineLevel="0" collapsed="false">
      <c r="B21" s="25" t="s">
        <v>10</v>
      </c>
      <c r="C21" s="25"/>
      <c r="F21" s="29" t="n">
        <f aca="false">SUM(F19:F20)</f>
        <v>0</v>
      </c>
      <c r="G21" s="29" t="n">
        <f aca="false">SUM(G19:G20)</f>
        <v>772.505</v>
      </c>
      <c r="H21" s="29" t="n">
        <f aca="false">SUM(H19:H20)</f>
        <v>0</v>
      </c>
      <c r="J21" s="22"/>
      <c r="K21" s="24"/>
      <c r="L21" s="24"/>
      <c r="M21" s="24"/>
      <c r="N21" s="24"/>
      <c r="O21" s="24"/>
      <c r="P21" s="24"/>
      <c r="Q21" s="24"/>
      <c r="R21" s="24"/>
      <c r="S21" s="24"/>
      <c r="T21" s="24"/>
      <c r="U21" s="24"/>
      <c r="V21" s="24"/>
    </row>
    <row r="22" customFormat="false" ht="12.75" hidden="false" customHeight="false" outlineLevel="0" collapsed="false">
      <c r="B22" s="27" t="s">
        <v>11</v>
      </c>
      <c r="C22" s="27"/>
      <c r="F22" s="32" t="n">
        <v>1.3</v>
      </c>
      <c r="G22" s="32" t="n">
        <v>1.05</v>
      </c>
      <c r="H22" s="32" t="n">
        <v>1.3</v>
      </c>
      <c r="J22" s="22"/>
    </row>
    <row r="23" customFormat="false" ht="13.5" hidden="false" customHeight="false" outlineLevel="0" collapsed="false">
      <c r="F23" s="3"/>
      <c r="G23" s="3"/>
      <c r="H23" s="3"/>
      <c r="I23" s="3"/>
      <c r="J23" s="22"/>
    </row>
    <row r="24" customFormat="false" ht="13.5" hidden="false" customHeight="false" outlineLevel="0" collapsed="false">
      <c r="B24" s="0" t="s">
        <v>12</v>
      </c>
      <c r="F24" s="33" t="n">
        <f aca="false">SUMPRODUCT(F18:H18,F21:H21,F22:H22)</f>
        <v>18655.99575</v>
      </c>
      <c r="J24" s="22"/>
    </row>
    <row r="25" customFormat="false" ht="13.5" hidden="false" customHeight="false" outlineLevel="0" collapsed="false">
      <c r="J25" s="22"/>
      <c r="K25" s="24"/>
      <c r="L25" s="24"/>
      <c r="M25" s="24"/>
      <c r="N25" s="24"/>
      <c r="O25" s="24"/>
      <c r="P25" s="24"/>
      <c r="Q25" s="24"/>
      <c r="R25" s="24"/>
      <c r="S25" s="24"/>
      <c r="T25" s="24"/>
      <c r="U25" s="24"/>
      <c r="V25" s="24"/>
    </row>
    <row r="26" customFormat="false" ht="13.5" hidden="false" customHeight="false" outlineLevel="0" collapsed="false">
      <c r="B26" s="0" t="s">
        <v>13</v>
      </c>
      <c r="F26" s="34" t="n">
        <f aca="false">Internal!G41-SUMPRODUCT(Internal!F18:H18,Internal!F21:H21)</f>
        <v>888.38075</v>
      </c>
      <c r="J26" s="3"/>
      <c r="O26" s="3"/>
      <c r="P26" s="3"/>
      <c r="Q26" s="3"/>
      <c r="R26" s="3"/>
      <c r="S26" s="22"/>
      <c r="T26" s="24"/>
      <c r="U26" s="24"/>
      <c r="V26" s="24"/>
    </row>
    <row r="27" customFormat="false" ht="12.75" hidden="false" customHeight="false" outlineLevel="0" collapsed="false">
      <c r="J27" s="3"/>
      <c r="O27" s="3"/>
      <c r="P27" s="3"/>
      <c r="Q27" s="3"/>
      <c r="R27" s="3"/>
      <c r="S27" s="22"/>
      <c r="T27" s="24"/>
      <c r="U27" s="24"/>
      <c r="V27" s="24"/>
    </row>
    <row r="28" customFormat="false" ht="12.75" hidden="false" customHeight="false" outlineLevel="0" collapsed="false">
      <c r="J28" s="3"/>
      <c r="O28" s="3"/>
      <c r="P28" s="3"/>
      <c r="Q28" s="3"/>
      <c r="R28" s="3"/>
      <c r="S28" s="22"/>
      <c r="T28" s="24"/>
      <c r="U28" s="24"/>
      <c r="V28" s="24"/>
    </row>
    <row r="29" customFormat="false" ht="12.75" hidden="false" customHeight="false" outlineLevel="0" collapsed="false">
      <c r="F29" s="15" t="s">
        <v>14</v>
      </c>
      <c r="J29" s="3"/>
      <c r="O29" s="3"/>
      <c r="P29" s="3"/>
      <c r="Q29" s="3"/>
      <c r="R29" s="3"/>
      <c r="S29" s="22"/>
      <c r="T29" s="24"/>
      <c r="U29" s="24"/>
      <c r="V29" s="24"/>
    </row>
    <row r="30" customFormat="false" ht="12.75" hidden="false" customHeight="false" outlineLevel="0" collapsed="false">
      <c r="B30" s="0" t="s">
        <v>15</v>
      </c>
      <c r="F30" s="26"/>
      <c r="G30" s="26" t="s">
        <v>16</v>
      </c>
      <c r="H30" s="26"/>
      <c r="I30" s="27"/>
      <c r="J30" s="35"/>
      <c r="K30" s="36"/>
      <c r="L30" s="37"/>
      <c r="M30" s="37"/>
      <c r="O30" s="24"/>
      <c r="P30" s="3"/>
      <c r="Q30" s="3"/>
      <c r="R30" s="3"/>
      <c r="S30" s="22"/>
      <c r="T30" s="24"/>
      <c r="U30" s="24"/>
      <c r="V30" s="24"/>
    </row>
    <row r="31" customFormat="false" ht="12.75" hidden="false" customHeight="false" outlineLevel="0" collapsed="false">
      <c r="B31" s="15" t="s">
        <v>17</v>
      </c>
      <c r="C31" s="15"/>
      <c r="F31" s="38"/>
      <c r="G31" s="38" t="n">
        <v>122</v>
      </c>
      <c r="H31" s="38"/>
      <c r="I31" s="25"/>
      <c r="J31" s="39"/>
      <c r="K31" s="40"/>
      <c r="L31" s="41"/>
      <c r="M31" s="37"/>
      <c r="O31" s="3"/>
      <c r="P31" s="3"/>
      <c r="Q31" s="3"/>
      <c r="R31" s="3"/>
      <c r="S31" s="22"/>
      <c r="T31" s="24"/>
      <c r="U31" s="24"/>
      <c r="V31" s="24"/>
    </row>
    <row r="32" customFormat="false" ht="12.75" hidden="false" customHeight="false" outlineLevel="0" collapsed="false">
      <c r="B32" s="0" t="s">
        <v>18</v>
      </c>
      <c r="F32" s="32" t="n">
        <v>1.07</v>
      </c>
      <c r="G32" s="32" t="n">
        <v>1.07</v>
      </c>
      <c r="H32" s="32" t="n">
        <v>1.07</v>
      </c>
      <c r="I32" s="27"/>
      <c r="J32" s="39"/>
      <c r="K32" s="40"/>
      <c r="L32" s="37"/>
      <c r="M32" s="37"/>
      <c r="O32" s="3"/>
      <c r="P32" s="24"/>
      <c r="Q32" s="24"/>
      <c r="R32" s="24"/>
      <c r="S32" s="22"/>
      <c r="T32" s="24"/>
      <c r="U32" s="24"/>
      <c r="V32" s="24"/>
    </row>
    <row r="33" customFormat="false" ht="13.5" hidden="false" customHeight="false" outlineLevel="0" collapsed="false"/>
    <row r="34" customFormat="false" ht="13.5" hidden="false" customHeight="false" outlineLevel="0" collapsed="false">
      <c r="B34" s="0" t="s">
        <v>19</v>
      </c>
      <c r="F34" s="33" t="n">
        <f aca="false">SUMPRODUCT(F18:H18,F31:H31,F32:H32)</f>
        <v>3002.42</v>
      </c>
      <c r="G34" s="0" t="s">
        <v>20</v>
      </c>
      <c r="H34" s="24"/>
    </row>
    <row r="35" customFormat="false" ht="13.5" hidden="false" customHeight="false" outlineLevel="0" collapsed="false">
      <c r="H35" s="24"/>
    </row>
    <row r="36" customFormat="false" ht="13.5" hidden="false" customHeight="false" outlineLevel="0" collapsed="false">
      <c r="B36" s="3" t="s">
        <v>21</v>
      </c>
      <c r="C36" s="3"/>
      <c r="F36" s="42" t="n">
        <f aca="false">Internal!G42-SUMPRODUCT(Internal!F18:H18,Internal!F31:H31)</f>
        <v>196.420000000001</v>
      </c>
      <c r="H36" s="3"/>
    </row>
    <row r="38" customFormat="false" ht="12.75" hidden="false" customHeight="false" outlineLevel="0" collapsed="false">
      <c r="A38" s="17"/>
      <c r="B38" s="43" t="s">
        <v>22</v>
      </c>
      <c r="C38" s="43"/>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c r="IV38" s="17"/>
      <c r="IW38" s="17"/>
    </row>
    <row r="40" customFormat="false" ht="12.75" hidden="false" customHeight="false" outlineLevel="0" collapsed="false">
      <c r="A40" s="44"/>
      <c r="B40" s="45" t="s">
        <v>23</v>
      </c>
      <c r="C40" s="45"/>
      <c r="D40" s="23"/>
      <c r="E40" s="23"/>
      <c r="F40" s="46" t="s">
        <v>24</v>
      </c>
      <c r="G40" s="46" t="s">
        <v>25</v>
      </c>
      <c r="H40" s="23"/>
      <c r="I40" s="23"/>
      <c r="M40" s="3"/>
      <c r="N40" s="3"/>
      <c r="O40" s="3"/>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c r="IW40" s="3"/>
    </row>
    <row r="41" customFormat="false" ht="12.75" hidden="false" customHeight="false" outlineLevel="0" collapsed="false">
      <c r="A41" s="23"/>
      <c r="B41" s="23" t="s">
        <v>26</v>
      </c>
      <c r="C41" s="23"/>
      <c r="D41" s="23"/>
      <c r="E41" s="23"/>
      <c r="F41" s="47" t="n">
        <f aca="false">G41/Assum!$F$30</f>
        <v>811.13025</v>
      </c>
      <c r="G41" s="48" t="n">
        <f aca="false">Internal!F24</f>
        <v>18655.99575</v>
      </c>
      <c r="H41" s="49"/>
      <c r="I41" s="23"/>
      <c r="K41" s="3"/>
      <c r="L41" s="3"/>
      <c r="M41" s="3"/>
      <c r="N41" s="3"/>
      <c r="O41" s="3"/>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c r="IW41" s="3"/>
    </row>
    <row r="42" customFormat="false" ht="12.75" hidden="false" customHeight="false" outlineLevel="0" collapsed="false">
      <c r="A42" s="23"/>
      <c r="B42" s="23" t="s">
        <v>27</v>
      </c>
      <c r="C42" s="23"/>
      <c r="D42" s="23"/>
      <c r="E42" s="23"/>
      <c r="F42" s="47" t="n">
        <f aca="false">G42/Assum!$F$30</f>
        <v>130.54</v>
      </c>
      <c r="G42" s="48" t="n">
        <f aca="false">Internal!F34</f>
        <v>3002.42</v>
      </c>
      <c r="H42" s="49"/>
      <c r="I42" s="23"/>
      <c r="K42" s="3"/>
      <c r="L42" s="3"/>
      <c r="M42" s="3"/>
      <c r="N42" s="3"/>
      <c r="O42" s="3"/>
      <c r="P42" s="37"/>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c r="IW42" s="3"/>
    </row>
    <row r="43" customFormat="false" ht="12.75" hidden="false" customHeight="false" outlineLevel="0" collapsed="false">
      <c r="A43" s="23"/>
      <c r="B43" s="23" t="s">
        <v>28</v>
      </c>
      <c r="C43" s="23"/>
      <c r="D43" s="23"/>
      <c r="E43" s="23"/>
      <c r="F43" s="50" t="n">
        <f aca="false">4.1+0.58+2</f>
        <v>6.68</v>
      </c>
      <c r="G43" s="51" t="n">
        <f aca="false">F43*Assum!$F$30</f>
        <v>153.64</v>
      </c>
      <c r="H43" s="23" t="s">
        <v>29</v>
      </c>
      <c r="I43" s="24"/>
      <c r="L43" s="3"/>
      <c r="M43" s="3"/>
      <c r="N43" s="3"/>
      <c r="O43" s="3"/>
      <c r="P43" s="37"/>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c r="IW43" s="3"/>
    </row>
    <row r="44" customFormat="false" ht="12.75" hidden="false" customHeight="false" outlineLevel="0" collapsed="false">
      <c r="A44" s="23"/>
      <c r="B44" s="23" t="s">
        <v>30</v>
      </c>
      <c r="C44" s="23"/>
      <c r="D44" s="23"/>
      <c r="E44" s="23"/>
      <c r="F44" s="50" t="n">
        <v>25.725</v>
      </c>
      <c r="G44" s="51" t="n">
        <f aca="false">F44*Assum!$F$30</f>
        <v>591.675</v>
      </c>
      <c r="H44" s="23" t="s">
        <v>31</v>
      </c>
      <c r="I44" s="23"/>
      <c r="J44" s="52"/>
      <c r="K44" s="3"/>
      <c r="L44" s="3"/>
      <c r="M44" s="3"/>
      <c r="N44" s="3"/>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c r="IW44" s="3"/>
    </row>
    <row r="45" customFormat="false" ht="12.75" hidden="false" customHeight="false" outlineLevel="0" collapsed="false">
      <c r="A45" s="23"/>
      <c r="B45" s="23" t="s">
        <v>32</v>
      </c>
      <c r="C45" s="23"/>
      <c r="D45" s="23"/>
      <c r="E45" s="23"/>
      <c r="F45" s="50" t="n">
        <v>17.735</v>
      </c>
      <c r="G45" s="51" t="n">
        <f aca="false">F45*Assum!$F$30</f>
        <v>407.905</v>
      </c>
      <c r="H45" s="23" t="s">
        <v>31</v>
      </c>
      <c r="I45" s="22"/>
      <c r="J45" s="52"/>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c r="IW45" s="3"/>
    </row>
    <row r="46" customFormat="false" ht="12.75" hidden="false" customHeight="false" outlineLevel="0" collapsed="false">
      <c r="A46" s="23"/>
      <c r="B46" s="23" t="s">
        <v>33</v>
      </c>
      <c r="C46" s="23"/>
      <c r="D46" s="23"/>
      <c r="E46" s="23"/>
      <c r="F46" s="53" t="n">
        <v>2</v>
      </c>
      <c r="G46" s="54" t="n">
        <f aca="false">F46*Assum!F30</f>
        <v>46</v>
      </c>
      <c r="H46" s="22"/>
      <c r="I46" s="22"/>
      <c r="J46" s="52"/>
      <c r="K46" s="3"/>
      <c r="L46" s="3"/>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c r="EK46" s="24"/>
      <c r="EL46" s="24"/>
      <c r="EM46" s="24"/>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c r="IW46" s="3"/>
    </row>
    <row r="47" customFormat="false" ht="12.75" hidden="false" customHeight="false" outlineLevel="0" collapsed="false">
      <c r="A47" s="23"/>
      <c r="B47" s="23" t="s">
        <v>34</v>
      </c>
      <c r="C47" s="23"/>
      <c r="D47" s="55" t="s">
        <v>35</v>
      </c>
      <c r="E47" s="56" t="n">
        <v>0.0725</v>
      </c>
      <c r="F47" s="53"/>
      <c r="G47" s="57" t="n">
        <f aca="false">E47*SUM(G41:G42)</f>
        <v>1570.235141875</v>
      </c>
      <c r="H47" s="58" t="s">
        <v>36</v>
      </c>
      <c r="I47" s="24"/>
      <c r="J47" s="3"/>
      <c r="K47" s="59"/>
      <c r="L47" s="58"/>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c r="DP47" s="24"/>
      <c r="DQ47" s="24"/>
      <c r="DR47" s="24"/>
      <c r="DS47" s="24"/>
      <c r="DT47" s="24"/>
      <c r="DU47" s="24"/>
      <c r="DV47" s="24"/>
      <c r="DW47" s="24"/>
      <c r="DX47" s="24"/>
      <c r="DY47" s="24"/>
      <c r="DZ47" s="24"/>
      <c r="EA47" s="24"/>
      <c r="EB47" s="24"/>
      <c r="EC47" s="24"/>
      <c r="ED47" s="24"/>
      <c r="EE47" s="24"/>
      <c r="EF47" s="24"/>
      <c r="EG47" s="24"/>
      <c r="EH47" s="24"/>
      <c r="EI47" s="24"/>
      <c r="EJ47" s="24"/>
      <c r="EK47" s="24"/>
      <c r="EL47" s="24"/>
      <c r="EM47" s="24"/>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c r="IW47" s="3"/>
    </row>
    <row r="48" customFormat="false" ht="13.5" hidden="false" customHeight="false" outlineLevel="0" collapsed="false">
      <c r="A48" s="23"/>
      <c r="B48" s="60" t="s">
        <v>37</v>
      </c>
      <c r="C48" s="60"/>
      <c r="D48" s="60"/>
      <c r="E48" s="60"/>
      <c r="F48" s="61" t="n">
        <f aca="false">SUM(F41:F46)</f>
        <v>993.81025</v>
      </c>
      <c r="G48" s="62" t="n">
        <f aca="false">SUM(G41:G47)</f>
        <v>24427.870891875</v>
      </c>
      <c r="H48" s="22"/>
      <c r="I48" s="23"/>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c r="CQ48" s="24"/>
      <c r="CR48" s="24"/>
      <c r="CS48" s="24"/>
      <c r="CT48" s="24"/>
      <c r="CU48" s="24"/>
      <c r="CV48" s="24"/>
      <c r="CW48" s="24"/>
      <c r="CX48" s="24"/>
      <c r="CY48" s="24"/>
      <c r="CZ48" s="24"/>
      <c r="DA48" s="24"/>
      <c r="DB48" s="24"/>
      <c r="DC48" s="24"/>
      <c r="DD48" s="24"/>
      <c r="DE48" s="24"/>
      <c r="DF48" s="24"/>
      <c r="DG48" s="24"/>
      <c r="DH48" s="24"/>
      <c r="DI48" s="24"/>
      <c r="DJ48" s="24"/>
      <c r="DK48" s="24"/>
      <c r="DL48" s="24"/>
      <c r="DM48" s="24"/>
      <c r="DN48" s="24"/>
      <c r="DO48" s="24"/>
      <c r="DP48" s="24"/>
      <c r="DQ48" s="24"/>
      <c r="DR48" s="24"/>
      <c r="DS48" s="24"/>
      <c r="DT48" s="24"/>
      <c r="DU48" s="24"/>
      <c r="DV48" s="24"/>
      <c r="DW48" s="24"/>
      <c r="DX48" s="24"/>
      <c r="DY48" s="24"/>
      <c r="DZ48" s="24"/>
      <c r="EA48" s="24"/>
      <c r="EB48" s="24"/>
      <c r="EC48" s="24"/>
      <c r="ED48" s="24"/>
      <c r="EE48" s="24"/>
      <c r="EF48" s="24"/>
      <c r="EG48" s="24"/>
      <c r="EH48" s="24"/>
      <c r="EI48" s="24"/>
      <c r="EJ48" s="24"/>
      <c r="EK48" s="24"/>
      <c r="EL48" s="24"/>
      <c r="EM48" s="24"/>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row>
    <row r="49" customFormat="false" ht="12.75" hidden="false" customHeight="false" outlineLevel="0" collapsed="false">
      <c r="A49" s="23"/>
      <c r="B49" s="23"/>
      <c r="C49" s="23"/>
      <c r="D49" s="23"/>
      <c r="E49" s="23"/>
      <c r="F49" s="63"/>
      <c r="G49" s="63"/>
      <c r="H49" s="22"/>
      <c r="I49" s="23"/>
      <c r="J49" s="23"/>
      <c r="K49" s="22"/>
      <c r="L49" s="22"/>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c r="IW49" s="3"/>
    </row>
    <row r="50" customFormat="false" ht="12.75" hidden="false" customHeight="false" outlineLevel="0" collapsed="false">
      <c r="A50" s="64"/>
      <c r="B50" s="65" t="s">
        <v>38</v>
      </c>
      <c r="C50" s="65"/>
      <c r="D50" s="64"/>
      <c r="E50" s="64"/>
      <c r="F50" s="66" t="s">
        <v>24</v>
      </c>
      <c r="G50" s="67" t="s">
        <v>25</v>
      </c>
      <c r="H50" s="68" t="s">
        <v>39</v>
      </c>
      <c r="I50" s="64"/>
      <c r="J50" s="64"/>
      <c r="K50" s="64"/>
      <c r="L50" s="64"/>
      <c r="M50" s="64"/>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69"/>
      <c r="EO50" s="69"/>
      <c r="EP50" s="69"/>
      <c r="EQ50" s="69"/>
      <c r="ER50" s="69"/>
      <c r="ES50" s="69"/>
      <c r="ET50" s="69"/>
      <c r="EU50" s="69"/>
      <c r="EV50" s="69"/>
      <c r="EW50" s="69"/>
      <c r="EX50" s="69"/>
      <c r="EY50" s="69"/>
      <c r="EZ50" s="69"/>
      <c r="FA50" s="69"/>
      <c r="FB50" s="69"/>
      <c r="FC50" s="69"/>
      <c r="FD50" s="69"/>
      <c r="FE50" s="69"/>
      <c r="FF50" s="69"/>
      <c r="FG50" s="69"/>
      <c r="FH50" s="69"/>
      <c r="FI50" s="69"/>
      <c r="FJ50" s="69"/>
      <c r="FK50" s="69"/>
      <c r="FL50" s="69"/>
      <c r="FM50" s="69"/>
      <c r="FN50" s="69"/>
      <c r="FO50" s="69"/>
      <c r="FP50" s="69"/>
      <c r="FQ50" s="69"/>
      <c r="FR50" s="69"/>
      <c r="FS50" s="69"/>
      <c r="FT50" s="69"/>
      <c r="FU50" s="69"/>
      <c r="FV50" s="69"/>
      <c r="FW50" s="69"/>
      <c r="FX50" s="69"/>
      <c r="FY50" s="69"/>
      <c r="FZ50" s="69"/>
      <c r="GA50" s="69"/>
      <c r="GB50" s="69"/>
      <c r="GC50" s="69"/>
      <c r="GD50" s="69"/>
      <c r="GE50" s="69"/>
      <c r="GF50" s="69"/>
      <c r="GG50" s="69"/>
      <c r="GH50" s="69"/>
      <c r="GI50" s="69"/>
      <c r="GJ50" s="69"/>
      <c r="GK50" s="69"/>
      <c r="GL50" s="69"/>
      <c r="GM50" s="69"/>
      <c r="GN50" s="69"/>
      <c r="GO50" s="69"/>
      <c r="GP50" s="69"/>
      <c r="GQ50" s="69"/>
      <c r="GR50" s="69"/>
      <c r="GS50" s="69"/>
      <c r="GT50" s="69"/>
      <c r="GU50" s="69"/>
      <c r="GV50" s="69"/>
      <c r="GW50" s="69"/>
      <c r="GX50" s="69"/>
      <c r="GY50" s="69"/>
      <c r="GZ50" s="69"/>
      <c r="HA50" s="69"/>
      <c r="HB50" s="69"/>
      <c r="HC50" s="69"/>
      <c r="HD50" s="69"/>
      <c r="HE50" s="69"/>
      <c r="HF50" s="69"/>
      <c r="HG50" s="69"/>
      <c r="HH50" s="69"/>
      <c r="HI50" s="69"/>
      <c r="HJ50" s="69"/>
      <c r="HK50" s="69"/>
      <c r="HL50" s="69"/>
      <c r="HM50" s="69"/>
      <c r="HN50" s="69"/>
      <c r="HO50" s="69"/>
      <c r="HP50" s="69"/>
      <c r="HQ50" s="69"/>
      <c r="HR50" s="69"/>
      <c r="HS50" s="69"/>
      <c r="HT50" s="69"/>
      <c r="HU50" s="69"/>
      <c r="HV50" s="69"/>
      <c r="HW50" s="69"/>
      <c r="HX50" s="69"/>
      <c r="HY50" s="69"/>
      <c r="HZ50" s="69"/>
      <c r="IA50" s="69"/>
      <c r="IB50" s="69"/>
      <c r="IC50" s="69"/>
      <c r="ID50" s="69"/>
      <c r="IE50" s="69"/>
      <c r="IF50" s="69"/>
      <c r="IG50" s="69"/>
      <c r="IH50" s="69"/>
      <c r="II50" s="69"/>
      <c r="IJ50" s="69"/>
      <c r="IK50" s="69"/>
      <c r="IL50" s="69"/>
      <c r="IM50" s="69"/>
      <c r="IN50" s="69"/>
      <c r="IO50" s="69"/>
      <c r="IP50" s="69"/>
      <c r="IQ50" s="69"/>
      <c r="IR50" s="69"/>
      <c r="IS50" s="69"/>
      <c r="IT50" s="69"/>
      <c r="IU50" s="69"/>
      <c r="IV50" s="69"/>
      <c r="IW50" s="69"/>
    </row>
    <row r="51" customFormat="false" ht="12.75" hidden="false" customHeight="false" outlineLevel="0" collapsed="false">
      <c r="A51" s="64"/>
      <c r="B51" s="64" t="s">
        <v>40</v>
      </c>
      <c r="C51" s="64"/>
      <c r="D51" s="64"/>
      <c r="E51" s="64"/>
      <c r="F51" s="50" t="n">
        <f aca="false">+G51/Assum!$F$30</f>
        <v>0</v>
      </c>
      <c r="G51" s="51" t="n">
        <v>0</v>
      </c>
      <c r="H51" s="64" t="s">
        <v>41</v>
      </c>
      <c r="I51" s="64"/>
      <c r="J51" s="64"/>
      <c r="K51" s="64"/>
      <c r="L51" s="64"/>
      <c r="M51" s="64"/>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c r="DO51" s="24"/>
      <c r="DP51" s="24"/>
      <c r="DQ51" s="24"/>
      <c r="DR51" s="24"/>
      <c r="DS51" s="24"/>
      <c r="DT51" s="24"/>
      <c r="DU51" s="24"/>
      <c r="DV51" s="24"/>
      <c r="DW51" s="24"/>
      <c r="DX51" s="24"/>
      <c r="DY51" s="24"/>
      <c r="DZ51" s="24"/>
      <c r="EA51" s="24"/>
      <c r="EB51" s="24"/>
      <c r="EC51" s="24"/>
      <c r="ED51" s="24"/>
      <c r="EE51" s="24"/>
      <c r="EF51" s="24"/>
      <c r="EG51" s="24"/>
      <c r="EH51" s="24"/>
      <c r="EI51" s="24"/>
      <c r="EJ51" s="24"/>
      <c r="EK51" s="24"/>
      <c r="EL51" s="24"/>
      <c r="EM51" s="24"/>
      <c r="EN51" s="69"/>
      <c r="EO51" s="69"/>
      <c r="EP51" s="69"/>
      <c r="EQ51" s="69"/>
      <c r="ER51" s="69"/>
      <c r="ES51" s="69"/>
      <c r="ET51" s="69"/>
      <c r="EU51" s="69"/>
      <c r="EV51" s="69"/>
      <c r="EW51" s="69"/>
      <c r="EX51" s="69"/>
      <c r="EY51" s="69"/>
      <c r="EZ51" s="69"/>
      <c r="FA51" s="69"/>
      <c r="FB51" s="69"/>
      <c r="FC51" s="69"/>
      <c r="FD51" s="69"/>
      <c r="FE51" s="69"/>
      <c r="FF51" s="69"/>
      <c r="FG51" s="69"/>
      <c r="FH51" s="69"/>
      <c r="FI51" s="69"/>
      <c r="FJ51" s="69"/>
      <c r="FK51" s="69"/>
      <c r="FL51" s="69"/>
      <c r="FM51" s="69"/>
      <c r="FN51" s="69"/>
      <c r="FO51" s="69"/>
      <c r="FP51" s="69"/>
      <c r="FQ51" s="69"/>
      <c r="FR51" s="69"/>
      <c r="FS51" s="69"/>
      <c r="FT51" s="69"/>
      <c r="FU51" s="69"/>
      <c r="FV51" s="69"/>
      <c r="FW51" s="69"/>
      <c r="FX51" s="69"/>
      <c r="FY51" s="69"/>
      <c r="FZ51" s="69"/>
      <c r="GA51" s="69"/>
      <c r="GB51" s="69"/>
      <c r="GC51" s="69"/>
      <c r="GD51" s="69"/>
      <c r="GE51" s="69"/>
      <c r="GF51" s="69"/>
      <c r="GG51" s="69"/>
      <c r="GH51" s="69"/>
      <c r="GI51" s="69"/>
      <c r="GJ51" s="69"/>
      <c r="GK51" s="69"/>
      <c r="GL51" s="69"/>
      <c r="GM51" s="69"/>
      <c r="GN51" s="69"/>
      <c r="GO51" s="69"/>
      <c r="GP51" s="69"/>
      <c r="GQ51" s="69"/>
      <c r="GR51" s="69"/>
      <c r="GS51" s="69"/>
      <c r="GT51" s="69"/>
      <c r="GU51" s="69"/>
      <c r="GV51" s="69"/>
      <c r="GW51" s="69"/>
      <c r="GX51" s="69"/>
      <c r="GY51" s="69"/>
      <c r="GZ51" s="69"/>
      <c r="HA51" s="69"/>
      <c r="HB51" s="69"/>
      <c r="HC51" s="69"/>
      <c r="HD51" s="69"/>
      <c r="HE51" s="69"/>
      <c r="HF51" s="69"/>
      <c r="HG51" s="69"/>
      <c r="HH51" s="69"/>
      <c r="HI51" s="69"/>
      <c r="HJ51" s="69"/>
      <c r="HK51" s="69"/>
      <c r="HL51" s="69"/>
      <c r="HM51" s="69"/>
      <c r="HN51" s="69"/>
      <c r="HO51" s="69"/>
      <c r="HP51" s="69"/>
      <c r="HQ51" s="69"/>
      <c r="HR51" s="69"/>
      <c r="HS51" s="69"/>
      <c r="HT51" s="69"/>
      <c r="HU51" s="69"/>
      <c r="HV51" s="69"/>
      <c r="HW51" s="69"/>
      <c r="HX51" s="69"/>
      <c r="HY51" s="69"/>
      <c r="HZ51" s="69"/>
      <c r="IA51" s="69"/>
      <c r="IB51" s="69"/>
      <c r="IC51" s="69"/>
      <c r="ID51" s="69"/>
      <c r="IE51" s="69"/>
      <c r="IF51" s="69"/>
      <c r="IG51" s="69"/>
      <c r="IH51" s="69"/>
      <c r="II51" s="69"/>
      <c r="IJ51" s="69"/>
      <c r="IK51" s="69"/>
      <c r="IL51" s="69"/>
      <c r="IM51" s="69"/>
      <c r="IN51" s="69"/>
      <c r="IO51" s="69"/>
      <c r="IP51" s="69"/>
      <c r="IQ51" s="69"/>
      <c r="IR51" s="69"/>
      <c r="IS51" s="69"/>
      <c r="IT51" s="69"/>
      <c r="IU51" s="69"/>
      <c r="IV51" s="69"/>
      <c r="IW51" s="69"/>
    </row>
    <row r="52" customFormat="false" ht="12.75" hidden="false" customHeight="false" outlineLevel="0" collapsed="false">
      <c r="A52" s="64"/>
      <c r="B52" s="64" t="s">
        <v>42</v>
      </c>
      <c r="C52" s="64"/>
      <c r="D52" s="64"/>
      <c r="E52" s="64"/>
      <c r="F52" s="50" t="n">
        <f aca="false">G52/Assum!$F$30</f>
        <v>110.779956521739</v>
      </c>
      <c r="G52" s="51" t="n">
        <v>2547.939</v>
      </c>
      <c r="H52" s="64"/>
      <c r="I52" s="64"/>
      <c r="J52" s="64"/>
      <c r="K52" s="64"/>
      <c r="L52" s="64"/>
      <c r="M52" s="6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c r="DO52" s="24"/>
      <c r="DP52" s="24"/>
      <c r="DQ52" s="24"/>
      <c r="DR52" s="24"/>
      <c r="DS52" s="24"/>
      <c r="DT52" s="24"/>
      <c r="DU52" s="24"/>
      <c r="DV52" s="24"/>
      <c r="DW52" s="24"/>
      <c r="DX52" s="24"/>
      <c r="DY52" s="24"/>
      <c r="DZ52" s="24"/>
      <c r="EA52" s="24"/>
      <c r="EB52" s="24"/>
      <c r="EC52" s="24"/>
      <c r="ED52" s="24"/>
      <c r="EE52" s="24"/>
      <c r="EF52" s="24"/>
      <c r="EG52" s="24"/>
      <c r="EH52" s="24"/>
      <c r="EI52" s="24"/>
      <c r="EJ52" s="24"/>
      <c r="EK52" s="24"/>
      <c r="EL52" s="24"/>
      <c r="EM52" s="24"/>
      <c r="EN52" s="69"/>
      <c r="EO52" s="69"/>
      <c r="EP52" s="69"/>
      <c r="EQ52" s="69"/>
      <c r="ER52" s="69"/>
      <c r="ES52" s="69"/>
      <c r="ET52" s="69"/>
      <c r="EU52" s="69"/>
      <c r="EV52" s="69"/>
      <c r="EW52" s="69"/>
      <c r="EX52" s="69"/>
      <c r="EY52" s="69"/>
      <c r="EZ52" s="69"/>
      <c r="FA52" s="69"/>
      <c r="FB52" s="69"/>
      <c r="FC52" s="69"/>
      <c r="FD52" s="69"/>
      <c r="FE52" s="69"/>
      <c r="FF52" s="69"/>
      <c r="FG52" s="69"/>
      <c r="FH52" s="69"/>
      <c r="FI52" s="69"/>
      <c r="FJ52" s="69"/>
      <c r="FK52" s="69"/>
      <c r="FL52" s="69"/>
      <c r="FM52" s="69"/>
      <c r="FN52" s="69"/>
      <c r="FO52" s="69"/>
      <c r="FP52" s="69"/>
      <c r="FQ52" s="69"/>
      <c r="FR52" s="69"/>
      <c r="FS52" s="69"/>
      <c r="FT52" s="69"/>
      <c r="FU52" s="69"/>
      <c r="FV52" s="69"/>
      <c r="FW52" s="69"/>
      <c r="FX52" s="69"/>
      <c r="FY52" s="69"/>
      <c r="FZ52" s="69"/>
      <c r="GA52" s="69"/>
      <c r="GB52" s="69"/>
      <c r="GC52" s="69"/>
      <c r="GD52" s="69"/>
      <c r="GE52" s="69"/>
      <c r="GF52" s="69"/>
      <c r="GG52" s="69"/>
      <c r="GH52" s="69"/>
      <c r="GI52" s="69"/>
      <c r="GJ52" s="69"/>
      <c r="GK52" s="69"/>
      <c r="GL52" s="69"/>
      <c r="GM52" s="69"/>
      <c r="GN52" s="69"/>
      <c r="GO52" s="69"/>
      <c r="GP52" s="69"/>
      <c r="GQ52" s="69"/>
      <c r="GR52" s="69"/>
      <c r="GS52" s="69"/>
      <c r="GT52" s="69"/>
      <c r="GU52" s="69"/>
      <c r="GV52" s="69"/>
      <c r="GW52" s="69"/>
      <c r="GX52" s="69"/>
      <c r="GY52" s="69"/>
      <c r="GZ52" s="69"/>
      <c r="HA52" s="69"/>
      <c r="HB52" s="69"/>
      <c r="HC52" s="69"/>
      <c r="HD52" s="69"/>
      <c r="HE52" s="69"/>
      <c r="HF52" s="69"/>
      <c r="HG52" s="69"/>
      <c r="HH52" s="69"/>
      <c r="HI52" s="69"/>
      <c r="HJ52" s="69"/>
      <c r="HK52" s="69"/>
      <c r="HL52" s="69"/>
      <c r="HM52" s="69"/>
      <c r="HN52" s="69"/>
      <c r="HO52" s="69"/>
      <c r="HP52" s="69"/>
      <c r="HQ52" s="69"/>
      <c r="HR52" s="69"/>
      <c r="HS52" s="69"/>
      <c r="HT52" s="69"/>
      <c r="HU52" s="69"/>
      <c r="HV52" s="69"/>
      <c r="HW52" s="69"/>
      <c r="HX52" s="69"/>
      <c r="HY52" s="69"/>
      <c r="HZ52" s="69"/>
      <c r="IA52" s="69"/>
      <c r="IB52" s="69"/>
      <c r="IC52" s="69"/>
      <c r="ID52" s="69"/>
      <c r="IE52" s="69"/>
      <c r="IF52" s="69"/>
      <c r="IG52" s="69"/>
      <c r="IH52" s="69"/>
      <c r="II52" s="69"/>
      <c r="IJ52" s="69"/>
      <c r="IK52" s="69"/>
      <c r="IL52" s="69"/>
      <c r="IM52" s="69"/>
      <c r="IN52" s="69"/>
      <c r="IO52" s="69"/>
      <c r="IP52" s="69"/>
      <c r="IQ52" s="69"/>
      <c r="IR52" s="69"/>
      <c r="IS52" s="69"/>
      <c r="IT52" s="69"/>
      <c r="IU52" s="69"/>
      <c r="IV52" s="69"/>
      <c r="IW52" s="69"/>
    </row>
    <row r="53" customFormat="false" ht="12.75" hidden="false" customHeight="false" outlineLevel="0" collapsed="false">
      <c r="A53" s="64"/>
      <c r="B53" s="64" t="s">
        <v>43</v>
      </c>
      <c r="C53" s="64"/>
      <c r="D53" s="64"/>
      <c r="E53" s="64"/>
      <c r="F53" s="50" t="n">
        <f aca="false">G53/Assum!$F$30</f>
        <v>65.7555652173913</v>
      </c>
      <c r="G53" s="51" t="n">
        <v>1512.378</v>
      </c>
      <c r="H53" s="64"/>
      <c r="I53" s="64"/>
      <c r="J53" s="64"/>
      <c r="K53" s="64"/>
      <c r="L53" s="64"/>
      <c r="M53" s="6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69"/>
      <c r="EO53" s="69"/>
      <c r="EP53" s="69"/>
      <c r="EQ53" s="69"/>
      <c r="ER53" s="69"/>
      <c r="ES53" s="69"/>
      <c r="ET53" s="69"/>
      <c r="EU53" s="69"/>
      <c r="EV53" s="69"/>
      <c r="EW53" s="69"/>
      <c r="EX53" s="69"/>
      <c r="EY53" s="69"/>
      <c r="EZ53" s="69"/>
      <c r="FA53" s="69"/>
      <c r="FB53" s="69"/>
      <c r="FC53" s="69"/>
      <c r="FD53" s="69"/>
      <c r="FE53" s="69"/>
      <c r="FF53" s="69"/>
      <c r="FG53" s="69"/>
      <c r="FH53" s="69"/>
      <c r="FI53" s="69"/>
      <c r="FJ53" s="69"/>
      <c r="FK53" s="69"/>
      <c r="FL53" s="69"/>
      <c r="FM53" s="69"/>
      <c r="FN53" s="69"/>
      <c r="FO53" s="69"/>
      <c r="FP53" s="69"/>
      <c r="FQ53" s="69"/>
      <c r="FR53" s="69"/>
      <c r="FS53" s="69"/>
      <c r="FT53" s="69"/>
      <c r="FU53" s="69"/>
      <c r="FV53" s="69"/>
      <c r="FW53" s="69"/>
      <c r="FX53" s="69"/>
      <c r="FY53" s="69"/>
      <c r="FZ53" s="69"/>
      <c r="GA53" s="69"/>
      <c r="GB53" s="69"/>
      <c r="GC53" s="69"/>
      <c r="GD53" s="69"/>
      <c r="GE53" s="69"/>
      <c r="GF53" s="69"/>
      <c r="GG53" s="69"/>
      <c r="GH53" s="69"/>
      <c r="GI53" s="69"/>
      <c r="GJ53" s="69"/>
      <c r="GK53" s="69"/>
      <c r="GL53" s="69"/>
      <c r="GM53" s="69"/>
      <c r="GN53" s="69"/>
      <c r="GO53" s="69"/>
      <c r="GP53" s="69"/>
      <c r="GQ53" s="69"/>
      <c r="GR53" s="69"/>
      <c r="GS53" s="69"/>
      <c r="GT53" s="69"/>
      <c r="GU53" s="69"/>
      <c r="GV53" s="69"/>
      <c r="GW53" s="69"/>
      <c r="GX53" s="69"/>
      <c r="GY53" s="69"/>
      <c r="GZ53" s="69"/>
      <c r="HA53" s="69"/>
      <c r="HB53" s="69"/>
      <c r="HC53" s="69"/>
      <c r="HD53" s="69"/>
      <c r="HE53" s="69"/>
      <c r="HF53" s="69"/>
      <c r="HG53" s="69"/>
      <c r="HH53" s="69"/>
      <c r="HI53" s="69"/>
      <c r="HJ53" s="69"/>
      <c r="HK53" s="69"/>
      <c r="HL53" s="69"/>
      <c r="HM53" s="69"/>
      <c r="HN53" s="69"/>
      <c r="HO53" s="69"/>
      <c r="HP53" s="69"/>
      <c r="HQ53" s="69"/>
      <c r="HR53" s="69"/>
      <c r="HS53" s="69"/>
      <c r="HT53" s="69"/>
      <c r="HU53" s="69"/>
      <c r="HV53" s="69"/>
      <c r="HW53" s="69"/>
      <c r="HX53" s="69"/>
      <c r="HY53" s="69"/>
      <c r="HZ53" s="69"/>
      <c r="IA53" s="69"/>
      <c r="IB53" s="69"/>
      <c r="IC53" s="69"/>
      <c r="ID53" s="69"/>
      <c r="IE53" s="69"/>
      <c r="IF53" s="69"/>
      <c r="IG53" s="69"/>
      <c r="IH53" s="69"/>
      <c r="II53" s="69"/>
      <c r="IJ53" s="69"/>
      <c r="IK53" s="69"/>
      <c r="IL53" s="69"/>
      <c r="IM53" s="69"/>
      <c r="IN53" s="69"/>
      <c r="IO53" s="69"/>
      <c r="IP53" s="69"/>
      <c r="IQ53" s="69"/>
      <c r="IR53" s="69"/>
      <c r="IS53" s="69"/>
      <c r="IT53" s="69"/>
      <c r="IU53" s="69"/>
      <c r="IV53" s="69"/>
      <c r="IW53" s="69"/>
    </row>
    <row r="54" customFormat="false" ht="12.75" hidden="false" customHeight="false" outlineLevel="0" collapsed="false">
      <c r="A54" s="64"/>
      <c r="B54" s="64" t="s">
        <v>44</v>
      </c>
      <c r="C54" s="64"/>
      <c r="D54" s="64"/>
      <c r="E54" s="64"/>
      <c r="F54" s="50" t="n">
        <f aca="false">G54/Assum!$F$30</f>
        <v>99.7966956521739</v>
      </c>
      <c r="G54" s="51" t="n">
        <f aca="false">3495.324-1200</f>
        <v>2295.324</v>
      </c>
      <c r="H54" s="64"/>
      <c r="I54" s="64"/>
      <c r="J54" s="64"/>
      <c r="K54" s="64"/>
      <c r="L54" s="64"/>
      <c r="M54" s="6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69"/>
      <c r="EO54" s="69"/>
      <c r="EP54" s="69"/>
      <c r="EQ54" s="69"/>
      <c r="ER54" s="69"/>
      <c r="ES54" s="69"/>
      <c r="ET54" s="69"/>
      <c r="EU54" s="69"/>
      <c r="EV54" s="69"/>
      <c r="EW54" s="69"/>
      <c r="EX54" s="69"/>
      <c r="EY54" s="69"/>
      <c r="EZ54" s="69"/>
      <c r="FA54" s="69"/>
      <c r="FB54" s="69"/>
      <c r="FC54" s="69"/>
      <c r="FD54" s="69"/>
      <c r="FE54" s="69"/>
      <c r="FF54" s="69"/>
      <c r="FG54" s="69"/>
      <c r="FH54" s="69"/>
      <c r="FI54" s="69"/>
      <c r="FJ54" s="69"/>
      <c r="FK54" s="69"/>
      <c r="FL54" s="69"/>
      <c r="FM54" s="69"/>
      <c r="FN54" s="69"/>
      <c r="FO54" s="69"/>
      <c r="FP54" s="69"/>
      <c r="FQ54" s="69"/>
      <c r="FR54" s="69"/>
      <c r="FS54" s="69"/>
      <c r="FT54" s="69"/>
      <c r="FU54" s="69"/>
      <c r="FV54" s="69"/>
      <c r="FW54" s="69"/>
      <c r="FX54" s="69"/>
      <c r="FY54" s="69"/>
      <c r="FZ54" s="69"/>
      <c r="GA54" s="69"/>
      <c r="GB54" s="69"/>
      <c r="GC54" s="69"/>
      <c r="GD54" s="69"/>
      <c r="GE54" s="69"/>
      <c r="GF54" s="69"/>
      <c r="GG54" s="69"/>
      <c r="GH54" s="69"/>
      <c r="GI54" s="69"/>
      <c r="GJ54" s="69"/>
      <c r="GK54" s="69"/>
      <c r="GL54" s="69"/>
      <c r="GM54" s="69"/>
      <c r="GN54" s="69"/>
      <c r="GO54" s="69"/>
      <c r="GP54" s="69"/>
      <c r="GQ54" s="69"/>
      <c r="GR54" s="69"/>
      <c r="GS54" s="69"/>
      <c r="GT54" s="69"/>
      <c r="GU54" s="69"/>
      <c r="GV54" s="69"/>
      <c r="GW54" s="69"/>
      <c r="GX54" s="69"/>
      <c r="GY54" s="69"/>
      <c r="GZ54" s="69"/>
      <c r="HA54" s="69"/>
      <c r="HB54" s="69"/>
      <c r="HC54" s="69"/>
      <c r="HD54" s="69"/>
      <c r="HE54" s="69"/>
      <c r="HF54" s="69"/>
      <c r="HG54" s="69"/>
      <c r="HH54" s="69"/>
      <c r="HI54" s="69"/>
      <c r="HJ54" s="69"/>
      <c r="HK54" s="69"/>
      <c r="HL54" s="69"/>
      <c r="HM54" s="69"/>
      <c r="HN54" s="69"/>
      <c r="HO54" s="69"/>
      <c r="HP54" s="69"/>
      <c r="HQ54" s="69"/>
      <c r="HR54" s="69"/>
      <c r="HS54" s="69"/>
      <c r="HT54" s="69"/>
      <c r="HU54" s="69"/>
      <c r="HV54" s="69"/>
      <c r="HW54" s="69"/>
      <c r="HX54" s="69"/>
      <c r="HY54" s="69"/>
      <c r="HZ54" s="69"/>
      <c r="IA54" s="69"/>
      <c r="IB54" s="69"/>
      <c r="IC54" s="69"/>
      <c r="ID54" s="69"/>
      <c r="IE54" s="69"/>
      <c r="IF54" s="69"/>
      <c r="IG54" s="69"/>
      <c r="IH54" s="69"/>
      <c r="II54" s="69"/>
      <c r="IJ54" s="69"/>
      <c r="IK54" s="69"/>
      <c r="IL54" s="69"/>
      <c r="IM54" s="69"/>
      <c r="IN54" s="69"/>
      <c r="IO54" s="69"/>
      <c r="IP54" s="69"/>
      <c r="IQ54" s="69"/>
      <c r="IR54" s="69"/>
      <c r="IS54" s="69"/>
      <c r="IT54" s="69"/>
      <c r="IU54" s="69"/>
      <c r="IV54" s="69"/>
      <c r="IW54" s="69"/>
    </row>
    <row r="55" customFormat="false" ht="12.75" hidden="false" customHeight="false" outlineLevel="0" collapsed="false">
      <c r="A55" s="64"/>
      <c r="B55" s="64" t="s">
        <v>45</v>
      </c>
      <c r="C55" s="64"/>
      <c r="D55" s="64"/>
      <c r="E55" s="64"/>
      <c r="F55" s="50" t="n">
        <f aca="false">G55/Assum!$F$30</f>
        <v>16.4391304347826</v>
      </c>
      <c r="G55" s="51" t="n">
        <v>378.1</v>
      </c>
      <c r="H55" s="64"/>
      <c r="I55" s="64"/>
      <c r="J55" s="64"/>
      <c r="K55" s="64"/>
      <c r="L55" s="64"/>
      <c r="M55" s="64"/>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69"/>
      <c r="EO55" s="69"/>
      <c r="EP55" s="69"/>
      <c r="EQ55" s="69"/>
      <c r="ER55" s="69"/>
      <c r="ES55" s="69"/>
      <c r="ET55" s="69"/>
      <c r="EU55" s="69"/>
      <c r="EV55" s="69"/>
      <c r="EW55" s="69"/>
      <c r="EX55" s="69"/>
      <c r="EY55" s="69"/>
      <c r="EZ55" s="69"/>
      <c r="FA55" s="69"/>
      <c r="FB55" s="69"/>
      <c r="FC55" s="69"/>
      <c r="FD55" s="69"/>
      <c r="FE55" s="69"/>
      <c r="FF55" s="69"/>
      <c r="FG55" s="69"/>
      <c r="FH55" s="69"/>
      <c r="FI55" s="69"/>
      <c r="FJ55" s="69"/>
      <c r="FK55" s="69"/>
      <c r="FL55" s="69"/>
      <c r="FM55" s="69"/>
      <c r="FN55" s="69"/>
      <c r="FO55" s="69"/>
      <c r="FP55" s="69"/>
      <c r="FQ55" s="69"/>
      <c r="FR55" s="69"/>
      <c r="FS55" s="69"/>
      <c r="FT55" s="69"/>
      <c r="FU55" s="69"/>
      <c r="FV55" s="69"/>
      <c r="FW55" s="69"/>
      <c r="FX55" s="69"/>
      <c r="FY55" s="69"/>
      <c r="FZ55" s="69"/>
      <c r="GA55" s="69"/>
      <c r="GB55" s="69"/>
      <c r="GC55" s="69"/>
      <c r="GD55" s="69"/>
      <c r="GE55" s="69"/>
      <c r="GF55" s="69"/>
      <c r="GG55" s="69"/>
      <c r="GH55" s="69"/>
      <c r="GI55" s="69"/>
      <c r="GJ55" s="69"/>
      <c r="GK55" s="69"/>
      <c r="GL55" s="69"/>
      <c r="GM55" s="69"/>
      <c r="GN55" s="69"/>
      <c r="GO55" s="69"/>
      <c r="GP55" s="69"/>
      <c r="GQ55" s="69"/>
      <c r="GR55" s="69"/>
      <c r="GS55" s="69"/>
      <c r="GT55" s="69"/>
      <c r="GU55" s="69"/>
      <c r="GV55" s="69"/>
      <c r="GW55" s="69"/>
      <c r="GX55" s="69"/>
      <c r="GY55" s="69"/>
      <c r="GZ55" s="69"/>
      <c r="HA55" s="69"/>
      <c r="HB55" s="69"/>
      <c r="HC55" s="69"/>
      <c r="HD55" s="69"/>
      <c r="HE55" s="69"/>
      <c r="HF55" s="69"/>
      <c r="HG55" s="69"/>
      <c r="HH55" s="69"/>
      <c r="HI55" s="69"/>
      <c r="HJ55" s="69"/>
      <c r="HK55" s="69"/>
      <c r="HL55" s="69"/>
      <c r="HM55" s="69"/>
      <c r="HN55" s="69"/>
      <c r="HO55" s="69"/>
      <c r="HP55" s="69"/>
      <c r="HQ55" s="69"/>
      <c r="HR55" s="69"/>
      <c r="HS55" s="69"/>
      <c r="HT55" s="69"/>
      <c r="HU55" s="69"/>
      <c r="HV55" s="69"/>
      <c r="HW55" s="69"/>
      <c r="HX55" s="69"/>
      <c r="HY55" s="69"/>
      <c r="HZ55" s="69"/>
      <c r="IA55" s="69"/>
      <c r="IB55" s="69"/>
      <c r="IC55" s="69"/>
      <c r="ID55" s="69"/>
      <c r="IE55" s="69"/>
      <c r="IF55" s="69"/>
      <c r="IG55" s="69"/>
      <c r="IH55" s="69"/>
      <c r="II55" s="69"/>
      <c r="IJ55" s="69"/>
      <c r="IK55" s="69"/>
      <c r="IL55" s="69"/>
      <c r="IM55" s="69"/>
      <c r="IN55" s="69"/>
      <c r="IO55" s="69"/>
      <c r="IP55" s="69"/>
      <c r="IQ55" s="69"/>
      <c r="IR55" s="69"/>
      <c r="IS55" s="69"/>
      <c r="IT55" s="69"/>
      <c r="IU55" s="69"/>
      <c r="IV55" s="69"/>
      <c r="IW55" s="69"/>
    </row>
    <row r="56" customFormat="false" ht="12.75" hidden="false" customHeight="false" outlineLevel="0" collapsed="false">
      <c r="A56" s="64"/>
      <c r="B56" s="64" t="s">
        <v>46</v>
      </c>
      <c r="C56" s="64"/>
      <c r="D56" s="64"/>
      <c r="E56" s="64"/>
      <c r="F56" s="50" t="n">
        <f aca="false">G56/Assum!$F$30</f>
        <v>6.06521739130435</v>
      </c>
      <c r="G56" s="51" t="n">
        <v>139.5</v>
      </c>
      <c r="H56" s="64"/>
      <c r="I56" s="64"/>
      <c r="J56" s="64"/>
      <c r="K56" s="64"/>
      <c r="L56" s="64"/>
      <c r="M56" s="6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69"/>
      <c r="EO56" s="69"/>
      <c r="EP56" s="69"/>
      <c r="EQ56" s="69"/>
      <c r="ER56" s="69"/>
      <c r="ES56" s="69"/>
      <c r="ET56" s="69"/>
      <c r="EU56" s="69"/>
      <c r="EV56" s="69"/>
      <c r="EW56" s="69"/>
      <c r="EX56" s="69"/>
      <c r="EY56" s="69"/>
      <c r="EZ56" s="69"/>
      <c r="FA56" s="69"/>
      <c r="FB56" s="69"/>
      <c r="FC56" s="69"/>
      <c r="FD56" s="69"/>
      <c r="FE56" s="69"/>
      <c r="FF56" s="69"/>
      <c r="FG56" s="69"/>
      <c r="FH56" s="69"/>
      <c r="FI56" s="69"/>
      <c r="FJ56" s="69"/>
      <c r="FK56" s="69"/>
      <c r="FL56" s="69"/>
      <c r="FM56" s="69"/>
      <c r="FN56" s="69"/>
      <c r="FO56" s="69"/>
      <c r="FP56" s="69"/>
      <c r="FQ56" s="69"/>
      <c r="FR56" s="69"/>
      <c r="FS56" s="69"/>
      <c r="FT56" s="69"/>
      <c r="FU56" s="69"/>
      <c r="FV56" s="69"/>
      <c r="FW56" s="69"/>
      <c r="FX56" s="69"/>
      <c r="FY56" s="69"/>
      <c r="FZ56" s="69"/>
      <c r="GA56" s="69"/>
      <c r="GB56" s="69"/>
      <c r="GC56" s="69"/>
      <c r="GD56" s="69"/>
      <c r="GE56" s="69"/>
      <c r="GF56" s="69"/>
      <c r="GG56" s="69"/>
      <c r="GH56" s="69"/>
      <c r="GI56" s="69"/>
      <c r="GJ56" s="69"/>
      <c r="GK56" s="69"/>
      <c r="GL56" s="69"/>
      <c r="GM56" s="69"/>
      <c r="GN56" s="69"/>
      <c r="GO56" s="69"/>
      <c r="GP56" s="69"/>
      <c r="GQ56" s="69"/>
      <c r="GR56" s="69"/>
      <c r="GS56" s="69"/>
      <c r="GT56" s="69"/>
      <c r="GU56" s="69"/>
      <c r="GV56" s="69"/>
      <c r="GW56" s="69"/>
      <c r="GX56" s="69"/>
      <c r="GY56" s="69"/>
      <c r="GZ56" s="69"/>
      <c r="HA56" s="69"/>
      <c r="HB56" s="69"/>
      <c r="HC56" s="69"/>
      <c r="HD56" s="69"/>
      <c r="HE56" s="69"/>
      <c r="HF56" s="69"/>
      <c r="HG56" s="69"/>
      <c r="HH56" s="69"/>
      <c r="HI56" s="69"/>
      <c r="HJ56" s="69"/>
      <c r="HK56" s="69"/>
      <c r="HL56" s="69"/>
      <c r="HM56" s="69"/>
      <c r="HN56" s="69"/>
      <c r="HO56" s="69"/>
      <c r="HP56" s="69"/>
      <c r="HQ56" s="69"/>
      <c r="HR56" s="69"/>
      <c r="HS56" s="69"/>
      <c r="HT56" s="69"/>
      <c r="HU56" s="69"/>
      <c r="HV56" s="69"/>
      <c r="HW56" s="69"/>
      <c r="HX56" s="69"/>
      <c r="HY56" s="69"/>
      <c r="HZ56" s="69"/>
      <c r="IA56" s="69"/>
      <c r="IB56" s="69"/>
      <c r="IC56" s="69"/>
      <c r="ID56" s="69"/>
      <c r="IE56" s="69"/>
      <c r="IF56" s="69"/>
      <c r="IG56" s="69"/>
      <c r="IH56" s="69"/>
      <c r="II56" s="69"/>
      <c r="IJ56" s="69"/>
      <c r="IK56" s="69"/>
      <c r="IL56" s="69"/>
      <c r="IM56" s="69"/>
      <c r="IN56" s="69"/>
      <c r="IO56" s="69"/>
      <c r="IP56" s="69"/>
      <c r="IQ56" s="69"/>
      <c r="IR56" s="69"/>
      <c r="IS56" s="69"/>
      <c r="IT56" s="69"/>
      <c r="IU56" s="69"/>
      <c r="IV56" s="69"/>
      <c r="IW56" s="69"/>
    </row>
    <row r="57" customFormat="false" ht="12.75" hidden="false" customHeight="false" outlineLevel="0" collapsed="false">
      <c r="A57" s="64"/>
      <c r="B57" s="64" t="s">
        <v>47</v>
      </c>
      <c r="C57" s="64"/>
      <c r="D57" s="64"/>
      <c r="E57" s="64"/>
      <c r="F57" s="50" t="n">
        <f aca="false">G57/Assum!$F$30</f>
        <v>7.00752173913044</v>
      </c>
      <c r="G57" s="51" t="n">
        <v>161.173</v>
      </c>
      <c r="H57" s="64"/>
      <c r="I57" s="64"/>
      <c r="J57" s="64"/>
      <c r="K57" s="64"/>
      <c r="L57" s="64"/>
      <c r="M57" s="64"/>
      <c r="N57" s="24"/>
      <c r="O57" s="24"/>
      <c r="P57" s="24"/>
      <c r="Q57" s="24"/>
      <c r="R57" s="24"/>
      <c r="S57" s="24"/>
      <c r="T57" s="24"/>
      <c r="U57" s="24"/>
      <c r="V57" s="24"/>
      <c r="W57" s="24"/>
      <c r="X57" s="24"/>
      <c r="Y57" s="24"/>
      <c r="Z57" s="24"/>
      <c r="AA57" s="24"/>
      <c r="AB57" s="24"/>
      <c r="AC57" s="24"/>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c r="DO57" s="24"/>
      <c r="DP57" s="24"/>
      <c r="DQ57" s="24"/>
      <c r="DR57" s="24"/>
      <c r="DS57" s="24"/>
      <c r="DT57" s="24"/>
      <c r="DU57" s="24"/>
      <c r="DV57" s="24"/>
      <c r="DW57" s="24"/>
      <c r="DX57" s="24"/>
      <c r="DY57" s="24"/>
      <c r="DZ57" s="24"/>
      <c r="EA57" s="24"/>
      <c r="EB57" s="24"/>
      <c r="EC57" s="24"/>
      <c r="ED57" s="24"/>
      <c r="EE57" s="24"/>
      <c r="EF57" s="24"/>
      <c r="EG57" s="24"/>
      <c r="EH57" s="24"/>
      <c r="EI57" s="24"/>
      <c r="EJ57" s="24"/>
      <c r="EK57" s="24"/>
      <c r="EL57" s="24"/>
      <c r="EM57" s="24"/>
      <c r="EN57" s="69"/>
      <c r="EO57" s="69"/>
      <c r="EP57" s="69"/>
      <c r="EQ57" s="69"/>
      <c r="ER57" s="69"/>
      <c r="ES57" s="69"/>
      <c r="ET57" s="69"/>
      <c r="EU57" s="69"/>
      <c r="EV57" s="69"/>
      <c r="EW57" s="69"/>
      <c r="EX57" s="69"/>
      <c r="EY57" s="69"/>
      <c r="EZ57" s="69"/>
      <c r="FA57" s="69"/>
      <c r="FB57" s="69"/>
      <c r="FC57" s="69"/>
      <c r="FD57" s="69"/>
      <c r="FE57" s="69"/>
      <c r="FF57" s="69"/>
      <c r="FG57" s="69"/>
      <c r="FH57" s="69"/>
      <c r="FI57" s="69"/>
      <c r="FJ57" s="69"/>
      <c r="FK57" s="69"/>
      <c r="FL57" s="69"/>
      <c r="FM57" s="69"/>
      <c r="FN57" s="69"/>
      <c r="FO57" s="69"/>
      <c r="FP57" s="69"/>
      <c r="FQ57" s="69"/>
      <c r="FR57" s="69"/>
      <c r="FS57" s="69"/>
      <c r="FT57" s="69"/>
      <c r="FU57" s="69"/>
      <c r="FV57" s="69"/>
      <c r="FW57" s="69"/>
      <c r="FX57" s="69"/>
      <c r="FY57" s="69"/>
      <c r="FZ57" s="69"/>
      <c r="GA57" s="69"/>
      <c r="GB57" s="69"/>
      <c r="GC57" s="69"/>
      <c r="GD57" s="69"/>
      <c r="GE57" s="69"/>
      <c r="GF57" s="69"/>
      <c r="GG57" s="69"/>
      <c r="GH57" s="69"/>
      <c r="GI57" s="69"/>
      <c r="GJ57" s="69"/>
      <c r="GK57" s="69"/>
      <c r="GL57" s="69"/>
      <c r="GM57" s="69"/>
      <c r="GN57" s="69"/>
      <c r="GO57" s="69"/>
      <c r="GP57" s="69"/>
      <c r="GQ57" s="69"/>
      <c r="GR57" s="69"/>
      <c r="GS57" s="69"/>
      <c r="GT57" s="69"/>
      <c r="GU57" s="69"/>
      <c r="GV57" s="69"/>
      <c r="GW57" s="69"/>
      <c r="GX57" s="69"/>
      <c r="GY57" s="69"/>
      <c r="GZ57" s="69"/>
      <c r="HA57" s="69"/>
      <c r="HB57" s="69"/>
      <c r="HC57" s="69"/>
      <c r="HD57" s="69"/>
      <c r="HE57" s="69"/>
      <c r="HF57" s="69"/>
      <c r="HG57" s="69"/>
      <c r="HH57" s="69"/>
      <c r="HI57" s="69"/>
      <c r="HJ57" s="69"/>
      <c r="HK57" s="69"/>
      <c r="HL57" s="69"/>
      <c r="HM57" s="69"/>
      <c r="HN57" s="69"/>
      <c r="HO57" s="69"/>
      <c r="HP57" s="69"/>
      <c r="HQ57" s="69"/>
      <c r="HR57" s="69"/>
      <c r="HS57" s="69"/>
      <c r="HT57" s="69"/>
      <c r="HU57" s="69"/>
      <c r="HV57" s="69"/>
      <c r="HW57" s="69"/>
      <c r="HX57" s="69"/>
      <c r="HY57" s="69"/>
      <c r="HZ57" s="69"/>
      <c r="IA57" s="69"/>
      <c r="IB57" s="69"/>
      <c r="IC57" s="69"/>
      <c r="ID57" s="69"/>
      <c r="IE57" s="69"/>
      <c r="IF57" s="69"/>
      <c r="IG57" s="69"/>
      <c r="IH57" s="69"/>
      <c r="II57" s="69"/>
      <c r="IJ57" s="69"/>
      <c r="IK57" s="69"/>
      <c r="IL57" s="69"/>
      <c r="IM57" s="69"/>
      <c r="IN57" s="69"/>
      <c r="IO57" s="69"/>
      <c r="IP57" s="69"/>
      <c r="IQ57" s="69"/>
      <c r="IR57" s="69"/>
      <c r="IS57" s="69"/>
      <c r="IT57" s="69"/>
      <c r="IU57" s="69"/>
      <c r="IV57" s="69"/>
      <c r="IW57" s="69"/>
    </row>
    <row r="58" customFormat="false" ht="13.5" hidden="false" customHeight="false" outlineLevel="0" collapsed="false">
      <c r="A58" s="70"/>
      <c r="B58" s="71" t="s">
        <v>48</v>
      </c>
      <c r="C58" s="71"/>
      <c r="D58" s="71"/>
      <c r="E58" s="71"/>
      <c r="F58" s="72" t="n">
        <f aca="false">SUM(F51:F57)</f>
        <v>305.844086956522</v>
      </c>
      <c r="G58" s="72" t="n">
        <f aca="false">SUM(G51:G57)</f>
        <v>7034.414</v>
      </c>
      <c r="H58" s="71"/>
      <c r="I58" s="70"/>
      <c r="J58" s="70"/>
      <c r="K58" s="70"/>
      <c r="L58" s="70"/>
      <c r="M58" s="70"/>
      <c r="N58" s="71"/>
      <c r="O58" s="71"/>
      <c r="P58" s="71"/>
      <c r="Q58" s="71"/>
      <c r="R58" s="71"/>
      <c r="S58" s="71"/>
      <c r="T58" s="71"/>
      <c r="U58" s="71"/>
      <c r="V58" s="71"/>
      <c r="W58" s="71"/>
      <c r="X58" s="71"/>
      <c r="Y58" s="71"/>
      <c r="Z58" s="71"/>
      <c r="AA58" s="71"/>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c r="AZ58" s="71"/>
      <c r="BA58" s="71"/>
      <c r="BB58" s="71"/>
      <c r="BC58" s="71"/>
      <c r="BD58" s="71"/>
      <c r="BE58" s="71"/>
      <c r="BF58" s="71"/>
      <c r="BG58" s="71"/>
      <c r="BH58" s="71"/>
      <c r="BI58" s="71"/>
      <c r="BJ58" s="71"/>
      <c r="BK58" s="71"/>
      <c r="BL58" s="71"/>
      <c r="BM58" s="71"/>
      <c r="BN58" s="71"/>
      <c r="BO58" s="71"/>
      <c r="BP58" s="71"/>
      <c r="BQ58" s="71"/>
      <c r="BR58" s="71"/>
      <c r="BS58" s="71"/>
      <c r="BT58" s="71"/>
      <c r="BU58" s="71"/>
      <c r="BV58" s="71"/>
      <c r="BW58" s="71"/>
      <c r="BX58" s="71"/>
      <c r="BY58" s="71"/>
      <c r="BZ58" s="71"/>
      <c r="CA58" s="71"/>
      <c r="CB58" s="71"/>
      <c r="CC58" s="71"/>
      <c r="CD58" s="71"/>
      <c r="CE58" s="71"/>
      <c r="CF58" s="71"/>
      <c r="CG58" s="71"/>
      <c r="CH58" s="71"/>
      <c r="CI58" s="71"/>
      <c r="CJ58" s="71"/>
      <c r="CK58" s="71"/>
      <c r="CL58" s="71"/>
      <c r="CM58" s="71"/>
      <c r="CN58" s="71"/>
      <c r="CO58" s="71"/>
      <c r="CP58" s="71"/>
      <c r="CQ58" s="71"/>
      <c r="CR58" s="71"/>
      <c r="CS58" s="71"/>
      <c r="CT58" s="71"/>
      <c r="CU58" s="71"/>
      <c r="CV58" s="71"/>
      <c r="CW58" s="71"/>
      <c r="CX58" s="71"/>
      <c r="CY58" s="71"/>
      <c r="CZ58" s="71"/>
      <c r="DA58" s="71"/>
      <c r="DB58" s="71"/>
      <c r="DC58" s="71"/>
      <c r="DD58" s="71"/>
      <c r="DE58" s="71"/>
      <c r="DF58" s="71"/>
      <c r="DG58" s="71"/>
      <c r="DH58" s="71"/>
      <c r="DI58" s="71"/>
      <c r="DJ58" s="71"/>
      <c r="DK58" s="71"/>
      <c r="DL58" s="71"/>
      <c r="DM58" s="71"/>
      <c r="DN58" s="71"/>
      <c r="DO58" s="71"/>
      <c r="DP58" s="71"/>
      <c r="DQ58" s="71"/>
      <c r="DR58" s="71"/>
      <c r="DS58" s="71"/>
      <c r="DT58" s="71"/>
      <c r="DU58" s="71"/>
      <c r="DV58" s="71"/>
      <c r="DW58" s="71"/>
      <c r="DX58" s="71"/>
      <c r="DY58" s="71"/>
      <c r="DZ58" s="71"/>
      <c r="EA58" s="71"/>
      <c r="EB58" s="71"/>
      <c r="EC58" s="71"/>
      <c r="ED58" s="71"/>
      <c r="EE58" s="71"/>
      <c r="EF58" s="71"/>
      <c r="EG58" s="71"/>
      <c r="EH58" s="71"/>
      <c r="EI58" s="71"/>
      <c r="EJ58" s="71"/>
      <c r="EK58" s="71"/>
      <c r="EL58" s="71"/>
      <c r="EM58" s="71"/>
      <c r="EN58" s="73"/>
      <c r="EO58" s="73"/>
      <c r="EP58" s="73"/>
      <c r="EQ58" s="73"/>
      <c r="ER58" s="73"/>
      <c r="ES58" s="73"/>
      <c r="ET58" s="73"/>
      <c r="EU58" s="73"/>
      <c r="EV58" s="73"/>
      <c r="EW58" s="73"/>
      <c r="EX58" s="73"/>
      <c r="EY58" s="73"/>
      <c r="EZ58" s="73"/>
      <c r="FA58" s="73"/>
      <c r="FB58" s="73"/>
      <c r="FC58" s="73"/>
      <c r="FD58" s="73"/>
      <c r="FE58" s="73"/>
      <c r="FF58" s="73"/>
      <c r="FG58" s="73"/>
      <c r="FH58" s="73"/>
      <c r="FI58" s="73"/>
      <c r="FJ58" s="73"/>
      <c r="FK58" s="73"/>
      <c r="FL58" s="73"/>
      <c r="FM58" s="73"/>
      <c r="FN58" s="73"/>
      <c r="FO58" s="73"/>
      <c r="FP58" s="73"/>
      <c r="FQ58" s="73"/>
      <c r="FR58" s="73"/>
      <c r="FS58" s="73"/>
      <c r="FT58" s="73"/>
      <c r="FU58" s="73"/>
      <c r="FV58" s="73"/>
      <c r="FW58" s="73"/>
      <c r="FX58" s="73"/>
      <c r="FY58" s="73"/>
      <c r="FZ58" s="73"/>
      <c r="GA58" s="73"/>
      <c r="GB58" s="73"/>
      <c r="GC58" s="73"/>
      <c r="GD58" s="73"/>
      <c r="GE58" s="73"/>
      <c r="GF58" s="73"/>
      <c r="GG58" s="73"/>
      <c r="GH58" s="73"/>
      <c r="GI58" s="73"/>
      <c r="GJ58" s="73"/>
      <c r="GK58" s="73"/>
      <c r="GL58" s="73"/>
      <c r="GM58" s="73"/>
      <c r="GN58" s="73"/>
      <c r="GO58" s="73"/>
      <c r="GP58" s="73"/>
      <c r="GQ58" s="73"/>
      <c r="GR58" s="73"/>
      <c r="GS58" s="73"/>
      <c r="GT58" s="73"/>
      <c r="GU58" s="73"/>
      <c r="GV58" s="73"/>
      <c r="GW58" s="73"/>
      <c r="GX58" s="73"/>
      <c r="GY58" s="73"/>
      <c r="GZ58" s="73"/>
      <c r="HA58" s="73"/>
      <c r="HB58" s="73"/>
      <c r="HC58" s="73"/>
      <c r="HD58" s="73"/>
      <c r="HE58" s="73"/>
      <c r="HF58" s="73"/>
      <c r="HG58" s="73"/>
      <c r="HH58" s="73"/>
      <c r="HI58" s="73"/>
      <c r="HJ58" s="73"/>
      <c r="HK58" s="73"/>
      <c r="HL58" s="73"/>
      <c r="HM58" s="73"/>
      <c r="HN58" s="73"/>
      <c r="HO58" s="73"/>
      <c r="HP58" s="73"/>
      <c r="HQ58" s="73"/>
      <c r="HR58" s="73"/>
      <c r="HS58" s="73"/>
      <c r="HT58" s="73"/>
      <c r="HU58" s="73"/>
      <c r="HV58" s="73"/>
      <c r="HW58" s="73"/>
      <c r="HX58" s="73"/>
      <c r="HY58" s="73"/>
      <c r="HZ58" s="73"/>
      <c r="IA58" s="73"/>
      <c r="IB58" s="73"/>
      <c r="IC58" s="73"/>
      <c r="ID58" s="73"/>
      <c r="IE58" s="73"/>
      <c r="IF58" s="73"/>
      <c r="IG58" s="73"/>
      <c r="IH58" s="73"/>
      <c r="II58" s="73"/>
      <c r="IJ58" s="73"/>
      <c r="IK58" s="73"/>
      <c r="IL58" s="73"/>
      <c r="IM58" s="73"/>
      <c r="IN58" s="73"/>
      <c r="IO58" s="73"/>
      <c r="IP58" s="73"/>
      <c r="IQ58" s="73"/>
      <c r="IR58" s="73"/>
      <c r="IS58" s="73"/>
      <c r="IT58" s="73"/>
      <c r="IU58" s="73"/>
      <c r="IV58" s="73"/>
      <c r="IW58" s="73"/>
    </row>
    <row r="59" customFormat="false" ht="13.5" hidden="false" customHeight="false" outlineLevel="0" collapsed="false">
      <c r="A59" s="23"/>
      <c r="B59" s="74"/>
      <c r="C59" s="74"/>
      <c r="D59" s="74"/>
      <c r="E59" s="74"/>
      <c r="F59" s="75"/>
      <c r="G59" s="76"/>
      <c r="H59" s="77"/>
      <c r="I59" s="23"/>
      <c r="J59" s="23"/>
      <c r="K59" s="23"/>
      <c r="L59" s="23"/>
      <c r="M59" s="23"/>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c r="IW59" s="3"/>
    </row>
    <row r="60" customFormat="false" ht="12.75" hidden="false" customHeight="false" outlineLevel="0" collapsed="false">
      <c r="A60" s="23"/>
      <c r="B60" s="27" t="s">
        <v>49</v>
      </c>
      <c r="C60" s="27"/>
      <c r="D60" s="74"/>
      <c r="E60" s="74"/>
      <c r="F60" s="78" t="n">
        <f aca="false">G60/Assum!$F$30</f>
        <v>52.1739130434783</v>
      </c>
      <c r="G60" s="79" t="n">
        <v>1200</v>
      </c>
      <c r="H60" s="64"/>
      <c r="I60" s="23"/>
      <c r="J60" s="23"/>
      <c r="K60" s="23"/>
      <c r="L60" s="23"/>
      <c r="M60" s="23"/>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c r="IW60" s="3"/>
    </row>
    <row r="61" customFormat="false" ht="12.75" hidden="false" customHeight="false" outlineLevel="0" collapsed="false">
      <c r="A61" s="23"/>
      <c r="B61" s="27" t="s">
        <v>50</v>
      </c>
      <c r="C61" s="27"/>
      <c r="D61" s="74"/>
      <c r="E61" s="74"/>
      <c r="F61" s="80" t="n">
        <f aca="false">G61/Assum!$F$30</f>
        <v>0</v>
      </c>
      <c r="G61" s="81" t="n">
        <v>0</v>
      </c>
      <c r="H61" s="64"/>
      <c r="I61" s="23"/>
      <c r="J61" s="23"/>
      <c r="K61" s="23"/>
      <c r="L61" s="23"/>
      <c r="M61" s="23"/>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c r="IU61" s="3"/>
      <c r="IV61" s="3"/>
      <c r="IW61" s="3"/>
    </row>
    <row r="62" customFormat="false" ht="12.75" hidden="false" customHeight="false" outlineLevel="0" collapsed="false">
      <c r="A62" s="23"/>
      <c r="B62" s="27" t="s">
        <v>51</v>
      </c>
      <c r="C62" s="27"/>
      <c r="D62" s="74"/>
      <c r="E62" s="74"/>
      <c r="F62" s="80" t="n">
        <f aca="false">G62/Assum!$F$30</f>
        <v>0</v>
      </c>
      <c r="G62" s="81" t="n">
        <v>0</v>
      </c>
      <c r="H62" s="64"/>
      <c r="I62" s="23"/>
      <c r="J62" s="23"/>
      <c r="K62" s="23"/>
      <c r="L62" s="23"/>
      <c r="M62" s="23"/>
      <c r="N62" s="24"/>
      <c r="O62" s="24"/>
      <c r="P62" s="24"/>
      <c r="Q62" s="24"/>
      <c r="R62" s="24"/>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c r="IW62" s="3"/>
    </row>
    <row r="63" customFormat="false" ht="13.5" hidden="false" customHeight="false" outlineLevel="0" collapsed="false">
      <c r="A63" s="82"/>
      <c r="B63" s="82" t="s">
        <v>52</v>
      </c>
      <c r="C63" s="82"/>
      <c r="D63" s="82"/>
      <c r="E63" s="82"/>
      <c r="F63" s="83" t="n">
        <f aca="false">G63/Assum!$F$30</f>
        <v>52.1739130434783</v>
      </c>
      <c r="G63" s="84" t="n">
        <f aca="false">SUM(G60:G62)</f>
        <v>1200</v>
      </c>
      <c r="H63" s="85" t="n">
        <f aca="false">G63+G58</f>
        <v>8234.414</v>
      </c>
      <c r="I63" s="86"/>
      <c r="J63" s="71"/>
      <c r="K63" s="71"/>
      <c r="L63" s="87"/>
      <c r="M63" s="71"/>
      <c r="N63" s="71"/>
      <c r="O63" s="71"/>
      <c r="P63" s="71"/>
      <c r="Q63" s="71"/>
      <c r="R63" s="71"/>
      <c r="S63" s="71"/>
      <c r="T63" s="71"/>
      <c r="U63" s="71"/>
      <c r="V63" s="71"/>
      <c r="W63" s="71"/>
      <c r="X63" s="71"/>
      <c r="Y63" s="71"/>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c r="BO63" s="71"/>
      <c r="BP63" s="71"/>
      <c r="BQ63" s="71"/>
      <c r="BR63" s="71"/>
      <c r="BS63" s="71"/>
      <c r="BT63" s="71"/>
      <c r="BU63" s="71"/>
      <c r="BV63" s="71"/>
      <c r="BW63" s="71"/>
      <c r="BX63" s="71"/>
      <c r="BY63" s="71"/>
      <c r="BZ63" s="71"/>
      <c r="CA63" s="71"/>
      <c r="CB63" s="71"/>
      <c r="CC63" s="71"/>
      <c r="CD63" s="71"/>
      <c r="CE63" s="71"/>
      <c r="CF63" s="71"/>
      <c r="CG63" s="71"/>
      <c r="CH63" s="71"/>
      <c r="CI63" s="71"/>
      <c r="CJ63" s="71"/>
      <c r="CK63" s="71"/>
      <c r="CL63" s="71"/>
      <c r="CM63" s="71"/>
      <c r="CN63" s="71"/>
      <c r="CO63" s="71"/>
      <c r="CP63" s="71"/>
      <c r="CQ63" s="71"/>
      <c r="CR63" s="71"/>
      <c r="CS63" s="71"/>
      <c r="CT63" s="71"/>
      <c r="CU63" s="71"/>
      <c r="CV63" s="71"/>
      <c r="CW63" s="71"/>
      <c r="CX63" s="71"/>
      <c r="CY63" s="71"/>
      <c r="CZ63" s="71"/>
      <c r="DA63" s="71"/>
      <c r="DB63" s="71"/>
      <c r="DC63" s="71"/>
      <c r="DD63" s="71"/>
      <c r="DE63" s="71"/>
      <c r="DF63" s="71"/>
      <c r="DG63" s="71"/>
      <c r="DH63" s="71"/>
      <c r="DI63" s="71"/>
      <c r="DJ63" s="71"/>
      <c r="DK63" s="71"/>
      <c r="DL63" s="71"/>
      <c r="DM63" s="71"/>
      <c r="DN63" s="71"/>
      <c r="DO63" s="71"/>
      <c r="DP63" s="71"/>
      <c r="DQ63" s="71"/>
      <c r="DR63" s="71"/>
      <c r="DS63" s="71"/>
      <c r="DT63" s="71"/>
      <c r="DU63" s="71"/>
      <c r="DV63" s="71"/>
      <c r="DW63" s="71"/>
      <c r="DX63" s="71"/>
      <c r="DY63" s="71"/>
      <c r="DZ63" s="71"/>
      <c r="EA63" s="71"/>
      <c r="EB63" s="71"/>
      <c r="EC63" s="71"/>
      <c r="ED63" s="71"/>
      <c r="EE63" s="71"/>
      <c r="EF63" s="71"/>
      <c r="EG63" s="71"/>
      <c r="EH63" s="71"/>
      <c r="EI63" s="71"/>
      <c r="EJ63" s="71"/>
      <c r="EK63" s="71"/>
      <c r="EL63" s="71"/>
      <c r="EM63" s="71"/>
      <c r="EN63" s="88"/>
      <c r="EO63" s="88"/>
      <c r="EP63" s="88"/>
      <c r="EQ63" s="88"/>
      <c r="ER63" s="88"/>
      <c r="ES63" s="88"/>
      <c r="ET63" s="88"/>
      <c r="EU63" s="88"/>
      <c r="EV63" s="88"/>
      <c r="EW63" s="88"/>
      <c r="EX63" s="88"/>
      <c r="EY63" s="88"/>
      <c r="EZ63" s="88"/>
      <c r="FA63" s="88"/>
      <c r="FB63" s="88"/>
      <c r="FC63" s="88"/>
      <c r="FD63" s="88"/>
      <c r="FE63" s="88"/>
      <c r="FF63" s="88"/>
      <c r="FG63" s="88"/>
      <c r="FH63" s="88"/>
      <c r="FI63" s="88"/>
      <c r="FJ63" s="88"/>
      <c r="FK63" s="88"/>
      <c r="FL63" s="88"/>
      <c r="FM63" s="88"/>
      <c r="FN63" s="88"/>
      <c r="FO63" s="88"/>
      <c r="FP63" s="88"/>
      <c r="FQ63" s="88"/>
      <c r="FR63" s="88"/>
      <c r="FS63" s="88"/>
      <c r="FT63" s="88"/>
      <c r="FU63" s="88"/>
      <c r="FV63" s="88"/>
      <c r="FW63" s="88"/>
      <c r="FX63" s="88"/>
      <c r="FY63" s="88"/>
      <c r="FZ63" s="88"/>
      <c r="GA63" s="88"/>
      <c r="GB63" s="88"/>
      <c r="GC63" s="88"/>
      <c r="GD63" s="88"/>
      <c r="GE63" s="88"/>
      <c r="GF63" s="88"/>
      <c r="GG63" s="88"/>
      <c r="GH63" s="88"/>
      <c r="GI63" s="88"/>
      <c r="GJ63" s="88"/>
      <c r="GK63" s="88"/>
      <c r="GL63" s="88"/>
      <c r="GM63" s="88"/>
      <c r="GN63" s="88"/>
      <c r="GO63" s="88"/>
      <c r="GP63" s="88"/>
      <c r="GQ63" s="88"/>
      <c r="GR63" s="88"/>
      <c r="GS63" s="88"/>
      <c r="GT63" s="88"/>
      <c r="GU63" s="88"/>
      <c r="GV63" s="88"/>
      <c r="GW63" s="88"/>
      <c r="GX63" s="88"/>
      <c r="GY63" s="88"/>
      <c r="GZ63" s="88"/>
      <c r="HA63" s="88"/>
      <c r="HB63" s="88"/>
      <c r="HC63" s="88"/>
      <c r="HD63" s="88"/>
      <c r="HE63" s="88"/>
      <c r="HF63" s="88"/>
      <c r="HG63" s="88"/>
      <c r="HH63" s="88"/>
      <c r="HI63" s="88"/>
      <c r="HJ63" s="88"/>
      <c r="HK63" s="88"/>
      <c r="HL63" s="88"/>
      <c r="HM63" s="88"/>
      <c r="HN63" s="88"/>
      <c r="HO63" s="88"/>
      <c r="HP63" s="88"/>
      <c r="HQ63" s="88"/>
      <c r="HR63" s="88"/>
      <c r="HS63" s="88"/>
      <c r="HT63" s="88"/>
      <c r="HU63" s="88"/>
      <c r="HV63" s="88"/>
      <c r="HW63" s="88"/>
      <c r="HX63" s="88"/>
      <c r="HY63" s="88"/>
      <c r="HZ63" s="88"/>
      <c r="IA63" s="88"/>
      <c r="IB63" s="88"/>
      <c r="IC63" s="88"/>
      <c r="ID63" s="88"/>
      <c r="IE63" s="88"/>
      <c r="IF63" s="88"/>
      <c r="IG63" s="88"/>
      <c r="IH63" s="88"/>
      <c r="II63" s="88"/>
      <c r="IJ63" s="88"/>
      <c r="IK63" s="88"/>
      <c r="IL63" s="88"/>
      <c r="IM63" s="88"/>
      <c r="IN63" s="88"/>
      <c r="IO63" s="88"/>
      <c r="IP63" s="88"/>
      <c r="IQ63" s="88"/>
      <c r="IR63" s="88"/>
      <c r="IS63" s="88"/>
      <c r="IT63" s="88"/>
      <c r="IU63" s="88"/>
      <c r="IV63" s="88"/>
      <c r="IW63" s="88"/>
    </row>
    <row r="64" customFormat="false" ht="13.5" hidden="false" customHeight="false" outlineLevel="0" collapsed="false">
      <c r="A64" s="23"/>
      <c r="B64" s="23"/>
      <c r="C64" s="23"/>
      <c r="D64" s="23"/>
      <c r="E64" s="23"/>
      <c r="F64" s="89"/>
      <c r="G64" s="89"/>
      <c r="H64" s="90"/>
      <c r="I64" s="91"/>
      <c r="J64" s="24"/>
      <c r="K64" s="24"/>
      <c r="L64" s="92"/>
      <c r="M64" s="24"/>
      <c r="N64" s="24"/>
      <c r="O64" s="24"/>
      <c r="P64" s="24"/>
      <c r="Q64" s="24"/>
      <c r="R64" s="24"/>
      <c r="S64" s="24"/>
      <c r="T64" s="24"/>
      <c r="U64" s="24"/>
      <c r="V64" s="24"/>
      <c r="W64" s="24"/>
      <c r="X64" s="24"/>
      <c r="Y64" s="24"/>
      <c r="Z64" s="24"/>
      <c r="AA64" s="24"/>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c r="FV64" s="3"/>
      <c r="FW64" s="3"/>
      <c r="FX64" s="3"/>
      <c r="FY64" s="3"/>
      <c r="FZ64" s="3"/>
      <c r="GA64" s="3"/>
      <c r="GB64" s="3"/>
      <c r="GC64" s="3"/>
      <c r="GD64" s="3"/>
      <c r="GE64" s="3"/>
      <c r="GF64" s="3"/>
      <c r="GG64" s="3"/>
      <c r="GH64" s="3"/>
      <c r="GI64" s="3"/>
      <c r="GJ64" s="3"/>
      <c r="GK64" s="3"/>
      <c r="GL64" s="3"/>
      <c r="GM64" s="3"/>
      <c r="GN64" s="3"/>
      <c r="GO64" s="3"/>
      <c r="GP64" s="3"/>
      <c r="GQ64" s="3"/>
      <c r="GR64" s="3"/>
      <c r="GS64" s="3"/>
      <c r="GT64" s="3"/>
      <c r="GU64" s="3"/>
      <c r="GV64" s="3"/>
      <c r="GW64" s="3"/>
      <c r="GX64" s="3"/>
      <c r="GY64" s="3"/>
      <c r="GZ64" s="3"/>
      <c r="HA64" s="3"/>
      <c r="HB64" s="3"/>
      <c r="HC64" s="3"/>
      <c r="HD64" s="3"/>
      <c r="HE64" s="3"/>
      <c r="HF64" s="3"/>
      <c r="HG64" s="3"/>
      <c r="HH64" s="3"/>
      <c r="HI64" s="3"/>
      <c r="HJ64" s="3"/>
      <c r="HK64" s="3"/>
      <c r="HL64" s="3"/>
      <c r="HM64" s="3"/>
      <c r="HN64" s="3"/>
      <c r="HO64" s="3"/>
      <c r="HP64" s="3"/>
      <c r="HQ64" s="3"/>
      <c r="HR64" s="3"/>
      <c r="HS64" s="3"/>
      <c r="HT64" s="3"/>
      <c r="HU64" s="3"/>
      <c r="HV64" s="3"/>
      <c r="HW64" s="3"/>
      <c r="HX64" s="3"/>
      <c r="HY64" s="3"/>
      <c r="HZ64" s="3"/>
      <c r="IA64" s="3"/>
      <c r="IB64" s="3"/>
      <c r="IC64" s="3"/>
      <c r="ID64" s="3"/>
      <c r="IE64" s="3"/>
      <c r="IF64" s="3"/>
      <c r="IG64" s="3"/>
      <c r="IH64" s="3"/>
      <c r="II64" s="3"/>
      <c r="IJ64" s="3"/>
      <c r="IK64" s="3"/>
      <c r="IL64" s="3"/>
      <c r="IM64" s="3"/>
      <c r="IN64" s="3"/>
      <c r="IO64" s="3"/>
      <c r="IP64" s="3"/>
      <c r="IQ64" s="3"/>
      <c r="IR64" s="3"/>
      <c r="IS64" s="3"/>
      <c r="IT64" s="3"/>
      <c r="IU64" s="3"/>
      <c r="IV64" s="3"/>
      <c r="IW64" s="3"/>
    </row>
    <row r="65" customFormat="false" ht="12.75" hidden="false" customHeight="false" outlineLevel="0" collapsed="false">
      <c r="A65" s="23"/>
      <c r="B65" s="45" t="s">
        <v>53</v>
      </c>
      <c r="C65" s="45"/>
      <c r="D65" s="23"/>
      <c r="E65" s="23"/>
      <c r="F65" s="89"/>
      <c r="G65" s="89"/>
      <c r="H65" s="22"/>
      <c r="I65" s="24"/>
      <c r="J65" s="24"/>
      <c r="K65" s="24"/>
      <c r="L65" s="3"/>
      <c r="M65" s="3"/>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c r="FW65" s="3"/>
      <c r="FX65" s="3"/>
      <c r="FY65" s="3"/>
      <c r="FZ65" s="3"/>
      <c r="GA65" s="3"/>
      <c r="GB65" s="3"/>
      <c r="GC65" s="3"/>
      <c r="GD65" s="3"/>
      <c r="GE65" s="3"/>
      <c r="GF65" s="3"/>
      <c r="GG65" s="3"/>
      <c r="GH65" s="3"/>
      <c r="GI65" s="3"/>
      <c r="GJ65" s="3"/>
      <c r="GK65" s="3"/>
      <c r="GL65" s="3"/>
      <c r="GM65" s="3"/>
      <c r="GN65" s="3"/>
      <c r="GO65" s="3"/>
      <c r="GP65" s="3"/>
      <c r="GQ65" s="3"/>
      <c r="GR65" s="3"/>
      <c r="GS65" s="3"/>
      <c r="GT65" s="3"/>
      <c r="GU65" s="3"/>
      <c r="GV65" s="3"/>
      <c r="GW65" s="3"/>
      <c r="GX65" s="3"/>
      <c r="GY65" s="3"/>
      <c r="GZ65" s="3"/>
      <c r="HA65" s="3"/>
      <c r="HB65" s="3"/>
      <c r="HC65" s="3"/>
      <c r="HD65" s="3"/>
      <c r="HE65" s="3"/>
      <c r="HF65" s="3"/>
      <c r="HG65" s="3"/>
      <c r="HH65" s="3"/>
      <c r="HI65" s="3"/>
      <c r="HJ65" s="3"/>
      <c r="HK65" s="3"/>
      <c r="HL65" s="3"/>
      <c r="HM65" s="3"/>
      <c r="HN65" s="3"/>
      <c r="HO65" s="3"/>
      <c r="HP65" s="3"/>
      <c r="HQ65" s="3"/>
      <c r="HR65" s="3"/>
      <c r="HS65" s="3"/>
      <c r="HT65" s="3"/>
      <c r="HU65" s="3"/>
      <c r="HV65" s="3"/>
      <c r="HW65" s="3"/>
      <c r="HX65" s="3"/>
      <c r="HY65" s="3"/>
      <c r="HZ65" s="3"/>
      <c r="IA65" s="3"/>
      <c r="IB65" s="3"/>
      <c r="IC65" s="3"/>
      <c r="ID65" s="3"/>
      <c r="IE65" s="3"/>
      <c r="IF65" s="3"/>
      <c r="IG65" s="3"/>
      <c r="IH65" s="3"/>
      <c r="II65" s="3"/>
      <c r="IJ65" s="3"/>
      <c r="IK65" s="3"/>
      <c r="IL65" s="3"/>
      <c r="IM65" s="3"/>
      <c r="IN65" s="3"/>
      <c r="IO65" s="3"/>
      <c r="IP65" s="3"/>
      <c r="IQ65" s="3"/>
      <c r="IR65" s="3"/>
      <c r="IS65" s="3"/>
      <c r="IT65" s="3"/>
      <c r="IU65" s="3"/>
      <c r="IV65" s="3"/>
      <c r="IW65" s="3"/>
    </row>
    <row r="66" customFormat="false" ht="12.75" hidden="false" customHeight="false" outlineLevel="0" collapsed="false">
      <c r="A66" s="23"/>
      <c r="B66" s="23" t="s">
        <v>54</v>
      </c>
      <c r="C66" s="23"/>
      <c r="D66" s="23"/>
      <c r="E66" s="23"/>
      <c r="F66" s="78" t="n">
        <f aca="false">+G66/Assum!$F$30</f>
        <v>0</v>
      </c>
      <c r="G66" s="50" t="n">
        <v>0</v>
      </c>
      <c r="H66" s="64"/>
      <c r="I66" s="24"/>
      <c r="J66" s="3"/>
      <c r="K66" s="3"/>
      <c r="L66" s="3"/>
      <c r="M66" s="3"/>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c r="FW66" s="3"/>
      <c r="FX66" s="3"/>
      <c r="FY66" s="3"/>
      <c r="FZ66" s="3"/>
      <c r="GA66" s="3"/>
      <c r="GB66" s="3"/>
      <c r="GC66" s="3"/>
      <c r="GD66" s="3"/>
      <c r="GE66" s="3"/>
      <c r="GF66" s="3"/>
      <c r="GG66" s="3"/>
      <c r="GH66" s="3"/>
      <c r="GI66" s="3"/>
      <c r="GJ66" s="3"/>
      <c r="GK66" s="3"/>
      <c r="GL66" s="3"/>
      <c r="GM66" s="3"/>
      <c r="GN66" s="3"/>
      <c r="GO66" s="3"/>
      <c r="GP66" s="3"/>
      <c r="GQ66" s="3"/>
      <c r="GR66" s="3"/>
      <c r="GS66" s="3"/>
      <c r="GT66" s="3"/>
      <c r="GU66" s="3"/>
      <c r="GV66" s="3"/>
      <c r="GW66" s="3"/>
      <c r="GX66" s="3"/>
      <c r="GY66" s="3"/>
      <c r="GZ66" s="3"/>
      <c r="HA66" s="3"/>
      <c r="HB66" s="3"/>
      <c r="HC66" s="3"/>
      <c r="HD66" s="3"/>
      <c r="HE66" s="3"/>
      <c r="HF66" s="3"/>
      <c r="HG66" s="3"/>
      <c r="HH66" s="3"/>
      <c r="HI66" s="3"/>
      <c r="HJ66" s="3"/>
      <c r="HK66" s="3"/>
      <c r="HL66" s="3"/>
      <c r="HM66" s="3"/>
      <c r="HN66" s="3"/>
      <c r="HO66" s="3"/>
      <c r="HP66" s="3"/>
      <c r="HQ66" s="3"/>
      <c r="HR66" s="3"/>
      <c r="HS66" s="3"/>
      <c r="HT66" s="3"/>
      <c r="HU66" s="3"/>
      <c r="HV66" s="3"/>
      <c r="HW66" s="3"/>
      <c r="HX66" s="3"/>
      <c r="HY66" s="3"/>
      <c r="HZ66" s="3"/>
      <c r="IA66" s="3"/>
      <c r="IB66" s="3"/>
      <c r="IC66" s="3"/>
      <c r="ID66" s="3"/>
      <c r="IE66" s="3"/>
      <c r="IF66" s="3"/>
      <c r="IG66" s="3"/>
      <c r="IH66" s="3"/>
      <c r="II66" s="3"/>
      <c r="IJ66" s="3"/>
      <c r="IK66" s="3"/>
      <c r="IL66" s="3"/>
      <c r="IM66" s="3"/>
      <c r="IN66" s="3"/>
      <c r="IO66" s="3"/>
      <c r="IP66" s="3"/>
      <c r="IQ66" s="3"/>
      <c r="IR66" s="3"/>
      <c r="IS66" s="3"/>
      <c r="IT66" s="3"/>
      <c r="IU66" s="3"/>
      <c r="IV66" s="3"/>
      <c r="IW66" s="3"/>
    </row>
    <row r="67" customFormat="false" ht="12.75" hidden="false" customHeight="false" outlineLevel="0" collapsed="false">
      <c r="A67" s="23"/>
      <c r="B67" s="23" t="s">
        <v>55</v>
      </c>
      <c r="C67" s="23"/>
      <c r="D67" s="23"/>
      <c r="E67" s="23"/>
      <c r="F67" s="78" t="n">
        <f aca="false">+G67/Assum!$F$30</f>
        <v>11.2008695652174</v>
      </c>
      <c r="G67" s="50" t="n">
        <v>257.62</v>
      </c>
      <c r="H67" s="64"/>
      <c r="I67" s="24"/>
      <c r="J67" s="3"/>
      <c r="K67" s="3"/>
      <c r="L67" s="3"/>
      <c r="M67" s="3"/>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c r="GU67" s="3"/>
      <c r="GV67" s="3"/>
      <c r="GW67" s="3"/>
      <c r="GX67" s="3"/>
      <c r="GY67" s="3"/>
      <c r="GZ67" s="3"/>
      <c r="HA67" s="3"/>
      <c r="HB67" s="3"/>
      <c r="HC67" s="3"/>
      <c r="HD67" s="3"/>
      <c r="HE67" s="3"/>
      <c r="HF67" s="3"/>
      <c r="HG67" s="3"/>
      <c r="HH67" s="3"/>
      <c r="HI67" s="3"/>
      <c r="HJ67" s="3"/>
      <c r="HK67" s="3"/>
      <c r="HL67" s="3"/>
      <c r="HM67" s="3"/>
      <c r="HN67" s="3"/>
      <c r="HO67" s="3"/>
      <c r="HP67" s="3"/>
      <c r="HQ67" s="3"/>
      <c r="HR67" s="3"/>
      <c r="HS67" s="3"/>
      <c r="HT67" s="3"/>
      <c r="HU67" s="3"/>
      <c r="HV67" s="3"/>
      <c r="HW67" s="3"/>
      <c r="HX67" s="3"/>
      <c r="HY67" s="3"/>
      <c r="HZ67" s="3"/>
      <c r="IA67" s="3"/>
      <c r="IB67" s="3"/>
      <c r="IC67" s="3"/>
      <c r="ID67" s="3"/>
      <c r="IE67" s="3"/>
      <c r="IF67" s="3"/>
      <c r="IG67" s="3"/>
      <c r="IH67" s="3"/>
      <c r="II67" s="3"/>
      <c r="IJ67" s="3"/>
      <c r="IK67" s="3"/>
      <c r="IL67" s="3"/>
      <c r="IM67" s="3"/>
      <c r="IN67" s="3"/>
      <c r="IO67" s="3"/>
      <c r="IP67" s="3"/>
      <c r="IQ67" s="3"/>
      <c r="IR67" s="3"/>
      <c r="IS67" s="3"/>
      <c r="IT67" s="3"/>
      <c r="IU67" s="3"/>
      <c r="IV67" s="3"/>
      <c r="IW67" s="3"/>
    </row>
    <row r="68" customFormat="false" ht="12.75" hidden="false" customHeight="false" outlineLevel="0" collapsed="false">
      <c r="A68" s="23"/>
      <c r="B68" s="23" t="s">
        <v>56</v>
      </c>
      <c r="C68" s="23"/>
      <c r="D68" s="23"/>
      <c r="E68" s="23"/>
      <c r="F68" s="78" t="n">
        <f aca="false">+G68/Assum!$F$30</f>
        <v>0</v>
      </c>
      <c r="G68" s="50" t="n">
        <v>0</v>
      </c>
      <c r="H68" s="64"/>
      <c r="I68" s="24"/>
      <c r="J68" s="3"/>
      <c r="K68" s="3"/>
      <c r="L68" s="3"/>
      <c r="M68" s="3"/>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c r="DO68" s="24"/>
      <c r="DP68" s="24"/>
      <c r="DQ68" s="24"/>
      <c r="DR68" s="24"/>
      <c r="DS68" s="24"/>
      <c r="DT68" s="24"/>
      <c r="DU68" s="24"/>
      <c r="DV68" s="24"/>
      <c r="DW68" s="24"/>
      <c r="DX68" s="24"/>
      <c r="DY68" s="24"/>
      <c r="DZ68" s="24"/>
      <c r="EA68" s="24"/>
      <c r="EB68" s="24"/>
      <c r="EC68" s="24"/>
      <c r="ED68" s="24"/>
      <c r="EE68" s="24"/>
      <c r="EF68" s="24"/>
      <c r="EG68" s="24"/>
      <c r="EH68" s="24"/>
      <c r="EI68" s="24"/>
      <c r="EJ68" s="24"/>
      <c r="EK68" s="24"/>
      <c r="EL68" s="24"/>
      <c r="EM68" s="24"/>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c r="HC68" s="3"/>
      <c r="HD68" s="3"/>
      <c r="HE68" s="3"/>
      <c r="HF68" s="3"/>
      <c r="HG68" s="3"/>
      <c r="HH68" s="3"/>
      <c r="HI68" s="3"/>
      <c r="HJ68" s="3"/>
      <c r="HK68" s="3"/>
      <c r="HL68" s="3"/>
      <c r="HM68" s="3"/>
      <c r="HN68" s="3"/>
      <c r="HO68" s="3"/>
      <c r="HP68" s="3"/>
      <c r="HQ68" s="3"/>
      <c r="HR68" s="3"/>
      <c r="HS68" s="3"/>
      <c r="HT68" s="3"/>
      <c r="HU68" s="3"/>
      <c r="HV68" s="3"/>
      <c r="HW68" s="3"/>
      <c r="HX68" s="3"/>
      <c r="HY68" s="3"/>
      <c r="HZ68" s="3"/>
      <c r="IA68" s="3"/>
      <c r="IB68" s="3"/>
      <c r="IC68" s="3"/>
      <c r="ID68" s="3"/>
      <c r="IE68" s="3"/>
      <c r="IF68" s="3"/>
      <c r="IG68" s="3"/>
      <c r="IH68" s="3"/>
      <c r="II68" s="3"/>
      <c r="IJ68" s="3"/>
      <c r="IK68" s="3"/>
      <c r="IL68" s="3"/>
      <c r="IM68" s="3"/>
      <c r="IN68" s="3"/>
      <c r="IO68" s="3"/>
      <c r="IP68" s="3"/>
      <c r="IQ68" s="3"/>
      <c r="IR68" s="3"/>
      <c r="IS68" s="3"/>
      <c r="IT68" s="3"/>
      <c r="IU68" s="3"/>
      <c r="IV68" s="3"/>
      <c r="IW68" s="3"/>
    </row>
    <row r="69" customFormat="false" ht="12.75" hidden="false" customHeight="false" outlineLevel="0" collapsed="false">
      <c r="A69" s="23"/>
      <c r="B69" s="23" t="s">
        <v>57</v>
      </c>
      <c r="C69" s="23"/>
      <c r="D69" s="23"/>
      <c r="E69" s="23"/>
      <c r="F69" s="78" t="n">
        <f aca="false">+G69/Assum!$F$30</f>
        <v>0</v>
      </c>
      <c r="G69" s="50" t="n">
        <v>0</v>
      </c>
      <c r="H69" s="64"/>
      <c r="I69" s="24"/>
      <c r="J69" s="3"/>
      <c r="K69" s="3"/>
      <c r="L69" s="3"/>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3"/>
      <c r="EO69" s="3"/>
      <c r="EP69" s="3"/>
      <c r="EQ69" s="3"/>
      <c r="ER69" s="3"/>
      <c r="ES69" s="3"/>
      <c r="ET69" s="3"/>
      <c r="EU69" s="3"/>
      <c r="EV69" s="3"/>
      <c r="EW69" s="3"/>
      <c r="EX69" s="3"/>
      <c r="EY69" s="3"/>
      <c r="EZ69" s="3"/>
      <c r="FA69" s="3"/>
      <c r="FB69" s="3"/>
      <c r="FC69" s="3"/>
      <c r="FD69" s="3"/>
      <c r="FE69" s="3"/>
      <c r="FF69" s="3"/>
      <c r="FG69" s="3"/>
      <c r="FH69" s="3"/>
      <c r="FI69" s="3"/>
      <c r="FJ69" s="3"/>
      <c r="FK69" s="3"/>
      <c r="FL69" s="3"/>
      <c r="FM69" s="3"/>
      <c r="FN69" s="3"/>
      <c r="FO69" s="3"/>
      <c r="FP69" s="3"/>
      <c r="FQ69" s="3"/>
      <c r="FR69" s="3"/>
      <c r="FS69" s="3"/>
      <c r="FT69" s="3"/>
      <c r="FU69" s="3"/>
      <c r="FV69" s="3"/>
      <c r="FW69" s="3"/>
      <c r="FX69" s="3"/>
      <c r="FY69" s="3"/>
      <c r="FZ69" s="3"/>
      <c r="GA69" s="3"/>
      <c r="GB69" s="3"/>
      <c r="GC69" s="3"/>
      <c r="GD69" s="3"/>
      <c r="GE69" s="3"/>
      <c r="GF69" s="3"/>
      <c r="GG69" s="3"/>
      <c r="GH69" s="3"/>
      <c r="GI69" s="3"/>
      <c r="GJ69" s="3"/>
      <c r="GK69" s="3"/>
      <c r="GL69" s="3"/>
      <c r="GM69" s="3"/>
      <c r="GN69" s="3"/>
      <c r="GO69" s="3"/>
      <c r="GP69" s="3"/>
      <c r="GQ69" s="3"/>
      <c r="GR69" s="3"/>
      <c r="GS69" s="3"/>
      <c r="GT69" s="3"/>
      <c r="GU69" s="3"/>
      <c r="GV69" s="3"/>
      <c r="GW69" s="3"/>
      <c r="GX69" s="3"/>
      <c r="GY69" s="3"/>
      <c r="GZ69" s="3"/>
      <c r="HA69" s="3"/>
      <c r="HB69" s="3"/>
      <c r="HC69" s="3"/>
      <c r="HD69" s="3"/>
      <c r="HE69" s="3"/>
      <c r="HF69" s="3"/>
      <c r="HG69" s="3"/>
      <c r="HH69" s="3"/>
      <c r="HI69" s="3"/>
      <c r="HJ69" s="3"/>
      <c r="HK69" s="3"/>
      <c r="HL69" s="3"/>
      <c r="HM69" s="3"/>
      <c r="HN69" s="3"/>
      <c r="HO69" s="3"/>
      <c r="HP69" s="3"/>
      <c r="HQ69" s="3"/>
      <c r="HR69" s="3"/>
      <c r="HS69" s="3"/>
      <c r="HT69" s="3"/>
      <c r="HU69" s="3"/>
      <c r="HV69" s="3"/>
      <c r="HW69" s="3"/>
      <c r="HX69" s="3"/>
      <c r="HY69" s="3"/>
      <c r="HZ69" s="3"/>
      <c r="IA69" s="3"/>
      <c r="IB69" s="3"/>
      <c r="IC69" s="3"/>
      <c r="ID69" s="3"/>
      <c r="IE69" s="3"/>
      <c r="IF69" s="3"/>
      <c r="IG69" s="3"/>
      <c r="IH69" s="3"/>
      <c r="II69" s="3"/>
      <c r="IJ69" s="3"/>
      <c r="IK69" s="3"/>
      <c r="IL69" s="3"/>
      <c r="IM69" s="3"/>
      <c r="IN69" s="3"/>
      <c r="IO69" s="3"/>
      <c r="IP69" s="3"/>
      <c r="IQ69" s="3"/>
      <c r="IR69" s="3"/>
      <c r="IS69" s="3"/>
      <c r="IT69" s="3"/>
      <c r="IU69" s="3"/>
      <c r="IV69" s="3"/>
      <c r="IW69" s="3"/>
    </row>
    <row r="70" customFormat="false" ht="12.75" hidden="false" customHeight="false" outlineLevel="0" collapsed="false">
      <c r="A70" s="23"/>
      <c r="B70" s="23" t="s">
        <v>58</v>
      </c>
      <c r="C70" s="23"/>
      <c r="D70" s="23"/>
      <c r="E70" s="23"/>
      <c r="F70" s="78" t="n">
        <f aca="false">+G70/Assum!$F$30</f>
        <v>15.3438695652174</v>
      </c>
      <c r="G70" s="79" t="n">
        <v>352.909</v>
      </c>
      <c r="H70" s="64"/>
      <c r="I70" s="22"/>
      <c r="J70" s="24"/>
      <c r="K70" s="24"/>
      <c r="L70" s="24"/>
      <c r="M70" s="24"/>
      <c r="N70" s="24"/>
      <c r="O70" s="24"/>
      <c r="P70" s="24"/>
      <c r="Q70" s="24"/>
      <c r="R70" s="24"/>
      <c r="S70" s="24"/>
      <c r="T70" s="24"/>
      <c r="U70" s="24"/>
      <c r="V70" s="24"/>
      <c r="W70" s="24"/>
      <c r="X70" s="24"/>
      <c r="Y70" s="24"/>
      <c r="Z70" s="24"/>
      <c r="AA70" s="24"/>
      <c r="AB70" s="24"/>
      <c r="AC70" s="24"/>
      <c r="AD70" s="24"/>
      <c r="AE70" s="24"/>
      <c r="AF70" s="24"/>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c r="BH70" s="24"/>
      <c r="BI70" s="24"/>
      <c r="BJ70" s="24"/>
      <c r="BK70" s="24"/>
      <c r="BL70" s="24"/>
      <c r="BM70" s="24"/>
      <c r="BN70" s="24"/>
      <c r="BO70" s="24"/>
      <c r="BP70" s="24"/>
      <c r="BQ70" s="24"/>
      <c r="BR70" s="24"/>
      <c r="BS70" s="24"/>
      <c r="BT70" s="24"/>
      <c r="BU70" s="24"/>
      <c r="BV70" s="24"/>
      <c r="BW70" s="24"/>
      <c r="BX70" s="24"/>
      <c r="BY70" s="24"/>
      <c r="BZ70" s="24"/>
      <c r="CA70" s="24"/>
      <c r="CB70" s="24"/>
      <c r="CC70" s="24"/>
      <c r="CD70" s="24"/>
      <c r="CE70" s="24"/>
      <c r="CF70" s="24"/>
      <c r="CG70" s="24"/>
      <c r="CH70" s="24"/>
      <c r="CI70" s="24"/>
      <c r="CJ70" s="24"/>
      <c r="CK70" s="24"/>
      <c r="CL70" s="24"/>
      <c r="CM70" s="24"/>
      <c r="CN70" s="24"/>
      <c r="CO70" s="24"/>
      <c r="CP70" s="24"/>
      <c r="CQ70" s="24"/>
      <c r="CR70" s="24"/>
      <c r="CS70" s="24"/>
      <c r="CT70" s="24"/>
      <c r="CU70" s="24"/>
      <c r="CV70" s="24"/>
      <c r="CW70" s="24"/>
      <c r="CX70" s="24"/>
      <c r="CY70" s="24"/>
      <c r="CZ70" s="24"/>
      <c r="DA70" s="24"/>
      <c r="DB70" s="24"/>
      <c r="DC70" s="24"/>
      <c r="DD70" s="24"/>
      <c r="DE70" s="24"/>
      <c r="DF70" s="24"/>
      <c r="DG70" s="24"/>
      <c r="DH70" s="24"/>
      <c r="DI70" s="24"/>
      <c r="DJ70" s="24"/>
      <c r="DK70" s="24"/>
      <c r="DL70" s="24"/>
      <c r="DM70" s="24"/>
      <c r="DN70" s="24"/>
      <c r="DO70" s="24"/>
      <c r="DP70" s="24"/>
      <c r="DQ70" s="24"/>
      <c r="DR70" s="24"/>
      <c r="DS70" s="24"/>
      <c r="DT70" s="24"/>
      <c r="DU70" s="24"/>
      <c r="DV70" s="24"/>
      <c r="DW70" s="24"/>
      <c r="DX70" s="24"/>
      <c r="DY70" s="24"/>
      <c r="DZ70" s="24"/>
      <c r="EA70" s="24"/>
      <c r="EB70" s="24"/>
      <c r="EC70" s="24"/>
      <c r="ED70" s="24"/>
      <c r="EE70" s="24"/>
      <c r="EF70" s="24"/>
      <c r="EG70" s="24"/>
      <c r="EH70" s="24"/>
      <c r="EI70" s="24"/>
      <c r="EJ70" s="24"/>
      <c r="EK70" s="24"/>
      <c r="EL70" s="24"/>
      <c r="EM70" s="24"/>
      <c r="EN70" s="3"/>
      <c r="EO70" s="3"/>
      <c r="EP70" s="3"/>
      <c r="EQ70" s="3"/>
      <c r="ER70" s="3"/>
      <c r="ES70" s="3"/>
      <c r="ET70" s="3"/>
      <c r="EU70" s="3"/>
      <c r="EV70" s="3"/>
      <c r="EW70" s="3"/>
      <c r="EX70" s="3"/>
      <c r="EY70" s="3"/>
      <c r="EZ70" s="3"/>
      <c r="FA70" s="3"/>
      <c r="FB70" s="3"/>
      <c r="FC70" s="3"/>
      <c r="FD70" s="3"/>
      <c r="FE70" s="3"/>
      <c r="FF70" s="3"/>
      <c r="FG70" s="3"/>
      <c r="FH70" s="3"/>
      <c r="FI70" s="3"/>
      <c r="FJ70" s="3"/>
      <c r="FK70" s="3"/>
      <c r="FL70" s="3"/>
      <c r="FM70" s="3"/>
      <c r="FN70" s="3"/>
      <c r="FO70" s="3"/>
      <c r="FP70" s="3"/>
      <c r="FQ70" s="3"/>
      <c r="FR70" s="3"/>
      <c r="FS70" s="3"/>
      <c r="FT70" s="3"/>
      <c r="FU70" s="3"/>
      <c r="FV70" s="3"/>
      <c r="FW70" s="3"/>
      <c r="FX70" s="3"/>
      <c r="FY70" s="3"/>
      <c r="FZ70" s="3"/>
      <c r="GA70" s="3"/>
      <c r="GB70" s="3"/>
      <c r="GC70" s="3"/>
      <c r="GD70" s="3"/>
      <c r="GE70" s="3"/>
      <c r="GF70" s="3"/>
      <c r="GG70" s="3"/>
      <c r="GH70" s="3"/>
      <c r="GI70" s="3"/>
      <c r="GJ70" s="3"/>
      <c r="GK70" s="3"/>
      <c r="GL70" s="3"/>
      <c r="GM70" s="3"/>
      <c r="GN70" s="3"/>
      <c r="GO70" s="3"/>
      <c r="GP70" s="3"/>
      <c r="GQ70" s="3"/>
      <c r="GR70" s="3"/>
      <c r="GS70" s="3"/>
      <c r="GT70" s="3"/>
      <c r="GU70" s="3"/>
      <c r="GV70" s="3"/>
      <c r="GW70" s="3"/>
      <c r="GX70" s="3"/>
      <c r="GY70" s="3"/>
      <c r="GZ70" s="3"/>
      <c r="HA70" s="3"/>
      <c r="HB70" s="3"/>
      <c r="HC70" s="3"/>
      <c r="HD70" s="3"/>
      <c r="HE70" s="3"/>
      <c r="HF70" s="3"/>
      <c r="HG70" s="3"/>
      <c r="HH70" s="3"/>
      <c r="HI70" s="3"/>
      <c r="HJ70" s="3"/>
      <c r="HK70" s="3"/>
      <c r="HL70" s="3"/>
      <c r="HM70" s="3"/>
      <c r="HN70" s="3"/>
      <c r="HO70" s="3"/>
      <c r="HP70" s="3"/>
      <c r="HQ70" s="3"/>
      <c r="HR70" s="3"/>
      <c r="HS70" s="3"/>
      <c r="HT70" s="3"/>
      <c r="HU70" s="3"/>
      <c r="HV70" s="3"/>
      <c r="HW70" s="3"/>
      <c r="HX70" s="3"/>
      <c r="HY70" s="3"/>
      <c r="HZ70" s="3"/>
      <c r="IA70" s="3"/>
      <c r="IB70" s="3"/>
      <c r="IC70" s="3"/>
      <c r="ID70" s="3"/>
      <c r="IE70" s="3"/>
      <c r="IF70" s="3"/>
      <c r="IG70" s="3"/>
      <c r="IH70" s="3"/>
      <c r="II70" s="3"/>
      <c r="IJ70" s="3"/>
      <c r="IK70" s="3"/>
      <c r="IL70" s="3"/>
      <c r="IM70" s="3"/>
      <c r="IN70" s="3"/>
      <c r="IO70" s="3"/>
      <c r="IP70" s="3"/>
      <c r="IQ70" s="3"/>
      <c r="IR70" s="3"/>
      <c r="IS70" s="3"/>
      <c r="IT70" s="3"/>
      <c r="IU70" s="3"/>
      <c r="IV70" s="3"/>
      <c r="IW70" s="3"/>
    </row>
    <row r="71" customFormat="false" ht="13.5" hidden="false" customHeight="false" outlineLevel="0" collapsed="false">
      <c r="A71" s="82"/>
      <c r="B71" s="25" t="s">
        <v>59</v>
      </c>
      <c r="C71" s="25"/>
      <c r="D71" s="25"/>
      <c r="E71" s="25"/>
      <c r="F71" s="72" t="n">
        <f aca="false">+G71/Assum!$F$30</f>
        <v>26.5447391304348</v>
      </c>
      <c r="G71" s="84" t="n">
        <f aca="false">SUM(G66:G70)</f>
        <v>610.529</v>
      </c>
      <c r="H71" s="70"/>
      <c r="I71" s="25"/>
      <c r="J71" s="71"/>
      <c r="K71" s="71"/>
      <c r="L71" s="71"/>
      <c r="M71" s="71"/>
      <c r="N71" s="71"/>
      <c r="O71" s="71"/>
      <c r="P71" s="71"/>
      <c r="Q71" s="71"/>
      <c r="R71" s="71"/>
      <c r="S71" s="71"/>
      <c r="T71" s="71"/>
      <c r="U71" s="71"/>
      <c r="V71" s="71"/>
      <c r="W71" s="71"/>
      <c r="X71" s="71"/>
      <c r="Y71" s="71"/>
      <c r="Z71" s="71"/>
      <c r="AA71" s="71"/>
      <c r="AB71" s="71"/>
      <c r="AC71" s="71"/>
      <c r="AD71" s="71"/>
      <c r="AE71" s="71"/>
      <c r="AF71" s="71"/>
      <c r="AG71" s="71"/>
      <c r="AH71" s="71"/>
      <c r="AI71" s="71"/>
      <c r="AJ71" s="71"/>
      <c r="AK71" s="71"/>
      <c r="AL71" s="71"/>
      <c r="AM71" s="71"/>
      <c r="AN71" s="71"/>
      <c r="AO71" s="71"/>
      <c r="AP71" s="71"/>
      <c r="AQ71" s="71"/>
      <c r="AR71" s="71"/>
      <c r="AS71" s="71"/>
      <c r="AT71" s="71"/>
      <c r="AU71" s="71"/>
      <c r="AV71" s="71"/>
      <c r="AW71" s="71"/>
      <c r="AX71" s="71"/>
      <c r="AY71" s="71"/>
      <c r="AZ71" s="71"/>
      <c r="BA71" s="71"/>
      <c r="BB71" s="71"/>
      <c r="BC71" s="71"/>
      <c r="BD71" s="71"/>
      <c r="BE71" s="71"/>
      <c r="BF71" s="71"/>
      <c r="BG71" s="71"/>
      <c r="BH71" s="71"/>
      <c r="BI71" s="71"/>
      <c r="BJ71" s="71"/>
      <c r="BK71" s="71"/>
      <c r="BL71" s="71"/>
      <c r="BM71" s="71"/>
      <c r="BN71" s="71"/>
      <c r="BO71" s="71"/>
      <c r="BP71" s="71"/>
      <c r="BQ71" s="71"/>
      <c r="BR71" s="71"/>
      <c r="BS71" s="71"/>
      <c r="BT71" s="71"/>
      <c r="BU71" s="71"/>
      <c r="BV71" s="71"/>
      <c r="BW71" s="71"/>
      <c r="BX71" s="71"/>
      <c r="BY71" s="71"/>
      <c r="BZ71" s="71"/>
      <c r="CA71" s="71"/>
      <c r="CB71" s="71"/>
      <c r="CC71" s="71"/>
      <c r="CD71" s="71"/>
      <c r="CE71" s="71"/>
      <c r="CF71" s="71"/>
      <c r="CG71" s="71"/>
      <c r="CH71" s="71"/>
      <c r="CI71" s="71"/>
      <c r="CJ71" s="71"/>
      <c r="CK71" s="71"/>
      <c r="CL71" s="71"/>
      <c r="CM71" s="71"/>
      <c r="CN71" s="71"/>
      <c r="CO71" s="71"/>
      <c r="CP71" s="71"/>
      <c r="CQ71" s="71"/>
      <c r="CR71" s="71"/>
      <c r="CS71" s="71"/>
      <c r="CT71" s="71"/>
      <c r="CU71" s="71"/>
      <c r="CV71" s="71"/>
      <c r="CW71" s="71"/>
      <c r="CX71" s="71"/>
      <c r="CY71" s="71"/>
      <c r="CZ71" s="71"/>
      <c r="DA71" s="71"/>
      <c r="DB71" s="71"/>
      <c r="DC71" s="71"/>
      <c r="DD71" s="71"/>
      <c r="DE71" s="71"/>
      <c r="DF71" s="71"/>
      <c r="DG71" s="71"/>
      <c r="DH71" s="71"/>
      <c r="DI71" s="71"/>
      <c r="DJ71" s="71"/>
      <c r="DK71" s="71"/>
      <c r="DL71" s="71"/>
      <c r="DM71" s="71"/>
      <c r="DN71" s="71"/>
      <c r="DO71" s="71"/>
      <c r="DP71" s="71"/>
      <c r="DQ71" s="71"/>
      <c r="DR71" s="71"/>
      <c r="DS71" s="71"/>
      <c r="DT71" s="71"/>
      <c r="DU71" s="71"/>
      <c r="DV71" s="71"/>
      <c r="DW71" s="71"/>
      <c r="DX71" s="71"/>
      <c r="DY71" s="71"/>
      <c r="DZ71" s="71"/>
      <c r="EA71" s="71"/>
      <c r="EB71" s="71"/>
      <c r="EC71" s="71"/>
      <c r="ED71" s="71"/>
      <c r="EE71" s="71"/>
      <c r="EF71" s="71"/>
      <c r="EG71" s="71"/>
      <c r="EH71" s="71"/>
      <c r="EI71" s="71"/>
      <c r="EJ71" s="71"/>
      <c r="EK71" s="71"/>
      <c r="EL71" s="71"/>
      <c r="EM71" s="71"/>
      <c r="EN71" s="88"/>
      <c r="EO71" s="88"/>
      <c r="EP71" s="88"/>
      <c r="EQ71" s="88"/>
      <c r="ER71" s="88"/>
      <c r="ES71" s="88"/>
      <c r="ET71" s="88"/>
      <c r="EU71" s="88"/>
      <c r="EV71" s="88"/>
      <c r="EW71" s="88"/>
      <c r="EX71" s="88"/>
      <c r="EY71" s="88"/>
      <c r="EZ71" s="88"/>
      <c r="FA71" s="88"/>
      <c r="FB71" s="88"/>
      <c r="FC71" s="88"/>
      <c r="FD71" s="88"/>
      <c r="FE71" s="88"/>
      <c r="FF71" s="88"/>
      <c r="FG71" s="88"/>
      <c r="FH71" s="88"/>
      <c r="FI71" s="88"/>
      <c r="FJ71" s="88"/>
      <c r="FK71" s="88"/>
      <c r="FL71" s="88"/>
      <c r="FM71" s="88"/>
      <c r="FN71" s="88"/>
      <c r="FO71" s="88"/>
      <c r="FP71" s="88"/>
      <c r="FQ71" s="88"/>
      <c r="FR71" s="88"/>
      <c r="FS71" s="88"/>
      <c r="FT71" s="88"/>
      <c r="FU71" s="88"/>
      <c r="FV71" s="88"/>
      <c r="FW71" s="88"/>
      <c r="FX71" s="88"/>
      <c r="FY71" s="88"/>
      <c r="FZ71" s="88"/>
      <c r="GA71" s="88"/>
      <c r="GB71" s="88"/>
      <c r="GC71" s="88"/>
      <c r="GD71" s="88"/>
      <c r="GE71" s="88"/>
      <c r="GF71" s="88"/>
      <c r="GG71" s="88"/>
      <c r="GH71" s="88"/>
      <c r="GI71" s="88"/>
      <c r="GJ71" s="88"/>
      <c r="GK71" s="88"/>
      <c r="GL71" s="88"/>
      <c r="GM71" s="88"/>
      <c r="GN71" s="88"/>
      <c r="GO71" s="88"/>
      <c r="GP71" s="88"/>
      <c r="GQ71" s="88"/>
      <c r="GR71" s="88"/>
      <c r="GS71" s="88"/>
      <c r="GT71" s="88"/>
      <c r="GU71" s="88"/>
      <c r="GV71" s="88"/>
      <c r="GW71" s="88"/>
      <c r="GX71" s="88"/>
      <c r="GY71" s="88"/>
      <c r="GZ71" s="88"/>
      <c r="HA71" s="88"/>
      <c r="HB71" s="88"/>
      <c r="HC71" s="88"/>
      <c r="HD71" s="88"/>
      <c r="HE71" s="88"/>
      <c r="HF71" s="88"/>
      <c r="HG71" s="88"/>
      <c r="HH71" s="88"/>
      <c r="HI71" s="88"/>
      <c r="HJ71" s="88"/>
      <c r="HK71" s="88"/>
      <c r="HL71" s="88"/>
      <c r="HM71" s="88"/>
      <c r="HN71" s="88"/>
      <c r="HO71" s="88"/>
      <c r="HP71" s="88"/>
      <c r="HQ71" s="88"/>
      <c r="HR71" s="88"/>
      <c r="HS71" s="88"/>
      <c r="HT71" s="88"/>
      <c r="HU71" s="88"/>
      <c r="HV71" s="88"/>
      <c r="HW71" s="88"/>
      <c r="HX71" s="88"/>
      <c r="HY71" s="88"/>
      <c r="HZ71" s="88"/>
      <c r="IA71" s="88"/>
      <c r="IB71" s="88"/>
      <c r="IC71" s="88"/>
      <c r="ID71" s="88"/>
      <c r="IE71" s="88"/>
      <c r="IF71" s="88"/>
      <c r="IG71" s="88"/>
      <c r="IH71" s="88"/>
      <c r="II71" s="88"/>
      <c r="IJ71" s="88"/>
      <c r="IK71" s="88"/>
      <c r="IL71" s="88"/>
      <c r="IM71" s="88"/>
      <c r="IN71" s="88"/>
      <c r="IO71" s="88"/>
      <c r="IP71" s="88"/>
      <c r="IQ71" s="88"/>
      <c r="IR71" s="88"/>
      <c r="IS71" s="88"/>
      <c r="IT71" s="88"/>
      <c r="IU71" s="88"/>
      <c r="IV71" s="88"/>
      <c r="IW71" s="88"/>
    </row>
    <row r="72" customFormat="false" ht="13.5" hidden="false" customHeight="false" outlineLevel="0" collapsed="false">
      <c r="A72" s="23"/>
      <c r="B72" s="27"/>
      <c r="C72" s="27"/>
      <c r="D72" s="27"/>
      <c r="E72" s="27"/>
      <c r="F72" s="93"/>
      <c r="G72" s="93"/>
      <c r="H72" s="64"/>
      <c r="I72" s="22"/>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3"/>
      <c r="EO72" s="3"/>
      <c r="EP72" s="3"/>
      <c r="EQ72" s="3"/>
      <c r="ER72" s="3"/>
      <c r="ES72" s="3"/>
      <c r="ET72" s="3"/>
      <c r="EU72" s="3"/>
      <c r="EV72" s="3"/>
      <c r="EW72" s="3"/>
      <c r="EX72" s="3"/>
      <c r="EY72" s="3"/>
      <c r="EZ72" s="3"/>
      <c r="FA72" s="3"/>
      <c r="FB72" s="3"/>
      <c r="FC72" s="3"/>
      <c r="FD72" s="3"/>
      <c r="FE72" s="3"/>
      <c r="FF72" s="3"/>
      <c r="FG72" s="3"/>
      <c r="FH72" s="3"/>
      <c r="FI72" s="3"/>
      <c r="FJ72" s="3"/>
      <c r="FK72" s="3"/>
      <c r="FL72" s="3"/>
      <c r="FM72" s="3"/>
      <c r="FN72" s="3"/>
      <c r="FO72" s="3"/>
      <c r="FP72" s="3"/>
      <c r="FQ72" s="3"/>
      <c r="FR72" s="3"/>
      <c r="FS72" s="3"/>
      <c r="FT72" s="3"/>
      <c r="FU72" s="3"/>
      <c r="FV72" s="3"/>
      <c r="FW72" s="3"/>
      <c r="FX72" s="3"/>
      <c r="FY72" s="3"/>
      <c r="FZ72" s="3"/>
      <c r="GA72" s="3"/>
      <c r="GB72" s="3"/>
      <c r="GC72" s="3"/>
      <c r="GD72" s="3"/>
      <c r="GE72" s="3"/>
      <c r="GF72" s="3"/>
      <c r="GG72" s="3"/>
      <c r="GH72" s="3"/>
      <c r="GI72" s="3"/>
      <c r="GJ72" s="3"/>
      <c r="GK72" s="3"/>
      <c r="GL72" s="3"/>
      <c r="GM72" s="3"/>
      <c r="GN72" s="3"/>
      <c r="GO72" s="3"/>
      <c r="GP72" s="3"/>
      <c r="GQ72" s="3"/>
      <c r="GR72" s="3"/>
      <c r="GS72" s="3"/>
      <c r="GT72" s="3"/>
      <c r="GU72" s="3"/>
      <c r="GV72" s="3"/>
      <c r="GW72" s="3"/>
      <c r="GX72" s="3"/>
      <c r="GY72" s="3"/>
      <c r="GZ72" s="3"/>
      <c r="HA72" s="3"/>
      <c r="HB72" s="3"/>
      <c r="HC72" s="3"/>
      <c r="HD72" s="3"/>
      <c r="HE72" s="3"/>
      <c r="HF72" s="3"/>
      <c r="HG72" s="3"/>
      <c r="HH72" s="3"/>
      <c r="HI72" s="3"/>
      <c r="HJ72" s="3"/>
      <c r="HK72" s="3"/>
      <c r="HL72" s="3"/>
      <c r="HM72" s="3"/>
      <c r="HN72" s="3"/>
      <c r="HO72" s="3"/>
      <c r="HP72" s="3"/>
      <c r="HQ72" s="3"/>
      <c r="HR72" s="3"/>
      <c r="HS72" s="3"/>
      <c r="HT72" s="3"/>
      <c r="HU72" s="3"/>
      <c r="HV72" s="3"/>
      <c r="HW72" s="3"/>
      <c r="HX72" s="3"/>
      <c r="HY72" s="3"/>
      <c r="HZ72" s="3"/>
      <c r="IA72" s="3"/>
      <c r="IB72" s="3"/>
      <c r="IC72" s="3"/>
      <c r="ID72" s="3"/>
      <c r="IE72" s="3"/>
      <c r="IF72" s="3"/>
      <c r="IG72" s="3"/>
      <c r="IH72" s="3"/>
      <c r="II72" s="3"/>
      <c r="IJ72" s="3"/>
      <c r="IK72" s="3"/>
      <c r="IL72" s="3"/>
      <c r="IM72" s="3"/>
      <c r="IN72" s="3"/>
      <c r="IO72" s="3"/>
      <c r="IP72" s="3"/>
      <c r="IQ72" s="3"/>
      <c r="IR72" s="3"/>
      <c r="IS72" s="3"/>
      <c r="IT72" s="3"/>
      <c r="IU72" s="3"/>
      <c r="IV72" s="3"/>
      <c r="IW72" s="3"/>
    </row>
    <row r="73" customFormat="false" ht="12.75" hidden="false" customHeight="false" outlineLevel="0" collapsed="false">
      <c r="A73" s="23"/>
      <c r="B73" s="27" t="s">
        <v>60</v>
      </c>
      <c r="C73" s="27"/>
      <c r="D73" s="27"/>
      <c r="E73" s="27"/>
      <c r="F73" s="47" t="n">
        <f aca="false">G73/Assum!$F$30</f>
        <v>384.562739130435</v>
      </c>
      <c r="G73" s="94" t="n">
        <f aca="false">G58+G63+G71</f>
        <v>8844.943</v>
      </c>
      <c r="H73" s="64"/>
      <c r="I73" s="22"/>
      <c r="J73" s="24"/>
      <c r="K73" s="24"/>
      <c r="L73" s="24"/>
      <c r="M73" s="24"/>
      <c r="N73" s="24"/>
      <c r="O73" s="24"/>
      <c r="P73" s="24"/>
      <c r="Q73" s="24"/>
      <c r="R73" s="24"/>
      <c r="S73" s="24"/>
      <c r="T73" s="24"/>
      <c r="U73" s="24"/>
      <c r="V73" s="24"/>
      <c r="W73" s="24"/>
      <c r="X73" s="24"/>
      <c r="Y73" s="24"/>
      <c r="Z73" s="24"/>
      <c r="AA73" s="24"/>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3"/>
      <c r="EO73" s="3"/>
      <c r="EP73" s="3"/>
      <c r="EQ73" s="3"/>
      <c r="ER73" s="3"/>
      <c r="ES73" s="3"/>
      <c r="ET73" s="3"/>
      <c r="EU73" s="3"/>
      <c r="EV73" s="3"/>
      <c r="EW73" s="3"/>
      <c r="EX73" s="3"/>
      <c r="EY73" s="3"/>
      <c r="EZ73" s="3"/>
      <c r="FA73" s="3"/>
      <c r="FB73" s="3"/>
      <c r="FC73" s="3"/>
      <c r="FD73" s="3"/>
      <c r="FE73" s="3"/>
      <c r="FF73" s="3"/>
      <c r="FG73" s="3"/>
      <c r="FH73" s="3"/>
      <c r="FI73" s="3"/>
      <c r="FJ73" s="3"/>
      <c r="FK73" s="3"/>
      <c r="FL73" s="3"/>
      <c r="FM73" s="3"/>
      <c r="FN73" s="3"/>
      <c r="FO73" s="3"/>
      <c r="FP73" s="3"/>
      <c r="FQ73" s="3"/>
      <c r="FR73" s="3"/>
      <c r="FS73" s="3"/>
      <c r="FT73" s="3"/>
      <c r="FU73" s="3"/>
      <c r="FV73" s="3"/>
      <c r="FW73" s="3"/>
      <c r="FX73" s="3"/>
      <c r="FY73" s="3"/>
      <c r="FZ73" s="3"/>
      <c r="GA73" s="3"/>
      <c r="GB73" s="3"/>
      <c r="GC73" s="3"/>
      <c r="GD73" s="3"/>
      <c r="GE73" s="3"/>
      <c r="GF73" s="3"/>
      <c r="GG73" s="3"/>
      <c r="GH73" s="3"/>
      <c r="GI73" s="3"/>
      <c r="GJ73" s="3"/>
      <c r="GK73" s="3"/>
      <c r="GL73" s="3"/>
      <c r="GM73" s="3"/>
      <c r="GN73" s="3"/>
      <c r="GO73" s="3"/>
      <c r="GP73" s="3"/>
      <c r="GQ73" s="3"/>
      <c r="GR73" s="3"/>
      <c r="GS73" s="3"/>
      <c r="GT73" s="3"/>
      <c r="GU73" s="3"/>
      <c r="GV73" s="3"/>
      <c r="GW73" s="3"/>
      <c r="GX73" s="3"/>
      <c r="GY73" s="3"/>
      <c r="GZ73" s="3"/>
      <c r="HA73" s="3"/>
      <c r="HB73" s="3"/>
      <c r="HC73" s="3"/>
      <c r="HD73" s="3"/>
      <c r="HE73" s="3"/>
      <c r="HF73" s="3"/>
      <c r="HG73" s="3"/>
      <c r="HH73" s="3"/>
      <c r="HI73" s="3"/>
      <c r="HJ73" s="3"/>
      <c r="HK73" s="3"/>
      <c r="HL73" s="3"/>
      <c r="HM73" s="3"/>
      <c r="HN73" s="3"/>
      <c r="HO73" s="3"/>
      <c r="HP73" s="3"/>
      <c r="HQ73" s="3"/>
      <c r="HR73" s="3"/>
      <c r="HS73" s="3"/>
      <c r="HT73" s="3"/>
      <c r="HU73" s="3"/>
      <c r="HV73" s="3"/>
      <c r="HW73" s="3"/>
      <c r="HX73" s="3"/>
      <c r="HY73" s="3"/>
      <c r="HZ73" s="3"/>
      <c r="IA73" s="3"/>
      <c r="IB73" s="3"/>
      <c r="IC73" s="3"/>
      <c r="ID73" s="3"/>
      <c r="IE73" s="3"/>
      <c r="IF73" s="3"/>
      <c r="IG73" s="3"/>
      <c r="IH73" s="3"/>
      <c r="II73" s="3"/>
      <c r="IJ73" s="3"/>
      <c r="IK73" s="3"/>
      <c r="IL73" s="3"/>
      <c r="IM73" s="3"/>
      <c r="IN73" s="3"/>
      <c r="IO73" s="3"/>
      <c r="IP73" s="3"/>
      <c r="IQ73" s="3"/>
      <c r="IR73" s="3"/>
      <c r="IS73" s="3"/>
      <c r="IT73" s="3"/>
      <c r="IU73" s="3"/>
      <c r="IV73" s="3"/>
      <c r="IW73" s="3"/>
    </row>
    <row r="74" customFormat="false" ht="12.75" hidden="false" customHeight="false" outlineLevel="0" collapsed="false">
      <c r="A74" s="23"/>
      <c r="B74" s="23" t="s">
        <v>61</v>
      </c>
      <c r="C74" s="27"/>
      <c r="D74" s="27"/>
      <c r="E74" s="27"/>
      <c r="F74" s="47"/>
      <c r="G74" s="95" t="n">
        <v>884.494</v>
      </c>
      <c r="H74" s="64" t="s">
        <v>62</v>
      </c>
      <c r="I74" s="22"/>
      <c r="J74" s="24"/>
      <c r="K74" s="24"/>
      <c r="L74" s="24"/>
      <c r="M74" s="24"/>
      <c r="N74" s="24"/>
      <c r="O74" s="24"/>
      <c r="P74" s="24"/>
      <c r="Q74" s="24"/>
      <c r="R74" s="24"/>
      <c r="S74" s="24"/>
      <c r="T74" s="24"/>
      <c r="U74" s="24"/>
      <c r="V74" s="24"/>
      <c r="W74" s="24"/>
      <c r="X74" s="24"/>
      <c r="Y74" s="24"/>
      <c r="Z74" s="24"/>
      <c r="AA74" s="24"/>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3"/>
      <c r="EO74" s="3"/>
      <c r="EP74" s="3"/>
      <c r="EQ74" s="3"/>
      <c r="ER74" s="3"/>
      <c r="ES74" s="3"/>
      <c r="ET74" s="3"/>
      <c r="EU74" s="3"/>
      <c r="EV74" s="3"/>
      <c r="EW74" s="3"/>
      <c r="EX74" s="3"/>
      <c r="EY74" s="3"/>
      <c r="EZ74" s="3"/>
      <c r="FA74" s="3"/>
      <c r="FB74" s="3"/>
      <c r="FC74" s="3"/>
      <c r="FD74" s="3"/>
      <c r="FE74" s="3"/>
      <c r="FF74" s="3"/>
      <c r="FG74" s="3"/>
      <c r="FH74" s="3"/>
      <c r="FI74" s="3"/>
      <c r="FJ74" s="3"/>
      <c r="FK74" s="3"/>
      <c r="FL74" s="3"/>
      <c r="FM74" s="3"/>
      <c r="FN74" s="3"/>
      <c r="FO74" s="3"/>
      <c r="FP74" s="3"/>
      <c r="FQ74" s="3"/>
      <c r="FR74" s="3"/>
      <c r="FS74" s="3"/>
      <c r="FT74" s="3"/>
      <c r="FU74" s="3"/>
      <c r="FV74" s="3"/>
      <c r="FW74" s="3"/>
      <c r="FX74" s="3"/>
      <c r="FY74" s="3"/>
      <c r="FZ74" s="3"/>
      <c r="GA74" s="3"/>
      <c r="GB74" s="3"/>
      <c r="GC74" s="3"/>
      <c r="GD74" s="3"/>
      <c r="GE74" s="3"/>
      <c r="GF74" s="3"/>
      <c r="GG74" s="3"/>
      <c r="GH74" s="3"/>
      <c r="GI74" s="3"/>
      <c r="GJ74" s="3"/>
      <c r="GK74" s="3"/>
      <c r="GL74" s="3"/>
      <c r="GM74" s="3"/>
      <c r="GN74" s="3"/>
      <c r="GO74" s="3"/>
      <c r="GP74" s="3"/>
      <c r="GQ74" s="3"/>
      <c r="GR74" s="3"/>
      <c r="GS74" s="3"/>
      <c r="GT74" s="3"/>
      <c r="GU74" s="3"/>
      <c r="GV74" s="3"/>
      <c r="GW74" s="3"/>
      <c r="GX74" s="3"/>
      <c r="GY74" s="3"/>
      <c r="GZ74" s="3"/>
      <c r="HA74" s="3"/>
      <c r="HB74" s="3"/>
      <c r="HC74" s="3"/>
      <c r="HD74" s="3"/>
      <c r="HE74" s="3"/>
      <c r="HF74" s="3"/>
      <c r="HG74" s="3"/>
      <c r="HH74" s="3"/>
      <c r="HI74" s="3"/>
      <c r="HJ74" s="3"/>
      <c r="HK74" s="3"/>
      <c r="HL74" s="3"/>
      <c r="HM74" s="3"/>
      <c r="HN74" s="3"/>
      <c r="HO74" s="3"/>
      <c r="HP74" s="3"/>
      <c r="HQ74" s="3"/>
      <c r="HR74" s="3"/>
      <c r="HS74" s="3"/>
      <c r="HT74" s="3"/>
      <c r="HU74" s="3"/>
      <c r="HV74" s="3"/>
      <c r="HW74" s="3"/>
      <c r="HX74" s="3"/>
      <c r="HY74" s="3"/>
      <c r="HZ74" s="3"/>
      <c r="IA74" s="3"/>
      <c r="IB74" s="3"/>
      <c r="IC74" s="3"/>
      <c r="ID74" s="3"/>
      <c r="IE74" s="3"/>
      <c r="IF74" s="3"/>
      <c r="IG74" s="3"/>
      <c r="IH74" s="3"/>
      <c r="II74" s="3"/>
      <c r="IJ74" s="3"/>
      <c r="IK74" s="3"/>
      <c r="IL74" s="3"/>
      <c r="IM74" s="3"/>
      <c r="IN74" s="3"/>
      <c r="IO74" s="3"/>
      <c r="IP74" s="3"/>
      <c r="IQ74" s="3"/>
      <c r="IR74" s="3"/>
      <c r="IS74" s="3"/>
      <c r="IT74" s="3"/>
      <c r="IU74" s="3"/>
      <c r="IV74" s="3"/>
      <c r="IW74" s="3"/>
    </row>
    <row r="75" customFormat="false" ht="12.75" hidden="false" customHeight="false" outlineLevel="0" collapsed="false">
      <c r="A75" s="23"/>
      <c r="B75" s="23" t="s">
        <v>63</v>
      </c>
      <c r="C75" s="96" t="n">
        <v>0.024</v>
      </c>
      <c r="D75" s="27"/>
      <c r="E75" s="27"/>
      <c r="F75" s="47"/>
      <c r="G75" s="97" t="n">
        <f aca="false">$G$73*C75</f>
        <v>212.278632</v>
      </c>
      <c r="H75" s="64"/>
      <c r="I75" s="22"/>
      <c r="J75" s="24"/>
      <c r="K75" s="24"/>
      <c r="L75" s="24"/>
      <c r="M75" s="24"/>
      <c r="N75" s="24"/>
      <c r="O75" s="24"/>
      <c r="P75" s="24"/>
      <c r="Q75" s="24"/>
      <c r="R75" s="24"/>
      <c r="S75" s="24"/>
      <c r="T75" s="24"/>
      <c r="U75" s="24"/>
      <c r="V75" s="24"/>
      <c r="W75" s="24"/>
      <c r="X75" s="24"/>
      <c r="Y75" s="24"/>
      <c r="Z75" s="24"/>
      <c r="AA75" s="24"/>
      <c r="AB75" s="24"/>
      <c r="AC75" s="24"/>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c r="DO75" s="24"/>
      <c r="DP75" s="24"/>
      <c r="DQ75" s="24"/>
      <c r="DR75" s="24"/>
      <c r="DS75" s="24"/>
      <c r="DT75" s="24"/>
      <c r="DU75" s="24"/>
      <c r="DV75" s="24"/>
      <c r="DW75" s="24"/>
      <c r="DX75" s="24"/>
      <c r="DY75" s="24"/>
      <c r="DZ75" s="24"/>
      <c r="EA75" s="24"/>
      <c r="EB75" s="24"/>
      <c r="EC75" s="24"/>
      <c r="ED75" s="24"/>
      <c r="EE75" s="24"/>
      <c r="EF75" s="24"/>
      <c r="EG75" s="24"/>
      <c r="EH75" s="24"/>
      <c r="EI75" s="24"/>
      <c r="EJ75" s="24"/>
      <c r="EK75" s="24"/>
      <c r="EL75" s="24"/>
      <c r="EM75" s="24"/>
      <c r="EN75" s="3"/>
      <c r="EO75" s="3"/>
      <c r="EP75" s="3"/>
      <c r="EQ75" s="3"/>
      <c r="ER75" s="3"/>
      <c r="ES75" s="3"/>
      <c r="ET75" s="3"/>
      <c r="EU75" s="3"/>
      <c r="EV75" s="3"/>
      <c r="EW75" s="3"/>
      <c r="EX75" s="3"/>
      <c r="EY75" s="3"/>
      <c r="EZ75" s="3"/>
      <c r="FA75" s="3"/>
      <c r="FB75" s="3"/>
      <c r="FC75" s="3"/>
      <c r="FD75" s="3"/>
      <c r="FE75" s="3"/>
      <c r="FF75" s="3"/>
      <c r="FG75" s="3"/>
      <c r="FH75" s="3"/>
      <c r="FI75" s="3"/>
      <c r="FJ75" s="3"/>
      <c r="FK75" s="3"/>
      <c r="FL75" s="3"/>
      <c r="FM75" s="3"/>
      <c r="FN75" s="3"/>
      <c r="FO75" s="3"/>
      <c r="FP75" s="3"/>
      <c r="FQ75" s="3"/>
      <c r="FR75" s="3"/>
      <c r="FS75" s="3"/>
      <c r="FT75" s="3"/>
      <c r="FU75" s="3"/>
      <c r="FV75" s="3"/>
      <c r="FW75" s="3"/>
      <c r="FX75" s="3"/>
      <c r="FY75" s="3"/>
      <c r="FZ75" s="3"/>
      <c r="GA75" s="3"/>
      <c r="GB75" s="3"/>
      <c r="GC75" s="3"/>
      <c r="GD75" s="3"/>
      <c r="GE75" s="3"/>
      <c r="GF75" s="3"/>
      <c r="GG75" s="3"/>
      <c r="GH75" s="3"/>
      <c r="GI75" s="3"/>
      <c r="GJ75" s="3"/>
      <c r="GK75" s="3"/>
      <c r="GL75" s="3"/>
      <c r="GM75" s="3"/>
      <c r="GN75" s="3"/>
      <c r="GO75" s="3"/>
      <c r="GP75" s="3"/>
      <c r="GQ75" s="3"/>
      <c r="GR75" s="3"/>
      <c r="GS75" s="3"/>
      <c r="GT75" s="3"/>
      <c r="GU75" s="3"/>
      <c r="GV75" s="3"/>
      <c r="GW75" s="3"/>
      <c r="GX75" s="3"/>
      <c r="GY75" s="3"/>
      <c r="GZ75" s="3"/>
      <c r="HA75" s="3"/>
      <c r="HB75" s="3"/>
      <c r="HC75" s="3"/>
      <c r="HD75" s="3"/>
      <c r="HE75" s="3"/>
      <c r="HF75" s="3"/>
      <c r="HG75" s="3"/>
      <c r="HH75" s="3"/>
      <c r="HI75" s="3"/>
      <c r="HJ75" s="3"/>
      <c r="HK75" s="3"/>
      <c r="HL75" s="3"/>
      <c r="HM75" s="3"/>
      <c r="HN75" s="3"/>
      <c r="HO75" s="3"/>
      <c r="HP75" s="3"/>
      <c r="HQ75" s="3"/>
      <c r="HR75" s="3"/>
      <c r="HS75" s="3"/>
      <c r="HT75" s="3"/>
      <c r="HU75" s="3"/>
      <c r="HV75" s="3"/>
      <c r="HW75" s="3"/>
      <c r="HX75" s="3"/>
      <c r="HY75" s="3"/>
      <c r="HZ75" s="3"/>
      <c r="IA75" s="3"/>
      <c r="IB75" s="3"/>
      <c r="IC75" s="3"/>
      <c r="ID75" s="3"/>
      <c r="IE75" s="3"/>
      <c r="IF75" s="3"/>
      <c r="IG75" s="3"/>
      <c r="IH75" s="3"/>
      <c r="II75" s="3"/>
      <c r="IJ75" s="3"/>
      <c r="IK75" s="3"/>
      <c r="IL75" s="3"/>
      <c r="IM75" s="3"/>
      <c r="IN75" s="3"/>
      <c r="IO75" s="3"/>
      <c r="IP75" s="3"/>
      <c r="IQ75" s="3"/>
      <c r="IR75" s="3"/>
      <c r="IS75" s="3"/>
      <c r="IT75" s="3"/>
      <c r="IU75" s="3"/>
      <c r="IV75" s="3"/>
      <c r="IW75" s="3"/>
    </row>
    <row r="76" customFormat="false" ht="12.75" hidden="false" customHeight="false" outlineLevel="0" collapsed="false">
      <c r="A76" s="23"/>
      <c r="B76" s="64" t="s">
        <v>64</v>
      </c>
      <c r="C76" s="96" t="n">
        <v>0.1</v>
      </c>
      <c r="D76" s="64"/>
      <c r="E76" s="64"/>
      <c r="F76" s="47" t="n">
        <f aca="false">G76/Assum!$F$30</f>
        <v>38.4562739130435</v>
      </c>
      <c r="G76" s="97" t="n">
        <f aca="false">$G$73*C76</f>
        <v>884.4943</v>
      </c>
      <c r="H76" s="64" t="s">
        <v>62</v>
      </c>
      <c r="I76" s="22"/>
      <c r="J76" s="24"/>
      <c r="K76" s="24"/>
      <c r="L76" s="24"/>
      <c r="M76" s="24"/>
      <c r="N76" s="24"/>
      <c r="O76" s="24"/>
      <c r="P76" s="24"/>
      <c r="Q76" s="24"/>
      <c r="R76" s="24"/>
      <c r="S76" s="24"/>
      <c r="T76" s="24"/>
      <c r="U76" s="24"/>
      <c r="V76" s="24"/>
      <c r="W76" s="24"/>
      <c r="X76" s="24"/>
      <c r="Y76" s="24"/>
      <c r="Z76" s="24"/>
      <c r="AA76" s="24"/>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3"/>
      <c r="EO76" s="3"/>
      <c r="EP76" s="3"/>
      <c r="EQ76" s="3"/>
      <c r="ER76" s="3"/>
      <c r="ES76" s="3"/>
      <c r="ET76" s="3"/>
      <c r="EU76" s="3"/>
      <c r="EV76" s="3"/>
      <c r="EW76" s="3"/>
      <c r="EX76" s="3"/>
      <c r="EY76" s="3"/>
      <c r="EZ76" s="3"/>
      <c r="FA76" s="3"/>
      <c r="FB76" s="3"/>
      <c r="FC76" s="3"/>
      <c r="FD76" s="3"/>
      <c r="FE76" s="3"/>
      <c r="FF76" s="3"/>
      <c r="FG76" s="3"/>
      <c r="FH76" s="3"/>
      <c r="FI76" s="3"/>
      <c r="FJ76" s="3"/>
      <c r="FK76" s="3"/>
      <c r="FL76" s="3"/>
      <c r="FM76" s="3"/>
      <c r="FN76" s="3"/>
      <c r="FO76" s="3"/>
      <c r="FP76" s="3"/>
      <c r="FQ76" s="3"/>
      <c r="FR76" s="3"/>
      <c r="FS76" s="3"/>
      <c r="FT76" s="3"/>
      <c r="FU76" s="3"/>
      <c r="FV76" s="3"/>
      <c r="FW76" s="3"/>
      <c r="FX76" s="3"/>
      <c r="FY76" s="3"/>
      <c r="FZ76" s="3"/>
      <c r="GA76" s="3"/>
      <c r="GB76" s="3"/>
      <c r="GC76" s="3"/>
      <c r="GD76" s="3"/>
      <c r="GE76" s="3"/>
      <c r="GF76" s="3"/>
      <c r="GG76" s="3"/>
      <c r="GH76" s="3"/>
      <c r="GI76" s="3"/>
      <c r="GJ76" s="3"/>
      <c r="GK76" s="3"/>
      <c r="GL76" s="3"/>
      <c r="GM76" s="3"/>
      <c r="GN76" s="3"/>
      <c r="GO76" s="3"/>
      <c r="GP76" s="3"/>
      <c r="GQ76" s="3"/>
      <c r="GR76" s="3"/>
      <c r="GS76" s="3"/>
      <c r="GT76" s="3"/>
      <c r="GU76" s="3"/>
      <c r="GV76" s="3"/>
      <c r="GW76" s="3"/>
      <c r="GX76" s="3"/>
      <c r="GY76" s="3"/>
      <c r="GZ76" s="3"/>
      <c r="HA76" s="3"/>
      <c r="HB76" s="3"/>
      <c r="HC76" s="3"/>
      <c r="HD76" s="3"/>
      <c r="HE76" s="3"/>
      <c r="HF76" s="3"/>
      <c r="HG76" s="3"/>
      <c r="HH76" s="3"/>
      <c r="HI76" s="3"/>
      <c r="HJ76" s="3"/>
      <c r="HK76" s="3"/>
      <c r="HL76" s="3"/>
      <c r="HM76" s="3"/>
      <c r="HN76" s="3"/>
      <c r="HO76" s="3"/>
      <c r="HP76" s="3"/>
      <c r="HQ76" s="3"/>
      <c r="HR76" s="3"/>
      <c r="HS76" s="3"/>
      <c r="HT76" s="3"/>
      <c r="HU76" s="3"/>
      <c r="HV76" s="3"/>
      <c r="HW76" s="3"/>
      <c r="HX76" s="3"/>
      <c r="HY76" s="3"/>
      <c r="HZ76" s="3"/>
      <c r="IA76" s="3"/>
      <c r="IB76" s="3"/>
      <c r="IC76" s="3"/>
      <c r="ID76" s="3"/>
      <c r="IE76" s="3"/>
      <c r="IF76" s="3"/>
      <c r="IG76" s="3"/>
      <c r="IH76" s="3"/>
      <c r="II76" s="3"/>
      <c r="IJ76" s="3"/>
      <c r="IK76" s="3"/>
      <c r="IL76" s="3"/>
      <c r="IM76" s="3"/>
      <c r="IN76" s="3"/>
      <c r="IO76" s="3"/>
      <c r="IP76" s="3"/>
      <c r="IQ76" s="3"/>
      <c r="IR76" s="3"/>
      <c r="IS76" s="3"/>
      <c r="IT76" s="3"/>
      <c r="IU76" s="3"/>
      <c r="IV76" s="3"/>
      <c r="IW76" s="3"/>
    </row>
    <row r="77" customFormat="false" ht="12.6" hidden="false" customHeight="true" outlineLevel="0" collapsed="false">
      <c r="A77" s="23"/>
      <c r="B77" s="60" t="s">
        <v>65</v>
      </c>
      <c r="C77" s="60"/>
      <c r="D77" s="60"/>
      <c r="E77" s="60"/>
      <c r="F77" s="98" t="n">
        <f aca="false">+G77/Assum!$F$30</f>
        <v>470.704779652174</v>
      </c>
      <c r="G77" s="99" t="n">
        <f aca="false">SUM(G73:G76)</f>
        <v>10826.209932</v>
      </c>
      <c r="H77" s="22"/>
      <c r="I77" s="24"/>
      <c r="J77" s="24"/>
      <c r="K77" s="24"/>
      <c r="L77" s="24"/>
      <c r="M77" s="24"/>
      <c r="N77" s="24"/>
      <c r="O77" s="24"/>
      <c r="P77" s="24"/>
      <c r="Q77" s="24"/>
      <c r="R77" s="24"/>
      <c r="S77" s="24"/>
      <c r="T77" s="24"/>
      <c r="U77" s="24"/>
      <c r="V77" s="24"/>
      <c r="W77" s="24"/>
      <c r="X77" s="24"/>
      <c r="Y77" s="24"/>
      <c r="Z77" s="24"/>
      <c r="AA77" s="24"/>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c r="DO77" s="24"/>
      <c r="DP77" s="24"/>
      <c r="DQ77" s="24"/>
      <c r="DR77" s="24"/>
      <c r="DS77" s="24"/>
      <c r="DT77" s="24"/>
      <c r="DU77" s="24"/>
      <c r="DV77" s="24"/>
      <c r="DW77" s="24"/>
      <c r="DX77" s="24"/>
      <c r="DY77" s="24"/>
      <c r="DZ77" s="24"/>
      <c r="EA77" s="24"/>
      <c r="EB77" s="24"/>
      <c r="EC77" s="24"/>
      <c r="ED77" s="24"/>
      <c r="EE77" s="24"/>
      <c r="EF77" s="24"/>
      <c r="EG77" s="24"/>
      <c r="EH77" s="24"/>
      <c r="EI77" s="24"/>
      <c r="EJ77" s="24"/>
      <c r="EK77" s="24"/>
      <c r="EL77" s="24"/>
      <c r="EM77" s="24"/>
      <c r="EN77" s="3"/>
      <c r="EO77" s="3"/>
      <c r="EP77" s="3"/>
      <c r="EQ77" s="3"/>
      <c r="ER77" s="3"/>
      <c r="ES77" s="3"/>
      <c r="ET77" s="3"/>
      <c r="EU77" s="3"/>
      <c r="EV77" s="3"/>
      <c r="EW77" s="3"/>
      <c r="EX77" s="3"/>
      <c r="EY77" s="3"/>
      <c r="EZ77" s="3"/>
      <c r="FA77" s="3"/>
      <c r="FB77" s="3"/>
      <c r="FC77" s="3"/>
      <c r="FD77" s="3"/>
      <c r="FE77" s="3"/>
      <c r="FF77" s="3"/>
      <c r="FG77" s="3"/>
      <c r="FH77" s="3"/>
      <c r="FI77" s="3"/>
      <c r="FJ77" s="3"/>
      <c r="FK77" s="3"/>
      <c r="FL77" s="3"/>
      <c r="FM77" s="3"/>
      <c r="FN77" s="3"/>
      <c r="FO77" s="3"/>
      <c r="FP77" s="3"/>
      <c r="FQ77" s="3"/>
      <c r="FR77" s="3"/>
      <c r="FS77" s="3"/>
      <c r="FT77" s="3"/>
      <c r="FU77" s="3"/>
      <c r="FV77" s="3"/>
      <c r="FW77" s="3"/>
      <c r="FX77" s="3"/>
      <c r="FY77" s="3"/>
      <c r="FZ77" s="3"/>
      <c r="GA77" s="3"/>
      <c r="GB77" s="3"/>
      <c r="GC77" s="3"/>
      <c r="GD77" s="3"/>
      <c r="GE77" s="3"/>
      <c r="GF77" s="3"/>
      <c r="GG77" s="3"/>
      <c r="GH77" s="3"/>
      <c r="GI77" s="3"/>
      <c r="GJ77" s="3"/>
      <c r="GK77" s="3"/>
      <c r="GL77" s="3"/>
      <c r="GM77" s="3"/>
      <c r="GN77" s="3"/>
      <c r="GO77" s="3"/>
      <c r="GP77" s="3"/>
      <c r="GQ77" s="3"/>
      <c r="GR77" s="3"/>
      <c r="GS77" s="3"/>
      <c r="GT77" s="3"/>
      <c r="GU77" s="3"/>
      <c r="GV77" s="3"/>
      <c r="GW77" s="3"/>
      <c r="GX77" s="3"/>
      <c r="GY77" s="3"/>
      <c r="GZ77" s="3"/>
      <c r="HA77" s="3"/>
      <c r="HB77" s="3"/>
      <c r="HC77" s="3"/>
      <c r="HD77" s="3"/>
      <c r="HE77" s="3"/>
      <c r="HF77" s="3"/>
      <c r="HG77" s="3"/>
      <c r="HH77" s="3"/>
      <c r="HI77" s="3"/>
      <c r="HJ77" s="3"/>
      <c r="HK77" s="3"/>
      <c r="HL77" s="3"/>
      <c r="HM77" s="3"/>
      <c r="HN77" s="3"/>
      <c r="HO77" s="3"/>
      <c r="HP77" s="3"/>
      <c r="HQ77" s="3"/>
      <c r="HR77" s="3"/>
      <c r="HS77" s="3"/>
      <c r="HT77" s="3"/>
      <c r="HU77" s="3"/>
      <c r="HV77" s="3"/>
      <c r="HW77" s="3"/>
      <c r="HX77" s="3"/>
      <c r="HY77" s="3"/>
      <c r="HZ77" s="3"/>
      <c r="IA77" s="3"/>
      <c r="IB77" s="3"/>
      <c r="IC77" s="3"/>
      <c r="ID77" s="3"/>
      <c r="IE77" s="3"/>
      <c r="IF77" s="3"/>
      <c r="IG77" s="3"/>
      <c r="IH77" s="3"/>
      <c r="II77" s="3"/>
      <c r="IJ77" s="3"/>
      <c r="IK77" s="3"/>
      <c r="IL77" s="3"/>
      <c r="IM77" s="3"/>
      <c r="IN77" s="3"/>
      <c r="IO77" s="3"/>
      <c r="IP77" s="3"/>
      <c r="IQ77" s="3"/>
      <c r="IR77" s="3"/>
      <c r="IS77" s="3"/>
      <c r="IT77" s="3"/>
      <c r="IU77" s="3"/>
      <c r="IV77" s="3"/>
      <c r="IW77" s="3"/>
    </row>
    <row r="78" customFormat="false" ht="12.75" hidden="false" customHeight="false" outlineLevel="0" collapsed="false">
      <c r="A78" s="23"/>
      <c r="B78" s="22"/>
      <c r="C78" s="22"/>
      <c r="D78" s="22"/>
      <c r="E78" s="22"/>
      <c r="F78" s="100"/>
      <c r="G78" s="100"/>
      <c r="H78" s="22"/>
      <c r="I78" s="24"/>
      <c r="J78" s="24"/>
      <c r="K78" s="24"/>
      <c r="L78" s="24"/>
      <c r="M78" s="24"/>
      <c r="N78" s="24"/>
      <c r="O78" s="24"/>
      <c r="P78" s="24"/>
      <c r="Q78" s="24"/>
      <c r="R78" s="24"/>
      <c r="S78" s="24"/>
      <c r="T78" s="24"/>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c r="CE78" s="24"/>
      <c r="CF78" s="24"/>
      <c r="CG78" s="24"/>
      <c r="CH78" s="24"/>
      <c r="CI78" s="24"/>
      <c r="CJ78" s="24"/>
      <c r="CK78" s="24"/>
      <c r="CL78" s="24"/>
      <c r="CM78" s="24"/>
      <c r="CN78" s="24"/>
      <c r="CO78" s="24"/>
      <c r="CP78" s="24"/>
      <c r="CQ78" s="24"/>
      <c r="CR78" s="24"/>
      <c r="CS78" s="24"/>
      <c r="CT78" s="24"/>
      <c r="CU78" s="24"/>
      <c r="CV78" s="24"/>
      <c r="CW78" s="24"/>
      <c r="CX78" s="24"/>
      <c r="CY78" s="24"/>
      <c r="CZ78" s="24"/>
      <c r="DA78" s="24"/>
      <c r="DB78" s="24"/>
      <c r="DC78" s="24"/>
      <c r="DD78" s="24"/>
      <c r="DE78" s="24"/>
      <c r="DF78" s="24"/>
      <c r="DG78" s="24"/>
      <c r="DH78" s="24"/>
      <c r="DI78" s="24"/>
      <c r="DJ78" s="24"/>
      <c r="DK78" s="24"/>
      <c r="DL78" s="24"/>
      <c r="DM78" s="24"/>
      <c r="DN78" s="24"/>
      <c r="DO78" s="24"/>
      <c r="DP78" s="24"/>
      <c r="DQ78" s="24"/>
      <c r="DR78" s="24"/>
      <c r="DS78" s="24"/>
      <c r="DT78" s="24"/>
      <c r="DU78" s="24"/>
      <c r="DV78" s="24"/>
      <c r="DW78" s="24"/>
      <c r="DX78" s="24"/>
      <c r="DY78" s="24"/>
      <c r="DZ78" s="24"/>
      <c r="EA78" s="24"/>
      <c r="EB78" s="24"/>
      <c r="EC78" s="24"/>
      <c r="ED78" s="24"/>
      <c r="EE78" s="24"/>
      <c r="EF78" s="24"/>
      <c r="EG78" s="24"/>
      <c r="EH78" s="24"/>
      <c r="EI78" s="24"/>
      <c r="EJ78" s="24"/>
      <c r="EK78" s="24"/>
      <c r="EL78" s="24"/>
      <c r="EM78" s="24"/>
      <c r="EN78" s="3"/>
      <c r="EO78" s="3"/>
      <c r="EP78" s="3"/>
      <c r="EQ78" s="3"/>
      <c r="ER78" s="3"/>
      <c r="ES78" s="3"/>
      <c r="ET78" s="3"/>
      <c r="EU78" s="3"/>
      <c r="EV78" s="3"/>
      <c r="EW78" s="3"/>
      <c r="EX78" s="3"/>
      <c r="EY78" s="3"/>
      <c r="EZ78" s="3"/>
      <c r="FA78" s="3"/>
      <c r="FB78" s="3"/>
      <c r="FC78" s="3"/>
      <c r="FD78" s="3"/>
      <c r="FE78" s="3"/>
      <c r="FF78" s="3"/>
      <c r="FG78" s="3"/>
      <c r="FH78" s="3"/>
      <c r="FI78" s="3"/>
      <c r="FJ78" s="3"/>
      <c r="FK78" s="3"/>
      <c r="FL78" s="3"/>
      <c r="FM78" s="3"/>
      <c r="FN78" s="3"/>
      <c r="FO78" s="3"/>
      <c r="FP78" s="3"/>
      <c r="FQ78" s="3"/>
      <c r="FR78" s="3"/>
      <c r="FS78" s="3"/>
      <c r="FT78" s="3"/>
      <c r="FU78" s="3"/>
      <c r="FV78" s="3"/>
      <c r="FW78" s="3"/>
      <c r="FX78" s="3"/>
      <c r="FY78" s="3"/>
      <c r="FZ78" s="3"/>
      <c r="GA78" s="3"/>
      <c r="GB78" s="3"/>
      <c r="GC78" s="3"/>
      <c r="GD78" s="3"/>
      <c r="GE78" s="3"/>
      <c r="GF78" s="3"/>
      <c r="GG78" s="3"/>
      <c r="GH78" s="3"/>
      <c r="GI78" s="3"/>
      <c r="GJ78" s="3"/>
      <c r="GK78" s="3"/>
      <c r="GL78" s="3"/>
      <c r="GM78" s="3"/>
      <c r="GN78" s="3"/>
      <c r="GO78" s="3"/>
      <c r="GP78" s="3"/>
      <c r="GQ78" s="3"/>
      <c r="GR78" s="3"/>
      <c r="GS78" s="3"/>
      <c r="GT78" s="3"/>
      <c r="GU78" s="3"/>
      <c r="GV78" s="3"/>
      <c r="GW78" s="3"/>
      <c r="GX78" s="3"/>
      <c r="GY78" s="3"/>
      <c r="GZ78" s="3"/>
      <c r="HA78" s="3"/>
      <c r="HB78" s="3"/>
      <c r="HC78" s="3"/>
      <c r="HD78" s="3"/>
      <c r="HE78" s="3"/>
      <c r="HF78" s="3"/>
      <c r="HG78" s="3"/>
      <c r="HH78" s="3"/>
      <c r="HI78" s="3"/>
      <c r="HJ78" s="3"/>
      <c r="HK78" s="3"/>
      <c r="HL78" s="3"/>
      <c r="HM78" s="3"/>
      <c r="HN78" s="3"/>
      <c r="HO78" s="3"/>
      <c r="HP78" s="3"/>
      <c r="HQ78" s="3"/>
      <c r="HR78" s="3"/>
      <c r="HS78" s="3"/>
      <c r="HT78" s="3"/>
      <c r="HU78" s="3"/>
      <c r="HV78" s="3"/>
      <c r="HW78" s="3"/>
      <c r="HX78" s="3"/>
      <c r="HY78" s="3"/>
      <c r="HZ78" s="3"/>
      <c r="IA78" s="3"/>
      <c r="IB78" s="3"/>
      <c r="IC78" s="3"/>
      <c r="ID78" s="3"/>
      <c r="IE78" s="3"/>
      <c r="IF78" s="3"/>
      <c r="IG78" s="3"/>
      <c r="IH78" s="3"/>
      <c r="II78" s="3"/>
      <c r="IJ78" s="3"/>
      <c r="IK78" s="3"/>
      <c r="IL78" s="3"/>
      <c r="IM78" s="3"/>
      <c r="IN78" s="3"/>
      <c r="IO78" s="3"/>
      <c r="IP78" s="3"/>
      <c r="IQ78" s="3"/>
      <c r="IR78" s="3"/>
      <c r="IS78" s="3"/>
      <c r="IT78" s="3"/>
      <c r="IU78" s="3"/>
      <c r="IV78" s="3"/>
      <c r="IW78" s="3"/>
    </row>
    <row r="79" customFormat="false" ht="12.75" hidden="false" customHeight="false" outlineLevel="0" collapsed="false">
      <c r="A79" s="19"/>
      <c r="B79" s="101" t="s">
        <v>66</v>
      </c>
      <c r="C79" s="101"/>
      <c r="D79" s="18"/>
      <c r="E79" s="18"/>
      <c r="F79" s="102"/>
      <c r="G79" s="102"/>
      <c r="H79" s="18"/>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c r="BB79" s="20"/>
      <c r="BC79" s="20"/>
      <c r="BD79" s="20"/>
      <c r="BE79" s="20"/>
      <c r="BF79" s="20"/>
      <c r="BG79" s="20"/>
      <c r="BH79" s="20"/>
      <c r="BI79" s="20"/>
      <c r="BJ79" s="20"/>
      <c r="BK79" s="20"/>
      <c r="BL79" s="20"/>
      <c r="BM79" s="20"/>
      <c r="BN79" s="20"/>
      <c r="BO79" s="20"/>
      <c r="BP79" s="20"/>
      <c r="BQ79" s="20"/>
      <c r="BR79" s="20"/>
      <c r="BS79" s="20"/>
      <c r="BT79" s="20"/>
      <c r="BU79" s="20"/>
      <c r="BV79" s="20"/>
      <c r="BW79" s="20"/>
      <c r="BX79" s="20"/>
      <c r="BY79" s="20"/>
      <c r="BZ79" s="20"/>
      <c r="CA79" s="20"/>
      <c r="CB79" s="20"/>
      <c r="CC79" s="20"/>
      <c r="CD79" s="20"/>
      <c r="CE79" s="20"/>
      <c r="CF79" s="20"/>
      <c r="CG79" s="20"/>
      <c r="CH79" s="20"/>
      <c r="CI79" s="20"/>
      <c r="CJ79" s="20"/>
      <c r="CK79" s="20"/>
      <c r="CL79" s="20"/>
      <c r="CM79" s="20"/>
      <c r="CN79" s="20"/>
      <c r="CO79" s="20"/>
      <c r="CP79" s="20"/>
      <c r="CQ79" s="20"/>
      <c r="CR79" s="20"/>
      <c r="CS79" s="20"/>
      <c r="CT79" s="20"/>
      <c r="CU79" s="20"/>
      <c r="CV79" s="20"/>
      <c r="CW79" s="20"/>
      <c r="CX79" s="20"/>
      <c r="CY79" s="20"/>
      <c r="CZ79" s="20"/>
      <c r="DA79" s="20"/>
      <c r="DB79" s="20"/>
      <c r="DC79" s="20"/>
      <c r="DD79" s="20"/>
      <c r="DE79" s="20"/>
      <c r="DF79" s="20"/>
      <c r="DG79" s="20"/>
      <c r="DH79" s="20"/>
      <c r="DI79" s="20"/>
      <c r="DJ79" s="20"/>
      <c r="DK79" s="20"/>
      <c r="DL79" s="20"/>
      <c r="DM79" s="20"/>
      <c r="DN79" s="20"/>
      <c r="DO79" s="20"/>
      <c r="DP79" s="20"/>
      <c r="DQ79" s="20"/>
      <c r="DR79" s="20"/>
      <c r="DS79" s="20"/>
      <c r="DT79" s="20"/>
      <c r="DU79" s="20"/>
      <c r="DV79" s="20"/>
      <c r="DW79" s="20"/>
      <c r="DX79" s="20"/>
      <c r="DY79" s="20"/>
      <c r="DZ79" s="20"/>
      <c r="EA79" s="20"/>
      <c r="EB79" s="20"/>
      <c r="EC79" s="20"/>
      <c r="ED79" s="20"/>
      <c r="EE79" s="20"/>
      <c r="EF79" s="20"/>
      <c r="EG79" s="20"/>
      <c r="EH79" s="20"/>
      <c r="EI79" s="20"/>
      <c r="EJ79" s="20"/>
      <c r="EK79" s="20"/>
      <c r="EL79" s="20"/>
      <c r="EM79" s="20"/>
      <c r="EN79" s="103"/>
      <c r="EO79" s="103"/>
      <c r="EP79" s="103"/>
      <c r="EQ79" s="103"/>
      <c r="ER79" s="103"/>
      <c r="ES79" s="103"/>
      <c r="ET79" s="103"/>
      <c r="EU79" s="103"/>
      <c r="EV79" s="103"/>
      <c r="EW79" s="103"/>
      <c r="EX79" s="103"/>
      <c r="EY79" s="103"/>
      <c r="EZ79" s="103"/>
      <c r="FA79" s="103"/>
      <c r="FB79" s="103"/>
      <c r="FC79" s="103"/>
      <c r="FD79" s="103"/>
      <c r="FE79" s="103"/>
      <c r="FF79" s="103"/>
      <c r="FG79" s="103"/>
      <c r="FH79" s="103"/>
      <c r="FI79" s="103"/>
      <c r="FJ79" s="103"/>
      <c r="FK79" s="103"/>
      <c r="FL79" s="103"/>
      <c r="FM79" s="103"/>
      <c r="FN79" s="103"/>
      <c r="FO79" s="103"/>
      <c r="FP79" s="103"/>
      <c r="FQ79" s="103"/>
      <c r="FR79" s="103"/>
      <c r="FS79" s="103"/>
      <c r="FT79" s="103"/>
      <c r="FU79" s="103"/>
      <c r="FV79" s="103"/>
      <c r="FW79" s="103"/>
      <c r="FX79" s="103"/>
      <c r="FY79" s="103"/>
      <c r="FZ79" s="103"/>
      <c r="GA79" s="103"/>
      <c r="GB79" s="103"/>
      <c r="GC79" s="103"/>
      <c r="GD79" s="103"/>
      <c r="GE79" s="103"/>
      <c r="GF79" s="103"/>
      <c r="GG79" s="103"/>
      <c r="GH79" s="103"/>
      <c r="GI79" s="103"/>
      <c r="GJ79" s="103"/>
      <c r="GK79" s="103"/>
      <c r="GL79" s="103"/>
      <c r="GM79" s="103"/>
      <c r="GN79" s="103"/>
      <c r="GO79" s="103"/>
      <c r="GP79" s="103"/>
      <c r="GQ79" s="103"/>
      <c r="GR79" s="103"/>
      <c r="GS79" s="103"/>
      <c r="GT79" s="103"/>
      <c r="GU79" s="103"/>
      <c r="GV79" s="103"/>
      <c r="GW79" s="103"/>
      <c r="GX79" s="103"/>
      <c r="GY79" s="103"/>
      <c r="GZ79" s="103"/>
      <c r="HA79" s="103"/>
      <c r="HB79" s="103"/>
      <c r="HC79" s="103"/>
      <c r="HD79" s="103"/>
      <c r="HE79" s="103"/>
      <c r="HF79" s="103"/>
      <c r="HG79" s="103"/>
      <c r="HH79" s="103"/>
      <c r="HI79" s="103"/>
      <c r="HJ79" s="103"/>
      <c r="HK79" s="103"/>
      <c r="HL79" s="103"/>
      <c r="HM79" s="103"/>
      <c r="HN79" s="103"/>
      <c r="HO79" s="103"/>
      <c r="HP79" s="103"/>
      <c r="HQ79" s="103"/>
      <c r="HR79" s="103"/>
      <c r="HS79" s="103"/>
      <c r="HT79" s="103"/>
      <c r="HU79" s="103"/>
      <c r="HV79" s="103"/>
      <c r="HW79" s="103"/>
      <c r="HX79" s="103"/>
      <c r="HY79" s="103"/>
      <c r="HZ79" s="103"/>
      <c r="IA79" s="103"/>
      <c r="IB79" s="103"/>
      <c r="IC79" s="103"/>
      <c r="ID79" s="103"/>
      <c r="IE79" s="103"/>
      <c r="IF79" s="103"/>
      <c r="IG79" s="103"/>
      <c r="IH79" s="103"/>
      <c r="II79" s="103"/>
      <c r="IJ79" s="103"/>
      <c r="IK79" s="103"/>
      <c r="IL79" s="103"/>
      <c r="IM79" s="103"/>
      <c r="IN79" s="103"/>
      <c r="IO79" s="103"/>
      <c r="IP79" s="103"/>
      <c r="IQ79" s="103"/>
      <c r="IR79" s="103"/>
      <c r="IS79" s="103"/>
      <c r="IT79" s="103"/>
      <c r="IU79" s="103"/>
      <c r="IV79" s="103"/>
      <c r="IW79" s="103"/>
    </row>
    <row r="80" customFormat="false" ht="12.75" hidden="false" customHeight="false" outlineLevel="0" collapsed="false">
      <c r="A80" s="23"/>
      <c r="B80" s="22"/>
      <c r="C80" s="22"/>
      <c r="D80" s="22"/>
      <c r="E80" s="22"/>
      <c r="F80" s="100"/>
      <c r="G80" s="100"/>
      <c r="H80" s="22"/>
      <c r="I80" s="24"/>
      <c r="J80" s="24"/>
      <c r="K80" s="104" t="s">
        <v>67</v>
      </c>
      <c r="L80" s="24"/>
      <c r="M80" s="24"/>
      <c r="N80" s="24"/>
      <c r="O80" s="24"/>
      <c r="P80" s="24"/>
      <c r="Q80" s="24"/>
      <c r="R80" s="24"/>
      <c r="S80" s="24"/>
      <c r="T80" s="24"/>
      <c r="U80" s="24"/>
      <c r="V80" s="24"/>
      <c r="W80" s="24"/>
      <c r="X80" s="24"/>
      <c r="Y80" s="24"/>
      <c r="Z80" s="24"/>
      <c r="AA80" s="24"/>
      <c r="AB80" s="24"/>
      <c r="AC80" s="24"/>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c r="CE80" s="24"/>
      <c r="CF80" s="24"/>
      <c r="CG80" s="24"/>
      <c r="CH80" s="24"/>
      <c r="CI80" s="24"/>
      <c r="CJ80" s="24"/>
      <c r="CK80" s="24"/>
      <c r="CL80" s="24"/>
      <c r="CM80" s="24"/>
      <c r="CN80" s="24"/>
      <c r="CO80" s="24"/>
      <c r="CP80" s="24"/>
      <c r="CQ80" s="24"/>
      <c r="CR80" s="24"/>
      <c r="CS80" s="24"/>
      <c r="CT80" s="24"/>
      <c r="CU80" s="24"/>
      <c r="CV80" s="24"/>
      <c r="CW80" s="24"/>
      <c r="CX80" s="24"/>
      <c r="CY80" s="24"/>
      <c r="CZ80" s="24"/>
      <c r="DA80" s="24"/>
      <c r="DB80" s="24"/>
      <c r="DC80" s="24"/>
      <c r="DD80" s="24"/>
      <c r="DE80" s="24"/>
      <c r="DF80" s="24"/>
      <c r="DG80" s="24"/>
      <c r="DH80" s="24"/>
      <c r="DI80" s="24"/>
      <c r="DJ80" s="24"/>
      <c r="DK80" s="24"/>
      <c r="DL80" s="24"/>
      <c r="DM80" s="24"/>
      <c r="DN80" s="24"/>
      <c r="DO80" s="24"/>
      <c r="DP80" s="24"/>
      <c r="DQ80" s="24"/>
      <c r="DR80" s="24"/>
      <c r="DS80" s="24"/>
      <c r="DT80" s="24"/>
      <c r="DU80" s="24"/>
      <c r="DV80" s="24"/>
      <c r="DW80" s="24"/>
      <c r="DX80" s="24"/>
      <c r="DY80" s="24"/>
      <c r="DZ80" s="24"/>
      <c r="EA80" s="24"/>
      <c r="EB80" s="24"/>
      <c r="EC80" s="24"/>
      <c r="ED80" s="24"/>
      <c r="EE80" s="24"/>
      <c r="EF80" s="24"/>
      <c r="EG80" s="24"/>
      <c r="EH80" s="24"/>
      <c r="EI80" s="24"/>
      <c r="EJ80" s="24"/>
      <c r="EK80" s="24"/>
      <c r="EL80" s="24"/>
      <c r="EM80" s="24"/>
      <c r="EN80" s="3"/>
      <c r="EO80" s="3"/>
      <c r="EP80" s="3"/>
      <c r="EQ80" s="3"/>
      <c r="ER80" s="3"/>
      <c r="ES80" s="3"/>
      <c r="ET80" s="3"/>
      <c r="EU80" s="3"/>
      <c r="EV80" s="3"/>
      <c r="EW80" s="3"/>
      <c r="EX80" s="3"/>
      <c r="EY80" s="3"/>
      <c r="EZ80" s="3"/>
      <c r="FA80" s="3"/>
      <c r="FB80" s="3"/>
      <c r="FC80" s="3"/>
      <c r="FD80" s="3"/>
      <c r="FE80" s="3"/>
      <c r="FF80" s="3"/>
      <c r="FG80" s="3"/>
      <c r="FH80" s="3"/>
      <c r="FI80" s="3"/>
      <c r="FJ80" s="3"/>
      <c r="FK80" s="3"/>
      <c r="FL80" s="3"/>
      <c r="FM80" s="3"/>
      <c r="FN80" s="3"/>
      <c r="FO80" s="3"/>
      <c r="FP80" s="3"/>
      <c r="FQ80" s="3"/>
      <c r="FR80" s="3"/>
      <c r="FS80" s="3"/>
      <c r="FT80" s="3"/>
      <c r="FU80" s="3"/>
      <c r="FV80" s="3"/>
      <c r="FW80" s="3"/>
      <c r="FX80" s="3"/>
      <c r="FY80" s="3"/>
      <c r="FZ80" s="3"/>
      <c r="GA80" s="3"/>
      <c r="GB80" s="3"/>
      <c r="GC80" s="3"/>
      <c r="GD80" s="3"/>
      <c r="GE80" s="3"/>
      <c r="GF80" s="3"/>
      <c r="GG80" s="3"/>
      <c r="GH80" s="3"/>
      <c r="GI80" s="3"/>
      <c r="GJ80" s="3"/>
      <c r="GK80" s="3"/>
      <c r="GL80" s="3"/>
      <c r="GM80" s="3"/>
      <c r="GN80" s="3"/>
      <c r="GO80" s="3"/>
      <c r="GP80" s="3"/>
      <c r="GQ80" s="3"/>
      <c r="GR80" s="3"/>
      <c r="GS80" s="3"/>
      <c r="GT80" s="3"/>
      <c r="GU80" s="3"/>
      <c r="GV80" s="3"/>
      <c r="GW80" s="3"/>
      <c r="GX80" s="3"/>
      <c r="GY80" s="3"/>
      <c r="GZ80" s="3"/>
      <c r="HA80" s="3"/>
      <c r="HB80" s="3"/>
      <c r="HC80" s="3"/>
      <c r="HD80" s="3"/>
      <c r="HE80" s="3"/>
      <c r="HF80" s="3"/>
      <c r="HG80" s="3"/>
      <c r="HH80" s="3"/>
      <c r="HI80" s="3"/>
      <c r="HJ80" s="3"/>
      <c r="HK80" s="3"/>
      <c r="HL80" s="3"/>
      <c r="HM80" s="3"/>
      <c r="HN80" s="3"/>
      <c r="HO80" s="3"/>
      <c r="HP80" s="3"/>
      <c r="HQ80" s="3"/>
      <c r="HR80" s="3"/>
      <c r="HS80" s="3"/>
      <c r="HT80" s="3"/>
      <c r="HU80" s="3"/>
      <c r="HV80" s="3"/>
      <c r="HW80" s="3"/>
      <c r="HX80" s="3"/>
      <c r="HY80" s="3"/>
      <c r="HZ80" s="3"/>
      <c r="IA80" s="3"/>
      <c r="IB80" s="3"/>
      <c r="IC80" s="3"/>
      <c r="ID80" s="3"/>
      <c r="IE80" s="3"/>
      <c r="IF80" s="3"/>
      <c r="IG80" s="3"/>
      <c r="IH80" s="3"/>
      <c r="II80" s="3"/>
      <c r="IJ80" s="3"/>
      <c r="IK80" s="3"/>
      <c r="IL80" s="3"/>
      <c r="IM80" s="3"/>
      <c r="IN80" s="3"/>
      <c r="IO80" s="3"/>
      <c r="IP80" s="3"/>
      <c r="IQ80" s="3"/>
      <c r="IR80" s="3"/>
      <c r="IS80" s="3"/>
      <c r="IT80" s="3"/>
      <c r="IU80" s="3"/>
      <c r="IV80" s="3"/>
      <c r="IW80" s="3"/>
    </row>
    <row r="81" customFormat="false" ht="12.75" hidden="false" customHeight="false" outlineLevel="0" collapsed="false">
      <c r="A81" s="23"/>
      <c r="B81" s="82" t="s">
        <v>68</v>
      </c>
      <c r="C81" s="82"/>
      <c r="D81" s="23"/>
      <c r="E81" s="23"/>
      <c r="F81" s="3"/>
      <c r="G81" s="105" t="n">
        <v>0</v>
      </c>
      <c r="H81" s="106" t="s">
        <v>69</v>
      </c>
      <c r="I81" s="58" t="n">
        <f aca="false">EWCSum!L25</f>
        <v>0.13</v>
      </c>
      <c r="J81" s="24"/>
      <c r="K81" s="107" t="n">
        <f aca="false">G88+G81+G76+F36+F26</f>
        <v>-69.9631779608549</v>
      </c>
      <c r="L81" s="24"/>
      <c r="M81" s="24"/>
      <c r="N81" s="24"/>
      <c r="O81" s="24"/>
      <c r="P81" s="24"/>
      <c r="Q81" s="24"/>
      <c r="R81" s="24"/>
      <c r="S81" s="24"/>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c r="BH81" s="24"/>
      <c r="BI81" s="24"/>
      <c r="BJ81" s="24"/>
      <c r="BK81" s="24"/>
      <c r="BL81" s="24"/>
      <c r="BM81" s="24"/>
      <c r="BN81" s="24"/>
      <c r="BO81" s="24"/>
      <c r="BP81" s="24"/>
      <c r="BQ81" s="24"/>
      <c r="BR81" s="24"/>
      <c r="BS81" s="24"/>
      <c r="BT81" s="24"/>
      <c r="BU81" s="24"/>
      <c r="BV81" s="24"/>
      <c r="BW81" s="24"/>
      <c r="BX81" s="24"/>
      <c r="BY81" s="24"/>
      <c r="BZ81" s="24"/>
      <c r="CA81" s="24"/>
      <c r="CB81" s="24"/>
      <c r="CC81" s="24"/>
      <c r="CD81" s="24"/>
      <c r="CE81" s="24"/>
      <c r="CF81" s="24"/>
      <c r="CG81" s="24"/>
      <c r="CH81" s="24"/>
      <c r="CI81" s="24"/>
      <c r="CJ81" s="24"/>
      <c r="CK81" s="24"/>
      <c r="CL81" s="24"/>
      <c r="CM81" s="24"/>
      <c r="CN81" s="24"/>
      <c r="CO81" s="24"/>
      <c r="CP81" s="24"/>
      <c r="CQ81" s="24"/>
      <c r="CR81" s="24"/>
      <c r="CS81" s="24"/>
      <c r="CT81" s="24"/>
      <c r="CU81" s="24"/>
      <c r="CV81" s="24"/>
      <c r="CW81" s="24"/>
      <c r="CX81" s="24"/>
      <c r="CY81" s="24"/>
      <c r="CZ81" s="24"/>
      <c r="DA81" s="24"/>
      <c r="DB81" s="24"/>
      <c r="DC81" s="24"/>
      <c r="DD81" s="24"/>
      <c r="DE81" s="24"/>
      <c r="DF81" s="24"/>
      <c r="DG81" s="24"/>
      <c r="DH81" s="24"/>
      <c r="DI81" s="24"/>
      <c r="DJ81" s="24"/>
      <c r="DK81" s="24"/>
      <c r="DL81" s="24"/>
      <c r="DM81" s="24"/>
      <c r="DN81" s="24"/>
      <c r="DO81" s="24"/>
      <c r="DP81" s="24"/>
      <c r="DQ81" s="24"/>
      <c r="DR81" s="24"/>
      <c r="DS81" s="24"/>
      <c r="DT81" s="24"/>
      <c r="DU81" s="24"/>
      <c r="DV81" s="24"/>
      <c r="DW81" s="24"/>
      <c r="DX81" s="24"/>
      <c r="DY81" s="24"/>
      <c r="DZ81" s="24"/>
      <c r="EA81" s="24"/>
      <c r="EB81" s="24"/>
      <c r="EC81" s="24"/>
      <c r="ED81" s="24"/>
      <c r="EE81" s="24"/>
      <c r="EF81" s="24"/>
      <c r="EG81" s="24"/>
      <c r="EH81" s="24"/>
      <c r="EI81" s="24"/>
      <c r="EJ81" s="24"/>
      <c r="EK81" s="24"/>
      <c r="EL81" s="24"/>
      <c r="EM81" s="24"/>
      <c r="EN81" s="3"/>
      <c r="EO81" s="3"/>
      <c r="EP81" s="3"/>
      <c r="EQ81" s="3"/>
      <c r="ER81" s="3"/>
      <c r="ES81" s="3"/>
      <c r="ET81" s="3"/>
      <c r="EU81" s="3"/>
      <c r="EV81" s="3"/>
      <c r="EW81" s="3"/>
      <c r="EX81" s="3"/>
      <c r="EY81" s="3"/>
      <c r="EZ81" s="3"/>
      <c r="FA81" s="3"/>
      <c r="FB81" s="3"/>
      <c r="FC81" s="3"/>
      <c r="FD81" s="3"/>
      <c r="FE81" s="3"/>
      <c r="FF81" s="3"/>
      <c r="FG81" s="3"/>
      <c r="FH81" s="3"/>
      <c r="FI81" s="3"/>
      <c r="FJ81" s="3"/>
      <c r="FK81" s="3"/>
      <c r="FL81" s="3"/>
      <c r="FM81" s="3"/>
      <c r="FN81" s="3"/>
      <c r="FO81" s="3"/>
      <c r="FP81" s="3"/>
      <c r="FQ81" s="3"/>
      <c r="FR81" s="3"/>
      <c r="FS81" s="3"/>
      <c r="FT81" s="3"/>
      <c r="FU81" s="3"/>
      <c r="FV81" s="3"/>
      <c r="FW81" s="3"/>
      <c r="FX81" s="3"/>
      <c r="FY81" s="3"/>
      <c r="FZ81" s="3"/>
      <c r="GA81" s="3"/>
      <c r="GB81" s="3"/>
      <c r="GC81" s="3"/>
      <c r="GD81" s="3"/>
      <c r="GE81" s="3"/>
      <c r="GF81" s="3"/>
      <c r="GG81" s="3"/>
      <c r="GH81" s="3"/>
      <c r="GI81" s="3"/>
      <c r="GJ81" s="3"/>
      <c r="GK81" s="3"/>
      <c r="GL81" s="3"/>
      <c r="GM81" s="3"/>
      <c r="GN81" s="3"/>
      <c r="GO81" s="3"/>
      <c r="GP81" s="3"/>
      <c r="GQ81" s="3"/>
      <c r="GR81" s="3"/>
      <c r="GS81" s="3"/>
      <c r="GT81" s="3"/>
      <c r="GU81" s="3"/>
      <c r="GV81" s="3"/>
      <c r="GW81" s="3"/>
      <c r="GX81" s="3"/>
      <c r="GY81" s="3"/>
      <c r="GZ81" s="3"/>
      <c r="HA81" s="3"/>
      <c r="HB81" s="3"/>
      <c r="HC81" s="3"/>
      <c r="HD81" s="3"/>
      <c r="HE81" s="3"/>
      <c r="HF81" s="3"/>
      <c r="HG81" s="3"/>
      <c r="HH81" s="3"/>
      <c r="HI81" s="3"/>
      <c r="HJ81" s="3"/>
      <c r="HK81" s="3"/>
      <c r="HL81" s="3"/>
      <c r="HM81" s="3"/>
      <c r="HN81" s="3"/>
      <c r="HO81" s="3"/>
      <c r="HP81" s="3"/>
      <c r="HQ81" s="3"/>
      <c r="HR81" s="3"/>
      <c r="HS81" s="3"/>
      <c r="HT81" s="3"/>
      <c r="HU81" s="3"/>
      <c r="HV81" s="3"/>
      <c r="HW81" s="3"/>
      <c r="HX81" s="3"/>
      <c r="HY81" s="3"/>
      <c r="HZ81" s="3"/>
      <c r="IA81" s="3"/>
      <c r="IB81" s="3"/>
      <c r="IC81" s="3"/>
      <c r="ID81" s="3"/>
      <c r="IE81" s="3"/>
      <c r="IF81" s="3"/>
      <c r="IG81" s="3"/>
      <c r="IH81" s="3"/>
      <c r="II81" s="3"/>
      <c r="IJ81" s="3"/>
      <c r="IK81" s="3"/>
      <c r="IL81" s="3"/>
      <c r="IM81" s="3"/>
      <c r="IN81" s="3"/>
      <c r="IO81" s="3"/>
      <c r="IP81" s="3"/>
      <c r="IQ81" s="3"/>
      <c r="IR81" s="3"/>
      <c r="IS81" s="3"/>
      <c r="IT81" s="3"/>
      <c r="IU81" s="3"/>
      <c r="IV81" s="3"/>
      <c r="IW81" s="3"/>
    </row>
    <row r="83" customFormat="false" ht="12.75" hidden="false" customHeight="false" outlineLevel="0" collapsed="false">
      <c r="B83" s="108" t="s">
        <v>70</v>
      </c>
      <c r="C83" s="108"/>
      <c r="D83" s="108"/>
      <c r="E83" s="108"/>
      <c r="G83" s="109" t="n">
        <v>550</v>
      </c>
      <c r="H83" s="106" t="s">
        <v>69</v>
      </c>
    </row>
    <row r="84" customFormat="false" ht="12.75" hidden="false" customHeight="false" outlineLevel="0" collapsed="false">
      <c r="B84" s="108" t="s">
        <v>71</v>
      </c>
      <c r="C84" s="108"/>
      <c r="D84" s="108"/>
      <c r="E84" s="108"/>
      <c r="G84" s="59" t="n">
        <f aca="false">Srcs_Uses!E10-SUM(F93:F111)-SUM(Srcs_Uses!E16:E32)</f>
        <v>-2039.25822796086</v>
      </c>
      <c r="H84" s="108"/>
    </row>
    <row r="86" customFormat="false" ht="12.75" hidden="false" customHeight="false" outlineLevel="0" collapsed="false">
      <c r="B86" s="0" t="s">
        <v>72</v>
      </c>
      <c r="G86" s="110" t="n">
        <v>1</v>
      </c>
      <c r="H86" s="0" t="s">
        <v>73</v>
      </c>
    </row>
    <row r="87" customFormat="false" ht="12.75" hidden="false" customHeight="false" outlineLevel="0" collapsed="false">
      <c r="G87" s="108"/>
    </row>
    <row r="88" customFormat="false" ht="12.75" hidden="false" customHeight="false" outlineLevel="0" collapsed="false">
      <c r="A88" s="111"/>
      <c r="B88" s="112" t="s">
        <v>74</v>
      </c>
      <c r="C88" s="112"/>
      <c r="D88" s="111"/>
      <c r="E88" s="111"/>
      <c r="F88" s="1"/>
      <c r="G88" s="113" t="n">
        <f aca="false">IF(G86=1,G84,G83)</f>
        <v>-2039.25822796086</v>
      </c>
      <c r="H88" s="49"/>
      <c r="I88" s="111"/>
      <c r="J88" s="114"/>
      <c r="K88" s="114"/>
      <c r="L88" s="111"/>
      <c r="M88" s="111"/>
      <c r="N88" s="111"/>
      <c r="O88" s="111"/>
      <c r="P88" s="111"/>
      <c r="Q88" s="111"/>
      <c r="R88" s="111"/>
      <c r="S88" s="111"/>
      <c r="T88" s="111"/>
      <c r="U88" s="111"/>
      <c r="V88" s="111"/>
      <c r="W88" s="111"/>
      <c r="X88" s="111"/>
      <c r="Y88" s="111"/>
      <c r="Z88" s="111"/>
      <c r="AA88" s="111"/>
      <c r="AB88" s="111"/>
      <c r="AC88" s="111"/>
      <c r="AD88" s="111"/>
      <c r="AE88" s="111"/>
      <c r="AF88" s="111"/>
      <c r="AG88" s="111"/>
      <c r="AH88" s="111"/>
      <c r="AI88" s="111"/>
      <c r="AJ88" s="111"/>
      <c r="AK88" s="111"/>
      <c r="AL88" s="111"/>
      <c r="AM88" s="111"/>
      <c r="AN88" s="111"/>
      <c r="AO88" s="111"/>
      <c r="AP88" s="111"/>
      <c r="AQ88" s="111"/>
      <c r="AR88" s="111"/>
      <c r="AS88" s="111"/>
      <c r="AT88" s="111"/>
      <c r="AU88" s="111"/>
      <c r="AV88" s="111"/>
      <c r="AW88" s="111"/>
      <c r="AX88" s="111"/>
      <c r="AY88" s="111"/>
      <c r="AZ88" s="111"/>
      <c r="BA88" s="111"/>
      <c r="BB88" s="111"/>
      <c r="BC88" s="111"/>
      <c r="BD88" s="111"/>
      <c r="BE88" s="111"/>
      <c r="BF88" s="111"/>
      <c r="BG88" s="111"/>
      <c r="BH88" s="111"/>
      <c r="BI88" s="111"/>
      <c r="BJ88" s="111"/>
      <c r="BK88" s="111"/>
      <c r="BL88" s="111"/>
      <c r="BM88" s="111"/>
      <c r="BN88" s="111"/>
      <c r="BO88" s="111"/>
      <c r="BP88" s="111"/>
      <c r="BQ88" s="111"/>
      <c r="BR88" s="111"/>
      <c r="BS88" s="111"/>
      <c r="BT88" s="111"/>
      <c r="BU88" s="111"/>
      <c r="BV88" s="111"/>
      <c r="BW88" s="111"/>
      <c r="BX88" s="111"/>
      <c r="BY88" s="111"/>
      <c r="BZ88" s="111"/>
      <c r="CA88" s="111"/>
      <c r="CB88" s="111"/>
      <c r="CC88" s="111"/>
      <c r="CD88" s="111"/>
      <c r="CE88" s="111"/>
      <c r="CF88" s="111"/>
      <c r="CG88" s="111"/>
      <c r="CH88" s="111"/>
      <c r="CI88" s="111"/>
      <c r="CJ88" s="111"/>
      <c r="CK88" s="111"/>
      <c r="CL88" s="111"/>
      <c r="CM88" s="111"/>
      <c r="CN88" s="111"/>
      <c r="CO88" s="111"/>
      <c r="CP88" s="111"/>
      <c r="CQ88" s="111"/>
      <c r="CR88" s="111"/>
      <c r="CS88" s="111"/>
      <c r="CT88" s="111"/>
      <c r="CU88" s="111"/>
      <c r="CV88" s="111"/>
      <c r="CW88" s="111"/>
      <c r="CX88" s="111"/>
      <c r="CY88" s="111"/>
      <c r="CZ88" s="111"/>
      <c r="DA88" s="111"/>
      <c r="DB88" s="111"/>
      <c r="DC88" s="111"/>
      <c r="DD88" s="111"/>
      <c r="DE88" s="111"/>
      <c r="DF88" s="111"/>
      <c r="DG88" s="111"/>
      <c r="DH88" s="111"/>
      <c r="DI88" s="111"/>
      <c r="DJ88" s="111"/>
      <c r="DK88" s="111"/>
      <c r="DL88" s="111"/>
      <c r="DM88" s="111"/>
      <c r="DN88" s="111"/>
      <c r="DO88" s="111"/>
      <c r="DP88" s="111"/>
      <c r="DQ88" s="111"/>
      <c r="DR88" s="111"/>
      <c r="DS88" s="111"/>
      <c r="DT88" s="111"/>
      <c r="DU88" s="111"/>
      <c r="DV88" s="111"/>
      <c r="DW88" s="111"/>
      <c r="DX88" s="111"/>
      <c r="DY88" s="111"/>
      <c r="DZ88" s="111"/>
      <c r="EA88" s="111"/>
      <c r="EB88" s="111"/>
      <c r="EC88" s="111"/>
      <c r="ED88" s="111"/>
      <c r="EE88" s="111"/>
      <c r="EF88" s="111"/>
      <c r="EG88" s="111"/>
      <c r="EH88" s="111"/>
      <c r="EI88" s="111"/>
      <c r="EJ88" s="111"/>
      <c r="EK88" s="111"/>
      <c r="EL88" s="111"/>
      <c r="EM88" s="11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row>
    <row r="89" customFormat="false" ht="12.75" hidden="false" customHeight="false" outlineLevel="0" collapsed="false">
      <c r="A89" s="111"/>
      <c r="H89" s="49"/>
      <c r="I89" s="111"/>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c r="DK89" s="114"/>
      <c r="DL89" s="114"/>
      <c r="DM89" s="114"/>
      <c r="DN89" s="114"/>
      <c r="DO89" s="114"/>
      <c r="DP89" s="114"/>
      <c r="DQ89" s="114"/>
      <c r="DR89" s="114"/>
      <c r="DS89" s="114"/>
      <c r="DT89" s="114"/>
      <c r="DU89" s="114"/>
      <c r="DV89" s="114"/>
      <c r="DW89" s="114"/>
      <c r="DX89" s="114"/>
      <c r="DY89" s="114"/>
      <c r="DZ89" s="114"/>
      <c r="EA89" s="114"/>
      <c r="EB89" s="114"/>
      <c r="EC89" s="114"/>
      <c r="ED89" s="114"/>
      <c r="EE89" s="114"/>
      <c r="EF89" s="114"/>
      <c r="EG89" s="114"/>
      <c r="EH89" s="114"/>
      <c r="EI89" s="114"/>
      <c r="EJ89" s="114"/>
      <c r="EK89" s="114"/>
      <c r="EL89" s="114"/>
      <c r="EM89" s="114"/>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row>
    <row r="90" customFormat="false" ht="12.75" hidden="false" customHeight="false" outlineLevel="0" collapsed="false">
      <c r="A90" s="17"/>
      <c r="B90" s="43" t="s">
        <v>75</v>
      </c>
      <c r="C90" s="43"/>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c r="CK90" s="17"/>
      <c r="CL90" s="17"/>
      <c r="CM90" s="17"/>
      <c r="CN90" s="17"/>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17"/>
      <c r="DR90" s="17"/>
      <c r="DS90" s="17"/>
      <c r="DT90" s="17"/>
      <c r="DU90" s="17"/>
      <c r="DV90" s="17"/>
      <c r="DW90" s="17"/>
      <c r="DX90" s="17"/>
      <c r="DY90" s="17"/>
      <c r="DZ90" s="17"/>
      <c r="EA90" s="17"/>
      <c r="EB90" s="17"/>
      <c r="EC90" s="17"/>
      <c r="ED90" s="17"/>
      <c r="EE90" s="17"/>
      <c r="EF90" s="17"/>
      <c r="EG90" s="17"/>
      <c r="EH90" s="17"/>
      <c r="EI90" s="17"/>
      <c r="EJ90" s="17"/>
      <c r="EK90" s="17"/>
      <c r="EL90" s="17"/>
      <c r="EM90" s="17"/>
      <c r="EN90" s="17"/>
      <c r="EO90" s="17"/>
      <c r="EP90" s="17"/>
      <c r="EQ90" s="17"/>
      <c r="ER90" s="17"/>
      <c r="ES90" s="17"/>
      <c r="ET90" s="17"/>
      <c r="EU90" s="17"/>
      <c r="EV90" s="17"/>
      <c r="EW90" s="17"/>
      <c r="EX90" s="17"/>
      <c r="EY90" s="17"/>
      <c r="EZ90" s="17"/>
      <c r="FA90" s="17"/>
      <c r="FB90" s="17"/>
      <c r="FC90" s="17"/>
      <c r="FD90" s="17"/>
      <c r="FE90" s="17"/>
      <c r="FF90" s="17"/>
      <c r="FG90" s="17"/>
      <c r="FH90" s="17"/>
      <c r="FI90" s="17"/>
      <c r="FJ90" s="17"/>
      <c r="FK90" s="17"/>
      <c r="FL90" s="17"/>
      <c r="FM90" s="17"/>
      <c r="FN90" s="17"/>
      <c r="FO90" s="17"/>
      <c r="FP90" s="17"/>
      <c r="FQ90" s="17"/>
      <c r="FR90" s="17"/>
      <c r="FS90" s="17"/>
      <c r="FT90" s="17"/>
      <c r="FU90" s="17"/>
      <c r="FV90" s="17"/>
      <c r="FW90" s="17"/>
      <c r="FX90" s="17"/>
      <c r="FY90" s="17"/>
      <c r="FZ90" s="17"/>
      <c r="GA90" s="17"/>
      <c r="GB90" s="17"/>
      <c r="GC90" s="17"/>
      <c r="GD90" s="17"/>
      <c r="GE90" s="17"/>
      <c r="GF90" s="17"/>
      <c r="GG90" s="17"/>
      <c r="GH90" s="17"/>
      <c r="GI90" s="17"/>
      <c r="GJ90" s="17"/>
      <c r="GK90" s="17"/>
      <c r="GL90" s="17"/>
      <c r="GM90" s="17"/>
      <c r="GN90" s="17"/>
      <c r="GO90" s="17"/>
      <c r="GP90" s="17"/>
      <c r="GQ90" s="17"/>
      <c r="GR90" s="17"/>
      <c r="GS90" s="17"/>
      <c r="GT90" s="17"/>
      <c r="GU90" s="17"/>
      <c r="GV90" s="17"/>
      <c r="GW90" s="17"/>
      <c r="GX90" s="17"/>
      <c r="GY90" s="17"/>
      <c r="GZ90" s="17"/>
      <c r="HA90" s="17"/>
      <c r="HB90" s="17"/>
      <c r="HC90" s="17"/>
      <c r="HD90" s="17"/>
      <c r="HE90" s="17"/>
      <c r="HF90" s="17"/>
      <c r="HG90" s="17"/>
      <c r="HH90" s="17"/>
      <c r="HI90" s="17"/>
      <c r="HJ90" s="17"/>
      <c r="HK90" s="17"/>
      <c r="HL90" s="17"/>
      <c r="HM90" s="17"/>
      <c r="HN90" s="17"/>
      <c r="HO90" s="17"/>
      <c r="HP90" s="17"/>
      <c r="HQ90" s="17"/>
      <c r="HR90" s="17"/>
      <c r="HS90" s="17"/>
      <c r="HT90" s="17"/>
      <c r="HU90" s="17"/>
      <c r="HV90" s="17"/>
      <c r="HW90" s="17"/>
      <c r="HX90" s="17"/>
      <c r="HY90" s="17"/>
      <c r="HZ90" s="17"/>
      <c r="IA90" s="17"/>
      <c r="IB90" s="17"/>
      <c r="IC90" s="17"/>
      <c r="ID90" s="17"/>
      <c r="IE90" s="17"/>
      <c r="IF90" s="17"/>
      <c r="IG90" s="17"/>
      <c r="IH90" s="17"/>
      <c r="II90" s="17"/>
      <c r="IJ90" s="17"/>
      <c r="IK90" s="17"/>
      <c r="IL90" s="17"/>
      <c r="IM90" s="17"/>
      <c r="IN90" s="17"/>
      <c r="IO90" s="17"/>
      <c r="IP90" s="17"/>
      <c r="IQ90" s="17"/>
      <c r="IR90" s="17"/>
      <c r="IS90" s="17"/>
      <c r="IT90" s="17"/>
      <c r="IU90" s="17"/>
      <c r="IV90" s="17"/>
      <c r="IW90" s="17"/>
    </row>
    <row r="92" customFormat="false" ht="12.75" hidden="false" customHeight="false" outlineLevel="0" collapsed="false">
      <c r="F92" s="115" t="s">
        <v>76</v>
      </c>
      <c r="G92" s="116" t="s">
        <v>77</v>
      </c>
      <c r="H92" s="116" t="s">
        <v>78</v>
      </c>
      <c r="I92" s="116" t="s">
        <v>24</v>
      </c>
      <c r="M92" s="117" t="s">
        <v>79</v>
      </c>
    </row>
    <row r="93" customFormat="false" ht="12.75" hidden="false" customHeight="false" outlineLevel="0" collapsed="false">
      <c r="B93" s="118" t="str">
        <f aca="false">Internal!B41</f>
        <v>TURBINE PRICE</v>
      </c>
      <c r="C93" s="118"/>
      <c r="F93" s="59" t="n">
        <f aca="false">Srcs_Uses!$E$3*(Internal!G41)</f>
        <v>18655.99575</v>
      </c>
      <c r="G93" s="119" t="n">
        <f aca="false">F93/Srcs_Uses!E$33</f>
        <v>0.477419451679533</v>
      </c>
      <c r="H93" s="120" t="n">
        <f aca="false">F93/Assum!$F$31</f>
        <v>540.7535</v>
      </c>
      <c r="I93" s="120" t="n">
        <f aca="false">F93/$D$18</f>
        <v>811.13025</v>
      </c>
      <c r="K93" s="121" t="str">
        <f aca="false">B93</f>
        <v>TURBINE PRICE</v>
      </c>
      <c r="L93" s="122"/>
      <c r="M93" s="123" t="s">
        <v>80</v>
      </c>
      <c r="N93" s="124"/>
      <c r="O93" s="124"/>
      <c r="P93" s="124"/>
      <c r="Q93" s="124"/>
      <c r="R93" s="124"/>
      <c r="S93" s="124"/>
      <c r="T93" s="124"/>
      <c r="U93" s="124"/>
    </row>
    <row r="94" customFormat="false" ht="12.75" hidden="false" customHeight="false" outlineLevel="0" collapsed="false">
      <c r="B94" s="118" t="s">
        <v>81</v>
      </c>
      <c r="C94" s="118"/>
      <c r="F94" s="59" t="n">
        <f aca="false">Srcs_Uses!$E$3*(Internal!G44+Internal!G43)</f>
        <v>745.315</v>
      </c>
      <c r="G94" s="119" t="n">
        <f aca="false">F94/Srcs_Uses!E$33</f>
        <v>0.0190731110468082</v>
      </c>
      <c r="H94" s="120" t="n">
        <f aca="false">F94/Assum!$F$31</f>
        <v>21.6033333333333</v>
      </c>
      <c r="I94" s="120" t="n">
        <f aca="false">F94/$D$18</f>
        <v>32.405</v>
      </c>
      <c r="K94" s="121" t="str">
        <f aca="false">B94</f>
        <v>SHIPPING - WTG &amp; BLADES</v>
      </c>
      <c r="L94" s="122"/>
      <c r="M94" s="125" t="s">
        <v>82</v>
      </c>
      <c r="N94" s="124"/>
      <c r="O94" s="124"/>
      <c r="P94" s="124"/>
      <c r="Q94" s="124"/>
      <c r="R94" s="124"/>
      <c r="S94" s="124"/>
      <c r="T94" s="124"/>
      <c r="U94" s="124"/>
    </row>
    <row r="95" customFormat="false" ht="12.75" hidden="false" customHeight="false" outlineLevel="0" collapsed="false">
      <c r="B95" s="118" t="str">
        <f aca="false">Internal!B42</f>
        <v>TOWER</v>
      </c>
      <c r="C95" s="118"/>
      <c r="F95" s="59" t="n">
        <f aca="false">Srcs_Uses!$E$3*Internal!G42</f>
        <v>3002.42</v>
      </c>
      <c r="G95" s="119" t="n">
        <f aca="false">F95/Srcs_Uses!E$33</f>
        <v>0.0768339427881605</v>
      </c>
      <c r="H95" s="120" t="n">
        <f aca="false">F95/Assum!$F$31</f>
        <v>87.0266666666667</v>
      </c>
      <c r="I95" s="120" t="n">
        <f aca="false">F95/$D$18</f>
        <v>130.54</v>
      </c>
      <c r="K95" s="121" t="str">
        <f aca="false">B95</f>
        <v>TOWER</v>
      </c>
      <c r="L95" s="122"/>
      <c r="M95" s="126" t="s">
        <v>83</v>
      </c>
      <c r="N95" s="124"/>
      <c r="O95" s="124"/>
      <c r="P95" s="124"/>
      <c r="Q95" s="124"/>
      <c r="R95" s="124"/>
      <c r="S95" s="124"/>
      <c r="T95" s="124"/>
      <c r="U95" s="124"/>
    </row>
    <row r="96" customFormat="false" ht="12.75" hidden="false" customHeight="false" outlineLevel="0" collapsed="false">
      <c r="B96" s="118" t="str">
        <f aca="false">Internal!B45</f>
        <v>TOWER FREIGHT</v>
      </c>
      <c r="C96" s="118"/>
      <c r="F96" s="59" t="n">
        <f aca="false">Srcs_Uses!$E$3*Internal!G45</f>
        <v>407.905</v>
      </c>
      <c r="G96" s="119" t="n">
        <f aca="false">F96/Srcs_Uses!E$33</f>
        <v>0.0104385627037538</v>
      </c>
      <c r="H96" s="120" t="n">
        <f aca="false">F96/Assum!$F$31</f>
        <v>11.8233333333333</v>
      </c>
      <c r="I96" s="120" t="n">
        <f aca="false">F96/$D$18</f>
        <v>17.735</v>
      </c>
      <c r="K96" s="121" t="str">
        <f aca="false">B96</f>
        <v>TOWER FREIGHT</v>
      </c>
      <c r="L96" s="122"/>
      <c r="M96" s="127" t="s">
        <v>84</v>
      </c>
      <c r="N96" s="124"/>
      <c r="O96" s="124"/>
      <c r="P96" s="124"/>
      <c r="Q96" s="124"/>
      <c r="R96" s="124"/>
      <c r="S96" s="124"/>
      <c r="T96" s="124"/>
      <c r="U96" s="124"/>
    </row>
    <row r="97" customFormat="false" ht="12.75" hidden="false" customHeight="false" outlineLevel="0" collapsed="false">
      <c r="B97" s="118" t="str">
        <f aca="false">Internal!B46</f>
        <v>SERVICE OPTIONS</v>
      </c>
      <c r="C97" s="118"/>
      <c r="F97" s="59" t="n">
        <f aca="false">Srcs_Uses!$E$3*Internal!G46</f>
        <v>46</v>
      </c>
      <c r="G97" s="119" t="n">
        <f aca="false">F97/Srcs_Uses!E$33</f>
        <v>0.00117717087158205</v>
      </c>
      <c r="H97" s="120" t="n">
        <f aca="false">F97/Assum!$F$31</f>
        <v>1.33333333333333</v>
      </c>
      <c r="I97" s="120" t="n">
        <f aca="false">F97/$D$18</f>
        <v>2</v>
      </c>
      <c r="K97" s="128" t="str">
        <f aca="false">B97</f>
        <v>SERVICE OPTIONS</v>
      </c>
      <c r="L97" s="122"/>
      <c r="M97" s="122"/>
      <c r="N97" s="124"/>
      <c r="O97" s="124"/>
      <c r="P97" s="124"/>
      <c r="Q97" s="124"/>
      <c r="R97" s="124"/>
      <c r="S97" s="124"/>
      <c r="T97" s="124"/>
      <c r="U97" s="124"/>
    </row>
    <row r="98" customFormat="false" ht="12.75" hidden="false" customHeight="false" outlineLevel="0" collapsed="false">
      <c r="B98" s="118" t="str">
        <f aca="false">Internal!B47</f>
        <v>SALES TAX</v>
      </c>
      <c r="C98" s="118"/>
      <c r="F98" s="59" t="n">
        <f aca="false">Srcs_Uses!$E$3*Internal!G47</f>
        <v>1570.235141875</v>
      </c>
      <c r="G98" s="119" t="n">
        <f aca="false">F98/Srcs_Uses!E$33</f>
        <v>0.0401833710989078</v>
      </c>
      <c r="H98" s="120" t="n">
        <f aca="false">F98/Assum!$F$31</f>
        <v>45.5140620833333</v>
      </c>
      <c r="I98" s="120" t="n">
        <f aca="false">F98/$D$18</f>
        <v>68.271093125</v>
      </c>
      <c r="K98" s="121" t="str">
        <f aca="false">B98</f>
        <v>SALES TAX</v>
      </c>
      <c r="L98" s="122"/>
      <c r="M98" s="122"/>
      <c r="N98" s="124"/>
      <c r="O98" s="124"/>
      <c r="P98" s="124"/>
      <c r="Q98" s="124"/>
      <c r="R98" s="124"/>
      <c r="S98" s="124"/>
      <c r="T98" s="124"/>
      <c r="U98" s="124"/>
    </row>
    <row r="99" customFormat="false" ht="12.75" hidden="false" customHeight="false" outlineLevel="0" collapsed="false">
      <c r="B99" s="118" t="str">
        <f aca="false">Internal!B51</f>
        <v>MANUFACTURING COSTS</v>
      </c>
      <c r="C99" s="118"/>
      <c r="F99" s="59" t="n">
        <f aca="false">Srcs_Uses!$E$3*Internal!G51</f>
        <v>0</v>
      </c>
      <c r="G99" s="119" t="n">
        <f aca="false">F99/Srcs_Uses!E$33</f>
        <v>0</v>
      </c>
      <c r="H99" s="120" t="n">
        <f aca="false">F99/Assum!$F$31</f>
        <v>0</v>
      </c>
      <c r="I99" s="120" t="n">
        <f aca="false">F99/$D$18</f>
        <v>0</v>
      </c>
      <c r="K99" s="121" t="str">
        <f aca="false">B99</f>
        <v>MANUFACTURING COSTS</v>
      </c>
      <c r="L99" s="122"/>
      <c r="M99" s="122"/>
      <c r="N99" s="124"/>
      <c r="O99" s="124"/>
      <c r="P99" s="124"/>
      <c r="Q99" s="124"/>
      <c r="R99" s="124"/>
      <c r="S99" s="124"/>
      <c r="T99" s="124"/>
      <c r="U99" s="124"/>
    </row>
    <row r="100" customFormat="false" ht="12.75" hidden="false" customHeight="false" outlineLevel="0" collapsed="false">
      <c r="B100" s="118" t="str">
        <f aca="false">Internal!B52</f>
        <v>CIVIL COSTS</v>
      </c>
      <c r="C100" s="118"/>
      <c r="F100" s="59" t="n">
        <f aca="false">Srcs_Uses!$E$3*Internal!G52</f>
        <v>2547.939</v>
      </c>
      <c r="G100" s="119" t="n">
        <f aca="false">F100/Srcs_Uses!E$33</f>
        <v>0.0652034689862587</v>
      </c>
      <c r="H100" s="120" t="n">
        <f aca="false">F100/Assum!$F$31</f>
        <v>73.8533043478261</v>
      </c>
      <c r="I100" s="120" t="n">
        <f aca="false">F100/$D$18</f>
        <v>110.779956521739</v>
      </c>
      <c r="K100" s="121" t="str">
        <f aca="false">B100</f>
        <v>CIVIL COSTS</v>
      </c>
      <c r="L100" s="122"/>
      <c r="M100" s="122"/>
      <c r="N100" s="124"/>
      <c r="O100" s="124"/>
      <c r="P100" s="124"/>
      <c r="Q100" s="124"/>
      <c r="R100" s="124"/>
      <c r="S100" s="124"/>
      <c r="T100" s="124"/>
      <c r="U100" s="124"/>
    </row>
    <row r="101" customFormat="false" ht="12.75" hidden="false" customHeight="false" outlineLevel="0" collapsed="false">
      <c r="B101" s="118" t="str">
        <f aca="false">Internal!B53</f>
        <v>MECHANICAL/ERECTION</v>
      </c>
      <c r="C101" s="118"/>
      <c r="F101" s="59" t="n">
        <f aca="false">Srcs_Uses!$E$3*Internal!G53</f>
        <v>1512.378</v>
      </c>
      <c r="G101" s="119" t="n">
        <f aca="false">F101/Srcs_Uses!E$33</f>
        <v>0.0387027680091634</v>
      </c>
      <c r="H101" s="120" t="n">
        <f aca="false">F101/Assum!$F$31</f>
        <v>43.8370434782609</v>
      </c>
      <c r="I101" s="120" t="n">
        <f aca="false">F101/$D$18</f>
        <v>65.7555652173913</v>
      </c>
      <c r="K101" s="121" t="str">
        <f aca="false">B101</f>
        <v>MECHANICAL/ERECTION</v>
      </c>
      <c r="L101" s="122"/>
      <c r="M101" s="122"/>
      <c r="N101" s="124"/>
      <c r="O101" s="124"/>
      <c r="P101" s="124"/>
      <c r="Q101" s="124"/>
      <c r="R101" s="124"/>
      <c r="S101" s="124"/>
      <c r="T101" s="124"/>
      <c r="U101" s="124"/>
    </row>
    <row r="102" customFormat="false" ht="12.75" hidden="false" customHeight="false" outlineLevel="0" collapsed="false">
      <c r="B102" s="118" t="str">
        <f aca="false">Internal!B54</f>
        <v>ELECTRICAL DISTRIBUTION</v>
      </c>
      <c r="C102" s="118"/>
      <c r="F102" s="59" t="n">
        <f aca="false">Srcs_Uses!$E$3*Internal!G54</f>
        <v>2295.324</v>
      </c>
      <c r="G102" s="119" t="n">
        <f aca="false">F102/Srcs_Uses!E$33</f>
        <v>0.0587388816009391</v>
      </c>
      <c r="H102" s="120" t="n">
        <f aca="false">F102/Assum!$F$31</f>
        <v>66.5311304347826</v>
      </c>
      <c r="I102" s="120" t="n">
        <f aca="false">F102/$D$18</f>
        <v>99.7966956521739</v>
      </c>
      <c r="K102" s="121" t="str">
        <f aca="false">B102</f>
        <v>ELECTRICAL DISTRIBUTION</v>
      </c>
      <c r="L102" s="122"/>
      <c r="M102" s="122"/>
      <c r="N102" s="124"/>
      <c r="O102" s="124"/>
      <c r="P102" s="124"/>
      <c r="Q102" s="124"/>
      <c r="R102" s="124"/>
      <c r="S102" s="124"/>
      <c r="T102" s="124"/>
      <c r="U102" s="124"/>
    </row>
    <row r="103" customFormat="false" ht="12.75" hidden="false" customHeight="false" outlineLevel="0" collapsed="false">
      <c r="B103" s="118" t="str">
        <f aca="false">Internal!B55</f>
        <v>ENGINEERING</v>
      </c>
      <c r="C103" s="118"/>
      <c r="F103" s="59" t="n">
        <f aca="false">Srcs_Uses!$E$3*Internal!G55</f>
        <v>378.1</v>
      </c>
      <c r="G103" s="119" t="n">
        <f aca="false">F103/Srcs_Uses!E$33</f>
        <v>0.00967583275098203</v>
      </c>
      <c r="H103" s="120" t="n">
        <f aca="false">F103/Assum!$F$31</f>
        <v>10.9594202898551</v>
      </c>
      <c r="I103" s="120" t="n">
        <f aca="false">F103/$D$18</f>
        <v>16.4391304347826</v>
      </c>
      <c r="K103" s="121" t="str">
        <f aca="false">B103</f>
        <v>ENGINEERING</v>
      </c>
      <c r="L103" s="122"/>
      <c r="M103" s="122"/>
      <c r="N103" s="124"/>
      <c r="O103" s="124"/>
      <c r="P103" s="124"/>
      <c r="Q103" s="124"/>
      <c r="R103" s="124"/>
      <c r="S103" s="124"/>
      <c r="T103" s="124"/>
      <c r="U103" s="124"/>
    </row>
    <row r="104" customFormat="false" ht="12.75" hidden="false" customHeight="false" outlineLevel="0" collapsed="false">
      <c r="B104" s="118" t="str">
        <f aca="false">Internal!B56</f>
        <v>O&amp;M BLDG</v>
      </c>
      <c r="C104" s="118"/>
      <c r="F104" s="59" t="n">
        <f aca="false">Srcs_Uses!$E$3*Internal!G56</f>
        <v>139.5</v>
      </c>
      <c r="G104" s="119" t="n">
        <f aca="false">F104/Srcs_Uses!E$33</f>
        <v>0.00356989862142818</v>
      </c>
      <c r="H104" s="120" t="n">
        <f aca="false">F104/Assum!$F$31</f>
        <v>4.04347826086957</v>
      </c>
      <c r="I104" s="120" t="n">
        <f aca="false">F104/$D$18</f>
        <v>6.06521739130435</v>
      </c>
      <c r="K104" s="128" t="str">
        <f aca="false">B104</f>
        <v>O&amp;M BLDG</v>
      </c>
      <c r="L104" s="122"/>
      <c r="M104" s="122"/>
      <c r="N104" s="124"/>
      <c r="O104" s="124"/>
      <c r="P104" s="124"/>
      <c r="Q104" s="124"/>
      <c r="R104" s="124"/>
      <c r="S104" s="124"/>
      <c r="T104" s="124"/>
      <c r="U104" s="124"/>
    </row>
    <row r="105" customFormat="false" ht="12.75" hidden="false" customHeight="false" outlineLevel="0" collapsed="false">
      <c r="B105" s="118" t="str">
        <f aca="false">Internal!B57</f>
        <v>FACILITY STARTUP</v>
      </c>
      <c r="C105" s="118"/>
      <c r="F105" s="59" t="n">
        <f aca="false">Srcs_Uses!$E$3*Internal!G57</f>
        <v>161.173</v>
      </c>
      <c r="G105" s="119" t="n">
        <f aca="false">F105/Srcs_Uses!E$33</f>
        <v>0.00412452523664117</v>
      </c>
      <c r="H105" s="120" t="n">
        <f aca="false">F105/Assum!$F$31</f>
        <v>4.67168115942029</v>
      </c>
      <c r="I105" s="120" t="n">
        <f aca="false">F105/$D$18</f>
        <v>7.00752173913044</v>
      </c>
      <c r="K105" s="121" t="str">
        <f aca="false">B105</f>
        <v>FACILITY STARTUP</v>
      </c>
      <c r="L105" s="122"/>
      <c r="M105" s="122"/>
      <c r="N105" s="124"/>
      <c r="O105" s="124"/>
      <c r="P105" s="124"/>
      <c r="Q105" s="124"/>
      <c r="R105" s="124"/>
      <c r="S105" s="124"/>
      <c r="T105" s="124"/>
      <c r="U105" s="124"/>
    </row>
    <row r="106" customFormat="false" ht="12.75" hidden="false" customHeight="false" outlineLevel="0" collapsed="false">
      <c r="B106" s="118" t="s">
        <v>85</v>
      </c>
      <c r="C106" s="118"/>
      <c r="F106" s="59" t="n">
        <f aca="false">Srcs_Uses!$E$3*Internal!G63</f>
        <v>1200</v>
      </c>
      <c r="G106" s="119" t="n">
        <f aca="false">F106/Srcs_Uses!E$33</f>
        <v>0.0307088053456187</v>
      </c>
      <c r="H106" s="120" t="n">
        <f aca="false">F106/Assum!$F$31</f>
        <v>34.7826086956522</v>
      </c>
      <c r="I106" s="120" t="n">
        <f aca="false">F106/$D$18</f>
        <v>52.1739130434783</v>
      </c>
      <c r="K106" s="121" t="str">
        <f aca="false">B106</f>
        <v>INTERCONNECTION COSTS</v>
      </c>
      <c r="L106" s="122"/>
      <c r="M106" s="122"/>
      <c r="N106" s="124"/>
      <c r="O106" s="124"/>
      <c r="P106" s="124"/>
      <c r="Q106" s="124"/>
      <c r="R106" s="124"/>
      <c r="S106" s="124"/>
      <c r="T106" s="124"/>
      <c r="U106" s="124"/>
    </row>
    <row r="107" customFormat="false" ht="12.75" hidden="false" customHeight="false" outlineLevel="0" collapsed="false">
      <c r="B107" s="118" t="s">
        <v>86</v>
      </c>
      <c r="C107" s="118"/>
      <c r="F107" s="59" t="n">
        <f aca="false">Srcs_Uses!$E$3*Internal!G71</f>
        <v>610.529</v>
      </c>
      <c r="G107" s="119" t="n">
        <f aca="false">F107/Srcs_Uses!E$33</f>
        <v>0.015623846849046</v>
      </c>
      <c r="H107" s="120" t="n">
        <f aca="false">F107/Assum!$F$31</f>
        <v>17.6964927536232</v>
      </c>
      <c r="I107" s="120" t="n">
        <f aca="false">F107/$D$18</f>
        <v>26.5447391304348</v>
      </c>
      <c r="K107" s="121" t="str">
        <f aca="false">B107</f>
        <v>OTHER CONSTRUCTION COSTS</v>
      </c>
      <c r="L107" s="129"/>
      <c r="M107" s="129"/>
      <c r="N107" s="124"/>
      <c r="O107" s="124"/>
      <c r="P107" s="124"/>
      <c r="Q107" s="124"/>
      <c r="R107" s="124"/>
      <c r="S107" s="124"/>
      <c r="T107" s="124"/>
      <c r="U107" s="124"/>
    </row>
    <row r="108" customFormat="false" ht="12.75" hidden="false" customHeight="false" outlineLevel="0" collapsed="false">
      <c r="B108" s="118" t="str">
        <f aca="false">B74</f>
        <v>CONTINGENCY</v>
      </c>
      <c r="C108" s="118"/>
      <c r="F108" s="59" t="n">
        <f aca="false">G74</f>
        <v>884.494</v>
      </c>
      <c r="G108" s="119" t="n">
        <f aca="false">F108/Srcs_Uses!E$33</f>
        <v>0.0226347950628064</v>
      </c>
      <c r="H108" s="120" t="n">
        <f aca="false">F108/Assum!$F$31</f>
        <v>25.6375072463768</v>
      </c>
      <c r="I108" s="120" t="n">
        <f aca="false">F108/$D$18</f>
        <v>38.4562608695652</v>
      </c>
      <c r="K108" s="121"/>
      <c r="L108" s="129"/>
      <c r="M108" s="129"/>
      <c r="N108" s="124"/>
      <c r="O108" s="124"/>
      <c r="P108" s="124"/>
      <c r="Q108" s="124"/>
      <c r="R108" s="124"/>
      <c r="S108" s="124"/>
      <c r="T108" s="124"/>
      <c r="U108" s="124"/>
    </row>
    <row r="109" customFormat="false" ht="12.75" hidden="false" customHeight="false" outlineLevel="0" collapsed="false">
      <c r="B109" s="118" t="str">
        <f aca="false">B75</f>
        <v>INFLATION CONTINGENCY</v>
      </c>
      <c r="C109" s="118"/>
      <c r="F109" s="59" t="n">
        <f aca="false">G75</f>
        <v>212.278632</v>
      </c>
      <c r="G109" s="119" t="n">
        <f aca="false">F109/Srcs_Uses!E$33</f>
        <v>0.00543235265760186</v>
      </c>
      <c r="H109" s="120" t="n">
        <f aca="false">F109/Assum!$F$31</f>
        <v>6.15300382608696</v>
      </c>
      <c r="I109" s="120" t="n">
        <f aca="false">F109/$D$18</f>
        <v>9.22950573913044</v>
      </c>
      <c r="K109" s="121"/>
      <c r="L109" s="129"/>
      <c r="M109" s="129"/>
      <c r="N109" s="124"/>
      <c r="O109" s="124"/>
      <c r="P109" s="124"/>
      <c r="Q109" s="124"/>
      <c r="R109" s="124"/>
      <c r="S109" s="124"/>
      <c r="T109" s="124"/>
      <c r="U109" s="124"/>
    </row>
    <row r="110" customFormat="false" ht="12.75" hidden="false" customHeight="false" outlineLevel="0" collapsed="false">
      <c r="B110" s="118" t="str">
        <f aca="false">B76</f>
        <v>PROFIT MARGIN</v>
      </c>
      <c r="C110" s="118"/>
      <c r="F110" s="59" t="n">
        <f aca="false">G76</f>
        <v>884.4943</v>
      </c>
      <c r="G110" s="119" t="n">
        <f aca="false">F110/Srcs_Uses!E$33</f>
        <v>0.0226348027400077</v>
      </c>
      <c r="H110" s="120" t="n">
        <f aca="false">F110/Assum!$F$31</f>
        <v>25.637515942029</v>
      </c>
      <c r="I110" s="120" t="n">
        <f aca="false">F110/$D$18</f>
        <v>38.4562739130435</v>
      </c>
      <c r="K110" s="121" t="str">
        <f aca="false">B110</f>
        <v>PROFIT MARGIN</v>
      </c>
      <c r="L110" s="129"/>
      <c r="M110" s="129"/>
      <c r="N110" s="124"/>
      <c r="O110" s="124"/>
      <c r="P110" s="124"/>
      <c r="Q110" s="124"/>
      <c r="R110" s="124"/>
      <c r="S110" s="124"/>
      <c r="T110" s="124"/>
      <c r="U110" s="124"/>
    </row>
    <row r="111" customFormat="false" ht="12.75" hidden="false" customHeight="false" outlineLevel="0" collapsed="false">
      <c r="B111" s="118" t="s">
        <v>87</v>
      </c>
      <c r="C111" s="118"/>
      <c r="F111" s="130" t="n">
        <f aca="false">IF(G86=1,Internal!G81,Srcs_Uses!$E$3*Internal!G81)</f>
        <v>0</v>
      </c>
      <c r="G111" s="119" t="n">
        <f aca="false">F111/Srcs_Uses!E$33</f>
        <v>0</v>
      </c>
      <c r="H111" s="120" t="n">
        <f aca="false">F111/Assum!$F$31</f>
        <v>0</v>
      </c>
      <c r="I111" s="120" t="n">
        <f aca="false">F111/$D$18</f>
        <v>0</v>
      </c>
      <c r="K111" s="121" t="str">
        <f aca="false">B111</f>
        <v>EPC WRAP FEE</v>
      </c>
      <c r="L111" s="122"/>
      <c r="M111" s="122"/>
      <c r="N111" s="124"/>
      <c r="O111" s="124"/>
      <c r="P111" s="124"/>
      <c r="Q111" s="124"/>
      <c r="R111" s="124"/>
      <c r="S111" s="124"/>
      <c r="T111" s="124"/>
      <c r="U111" s="124"/>
    </row>
    <row r="112" customFormat="false" ht="12.75" hidden="false" customHeight="false" outlineLevel="0" collapsed="false">
      <c r="B112" s="118" t="s">
        <v>88</v>
      </c>
      <c r="C112" s="118"/>
      <c r="F112" s="130" t="n">
        <f aca="false">(IF(G86=1,Internal!G88,Srcs_Uses!$E$3*Internal!G88))</f>
        <v>-2039.25822796086</v>
      </c>
      <c r="G112" s="119" t="n">
        <f aca="false">F112/Srcs_Uses!E$33</f>
        <v>-0.0521859866432511</v>
      </c>
      <c r="H112" s="120" t="n">
        <f aca="false">F112/Assum!$F$31</f>
        <v>-59.1089341437929</v>
      </c>
      <c r="I112" s="120" t="n">
        <f aca="false">F112/$D$18</f>
        <v>-88.6634012156894</v>
      </c>
      <c r="K112" s="121" t="str">
        <f aca="false">B112</f>
        <v>EWC DEVELOPER FEE</v>
      </c>
      <c r="L112" s="122"/>
      <c r="M112" s="122"/>
      <c r="N112" s="124"/>
      <c r="O112" s="124"/>
      <c r="P112" s="124"/>
      <c r="Q112" s="124"/>
      <c r="R112" s="124"/>
      <c r="S112" s="124"/>
      <c r="T112" s="124"/>
      <c r="U112" s="124"/>
    </row>
    <row r="113" customFormat="false" ht="13.5" hidden="false" customHeight="false" outlineLevel="0" collapsed="false">
      <c r="B113" s="131" t="s">
        <v>89</v>
      </c>
      <c r="C113" s="132"/>
      <c r="F113" s="133" t="n">
        <f aca="false">SUM(F93:F112)</f>
        <v>33214.8225959142</v>
      </c>
      <c r="G113" s="134" t="n">
        <f aca="false">F113/Srcs_Uses!E$33</f>
        <v>0.849989601405988</v>
      </c>
      <c r="H113" s="135" t="n">
        <f aca="false">F113/Assum!$F$31</f>
        <v>962.74848104099</v>
      </c>
      <c r="I113" s="135" t="n">
        <f aca="false">F113/$D$18</f>
        <v>1444.12272156148</v>
      </c>
    </row>
    <row r="114" customFormat="false" ht="12.75" hidden="false" customHeight="false" outlineLevel="0" collapsed="false">
      <c r="B114" s="15"/>
      <c r="C114" s="15"/>
      <c r="F114" s="15"/>
    </row>
    <row r="115" customFormat="false" ht="12.75" hidden="false" customHeight="false" outlineLevel="0" collapsed="false">
      <c r="B115" s="15"/>
      <c r="C115" s="15"/>
      <c r="F115" s="15"/>
    </row>
    <row r="117" customFormat="false" ht="12.75" hidden="false" customHeight="false" outlineLevel="0" collapsed="false">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c r="BI117" s="17"/>
      <c r="BJ117" s="17"/>
      <c r="BK117" s="17"/>
      <c r="BL117" s="17"/>
      <c r="BM117" s="17"/>
      <c r="BN117" s="17"/>
      <c r="BO117" s="17"/>
      <c r="BP117" s="17"/>
      <c r="BQ117" s="17"/>
      <c r="BR117" s="17"/>
      <c r="BS117" s="17"/>
      <c r="BT117" s="17"/>
      <c r="BU117" s="17"/>
      <c r="BV117" s="17"/>
      <c r="BW117" s="17"/>
      <c r="BX117" s="17"/>
      <c r="BY117" s="17"/>
      <c r="BZ117" s="17"/>
      <c r="CA117" s="17"/>
      <c r="CB117" s="17"/>
      <c r="CC117" s="17"/>
      <c r="CD117" s="17"/>
      <c r="CE117" s="17"/>
      <c r="CF117" s="17"/>
      <c r="CG117" s="17"/>
      <c r="CH117" s="17"/>
      <c r="CI117" s="17"/>
      <c r="CJ117" s="17"/>
      <c r="CK117" s="17"/>
      <c r="CL117" s="17"/>
      <c r="CM117" s="17"/>
      <c r="CN117" s="17"/>
      <c r="CO117" s="17"/>
      <c r="CP117" s="17"/>
      <c r="CQ117" s="17"/>
      <c r="CR117" s="17"/>
      <c r="CS117" s="17"/>
      <c r="CT117" s="17"/>
      <c r="CU117" s="17"/>
      <c r="CV117" s="17"/>
      <c r="CW117" s="17"/>
      <c r="CX117" s="17"/>
      <c r="CY117" s="17"/>
      <c r="CZ117" s="17"/>
      <c r="DA117" s="17"/>
      <c r="DB117" s="17"/>
      <c r="DC117" s="17"/>
      <c r="DD117" s="17"/>
      <c r="DE117" s="17"/>
      <c r="DF117" s="17"/>
      <c r="DG117" s="17"/>
      <c r="DH117" s="17"/>
      <c r="DI117" s="17"/>
      <c r="DJ117" s="17"/>
      <c r="DK117" s="17"/>
      <c r="DL117" s="17"/>
      <c r="DM117" s="17"/>
      <c r="DN117" s="17"/>
      <c r="DO117" s="17"/>
      <c r="DP117" s="17"/>
      <c r="DQ117" s="17"/>
      <c r="DR117" s="17"/>
      <c r="DS117" s="17"/>
      <c r="DT117" s="17"/>
      <c r="DU117" s="17"/>
      <c r="DV117" s="17"/>
      <c r="DW117" s="17"/>
      <c r="DX117" s="17"/>
      <c r="DY117" s="17"/>
      <c r="DZ117" s="17"/>
      <c r="EA117" s="17"/>
      <c r="EB117" s="17"/>
      <c r="EC117" s="17"/>
      <c r="ED117" s="17"/>
      <c r="EE117" s="17"/>
      <c r="EF117" s="17"/>
      <c r="EG117" s="17"/>
      <c r="EH117" s="17"/>
      <c r="EI117" s="17"/>
      <c r="EJ117" s="17"/>
      <c r="EK117" s="17"/>
      <c r="EL117" s="17"/>
      <c r="EM117" s="17"/>
      <c r="EN117" s="17"/>
      <c r="EO117" s="17"/>
      <c r="EP117" s="17"/>
      <c r="EQ117" s="17"/>
      <c r="ER117" s="17"/>
      <c r="ES117" s="17"/>
      <c r="ET117" s="17"/>
      <c r="EU117" s="17"/>
      <c r="EV117" s="17"/>
      <c r="EW117" s="17"/>
      <c r="EX117" s="17"/>
      <c r="EY117" s="17"/>
      <c r="EZ117" s="17"/>
      <c r="FA117" s="17"/>
      <c r="FB117" s="17"/>
      <c r="FC117" s="17"/>
      <c r="FD117" s="17"/>
      <c r="FE117" s="17"/>
      <c r="FF117" s="17"/>
      <c r="FG117" s="17"/>
      <c r="FH117" s="17"/>
      <c r="FI117" s="17"/>
      <c r="FJ117" s="17"/>
      <c r="FK117" s="17"/>
      <c r="FL117" s="17"/>
      <c r="FM117" s="17"/>
      <c r="FN117" s="17"/>
      <c r="FO117" s="17"/>
      <c r="FP117" s="17"/>
      <c r="FQ117" s="17"/>
      <c r="FR117" s="17"/>
      <c r="FS117" s="17"/>
      <c r="FT117" s="17"/>
      <c r="FU117" s="17"/>
      <c r="FV117" s="17"/>
      <c r="FW117" s="17"/>
      <c r="FX117" s="17"/>
      <c r="FY117" s="17"/>
      <c r="FZ117" s="17"/>
      <c r="GA117" s="17"/>
      <c r="GB117" s="17"/>
      <c r="GC117" s="17"/>
      <c r="GD117" s="17"/>
      <c r="GE117" s="17"/>
      <c r="GF117" s="17"/>
      <c r="GG117" s="17"/>
      <c r="GH117" s="17"/>
      <c r="GI117" s="17"/>
      <c r="GJ117" s="17"/>
      <c r="GK117" s="17"/>
      <c r="GL117" s="17"/>
      <c r="GM117" s="17"/>
      <c r="GN117" s="17"/>
      <c r="GO117" s="17"/>
      <c r="GP117" s="17"/>
      <c r="GQ117" s="17"/>
      <c r="GR117" s="17"/>
      <c r="GS117" s="17"/>
      <c r="GT117" s="17"/>
      <c r="GU117" s="17"/>
      <c r="GV117" s="17"/>
      <c r="GW117" s="17"/>
      <c r="GX117" s="17"/>
      <c r="GY117" s="17"/>
      <c r="GZ117" s="17"/>
      <c r="HA117" s="17"/>
      <c r="HB117" s="17"/>
      <c r="HC117" s="17"/>
      <c r="HD117" s="17"/>
      <c r="HE117" s="17"/>
      <c r="HF117" s="17"/>
      <c r="HG117" s="17"/>
      <c r="HH117" s="17"/>
      <c r="HI117" s="17"/>
      <c r="HJ117" s="17"/>
      <c r="HK117" s="17"/>
      <c r="HL117" s="17"/>
      <c r="HM117" s="17"/>
      <c r="HN117" s="17"/>
      <c r="HO117" s="17"/>
      <c r="HP117" s="17"/>
      <c r="HQ117" s="17"/>
      <c r="HR117" s="17"/>
      <c r="HS117" s="17"/>
      <c r="HT117" s="17"/>
      <c r="HU117" s="17"/>
      <c r="HV117" s="17"/>
      <c r="HW117" s="17"/>
      <c r="HX117" s="17"/>
      <c r="HY117" s="17"/>
      <c r="HZ117" s="17"/>
      <c r="IA117" s="17"/>
      <c r="IB117" s="17"/>
      <c r="IC117" s="17"/>
      <c r="ID117" s="17"/>
      <c r="IE117" s="17"/>
      <c r="IF117" s="17"/>
      <c r="IG117" s="17"/>
      <c r="IH117" s="17"/>
      <c r="II117" s="17"/>
      <c r="IJ117" s="17"/>
      <c r="IK117" s="17"/>
      <c r="IL117" s="17"/>
      <c r="IM117" s="17"/>
      <c r="IN117" s="17"/>
      <c r="IO117" s="17"/>
      <c r="IP117" s="17"/>
      <c r="IQ117" s="17"/>
      <c r="IR117" s="17"/>
      <c r="IS117" s="17"/>
      <c r="IT117" s="17"/>
      <c r="IU117" s="17"/>
      <c r="IV117" s="17"/>
      <c r="IW117" s="17"/>
    </row>
    <row r="118" customFormat="false" ht="12.75" hidden="false" customHeight="false" outlineLevel="0" collapsed="false">
      <c r="A118" s="21"/>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c r="AC118" s="21"/>
      <c r="AD118" s="21"/>
      <c r="AE118" s="21"/>
      <c r="AF118" s="21"/>
      <c r="AG118" s="21"/>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1"/>
      <c r="EG118" s="21"/>
      <c r="EH118" s="21"/>
      <c r="EI118" s="21"/>
      <c r="EJ118" s="21"/>
      <c r="EK118" s="21"/>
      <c r="EL118" s="21"/>
      <c r="EM118" s="21"/>
      <c r="EN118" s="21"/>
      <c r="EO118" s="21"/>
      <c r="EP118" s="21"/>
      <c r="EQ118" s="21"/>
      <c r="ER118" s="21"/>
      <c r="ES118" s="21"/>
      <c r="ET118" s="21"/>
      <c r="EU118" s="21"/>
      <c r="EV118" s="21"/>
      <c r="EW118" s="21"/>
      <c r="EX118" s="21"/>
      <c r="EY118" s="21"/>
      <c r="EZ118" s="21"/>
      <c r="FA118" s="21"/>
      <c r="FB118" s="21"/>
      <c r="FC118" s="21"/>
      <c r="FD118" s="21"/>
      <c r="FE118" s="21"/>
      <c r="FF118" s="21"/>
      <c r="FG118" s="21"/>
      <c r="FH118" s="21"/>
      <c r="FI118" s="21"/>
      <c r="FJ118" s="21"/>
      <c r="FK118" s="21"/>
      <c r="FL118" s="21"/>
      <c r="FM118" s="21"/>
      <c r="FN118" s="21"/>
      <c r="FO118" s="21"/>
      <c r="FP118" s="21"/>
      <c r="FQ118" s="21"/>
      <c r="FR118" s="21"/>
      <c r="FS118" s="21"/>
      <c r="FT118" s="21"/>
      <c r="FU118" s="21"/>
      <c r="FV118" s="21"/>
      <c r="FW118" s="21"/>
      <c r="FX118" s="21"/>
      <c r="FY118" s="21"/>
      <c r="FZ118" s="21"/>
      <c r="GA118" s="21"/>
      <c r="GB118" s="21"/>
      <c r="GC118" s="21"/>
      <c r="GD118" s="21"/>
      <c r="GE118" s="21"/>
      <c r="GF118" s="21"/>
      <c r="GG118" s="21"/>
      <c r="GH118" s="21"/>
      <c r="GI118" s="21"/>
      <c r="GJ118" s="21"/>
      <c r="GK118" s="21"/>
      <c r="GL118" s="21"/>
      <c r="GM118" s="21"/>
      <c r="GN118" s="21"/>
      <c r="GO118" s="21"/>
      <c r="GP118" s="21"/>
      <c r="GQ118" s="21"/>
      <c r="GR118" s="21"/>
      <c r="GS118" s="21"/>
      <c r="GT118" s="21"/>
      <c r="GU118" s="21"/>
      <c r="GV118" s="21"/>
      <c r="GW118" s="21"/>
      <c r="GX118" s="21"/>
      <c r="GY118" s="21"/>
      <c r="GZ118" s="21"/>
      <c r="HA118" s="21"/>
      <c r="HB118" s="21"/>
      <c r="HC118" s="21"/>
      <c r="HD118" s="21"/>
      <c r="HE118" s="21"/>
      <c r="HF118" s="21"/>
      <c r="HG118" s="21"/>
      <c r="HH118" s="21"/>
      <c r="HI118" s="21"/>
      <c r="HJ118" s="21"/>
      <c r="HK118" s="21"/>
      <c r="HL118" s="21"/>
      <c r="HM118" s="21"/>
      <c r="HN118" s="21"/>
      <c r="HO118" s="21"/>
      <c r="HP118" s="21"/>
      <c r="HQ118" s="21"/>
      <c r="HR118" s="21"/>
      <c r="HS118" s="21"/>
      <c r="HT118" s="21"/>
      <c r="HU118" s="21"/>
      <c r="HV118" s="21"/>
      <c r="HW118" s="21"/>
      <c r="HX118" s="21"/>
      <c r="HY118" s="21"/>
      <c r="HZ118" s="21"/>
      <c r="IA118" s="21"/>
      <c r="IB118" s="21"/>
      <c r="IC118" s="21"/>
      <c r="ID118" s="21"/>
      <c r="IE118" s="21"/>
      <c r="IF118" s="21"/>
      <c r="IG118" s="21"/>
      <c r="IH118" s="21"/>
      <c r="II118" s="21"/>
      <c r="IJ118" s="21"/>
      <c r="IK118" s="21"/>
      <c r="IL118" s="21"/>
      <c r="IM118" s="21"/>
      <c r="IN118" s="21"/>
      <c r="IO118" s="21"/>
      <c r="IP118" s="21"/>
      <c r="IQ118" s="21"/>
      <c r="IR118" s="21"/>
      <c r="IS118" s="21"/>
      <c r="IT118" s="21"/>
      <c r="IU118" s="21"/>
      <c r="IV118" s="21"/>
      <c r="IW118" s="21"/>
    </row>
    <row r="119" customFormat="false" ht="13.5" hidden="false" customHeight="false" outlineLevel="0" collapsed="false">
      <c r="B119" s="15" t="s">
        <v>90</v>
      </c>
      <c r="C119" s="15"/>
    </row>
    <row r="120" customFormat="false" ht="12.75" hidden="false" customHeight="false" outlineLevel="0" collapsed="false">
      <c r="B120" s="136"/>
      <c r="C120" s="137"/>
    </row>
    <row r="121" customFormat="false" ht="12.75" hidden="false" customHeight="false" outlineLevel="0" collapsed="false">
      <c r="B121" s="138" t="n">
        <f aca="false">Internal!F16</f>
        <v>0</v>
      </c>
      <c r="C121" s="137"/>
      <c r="D121" s="0" t="s">
        <v>91</v>
      </c>
    </row>
    <row r="122" customFormat="false" ht="12.75" hidden="false" customHeight="false" outlineLevel="0" collapsed="false">
      <c r="B122" s="138" t="str">
        <f aca="false">Internal!G16</f>
        <v>TZ 1.5</v>
      </c>
      <c r="C122" s="137"/>
      <c r="D122" s="0" t="s">
        <v>92</v>
      </c>
    </row>
    <row r="123" customFormat="false" ht="12.75" hidden="false" customHeight="false" outlineLevel="0" collapsed="false">
      <c r="B123" s="138" t="n">
        <f aca="false">Internal!H16</f>
        <v>0</v>
      </c>
      <c r="C123" s="137"/>
      <c r="D123" s="0" t="s">
        <v>93</v>
      </c>
    </row>
    <row r="124" customFormat="false" ht="12.75" hidden="false" customHeight="false" outlineLevel="0" collapsed="false">
      <c r="B124" s="139" t="n">
        <f aca="false">Internal!F17</f>
        <v>0</v>
      </c>
      <c r="C124" s="140"/>
      <c r="D124" s="0" t="s">
        <v>94</v>
      </c>
    </row>
    <row r="125" customFormat="false" ht="12.75" hidden="false" customHeight="false" outlineLevel="0" collapsed="false">
      <c r="B125" s="138" t="n">
        <f aca="false">Internal!G17</f>
        <v>1500</v>
      </c>
      <c r="C125" s="137"/>
      <c r="D125" s="0" t="s">
        <v>95</v>
      </c>
    </row>
    <row r="126" customFormat="false" ht="12.75" hidden="false" customHeight="false" outlineLevel="0" collapsed="false">
      <c r="B126" s="138" t="n">
        <f aca="false">Internal!H17</f>
        <v>0</v>
      </c>
      <c r="C126" s="137"/>
      <c r="D126" s="0" t="s">
        <v>96</v>
      </c>
    </row>
    <row r="127" customFormat="false" ht="12.75" hidden="false" customHeight="false" outlineLevel="0" collapsed="false">
      <c r="B127" s="138" t="n">
        <f aca="false">Internal!F18</f>
        <v>0</v>
      </c>
      <c r="C127" s="137"/>
      <c r="D127" s="0" t="s">
        <v>97</v>
      </c>
    </row>
    <row r="128" customFormat="false" ht="12.75" hidden="false" customHeight="false" outlineLevel="0" collapsed="false">
      <c r="B128" s="138" t="n">
        <f aca="false">Internal!G18</f>
        <v>23</v>
      </c>
      <c r="C128" s="137"/>
      <c r="D128" s="0" t="s">
        <v>98</v>
      </c>
    </row>
    <row r="129" customFormat="false" ht="12.75" hidden="false" customHeight="false" outlineLevel="0" collapsed="false">
      <c r="B129" s="138" t="n">
        <f aca="false">Internal!H18</f>
        <v>0</v>
      </c>
      <c r="C129" s="137"/>
      <c r="D129" s="0" t="s">
        <v>99</v>
      </c>
    </row>
    <row r="130" customFormat="false" ht="12.75" hidden="false" customHeight="false" outlineLevel="0" collapsed="false">
      <c r="B130" s="141" t="n">
        <f aca="false">Internal!F113</f>
        <v>33214.8225959142</v>
      </c>
      <c r="C130" s="142"/>
      <c r="D130" s="0" t="s">
        <v>100</v>
      </c>
    </row>
    <row r="131" customFormat="false" ht="12.75" hidden="false" customHeight="false" outlineLevel="0" collapsed="false">
      <c r="B131" s="143" t="n">
        <f aca="false">-Internal!F97</f>
        <v>-46</v>
      </c>
      <c r="C131" s="144"/>
      <c r="D131" s="0" t="s">
        <v>101</v>
      </c>
    </row>
    <row r="132" customFormat="false" ht="12.75" hidden="false" customHeight="false" outlineLevel="0" collapsed="false">
      <c r="B132" s="145" t="str">
        <f aca="false">Internal!B97</f>
        <v>SERVICE OPTIONS</v>
      </c>
      <c r="C132" s="146"/>
      <c r="D132" s="0" t="s">
        <v>102</v>
      </c>
    </row>
    <row r="133" customFormat="false" ht="12.75" hidden="false" customHeight="false" outlineLevel="0" collapsed="false">
      <c r="B133" s="143" t="n">
        <f aca="false">-Internal!F104</f>
        <v>-139.5</v>
      </c>
      <c r="C133" s="144"/>
      <c r="D133" s="0" t="s">
        <v>103</v>
      </c>
    </row>
    <row r="134" customFormat="false" ht="12.75" hidden="false" customHeight="false" outlineLevel="0" collapsed="false">
      <c r="B134" s="145" t="str">
        <f aca="false">Internal!B104</f>
        <v>O&amp;M BLDG</v>
      </c>
      <c r="C134" s="146"/>
      <c r="D134" s="0" t="s">
        <v>104</v>
      </c>
    </row>
    <row r="135" customFormat="false" ht="12.75" hidden="false" customHeight="false" outlineLevel="0" collapsed="false">
      <c r="B135" s="143"/>
      <c r="C135" s="144"/>
    </row>
    <row r="136" customFormat="false" ht="12.75" hidden="false" customHeight="false" outlineLevel="0" collapsed="false">
      <c r="B136" s="143"/>
      <c r="C136" s="144"/>
    </row>
    <row r="137" customFormat="false" ht="13.5" hidden="false" customHeight="false" outlineLevel="0" collapsed="false">
      <c r="B137" s="147"/>
      <c r="C137" s="137"/>
    </row>
    <row r="138" customFormat="false" ht="12.75" hidden="false" customHeight="false" outlineLevel="0" collapsed="false">
      <c r="A138" s="21"/>
      <c r="B138" s="148"/>
      <c r="C138" s="148"/>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c r="AC138" s="21"/>
      <c r="AD138" s="21"/>
      <c r="AE138" s="21"/>
      <c r="AF138" s="21"/>
      <c r="AG138" s="21"/>
      <c r="AH138" s="21"/>
      <c r="AI138" s="21"/>
      <c r="AJ138" s="21"/>
      <c r="AK138" s="21"/>
      <c r="AL138" s="21"/>
      <c r="AM138" s="21"/>
      <c r="AN138" s="21"/>
      <c r="AO138" s="21"/>
      <c r="AP138" s="21"/>
      <c r="AQ138" s="21"/>
      <c r="AR138" s="21"/>
      <c r="AS138" s="21"/>
      <c r="AT138" s="21"/>
      <c r="AU138" s="21"/>
      <c r="AV138" s="21"/>
      <c r="AW138" s="21"/>
      <c r="AX138" s="21"/>
      <c r="AY138" s="21"/>
      <c r="AZ138" s="21"/>
      <c r="BA138" s="21"/>
      <c r="BB138" s="21"/>
      <c r="BC138" s="21"/>
      <c r="BD138" s="21"/>
      <c r="BE138" s="21"/>
      <c r="BF138" s="21"/>
      <c r="BG138" s="21"/>
      <c r="BH138" s="21"/>
      <c r="BI138" s="21"/>
      <c r="BJ138" s="21"/>
      <c r="BK138" s="21"/>
      <c r="BL138" s="21"/>
      <c r="BM138" s="21"/>
      <c r="BN138" s="21"/>
      <c r="BO138" s="21"/>
      <c r="BP138" s="21"/>
      <c r="BQ138" s="21"/>
      <c r="BR138" s="21"/>
      <c r="BS138" s="21"/>
      <c r="BT138" s="21"/>
      <c r="BU138" s="21"/>
      <c r="BV138" s="21"/>
      <c r="BW138" s="21"/>
      <c r="BX138" s="21"/>
      <c r="BY138" s="21"/>
      <c r="BZ138" s="21"/>
      <c r="CA138" s="21"/>
      <c r="CB138" s="21"/>
      <c r="CC138" s="21"/>
      <c r="CD138" s="21"/>
      <c r="CE138" s="21"/>
      <c r="CF138" s="21"/>
      <c r="CG138" s="21"/>
      <c r="CH138" s="21"/>
      <c r="CI138" s="21"/>
      <c r="CJ138" s="21"/>
      <c r="CK138" s="21"/>
      <c r="CL138" s="21"/>
      <c r="CM138" s="21"/>
      <c r="CN138" s="21"/>
      <c r="CO138" s="21"/>
      <c r="CP138" s="21"/>
      <c r="CQ138" s="21"/>
      <c r="CR138" s="21"/>
      <c r="CS138" s="21"/>
      <c r="CT138" s="21"/>
      <c r="CU138" s="21"/>
      <c r="CV138" s="21"/>
      <c r="CW138" s="21"/>
      <c r="CX138" s="21"/>
      <c r="CY138" s="21"/>
      <c r="CZ138" s="21"/>
      <c r="DA138" s="21"/>
      <c r="DB138" s="21"/>
      <c r="DC138" s="21"/>
      <c r="DD138" s="21"/>
      <c r="DE138" s="21"/>
      <c r="DF138" s="21"/>
      <c r="DG138" s="21"/>
      <c r="DH138" s="21"/>
      <c r="DI138" s="21"/>
      <c r="DJ138" s="21"/>
      <c r="DK138" s="21"/>
      <c r="DL138" s="21"/>
      <c r="DM138" s="21"/>
      <c r="DN138" s="21"/>
      <c r="DO138" s="21"/>
      <c r="DP138" s="21"/>
      <c r="DQ138" s="21"/>
      <c r="DR138" s="21"/>
      <c r="DS138" s="21"/>
      <c r="DT138" s="21"/>
      <c r="DU138" s="21"/>
      <c r="DV138" s="21"/>
      <c r="DW138" s="21"/>
      <c r="DX138" s="21"/>
      <c r="DY138" s="21"/>
      <c r="DZ138" s="21"/>
      <c r="EA138" s="21"/>
      <c r="EB138" s="21"/>
      <c r="EC138" s="21"/>
      <c r="ED138" s="21"/>
      <c r="EE138" s="21"/>
      <c r="EF138" s="21"/>
      <c r="EG138" s="21"/>
      <c r="EH138" s="21"/>
      <c r="EI138" s="21"/>
      <c r="EJ138" s="21"/>
      <c r="EK138" s="21"/>
      <c r="EL138" s="21"/>
      <c r="EM138" s="21"/>
      <c r="EN138" s="21"/>
      <c r="EO138" s="21"/>
      <c r="EP138" s="21"/>
      <c r="EQ138" s="21"/>
      <c r="ER138" s="21"/>
      <c r="ES138" s="21"/>
      <c r="ET138" s="21"/>
      <c r="EU138" s="21"/>
      <c r="EV138" s="21"/>
      <c r="EW138" s="21"/>
      <c r="EX138" s="21"/>
      <c r="EY138" s="21"/>
      <c r="EZ138" s="21"/>
      <c r="FA138" s="21"/>
      <c r="FB138" s="21"/>
      <c r="FC138" s="21"/>
      <c r="FD138" s="21"/>
      <c r="FE138" s="21"/>
      <c r="FF138" s="21"/>
      <c r="FG138" s="21"/>
      <c r="FH138" s="21"/>
      <c r="FI138" s="21"/>
      <c r="FJ138" s="21"/>
      <c r="FK138" s="21"/>
      <c r="FL138" s="21"/>
      <c r="FM138" s="21"/>
      <c r="FN138" s="21"/>
      <c r="FO138" s="21"/>
      <c r="FP138" s="21"/>
      <c r="FQ138" s="21"/>
      <c r="FR138" s="21"/>
      <c r="FS138" s="21"/>
      <c r="FT138" s="21"/>
      <c r="FU138" s="21"/>
      <c r="FV138" s="21"/>
      <c r="FW138" s="21"/>
      <c r="FX138" s="21"/>
      <c r="FY138" s="21"/>
      <c r="FZ138" s="21"/>
      <c r="GA138" s="21"/>
      <c r="GB138" s="21"/>
      <c r="GC138" s="21"/>
      <c r="GD138" s="21"/>
      <c r="GE138" s="21"/>
      <c r="GF138" s="21"/>
      <c r="GG138" s="21"/>
      <c r="GH138" s="21"/>
      <c r="GI138" s="21"/>
      <c r="GJ138" s="21"/>
      <c r="GK138" s="21"/>
      <c r="GL138" s="21"/>
      <c r="GM138" s="21"/>
      <c r="GN138" s="21"/>
      <c r="GO138" s="21"/>
      <c r="GP138" s="21"/>
      <c r="GQ138" s="21"/>
      <c r="GR138" s="21"/>
      <c r="GS138" s="21"/>
      <c r="GT138" s="21"/>
      <c r="GU138" s="21"/>
      <c r="GV138" s="21"/>
      <c r="GW138" s="21"/>
      <c r="GX138" s="21"/>
      <c r="GY138" s="21"/>
      <c r="GZ138" s="21"/>
      <c r="HA138" s="21"/>
      <c r="HB138" s="21"/>
      <c r="HC138" s="21"/>
      <c r="HD138" s="21"/>
      <c r="HE138" s="21"/>
      <c r="HF138" s="21"/>
      <c r="HG138" s="21"/>
      <c r="HH138" s="21"/>
      <c r="HI138" s="21"/>
      <c r="HJ138" s="21"/>
      <c r="HK138" s="21"/>
      <c r="HL138" s="21"/>
      <c r="HM138" s="21"/>
      <c r="HN138" s="21"/>
      <c r="HO138" s="21"/>
      <c r="HP138" s="21"/>
      <c r="HQ138" s="21"/>
      <c r="HR138" s="21"/>
      <c r="HS138" s="21"/>
      <c r="HT138" s="21"/>
      <c r="HU138" s="21"/>
      <c r="HV138" s="21"/>
      <c r="HW138" s="21"/>
      <c r="HX138" s="21"/>
      <c r="HY138" s="21"/>
      <c r="HZ138" s="21"/>
      <c r="IA138" s="21"/>
      <c r="IB138" s="21"/>
      <c r="IC138" s="21"/>
      <c r="ID138" s="21"/>
      <c r="IE138" s="21"/>
      <c r="IF138" s="21"/>
      <c r="IG138" s="21"/>
      <c r="IH138" s="21"/>
      <c r="II138" s="21"/>
      <c r="IJ138" s="21"/>
      <c r="IK138" s="21"/>
      <c r="IL138" s="21"/>
      <c r="IM138" s="21"/>
      <c r="IN138" s="21"/>
      <c r="IO138" s="21"/>
      <c r="IP138" s="21"/>
      <c r="IQ138" s="21"/>
      <c r="IR138" s="21"/>
      <c r="IS138" s="21"/>
      <c r="IT138" s="21"/>
      <c r="IU138" s="21"/>
      <c r="IV138" s="21"/>
      <c r="IW138" s="21"/>
    </row>
    <row r="139" customFormat="false" ht="12.75" hidden="false" customHeight="false" outlineLevel="0" collapsed="false">
      <c r="A139" s="21"/>
      <c r="B139" s="148"/>
      <c r="C139" s="148"/>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21"/>
      <c r="BZ139" s="21"/>
      <c r="CA139" s="21"/>
      <c r="CB139" s="21"/>
      <c r="CC139" s="21"/>
      <c r="CD139" s="21"/>
      <c r="CE139" s="21"/>
      <c r="CF139" s="21"/>
      <c r="CG139" s="21"/>
      <c r="CH139" s="21"/>
      <c r="CI139" s="21"/>
      <c r="CJ139" s="21"/>
      <c r="CK139" s="21"/>
      <c r="CL139" s="21"/>
      <c r="CM139" s="21"/>
      <c r="CN139" s="21"/>
      <c r="CO139" s="21"/>
      <c r="CP139" s="21"/>
      <c r="CQ139" s="21"/>
      <c r="CR139" s="21"/>
      <c r="CS139" s="21"/>
      <c r="CT139" s="21"/>
      <c r="CU139" s="21"/>
      <c r="CV139" s="21"/>
      <c r="CW139" s="21"/>
      <c r="CX139" s="21"/>
      <c r="CY139" s="21"/>
      <c r="CZ139" s="21"/>
      <c r="DA139" s="21"/>
      <c r="DB139" s="21"/>
      <c r="DC139" s="21"/>
      <c r="DD139" s="21"/>
      <c r="DE139" s="21"/>
      <c r="DF139" s="21"/>
      <c r="DG139" s="21"/>
      <c r="DH139" s="21"/>
      <c r="DI139" s="21"/>
      <c r="DJ139" s="21"/>
      <c r="DK139" s="21"/>
      <c r="DL139" s="21"/>
      <c r="DM139" s="21"/>
      <c r="DN139" s="21"/>
      <c r="DO139" s="21"/>
      <c r="DP139" s="21"/>
      <c r="DQ139" s="21"/>
      <c r="DR139" s="21"/>
      <c r="DS139" s="21"/>
      <c r="DT139" s="21"/>
      <c r="DU139" s="21"/>
      <c r="DV139" s="21"/>
      <c r="DW139" s="21"/>
      <c r="DX139" s="21"/>
      <c r="DY139" s="21"/>
      <c r="DZ139" s="21"/>
      <c r="EA139" s="21"/>
      <c r="EB139" s="21"/>
      <c r="EC139" s="21"/>
      <c r="ED139" s="21"/>
      <c r="EE139" s="21"/>
      <c r="EF139" s="21"/>
      <c r="EG139" s="21"/>
      <c r="EH139" s="21"/>
      <c r="EI139" s="21"/>
      <c r="EJ139" s="21"/>
      <c r="EK139" s="21"/>
      <c r="EL139" s="21"/>
      <c r="EM139" s="21"/>
      <c r="EN139" s="21"/>
      <c r="EO139" s="21"/>
      <c r="EP139" s="21"/>
      <c r="EQ139" s="21"/>
      <c r="ER139" s="21"/>
      <c r="ES139" s="21"/>
      <c r="ET139" s="21"/>
      <c r="EU139" s="21"/>
      <c r="EV139" s="21"/>
      <c r="EW139" s="21"/>
      <c r="EX139" s="21"/>
      <c r="EY139" s="21"/>
      <c r="EZ139" s="21"/>
      <c r="FA139" s="21"/>
      <c r="FB139" s="21"/>
      <c r="FC139" s="21"/>
      <c r="FD139" s="21"/>
      <c r="FE139" s="21"/>
      <c r="FF139" s="21"/>
      <c r="FG139" s="21"/>
      <c r="FH139" s="21"/>
      <c r="FI139" s="21"/>
      <c r="FJ139" s="21"/>
      <c r="FK139" s="21"/>
      <c r="FL139" s="21"/>
      <c r="FM139" s="21"/>
      <c r="FN139" s="21"/>
      <c r="FO139" s="21"/>
      <c r="FP139" s="21"/>
      <c r="FQ139" s="21"/>
      <c r="FR139" s="21"/>
      <c r="FS139" s="21"/>
      <c r="FT139" s="21"/>
      <c r="FU139" s="21"/>
      <c r="FV139" s="21"/>
      <c r="FW139" s="21"/>
      <c r="FX139" s="21"/>
      <c r="FY139" s="21"/>
      <c r="FZ139" s="21"/>
      <c r="GA139" s="21"/>
      <c r="GB139" s="21"/>
      <c r="GC139" s="21"/>
      <c r="GD139" s="21"/>
      <c r="GE139" s="21"/>
      <c r="GF139" s="21"/>
      <c r="GG139" s="21"/>
      <c r="GH139" s="21"/>
      <c r="GI139" s="21"/>
      <c r="GJ139" s="21"/>
      <c r="GK139" s="21"/>
      <c r="GL139" s="21"/>
      <c r="GM139" s="21"/>
      <c r="GN139" s="21"/>
      <c r="GO139" s="21"/>
      <c r="GP139" s="21"/>
      <c r="GQ139" s="21"/>
      <c r="GR139" s="21"/>
      <c r="GS139" s="21"/>
      <c r="GT139" s="21"/>
      <c r="GU139" s="21"/>
      <c r="GV139" s="21"/>
      <c r="GW139" s="21"/>
      <c r="GX139" s="21"/>
      <c r="GY139" s="21"/>
      <c r="GZ139" s="21"/>
      <c r="HA139" s="21"/>
      <c r="HB139" s="21"/>
      <c r="HC139" s="21"/>
      <c r="HD139" s="21"/>
      <c r="HE139" s="21"/>
      <c r="HF139" s="21"/>
      <c r="HG139" s="21"/>
      <c r="HH139" s="21"/>
      <c r="HI139" s="21"/>
      <c r="HJ139" s="21"/>
      <c r="HK139" s="21"/>
      <c r="HL139" s="21"/>
      <c r="HM139" s="21"/>
      <c r="HN139" s="21"/>
      <c r="HO139" s="21"/>
      <c r="HP139" s="21"/>
      <c r="HQ139" s="21"/>
      <c r="HR139" s="21"/>
      <c r="HS139" s="21"/>
      <c r="HT139" s="21"/>
      <c r="HU139" s="21"/>
      <c r="HV139" s="21"/>
      <c r="HW139" s="21"/>
      <c r="HX139" s="21"/>
      <c r="HY139" s="21"/>
      <c r="HZ139" s="21"/>
      <c r="IA139" s="21"/>
      <c r="IB139" s="21"/>
      <c r="IC139" s="21"/>
      <c r="ID139" s="21"/>
      <c r="IE139" s="21"/>
      <c r="IF139" s="21"/>
      <c r="IG139" s="21"/>
      <c r="IH139" s="21"/>
      <c r="II139" s="21"/>
      <c r="IJ139" s="21"/>
      <c r="IK139" s="21"/>
      <c r="IL139" s="21"/>
      <c r="IM139" s="21"/>
      <c r="IN139" s="21"/>
      <c r="IO139" s="21"/>
      <c r="IP139" s="21"/>
      <c r="IQ139" s="21"/>
      <c r="IR139" s="21"/>
      <c r="IS139" s="21"/>
      <c r="IT139" s="21"/>
      <c r="IU139" s="21"/>
      <c r="IV139" s="21"/>
      <c r="IW139" s="21"/>
    </row>
    <row r="140" customFormat="false" ht="13.5" hidden="false" customHeight="false" outlineLevel="0" collapsed="false">
      <c r="A140" s="21"/>
      <c r="B140" s="15" t="s">
        <v>105</v>
      </c>
      <c r="C140" s="148"/>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21"/>
      <c r="BZ140" s="21"/>
      <c r="CA140" s="21"/>
      <c r="CB140" s="21"/>
      <c r="CC140" s="21"/>
      <c r="CD140" s="21"/>
      <c r="CE140" s="21"/>
      <c r="CF140" s="21"/>
      <c r="CG140" s="21"/>
      <c r="CH140" s="21"/>
      <c r="CI140" s="21"/>
      <c r="CJ140" s="21"/>
      <c r="CK140" s="21"/>
      <c r="CL140" s="21"/>
      <c r="CM140" s="21"/>
      <c r="CN140" s="21"/>
      <c r="CO140" s="21"/>
      <c r="CP140" s="21"/>
      <c r="CQ140" s="21"/>
      <c r="CR140" s="21"/>
      <c r="CS140" s="21"/>
      <c r="CT140" s="21"/>
      <c r="CU140" s="21"/>
      <c r="CV140" s="21"/>
      <c r="CW140" s="21"/>
      <c r="CX140" s="21"/>
      <c r="CY140" s="21"/>
      <c r="CZ140" s="21"/>
      <c r="DA140" s="21"/>
      <c r="DB140" s="21"/>
      <c r="DC140" s="21"/>
      <c r="DD140" s="21"/>
      <c r="DE140" s="21"/>
      <c r="DF140" s="21"/>
      <c r="DG140" s="21"/>
      <c r="DH140" s="21"/>
      <c r="DI140" s="21"/>
      <c r="DJ140" s="21"/>
      <c r="DK140" s="21"/>
      <c r="DL140" s="21"/>
      <c r="DM140" s="21"/>
      <c r="DN140" s="21"/>
      <c r="DO140" s="21"/>
      <c r="DP140" s="21"/>
      <c r="DQ140" s="21"/>
      <c r="DR140" s="21"/>
      <c r="DS140" s="21"/>
      <c r="DT140" s="21"/>
      <c r="DU140" s="21"/>
      <c r="DV140" s="21"/>
      <c r="DW140" s="21"/>
      <c r="DX140" s="21"/>
      <c r="DY140" s="21"/>
      <c r="DZ140" s="21"/>
      <c r="EA140" s="21"/>
      <c r="EB140" s="21"/>
      <c r="EC140" s="21"/>
      <c r="ED140" s="21"/>
      <c r="EE140" s="21"/>
      <c r="EF140" s="21"/>
      <c r="EG140" s="21"/>
      <c r="EH140" s="21"/>
      <c r="EI140" s="21"/>
      <c r="EJ140" s="21"/>
      <c r="EK140" s="21"/>
      <c r="EL140" s="21"/>
      <c r="EM140" s="21"/>
      <c r="EN140" s="21"/>
      <c r="EO140" s="21"/>
      <c r="EP140" s="21"/>
      <c r="EQ140" s="21"/>
      <c r="ER140" s="21"/>
      <c r="ES140" s="21"/>
      <c r="ET140" s="21"/>
      <c r="EU140" s="21"/>
      <c r="EV140" s="21"/>
      <c r="EW140" s="21"/>
      <c r="EX140" s="21"/>
      <c r="EY140" s="21"/>
      <c r="EZ140" s="21"/>
      <c r="FA140" s="21"/>
      <c r="FB140" s="21"/>
      <c r="FC140" s="21"/>
      <c r="FD140" s="21"/>
      <c r="FE140" s="21"/>
      <c r="FF140" s="21"/>
      <c r="FG140" s="21"/>
      <c r="FH140" s="21"/>
      <c r="FI140" s="21"/>
      <c r="FJ140" s="21"/>
      <c r="FK140" s="21"/>
      <c r="FL140" s="21"/>
      <c r="FM140" s="21"/>
      <c r="FN140" s="21"/>
      <c r="FO140" s="21"/>
      <c r="FP140" s="21"/>
      <c r="FQ140" s="21"/>
      <c r="FR140" s="21"/>
      <c r="FS140" s="21"/>
      <c r="FT140" s="21"/>
      <c r="FU140" s="21"/>
      <c r="FV140" s="21"/>
      <c r="FW140" s="21"/>
      <c r="FX140" s="21"/>
      <c r="FY140" s="21"/>
      <c r="FZ140" s="21"/>
      <c r="GA140" s="21"/>
      <c r="GB140" s="21"/>
      <c r="GC140" s="21"/>
      <c r="GD140" s="21"/>
      <c r="GE140" s="21"/>
      <c r="GF140" s="21"/>
      <c r="GG140" s="21"/>
      <c r="GH140" s="21"/>
      <c r="GI140" s="21"/>
      <c r="GJ140" s="21"/>
      <c r="GK140" s="21"/>
      <c r="GL140" s="21"/>
      <c r="GM140" s="21"/>
      <c r="GN140" s="21"/>
      <c r="GO140" s="21"/>
      <c r="GP140" s="21"/>
      <c r="GQ140" s="21"/>
      <c r="GR140" s="21"/>
      <c r="GS140" s="21"/>
      <c r="GT140" s="21"/>
      <c r="GU140" s="21"/>
      <c r="GV140" s="21"/>
      <c r="GW140" s="21"/>
      <c r="GX140" s="21"/>
      <c r="GY140" s="21"/>
      <c r="GZ140" s="21"/>
      <c r="HA140" s="21"/>
      <c r="HB140" s="21"/>
      <c r="HC140" s="21"/>
      <c r="HD140" s="21"/>
      <c r="HE140" s="21"/>
      <c r="HF140" s="21"/>
      <c r="HG140" s="21"/>
      <c r="HH140" s="21"/>
      <c r="HI140" s="21"/>
      <c r="HJ140" s="21"/>
      <c r="HK140" s="21"/>
      <c r="HL140" s="21"/>
      <c r="HM140" s="21"/>
      <c r="HN140" s="21"/>
      <c r="HO140" s="21"/>
      <c r="HP140" s="21"/>
      <c r="HQ140" s="21"/>
      <c r="HR140" s="21"/>
      <c r="HS140" s="21"/>
      <c r="HT140" s="21"/>
      <c r="HU140" s="21"/>
      <c r="HV140" s="21"/>
      <c r="HW140" s="21"/>
      <c r="HX140" s="21"/>
      <c r="HY140" s="21"/>
      <c r="HZ140" s="21"/>
      <c r="IA140" s="21"/>
      <c r="IB140" s="21"/>
      <c r="IC140" s="21"/>
      <c r="ID140" s="21"/>
      <c r="IE140" s="21"/>
      <c r="IF140" s="21"/>
      <c r="IG140" s="21"/>
      <c r="IH140" s="21"/>
      <c r="II140" s="21"/>
      <c r="IJ140" s="21"/>
      <c r="IK140" s="21"/>
      <c r="IL140" s="21"/>
      <c r="IM140" s="21"/>
      <c r="IN140" s="21"/>
      <c r="IO140" s="21"/>
      <c r="IP140" s="21"/>
      <c r="IQ140" s="21"/>
      <c r="IR140" s="21"/>
      <c r="IS140" s="21"/>
      <c r="IT140" s="21"/>
      <c r="IU140" s="21"/>
      <c r="IV140" s="21"/>
      <c r="IW140" s="21"/>
    </row>
    <row r="141" customFormat="false" ht="12.75" hidden="false" customHeight="false" outlineLevel="0" collapsed="false">
      <c r="A141" s="21"/>
      <c r="B141" s="149" t="n">
        <v>0</v>
      </c>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21"/>
      <c r="BZ141" s="21"/>
      <c r="CA141" s="21"/>
      <c r="CB141" s="21"/>
      <c r="CC141" s="21"/>
      <c r="CD141" s="21"/>
      <c r="CE141" s="21"/>
      <c r="CF141" s="21"/>
      <c r="CG141" s="21"/>
      <c r="CH141" s="21"/>
      <c r="CI141" s="21"/>
      <c r="CJ141" s="21"/>
      <c r="CK141" s="21"/>
      <c r="CL141" s="21"/>
      <c r="CM141" s="21"/>
      <c r="CN141" s="21"/>
      <c r="CO141" s="21"/>
      <c r="CP141" s="21"/>
      <c r="CQ141" s="21"/>
      <c r="CR141" s="21"/>
      <c r="CS141" s="21"/>
      <c r="CT141" s="21"/>
      <c r="CU141" s="21"/>
      <c r="CV141" s="21"/>
      <c r="CW141" s="21"/>
      <c r="CX141" s="21"/>
      <c r="CY141" s="21"/>
      <c r="CZ141" s="21"/>
      <c r="DA141" s="21"/>
      <c r="DB141" s="21"/>
      <c r="DC141" s="21"/>
      <c r="DD141" s="21"/>
      <c r="DE141" s="21"/>
      <c r="DF141" s="21"/>
      <c r="DG141" s="21"/>
      <c r="DH141" s="21"/>
      <c r="DI141" s="21"/>
      <c r="DJ141" s="21"/>
      <c r="DK141" s="21"/>
      <c r="DL141" s="21"/>
      <c r="DM141" s="21"/>
      <c r="DN141" s="21"/>
      <c r="DO141" s="21"/>
      <c r="DP141" s="21"/>
      <c r="DQ141" s="21"/>
      <c r="DR141" s="21"/>
      <c r="DS141" s="21"/>
      <c r="DT141" s="21"/>
      <c r="DU141" s="21"/>
      <c r="DV141" s="21"/>
      <c r="DW141" s="21"/>
      <c r="DX141" s="21"/>
      <c r="DY141" s="21"/>
      <c r="DZ141" s="21"/>
      <c r="EA141" s="21"/>
      <c r="EB141" s="21"/>
      <c r="EC141" s="21"/>
      <c r="ED141" s="21"/>
      <c r="EE141" s="21"/>
      <c r="EF141" s="21"/>
      <c r="EG141" s="21"/>
      <c r="EH141" s="21"/>
      <c r="EI141" s="21"/>
      <c r="EJ141" s="21"/>
      <c r="EK141" s="21"/>
      <c r="EL141" s="21"/>
      <c r="EM141" s="21"/>
      <c r="EN141" s="21"/>
      <c r="EO141" s="21"/>
      <c r="EP141" s="21"/>
      <c r="EQ141" s="21"/>
      <c r="ER141" s="21"/>
      <c r="ES141" s="21"/>
      <c r="ET141" s="21"/>
      <c r="EU141" s="21"/>
      <c r="EV141" s="21"/>
      <c r="EW141" s="21"/>
      <c r="EX141" s="21"/>
      <c r="EY141" s="21"/>
      <c r="EZ141" s="21"/>
      <c r="FA141" s="21"/>
      <c r="FB141" s="21"/>
      <c r="FC141" s="21"/>
      <c r="FD141" s="21"/>
      <c r="FE141" s="21"/>
      <c r="FF141" s="21"/>
      <c r="FG141" s="21"/>
      <c r="FH141" s="21"/>
      <c r="FI141" s="21"/>
      <c r="FJ141" s="21"/>
      <c r="FK141" s="21"/>
      <c r="FL141" s="21"/>
      <c r="FM141" s="21"/>
      <c r="FN141" s="21"/>
      <c r="FO141" s="21"/>
      <c r="FP141" s="21"/>
      <c r="FQ141" s="21"/>
      <c r="FR141" s="21"/>
      <c r="FS141" s="21"/>
      <c r="FT141" s="21"/>
      <c r="FU141" s="21"/>
      <c r="FV141" s="21"/>
      <c r="FW141" s="21"/>
      <c r="FX141" s="21"/>
      <c r="FY141" s="21"/>
      <c r="FZ141" s="21"/>
      <c r="GA141" s="21"/>
      <c r="GB141" s="21"/>
      <c r="GC141" s="21"/>
      <c r="GD141" s="21"/>
      <c r="GE141" s="21"/>
      <c r="GF141" s="21"/>
      <c r="GG141" s="21"/>
      <c r="GH141" s="21"/>
      <c r="GI141" s="21"/>
      <c r="GJ141" s="21"/>
      <c r="GK141" s="21"/>
      <c r="GL141" s="21"/>
      <c r="GM141" s="21"/>
      <c r="GN141" s="21"/>
      <c r="GO141" s="21"/>
      <c r="GP141" s="21"/>
      <c r="GQ141" s="21"/>
      <c r="GR141" s="21"/>
      <c r="GS141" s="21"/>
      <c r="GT141" s="21"/>
      <c r="GU141" s="21"/>
      <c r="GV141" s="21"/>
      <c r="GW141" s="21"/>
      <c r="GX141" s="21"/>
      <c r="GY141" s="21"/>
      <c r="GZ141" s="21"/>
      <c r="HA141" s="21"/>
      <c r="HB141" s="21"/>
      <c r="HC141" s="21"/>
      <c r="HD141" s="21"/>
      <c r="HE141" s="21"/>
      <c r="HF141" s="21"/>
      <c r="HG141" s="21"/>
      <c r="HH141" s="21"/>
      <c r="HI141" s="21"/>
      <c r="HJ141" s="21"/>
      <c r="HK141" s="21"/>
      <c r="HL141" s="21"/>
      <c r="HM141" s="21"/>
      <c r="HN141" s="21"/>
      <c r="HO141" s="21"/>
      <c r="HP141" s="21"/>
      <c r="HQ141" s="21"/>
      <c r="HR141" s="21"/>
      <c r="HS141" s="21"/>
      <c r="HT141" s="21"/>
      <c r="HU141" s="21"/>
      <c r="HV141" s="21"/>
      <c r="HW141" s="21"/>
      <c r="HX141" s="21"/>
      <c r="HY141" s="21"/>
      <c r="HZ141" s="21"/>
      <c r="IA141" s="21"/>
      <c r="IB141" s="21"/>
      <c r="IC141" s="21"/>
      <c r="ID141" s="21"/>
      <c r="IE141" s="21"/>
      <c r="IF141" s="21"/>
      <c r="IG141" s="21"/>
      <c r="IH141" s="21"/>
      <c r="II141" s="21"/>
      <c r="IJ141" s="21"/>
      <c r="IK141" s="21"/>
      <c r="IL141" s="21"/>
      <c r="IM141" s="21"/>
      <c r="IN141" s="21"/>
      <c r="IO141" s="21"/>
      <c r="IP141" s="21"/>
      <c r="IQ141" s="21"/>
      <c r="IR141" s="21"/>
      <c r="IS141" s="21"/>
      <c r="IT141" s="21"/>
      <c r="IU141" s="21"/>
      <c r="IV141" s="21"/>
      <c r="IW141" s="21"/>
    </row>
    <row r="142" customFormat="false" ht="12.75" hidden="false" customHeight="false" outlineLevel="0" collapsed="false">
      <c r="A142" s="21"/>
      <c r="B142" s="150" t="n">
        <v>1</v>
      </c>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c r="AC142" s="21"/>
      <c r="AD142" s="21"/>
      <c r="AE142" s="21"/>
      <c r="AF142" s="21"/>
      <c r="AG142" s="21"/>
      <c r="AH142" s="21"/>
      <c r="AI142" s="21"/>
      <c r="AJ142" s="21"/>
      <c r="AK142" s="21"/>
      <c r="AL142" s="21"/>
      <c r="AM142" s="21"/>
      <c r="AN142" s="21"/>
      <c r="AO142" s="21"/>
      <c r="AP142" s="21"/>
      <c r="AQ142" s="21"/>
      <c r="AR142" s="21"/>
      <c r="AS142" s="21"/>
      <c r="AT142" s="21"/>
      <c r="AU142" s="21"/>
      <c r="AV142" s="21"/>
      <c r="AW142" s="21"/>
      <c r="AX142" s="21"/>
      <c r="AY142" s="21"/>
      <c r="AZ142" s="21"/>
      <c r="BA142" s="21"/>
      <c r="BB142" s="21"/>
      <c r="BC142" s="21"/>
      <c r="BD142" s="21"/>
      <c r="BE142" s="21"/>
      <c r="BF142" s="21"/>
      <c r="BG142" s="21"/>
      <c r="BH142" s="21"/>
      <c r="BI142" s="21"/>
      <c r="BJ142" s="21"/>
      <c r="BK142" s="21"/>
      <c r="BL142" s="21"/>
      <c r="BM142" s="21"/>
      <c r="BN142" s="21"/>
      <c r="BO142" s="21"/>
      <c r="BP142" s="21"/>
      <c r="BQ142" s="21"/>
      <c r="BR142" s="21"/>
      <c r="BS142" s="21"/>
      <c r="BT142" s="21"/>
      <c r="BU142" s="21"/>
      <c r="BV142" s="21"/>
      <c r="BW142" s="21"/>
      <c r="BX142" s="21"/>
      <c r="BY142" s="21"/>
      <c r="BZ142" s="21"/>
      <c r="CA142" s="21"/>
      <c r="CB142" s="21"/>
      <c r="CC142" s="21"/>
      <c r="CD142" s="21"/>
      <c r="CE142" s="21"/>
      <c r="CF142" s="21"/>
      <c r="CG142" s="21"/>
      <c r="CH142" s="21"/>
      <c r="CI142" s="21"/>
      <c r="CJ142" s="21"/>
      <c r="CK142" s="21"/>
      <c r="CL142" s="21"/>
      <c r="CM142" s="21"/>
      <c r="CN142" s="21"/>
      <c r="CO142" s="21"/>
      <c r="CP142" s="21"/>
      <c r="CQ142" s="21"/>
      <c r="CR142" s="21"/>
      <c r="CS142" s="21"/>
      <c r="CT142" s="21"/>
      <c r="CU142" s="21"/>
      <c r="CV142" s="21"/>
      <c r="CW142" s="21"/>
      <c r="CX142" s="21"/>
      <c r="CY142" s="21"/>
      <c r="CZ142" s="21"/>
      <c r="DA142" s="21"/>
      <c r="DB142" s="21"/>
      <c r="DC142" s="21"/>
      <c r="DD142" s="21"/>
      <c r="DE142" s="21"/>
      <c r="DF142" s="21"/>
      <c r="DG142" s="21"/>
      <c r="DH142" s="21"/>
      <c r="DI142" s="21"/>
      <c r="DJ142" s="21"/>
      <c r="DK142" s="21"/>
      <c r="DL142" s="21"/>
      <c r="DM142" s="21"/>
      <c r="DN142" s="21"/>
      <c r="DO142" s="21"/>
      <c r="DP142" s="21"/>
      <c r="DQ142" s="21"/>
      <c r="DR142" s="21"/>
      <c r="DS142" s="21"/>
      <c r="DT142" s="21"/>
      <c r="DU142" s="21"/>
      <c r="DV142" s="21"/>
      <c r="DW142" s="21"/>
      <c r="DX142" s="21"/>
      <c r="DY142" s="21"/>
      <c r="DZ142" s="21"/>
      <c r="EA142" s="21"/>
      <c r="EB142" s="21"/>
      <c r="EC142" s="21"/>
      <c r="ED142" s="21"/>
      <c r="EE142" s="21"/>
      <c r="EF142" s="21"/>
      <c r="EG142" s="21"/>
      <c r="EH142" s="21"/>
      <c r="EI142" s="21"/>
      <c r="EJ142" s="21"/>
      <c r="EK142" s="21"/>
      <c r="EL142" s="21"/>
      <c r="EM142" s="21"/>
      <c r="EN142" s="21"/>
      <c r="EO142" s="21"/>
      <c r="EP142" s="21"/>
      <c r="EQ142" s="21"/>
      <c r="ER142" s="21"/>
      <c r="ES142" s="21"/>
      <c r="ET142" s="21"/>
      <c r="EU142" s="21"/>
      <c r="EV142" s="21"/>
      <c r="EW142" s="21"/>
      <c r="EX142" s="21"/>
      <c r="EY142" s="21"/>
      <c r="EZ142" s="21"/>
      <c r="FA142" s="21"/>
      <c r="FB142" s="21"/>
      <c r="FC142" s="21"/>
      <c r="FD142" s="21"/>
      <c r="FE142" s="21"/>
      <c r="FF142" s="21"/>
      <c r="FG142" s="21"/>
      <c r="FH142" s="21"/>
      <c r="FI142" s="21"/>
      <c r="FJ142" s="21"/>
      <c r="FK142" s="21"/>
      <c r="FL142" s="21"/>
      <c r="FM142" s="21"/>
      <c r="FN142" s="21"/>
      <c r="FO142" s="21"/>
      <c r="FP142" s="21"/>
      <c r="FQ142" s="21"/>
      <c r="FR142" s="21"/>
      <c r="FS142" s="21"/>
      <c r="FT142" s="21"/>
      <c r="FU142" s="21"/>
      <c r="FV142" s="21"/>
      <c r="FW142" s="21"/>
      <c r="FX142" s="21"/>
      <c r="FY142" s="21"/>
      <c r="FZ142" s="21"/>
      <c r="GA142" s="21"/>
      <c r="GB142" s="21"/>
      <c r="GC142" s="21"/>
      <c r="GD142" s="21"/>
      <c r="GE142" s="21"/>
      <c r="GF142" s="21"/>
      <c r="GG142" s="21"/>
      <c r="GH142" s="21"/>
      <c r="GI142" s="21"/>
      <c r="GJ142" s="21"/>
      <c r="GK142" s="21"/>
      <c r="GL142" s="21"/>
      <c r="GM142" s="21"/>
      <c r="GN142" s="21"/>
      <c r="GO142" s="21"/>
      <c r="GP142" s="21"/>
      <c r="GQ142" s="21"/>
      <c r="GR142" s="21"/>
      <c r="GS142" s="21"/>
      <c r="GT142" s="21"/>
      <c r="GU142" s="21"/>
      <c r="GV142" s="21"/>
      <c r="GW142" s="21"/>
      <c r="GX142" s="21"/>
      <c r="GY142" s="21"/>
      <c r="GZ142" s="21"/>
      <c r="HA142" s="21"/>
      <c r="HB142" s="21"/>
      <c r="HC142" s="21"/>
      <c r="HD142" s="21"/>
      <c r="HE142" s="21"/>
      <c r="HF142" s="21"/>
      <c r="HG142" s="21"/>
      <c r="HH142" s="21"/>
      <c r="HI142" s="21"/>
      <c r="HJ142" s="21"/>
      <c r="HK142" s="21"/>
      <c r="HL142" s="21"/>
      <c r="HM142" s="21"/>
      <c r="HN142" s="21"/>
      <c r="HO142" s="21"/>
      <c r="HP142" s="21"/>
      <c r="HQ142" s="21"/>
      <c r="HR142" s="21"/>
      <c r="HS142" s="21"/>
      <c r="HT142" s="21"/>
      <c r="HU142" s="21"/>
      <c r="HV142" s="21"/>
      <c r="HW142" s="21"/>
      <c r="HX142" s="21"/>
      <c r="HY142" s="21"/>
      <c r="HZ142" s="21"/>
      <c r="IA142" s="21"/>
      <c r="IB142" s="21"/>
      <c r="IC142" s="21"/>
      <c r="ID142" s="21"/>
      <c r="IE142" s="21"/>
      <c r="IF142" s="21"/>
      <c r="IG142" s="21"/>
      <c r="IH142" s="21"/>
      <c r="II142" s="21"/>
      <c r="IJ142" s="21"/>
      <c r="IK142" s="21"/>
      <c r="IL142" s="21"/>
      <c r="IM142" s="21"/>
      <c r="IN142" s="21"/>
      <c r="IO142" s="21"/>
      <c r="IP142" s="21"/>
      <c r="IQ142" s="21"/>
      <c r="IR142" s="21"/>
      <c r="IS142" s="21"/>
      <c r="IT142" s="21"/>
      <c r="IU142" s="21"/>
      <c r="IV142" s="21"/>
      <c r="IW142" s="21"/>
    </row>
    <row r="143" customFormat="false" ht="12.75" hidden="false" customHeight="false" outlineLevel="0" collapsed="false">
      <c r="B143" s="150" t="n">
        <v>2</v>
      </c>
    </row>
    <row r="144" customFormat="false" ht="12.75" hidden="false" customHeight="false" outlineLevel="0" collapsed="false">
      <c r="B144" s="150" t="n">
        <v>3</v>
      </c>
    </row>
    <row r="145" customFormat="false" ht="12.75" hidden="false" customHeight="false" outlineLevel="0" collapsed="false">
      <c r="B145" s="150" t="n">
        <v>4</v>
      </c>
    </row>
    <row r="146" customFormat="false" ht="12.75" hidden="false" customHeight="false" outlineLevel="0" collapsed="false">
      <c r="B146" s="150" t="n">
        <v>5</v>
      </c>
    </row>
    <row r="147" customFormat="false" ht="12.75" hidden="false" customHeight="false" outlineLevel="0" collapsed="false">
      <c r="B147" s="150" t="n">
        <v>6</v>
      </c>
    </row>
    <row r="148" customFormat="false" ht="12.75" hidden="false" customHeight="false" outlineLevel="0" collapsed="false">
      <c r="B148" s="150" t="n">
        <v>7</v>
      </c>
    </row>
    <row r="149" customFormat="false" ht="12.75" hidden="false" customHeight="false" outlineLevel="0" collapsed="false">
      <c r="B149" s="150" t="n">
        <v>8</v>
      </c>
    </row>
    <row r="150" customFormat="false" ht="12.75" hidden="false" customHeight="false" outlineLevel="0" collapsed="false">
      <c r="B150" s="150" t="n">
        <v>9</v>
      </c>
    </row>
    <row r="151" customFormat="false" ht="13.5" hidden="false" customHeight="false" outlineLevel="0" collapsed="false">
      <c r="B151" s="151" t="n">
        <v>10</v>
      </c>
    </row>
  </sheetData>
  <dataValidations count="1">
    <dataValidation allowBlank="true" errorStyle="stop" operator="between" showDropDown="false" showErrorMessage="true" showInputMessage="false" sqref="G86" type="list">
      <formula1>$B$141:$B$142</formula1>
      <formula2>0</formula2>
    </dataValidation>
  </dataValidations>
  <printOptions headings="true" gridLines="false" gridLinesSet="true" horizontalCentered="false" verticalCentered="false"/>
  <pageMargins left="0.25" right="0.229861111111111" top="0.270138888888889" bottom="0.270138888888889"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colBreaks count="1" manualBreakCount="1">
    <brk id="14" man="true" max="65535" min="0"/>
  </colBreaks>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53">
              <controlPr defaultSize="0" print="false" autoFill="0" autoPict="0" macro="Module3.Print_Internal">
                <anchor moveWithCells="true" sizeWithCells="false">
                  <from>
                    <xdr:col>1</xdr:col>
                    <xdr:colOff>0</xdr:colOff>
                    <xdr:row>8</xdr:row>
                    <xdr:rowOff>0</xdr:rowOff>
                  </from>
                  <to>
                    <xdr:col>2</xdr:col>
                    <xdr:colOff>-1707120</xdr:colOff>
                    <xdr:row>10</xdr:row>
                    <xdr:rowOff>133200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59"/>
  <sheetViews>
    <sheetView showFormulas="false" showGridLines="true" showRowColHeaders="true" showZeros="true" rightToLeft="false" tabSelected="false" showOutlineSymbols="true" defaultGridColor="true" view="normal" topLeftCell="A92" colorId="64" zoomScale="75" zoomScaleNormal="75" zoomScalePageLayoutView="75" workbookViewId="0">
      <selection pane="topLeft" activeCell="C110" activeCellId="0" sqref="C110"/>
    </sheetView>
  </sheetViews>
  <sheetFormatPr defaultColWidth="8.70703125" defaultRowHeight="12.75" customHeight="true" zeroHeight="false" outlineLevelRow="0" outlineLevelCol="0"/>
  <cols>
    <col collapsed="false" customWidth="true" hidden="false" outlineLevel="0" max="1" min="1" style="1" width="2.99"/>
    <col collapsed="false" customWidth="true" hidden="false" outlineLevel="0" max="2" min="2" style="1" width="62.7"/>
    <col collapsed="false" customWidth="true" hidden="false" outlineLevel="0" max="3" min="3" style="3" width="18.14"/>
    <col collapsed="false" customWidth="true" hidden="true" outlineLevel="0" max="4" min="4" style="1" width="17.14"/>
    <col collapsed="false" customWidth="true" hidden="false" outlineLevel="0" max="5" min="5" style="1" width="21.42"/>
    <col collapsed="false" customWidth="true" hidden="false" outlineLevel="0" max="6" min="6" style="1" width="24.7"/>
    <col collapsed="false" customWidth="true" hidden="false" outlineLevel="0" max="7" min="7" style="1" width="29.28"/>
    <col collapsed="false" customWidth="true" hidden="false" outlineLevel="0" max="8" min="8" style="1" width="18.85"/>
    <col collapsed="false" customWidth="true" hidden="false" outlineLevel="0" max="10" min="9" style="1" width="17.85"/>
    <col collapsed="false" customWidth="true" hidden="false" outlineLevel="0" max="11" min="11" style="1" width="19.99"/>
    <col collapsed="false" customWidth="true" hidden="false" outlineLevel="0" max="12" min="12" style="1" width="17.7"/>
    <col collapsed="false" customWidth="true" hidden="false" outlineLevel="0" max="13" min="13" style="1" width="12.7"/>
    <col collapsed="false" customWidth="true" hidden="false" outlineLevel="0" max="14" min="14" style="1" width="15.41"/>
    <col collapsed="false" customWidth="true" hidden="false" outlineLevel="0" max="25" min="15" style="1" width="10.71"/>
    <col collapsed="false" customWidth="true" hidden="false" outlineLevel="0" max="26" min="26" style="1" width="13.28"/>
    <col collapsed="false" customWidth="true" hidden="false" outlineLevel="0" max="38" min="27" style="1" width="10.71"/>
    <col collapsed="false" customWidth="false" hidden="false" outlineLevel="0" max="257" min="39" style="1" width="8.7"/>
  </cols>
  <sheetData>
    <row r="1" customFormat="false" ht="12.75" hidden="false" customHeight="false" outlineLevel="0" collapsed="false">
      <c r="E1" s="4" t="n">
        <v>1</v>
      </c>
      <c r="F1" s="5" t="n">
        <f aca="false">E1+1</f>
        <v>2</v>
      </c>
      <c r="G1" s="5" t="n">
        <f aca="false">F1+1</f>
        <v>3</v>
      </c>
      <c r="H1" s="5" t="n">
        <f aca="false">G1+1</f>
        <v>4</v>
      </c>
      <c r="I1" s="5" t="n">
        <f aca="false">H1+1</f>
        <v>5</v>
      </c>
      <c r="J1" s="5" t="n">
        <f aca="false">I1+1</f>
        <v>6</v>
      </c>
      <c r="K1" s="5" t="n">
        <f aca="false">J1+1</f>
        <v>7</v>
      </c>
      <c r="L1" s="5" t="n">
        <f aca="false">K1+1</f>
        <v>8</v>
      </c>
      <c r="M1" s="5" t="n">
        <f aca="false">L1+1</f>
        <v>9</v>
      </c>
      <c r="N1" s="5" t="n">
        <f aca="false">M1+1</f>
        <v>10</v>
      </c>
      <c r="O1" s="5" t="n">
        <f aca="false">N1+1</f>
        <v>11</v>
      </c>
      <c r="P1" s="5" t="n">
        <f aca="false">O1+1</f>
        <v>12</v>
      </c>
      <c r="Q1" s="5" t="n">
        <f aca="false">P1+1</f>
        <v>13</v>
      </c>
      <c r="R1" s="5" t="n">
        <f aca="false">Q1+1</f>
        <v>14</v>
      </c>
      <c r="S1" s="5" t="n">
        <f aca="false">R1+1</f>
        <v>15</v>
      </c>
      <c r="T1" s="5" t="n">
        <f aca="false">S1+1</f>
        <v>16</v>
      </c>
      <c r="U1" s="5" t="n">
        <f aca="false">T1+1</f>
        <v>17</v>
      </c>
      <c r="V1" s="5" t="n">
        <f aca="false">U1+1</f>
        <v>18</v>
      </c>
      <c r="W1" s="5" t="n">
        <f aca="false">V1+1</f>
        <v>19</v>
      </c>
      <c r="X1" s="5" t="n">
        <f aca="false">W1+1</f>
        <v>20</v>
      </c>
      <c r="Y1" s="5" t="n">
        <f aca="false">X1+1</f>
        <v>21</v>
      </c>
      <c r="Z1" s="5" t="n">
        <f aca="false">Y1+1</f>
        <v>22</v>
      </c>
      <c r="AA1" s="5" t="n">
        <f aca="false">Z1+1</f>
        <v>23</v>
      </c>
      <c r="AB1" s="5" t="n">
        <f aca="false">AA1+1</f>
        <v>24</v>
      </c>
      <c r="AC1" s="5" t="n">
        <f aca="false">AB1+1</f>
        <v>25</v>
      </c>
      <c r="AD1" s="5" t="n">
        <f aca="false">AC1+1</f>
        <v>26</v>
      </c>
      <c r="AE1" s="5" t="n">
        <f aca="false">AD1+1</f>
        <v>27</v>
      </c>
      <c r="AF1" s="5" t="n">
        <f aca="false">AE1+1</f>
        <v>28</v>
      </c>
      <c r="AG1" s="5" t="n">
        <f aca="false">AF1+1</f>
        <v>29</v>
      </c>
      <c r="AH1" s="5" t="n">
        <f aca="false">AG1+1</f>
        <v>30</v>
      </c>
      <c r="AI1" s="6" t="n">
        <f aca="false">AH1+1</f>
        <v>31</v>
      </c>
    </row>
    <row r="2" customFormat="false" ht="12.75" hidden="false" customHeight="false" outlineLevel="0" collapsed="false">
      <c r="E2" s="7" t="n">
        <f aca="false">$H$25</f>
        <v>2002</v>
      </c>
      <c r="F2" s="8" t="n">
        <f aca="false">E2+1</f>
        <v>2003</v>
      </c>
      <c r="G2" s="8" t="n">
        <f aca="false">F2+1</f>
        <v>2004</v>
      </c>
      <c r="H2" s="8" t="n">
        <f aca="false">G2+1</f>
        <v>2005</v>
      </c>
      <c r="I2" s="8" t="n">
        <f aca="false">H2+1</f>
        <v>2006</v>
      </c>
      <c r="J2" s="8" t="n">
        <f aca="false">I2+1</f>
        <v>2007</v>
      </c>
      <c r="K2" s="8" t="n">
        <f aca="false">J2+1</f>
        <v>2008</v>
      </c>
      <c r="L2" s="8" t="n">
        <f aca="false">K2+1</f>
        <v>2009</v>
      </c>
      <c r="M2" s="8" t="n">
        <f aca="false">L2+1</f>
        <v>2010</v>
      </c>
      <c r="N2" s="8" t="n">
        <f aca="false">M2+1</f>
        <v>2011</v>
      </c>
      <c r="O2" s="8" t="n">
        <f aca="false">N2+1</f>
        <v>2012</v>
      </c>
      <c r="P2" s="8" t="n">
        <f aca="false">O2+1</f>
        <v>2013</v>
      </c>
      <c r="Q2" s="8" t="n">
        <f aca="false">P2+1</f>
        <v>2014</v>
      </c>
      <c r="R2" s="8" t="n">
        <f aca="false">Q2+1</f>
        <v>2015</v>
      </c>
      <c r="S2" s="8" t="n">
        <f aca="false">R2+1</f>
        <v>2016</v>
      </c>
      <c r="T2" s="8" t="n">
        <f aca="false">S2+1</f>
        <v>2017</v>
      </c>
      <c r="U2" s="8" t="n">
        <f aca="false">T2+1</f>
        <v>2018</v>
      </c>
      <c r="V2" s="8" t="n">
        <f aca="false">U2+1</f>
        <v>2019</v>
      </c>
      <c r="W2" s="8" t="n">
        <f aca="false">V2+1</f>
        <v>2020</v>
      </c>
      <c r="X2" s="8" t="n">
        <f aca="false">W2+1</f>
        <v>2021</v>
      </c>
      <c r="Y2" s="8" t="n">
        <f aca="false">X2+1</f>
        <v>2022</v>
      </c>
      <c r="Z2" s="8" t="n">
        <f aca="false">Y2+1</f>
        <v>2023</v>
      </c>
      <c r="AA2" s="8" t="n">
        <f aca="false">Z2+1</f>
        <v>2024</v>
      </c>
      <c r="AB2" s="8" t="n">
        <f aca="false">AA2+1</f>
        <v>2025</v>
      </c>
      <c r="AC2" s="8" t="n">
        <f aca="false">AB2+1</f>
        <v>2026</v>
      </c>
      <c r="AD2" s="8" t="n">
        <f aca="false">AC2+1</f>
        <v>2027</v>
      </c>
      <c r="AE2" s="8" t="n">
        <f aca="false">AD2+1</f>
        <v>2028</v>
      </c>
      <c r="AF2" s="8" t="n">
        <f aca="false">AE2+1</f>
        <v>2029</v>
      </c>
      <c r="AG2" s="8" t="n">
        <f aca="false">AF2+1</f>
        <v>2030</v>
      </c>
      <c r="AH2" s="8" t="n">
        <f aca="false">AG2+1</f>
        <v>2031</v>
      </c>
      <c r="AI2" s="9" t="n">
        <f aca="false">AH2+1</f>
        <v>2032</v>
      </c>
    </row>
    <row r="4" customFormat="false" ht="12.75" hidden="false" customHeight="false" outlineLevel="0" collapsed="false">
      <c r="B4" s="152" t="s">
        <v>1</v>
      </c>
      <c r="E4" s="11" t="str">
        <f aca="true">CELL("FILENAME")</f>
        <v>'file:///mnt/12tb/@roms/datasets/enron/EDRM Enron Email Data Set v2 XML/filtered-attachments/xls/SMUD_34.5_MW_6_12_00_EddieM_Breakeven.xls'#$Assum</v>
      </c>
    </row>
    <row r="5" customFormat="false" ht="12.75" hidden="false" customHeight="false" outlineLevel="0" collapsed="false">
      <c r="A5" s="11"/>
      <c r="B5" s="153" t="n">
        <f aca="true">NOW()</f>
        <v>44464.8931433265</v>
      </c>
      <c r="C5" s="152"/>
      <c r="D5" s="24"/>
      <c r="E5" s="24"/>
      <c r="F5" s="24"/>
      <c r="G5" s="3"/>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row>
    <row r="6" customFormat="false" ht="12.75" hidden="false" customHeight="false" outlineLevel="0" collapsed="false">
      <c r="A6" s="11"/>
      <c r="B6" s="16" t="n">
        <f aca="true">NOW()</f>
        <v>44464.8931433268</v>
      </c>
      <c r="C6" s="153"/>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row>
    <row r="7" customFormat="false" ht="12.75" hidden="false" customHeight="false" outlineLevel="0" collapsed="false">
      <c r="A7" s="11"/>
      <c r="B7" s="3"/>
      <c r="C7" s="16"/>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row>
    <row r="8" customFormat="false" ht="12.75" hidden="false" customHeight="false" outlineLevel="0" collapsed="false">
      <c r="A8" s="11"/>
      <c r="B8" s="16"/>
      <c r="C8" s="16"/>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row>
    <row r="9" customFormat="false" ht="12.75" hidden="false" customHeight="false" outlineLevel="0" collapsed="false">
      <c r="A9" s="11"/>
      <c r="B9" s="16"/>
      <c r="C9" s="16"/>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row>
    <row r="10" customFormat="false" ht="12.75" hidden="false" customHeight="false" outlineLevel="0" collapsed="false">
      <c r="A10" s="11"/>
      <c r="B10" s="3"/>
      <c r="C10" s="16"/>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row>
    <row r="11" customFormat="false" ht="12.75" hidden="false" customHeight="false" outlineLevel="0" collapsed="false">
      <c r="A11" s="11"/>
      <c r="B11" s="12"/>
      <c r="C11" s="12"/>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row>
    <row r="12" customFormat="false" ht="13.5" hidden="false" customHeight="false" outlineLevel="0" collapsed="false">
      <c r="A12" s="11"/>
      <c r="B12" s="154" t="s">
        <v>106</v>
      </c>
      <c r="C12" s="12"/>
      <c r="D12" s="24"/>
      <c r="E12" s="24"/>
      <c r="F12" s="24"/>
      <c r="G12" s="155"/>
      <c r="H12" s="22"/>
      <c r="I12" s="22"/>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row>
    <row r="13" customFormat="false" ht="13.5" hidden="false" customHeight="false" outlineLevel="0" collapsed="false">
      <c r="A13" s="22"/>
      <c r="B13" s="156" t="s">
        <v>107</v>
      </c>
      <c r="D13" s="24"/>
      <c r="E13" s="24"/>
      <c r="F13" s="24"/>
      <c r="G13" s="3"/>
      <c r="H13" s="3"/>
      <c r="I13" s="3"/>
      <c r="J13" s="22"/>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row>
    <row r="14" customFormat="false" ht="12.75" hidden="false" customHeight="false" outlineLevel="0" collapsed="false">
      <c r="A14" s="22"/>
      <c r="B14" s="157" t="s">
        <v>108</v>
      </c>
      <c r="D14" s="49"/>
      <c r="E14" s="24"/>
      <c r="F14" s="24"/>
      <c r="G14" s="3"/>
      <c r="H14" s="3"/>
      <c r="I14" s="3"/>
      <c r="J14" s="39"/>
      <c r="K14" s="64"/>
      <c r="L14" s="6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row>
    <row r="15" customFormat="false" ht="12.75" hidden="false" customHeight="false" outlineLevel="0" collapsed="false">
      <c r="A15" s="22"/>
      <c r="B15" s="158" t="s">
        <v>109</v>
      </c>
      <c r="C15" s="35"/>
      <c r="D15" s="49"/>
      <c r="E15" s="3"/>
      <c r="F15" s="3"/>
      <c r="G15" s="3"/>
      <c r="H15" s="3"/>
      <c r="I15" s="3"/>
      <c r="J15" s="39"/>
      <c r="K15" s="64"/>
      <c r="L15" s="6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c r="IW15" s="3"/>
    </row>
    <row r="16" customFormat="false" ht="12.75" hidden="false" customHeight="false" outlineLevel="0" collapsed="false">
      <c r="A16" s="159"/>
      <c r="B16" s="160" t="s">
        <v>110</v>
      </c>
      <c r="C16" s="35"/>
      <c r="D16" s="159"/>
      <c r="E16" s="3"/>
      <c r="F16" s="3"/>
      <c r="G16" s="3"/>
      <c r="H16" s="3"/>
      <c r="I16" s="3"/>
      <c r="J16" s="3"/>
      <c r="K16" s="24"/>
      <c r="L16" s="24"/>
      <c r="M16" s="159"/>
      <c r="N16" s="159"/>
      <c r="O16" s="159"/>
      <c r="P16" s="159"/>
      <c r="Q16" s="159"/>
      <c r="R16" s="159"/>
      <c r="S16" s="159"/>
      <c r="T16" s="159"/>
      <c r="U16" s="159"/>
      <c r="V16" s="159"/>
      <c r="W16" s="159"/>
      <c r="X16" s="159"/>
      <c r="Y16" s="159"/>
      <c r="Z16" s="159"/>
      <c r="AA16" s="159"/>
      <c r="AB16" s="159"/>
      <c r="AC16" s="159"/>
      <c r="AD16" s="159"/>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row>
    <row r="17" customFormat="false" ht="12.75" hidden="false" customHeight="false" outlineLevel="0" collapsed="false">
      <c r="A17" s="23"/>
      <c r="B17" s="3"/>
      <c r="D17" s="3"/>
      <c r="E17" s="3"/>
      <c r="F17" s="23"/>
      <c r="G17" s="3"/>
      <c r="H17" s="3"/>
      <c r="I17" s="3"/>
      <c r="J17" s="3"/>
      <c r="K17" s="3"/>
      <c r="L17" s="3"/>
      <c r="M17" s="3"/>
      <c r="N17" s="3"/>
      <c r="O17" s="3"/>
      <c r="P17" s="3"/>
      <c r="Q17" s="3"/>
      <c r="R17" s="3"/>
      <c r="S17" s="3"/>
      <c r="T17" s="3"/>
      <c r="U17" s="3"/>
      <c r="V17" s="3"/>
      <c r="W17" s="3"/>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row>
    <row r="18" customFormat="false" ht="12.75" hidden="false" customHeight="false" outlineLevel="0" collapsed="false">
      <c r="A18" s="23"/>
      <c r="B18" s="3"/>
      <c r="D18" s="3"/>
      <c r="E18" s="3"/>
      <c r="F18" s="23"/>
      <c r="G18" s="3"/>
      <c r="H18" s="3"/>
      <c r="I18" s="3"/>
      <c r="J18" s="3"/>
      <c r="K18" s="3"/>
      <c r="L18" s="3"/>
      <c r="M18" s="3"/>
      <c r="N18" s="3"/>
      <c r="O18" s="3"/>
      <c r="P18" s="3"/>
      <c r="Q18" s="3"/>
      <c r="R18" s="3"/>
      <c r="S18" s="3"/>
      <c r="T18" s="3"/>
      <c r="U18" s="3"/>
      <c r="V18" s="3"/>
      <c r="W18" s="3"/>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row>
    <row r="19" customFormat="false" ht="12.75" hidden="false" customHeight="false" outlineLevel="0" collapsed="false">
      <c r="A19" s="23"/>
      <c r="B19" s="23" t="s">
        <v>111</v>
      </c>
      <c r="C19" s="23"/>
      <c r="D19" s="3"/>
      <c r="E19" s="23"/>
      <c r="F19" s="161" t="s">
        <v>112</v>
      </c>
      <c r="G19" s="3"/>
      <c r="H19" s="3"/>
      <c r="I19" s="3"/>
      <c r="J19" s="3"/>
      <c r="K19" s="3"/>
      <c r="L19" s="3"/>
      <c r="M19" s="3"/>
      <c r="N19" s="3"/>
      <c r="O19" s="3"/>
      <c r="P19" s="3"/>
      <c r="Q19" s="3"/>
      <c r="R19" s="3"/>
      <c r="S19" s="3"/>
      <c r="T19" s="3"/>
      <c r="U19" s="3"/>
      <c r="V19" s="3"/>
      <c r="W19" s="3"/>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row>
    <row r="20" customFormat="false" ht="12.75" hidden="false" customHeight="false" outlineLevel="0" collapsed="false">
      <c r="A20" s="23"/>
      <c r="B20" s="23" t="s">
        <v>113</v>
      </c>
      <c r="C20" s="23"/>
      <c r="D20" s="3"/>
      <c r="E20" s="23"/>
      <c r="F20" s="161" t="s">
        <v>114</v>
      </c>
      <c r="G20" s="3"/>
      <c r="H20" s="3"/>
      <c r="I20" s="3"/>
      <c r="J20" s="3"/>
      <c r="K20" s="3"/>
      <c r="L20" s="3"/>
      <c r="M20" s="3"/>
      <c r="N20" s="3"/>
      <c r="O20" s="3"/>
      <c r="P20" s="3"/>
      <c r="Q20" s="3"/>
      <c r="R20" s="3"/>
      <c r="S20" s="3"/>
      <c r="T20" s="3"/>
      <c r="U20" s="3"/>
      <c r="V20" s="3"/>
      <c r="W20" s="3"/>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row>
    <row r="21" customFormat="false" ht="12.75" hidden="false" customHeight="false" outlineLevel="0" collapsed="false">
      <c r="A21" s="23"/>
      <c r="B21" s="23" t="s">
        <v>115</v>
      </c>
      <c r="C21" s="23"/>
      <c r="D21" s="3"/>
      <c r="E21" s="162" t="s">
        <v>116</v>
      </c>
      <c r="F21" s="163" t="n">
        <v>1</v>
      </c>
      <c r="G21" s="3"/>
      <c r="H21" s="3"/>
      <c r="I21" s="3"/>
      <c r="J21" s="3"/>
      <c r="K21" s="3"/>
      <c r="L21" s="3"/>
      <c r="M21" s="3"/>
      <c r="N21" s="3"/>
      <c r="O21" s="3"/>
      <c r="P21" s="3"/>
      <c r="Q21" s="3"/>
      <c r="R21" s="3"/>
      <c r="S21" s="3"/>
      <c r="T21" s="3"/>
      <c r="U21" s="3"/>
      <c r="V21" s="3"/>
      <c r="W21" s="3"/>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row>
    <row r="22" customFormat="false" ht="12.75" hidden="false" customHeight="false" outlineLevel="0" collapsed="false">
      <c r="A22" s="23"/>
      <c r="B22" s="23" t="s">
        <v>117</v>
      </c>
      <c r="C22" s="23"/>
      <c r="D22" s="3"/>
      <c r="E22" s="23"/>
      <c r="F22" s="164" t="n">
        <v>20</v>
      </c>
      <c r="G22" s="3"/>
      <c r="H22" s="3"/>
      <c r="I22" s="3"/>
      <c r="J22" s="3"/>
      <c r="K22" s="3"/>
      <c r="L22" s="3"/>
      <c r="M22" s="3"/>
      <c r="N22" s="3"/>
      <c r="O22" s="3"/>
      <c r="P22" s="3"/>
      <c r="Q22" s="3"/>
      <c r="R22" s="3"/>
      <c r="S22" s="3"/>
      <c r="T22" s="3"/>
      <c r="U22" s="3"/>
      <c r="V22" s="3"/>
      <c r="W22" s="3"/>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row>
    <row r="23" customFormat="false" ht="12.75" hidden="false" customHeight="false" outlineLevel="0" collapsed="false">
      <c r="A23" s="23"/>
      <c r="B23" s="3"/>
      <c r="D23" s="3"/>
      <c r="E23" s="3"/>
      <c r="F23" s="3"/>
      <c r="G23" s="3"/>
      <c r="H23" s="165" t="n">
        <f aca="false">YEARFRAC(F24,F25)</f>
        <v>1</v>
      </c>
      <c r="I23" s="166" t="s">
        <v>118</v>
      </c>
      <c r="J23" s="167"/>
      <c r="K23" s="3"/>
      <c r="L23" s="3"/>
      <c r="M23" s="3"/>
      <c r="N23" s="3"/>
      <c r="O23" s="3"/>
      <c r="P23" s="3"/>
      <c r="Q23" s="3"/>
      <c r="R23" s="3"/>
      <c r="S23" s="3"/>
      <c r="T23" s="3"/>
      <c r="U23" s="3"/>
      <c r="V23" s="3"/>
      <c r="W23" s="3"/>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row>
    <row r="24" customFormat="false" ht="12.75" hidden="false" customHeight="false" outlineLevel="0" collapsed="false">
      <c r="A24" s="22"/>
      <c r="B24" s="23" t="s">
        <v>119</v>
      </c>
      <c r="C24" s="23"/>
      <c r="D24" s="3"/>
      <c r="E24" s="23"/>
      <c r="F24" s="168" t="n">
        <v>35795</v>
      </c>
      <c r="G24" s="3"/>
      <c r="H24" s="169" t="n">
        <f aca="false">IF(H23&lt;=1,IF(H23&gt;0.75,1,IF(H23&gt;0.5,0.75,IF(H23&gt;0.25,0.5,0.25))),1)</f>
        <v>1</v>
      </c>
      <c r="I24" s="35" t="s">
        <v>120</v>
      </c>
      <c r="J24" s="170"/>
      <c r="K24" s="3"/>
      <c r="L24" s="3"/>
      <c r="M24" s="3"/>
      <c r="N24" s="3"/>
      <c r="O24" s="3"/>
      <c r="P24" s="3"/>
      <c r="Q24" s="3"/>
      <c r="R24" s="3"/>
      <c r="S24" s="3"/>
      <c r="T24" s="3"/>
      <c r="U24" s="3"/>
      <c r="V24" s="3"/>
      <c r="W24" s="3"/>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24"/>
      <c r="BZ24" s="24"/>
      <c r="CA24" s="24"/>
      <c r="CB24" s="24"/>
      <c r="CC24" s="24"/>
      <c r="CD24" s="24"/>
      <c r="CE24" s="24"/>
      <c r="CF24" s="24"/>
      <c r="CG24" s="24"/>
      <c r="CH24" s="24"/>
      <c r="CI24" s="24"/>
      <c r="CJ24" s="24"/>
      <c r="CK24" s="24"/>
      <c r="CL24" s="24"/>
      <c r="CM24" s="24"/>
      <c r="CN24" s="24"/>
      <c r="CO24" s="24"/>
      <c r="CP24" s="24"/>
      <c r="CQ24" s="24"/>
      <c r="CR24" s="24"/>
      <c r="CS24" s="24"/>
      <c r="CT24" s="24"/>
      <c r="CU24" s="24"/>
      <c r="CV24" s="24"/>
      <c r="CW24" s="24"/>
      <c r="CX24" s="24"/>
      <c r="CY24" s="24"/>
      <c r="CZ24" s="24"/>
      <c r="DA24" s="24"/>
      <c r="DB24" s="24"/>
      <c r="DC24" s="24"/>
      <c r="DD24" s="24"/>
      <c r="DE24" s="24"/>
      <c r="DF24" s="24"/>
      <c r="DG24" s="24"/>
      <c r="DH24" s="24"/>
      <c r="DI24" s="24"/>
      <c r="DJ24" s="24"/>
      <c r="DK24" s="24"/>
      <c r="DL24" s="24"/>
      <c r="DM24" s="24"/>
      <c r="DN24" s="24"/>
      <c r="DO24" s="24"/>
      <c r="DP24" s="24"/>
      <c r="DQ24" s="24"/>
      <c r="DR24" s="24"/>
      <c r="DS24" s="24"/>
      <c r="DT24" s="24"/>
      <c r="DU24" s="24"/>
      <c r="DV24" s="24"/>
      <c r="DW24" s="24"/>
      <c r="DX24" s="24"/>
      <c r="DY24" s="24"/>
      <c r="DZ24" s="24"/>
      <c r="EA24" s="24"/>
      <c r="EB24" s="24"/>
      <c r="EC24" s="24"/>
      <c r="ED24" s="24"/>
      <c r="EE24" s="24"/>
      <c r="EF24" s="24"/>
      <c r="EG24" s="24"/>
      <c r="EH24" s="24"/>
      <c r="EI24" s="24"/>
      <c r="EJ24" s="24"/>
      <c r="EK24" s="24"/>
      <c r="EL24" s="24"/>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c r="IW24" s="3"/>
    </row>
    <row r="25" customFormat="false" ht="12.75" hidden="false" customHeight="false" outlineLevel="0" collapsed="false">
      <c r="A25" s="22"/>
      <c r="B25" s="23" t="s">
        <v>121</v>
      </c>
      <c r="C25" s="23"/>
      <c r="D25" s="3"/>
      <c r="E25" s="23"/>
      <c r="F25" s="168" t="n">
        <v>36159</v>
      </c>
      <c r="G25" s="3"/>
      <c r="H25" s="171" t="n">
        <f aca="false">YEAR(F24)</f>
        <v>2002</v>
      </c>
      <c r="I25" s="172" t="s">
        <v>122</v>
      </c>
      <c r="J25" s="173"/>
      <c r="K25" s="3"/>
      <c r="L25" s="3"/>
      <c r="M25" s="3"/>
      <c r="N25" s="3"/>
      <c r="O25" s="3"/>
      <c r="P25" s="3"/>
      <c r="Q25" s="3"/>
      <c r="R25" s="3"/>
      <c r="S25" s="3"/>
      <c r="T25" s="3"/>
      <c r="U25" s="3"/>
      <c r="V25" s="3"/>
      <c r="W25" s="3"/>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row>
    <row r="26" customFormat="false" ht="12.75" hidden="false" customHeight="false" outlineLevel="0" collapsed="false">
      <c r="A26" s="22"/>
      <c r="B26" s="23"/>
      <c r="C26" s="23"/>
      <c r="D26" s="3"/>
      <c r="E26" s="23"/>
      <c r="F26" s="174"/>
      <c r="G26" s="3"/>
      <c r="H26" s="3"/>
      <c r="I26" s="3"/>
      <c r="J26" s="3"/>
      <c r="K26" s="3"/>
      <c r="L26" s="3"/>
      <c r="M26" s="3"/>
      <c r="N26" s="3"/>
      <c r="O26" s="3"/>
      <c r="P26" s="3"/>
      <c r="Q26" s="3"/>
      <c r="R26" s="3"/>
      <c r="S26" s="3"/>
      <c r="T26" s="3"/>
      <c r="U26" s="3"/>
      <c r="V26" s="3"/>
      <c r="W26" s="3"/>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row>
    <row r="27" customFormat="false" ht="12.75" hidden="false" customHeight="false" outlineLevel="0" collapsed="false">
      <c r="A27" s="22"/>
      <c r="B27" s="3"/>
      <c r="D27" s="3"/>
      <c r="E27" s="3"/>
      <c r="F27" s="3"/>
      <c r="G27" s="3"/>
      <c r="H27" s="3"/>
      <c r="I27" s="3"/>
      <c r="J27" s="3"/>
      <c r="K27" s="3"/>
      <c r="L27" s="3"/>
      <c r="M27" s="3"/>
      <c r="N27" s="3"/>
      <c r="O27" s="3"/>
      <c r="P27" s="3"/>
      <c r="Q27" s="3"/>
      <c r="R27" s="3"/>
      <c r="S27" s="3"/>
      <c r="T27" s="3"/>
      <c r="U27" s="3"/>
      <c r="V27" s="3"/>
      <c r="W27" s="3"/>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c r="IW27" s="3"/>
    </row>
    <row r="28" customFormat="false" ht="12.75" hidden="false" customHeight="false" outlineLevel="0" collapsed="false">
      <c r="A28" s="22"/>
      <c r="B28" s="23"/>
      <c r="C28" s="23"/>
      <c r="D28" s="3"/>
      <c r="E28" s="22"/>
      <c r="F28" s="3"/>
      <c r="G28" s="3"/>
      <c r="H28" s="26" t="n">
        <f aca="false">Internal!F16</f>
        <v>0</v>
      </c>
      <c r="I28" s="26" t="str">
        <f aca="false">Internal!G16</f>
        <v>TZ 1.5</v>
      </c>
      <c r="J28" s="26" t="n">
        <f aca="false">Internal!H16</f>
        <v>0</v>
      </c>
      <c r="K28" s="3"/>
      <c r="L28" s="3"/>
      <c r="M28" s="3"/>
      <c r="N28" s="3"/>
      <c r="O28" s="3"/>
      <c r="P28" s="3"/>
      <c r="Q28" s="3"/>
      <c r="R28" s="3"/>
      <c r="S28" s="3"/>
      <c r="T28" s="3"/>
      <c r="U28" s="3"/>
      <c r="V28" s="3"/>
      <c r="W28" s="3"/>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c r="IW28" s="3"/>
    </row>
    <row r="29" customFormat="false" ht="12.75" hidden="false" customHeight="false" outlineLevel="0" collapsed="false">
      <c r="A29" s="22"/>
      <c r="B29" s="23"/>
      <c r="C29" s="23"/>
      <c r="D29" s="3"/>
      <c r="E29" s="22"/>
      <c r="F29" s="22"/>
      <c r="G29" s="3"/>
      <c r="H29" s="28" t="n">
        <f aca="false">Internal!F17</f>
        <v>0</v>
      </c>
      <c r="I29" s="26" t="n">
        <f aca="false">Internal!G17</f>
        <v>1500</v>
      </c>
      <c r="J29" s="26" t="n">
        <f aca="false">Internal!H17</f>
        <v>0</v>
      </c>
      <c r="K29" s="3"/>
      <c r="L29" s="3"/>
      <c r="M29" s="3"/>
      <c r="N29" s="3"/>
      <c r="O29" s="3"/>
      <c r="P29" s="3"/>
      <c r="Q29" s="3"/>
      <c r="R29" s="3"/>
      <c r="S29" s="3"/>
      <c r="T29" s="3"/>
      <c r="U29" s="3"/>
      <c r="V29" s="3"/>
      <c r="W29" s="3"/>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c r="IW29" s="3"/>
    </row>
    <row r="30" customFormat="false" ht="12.75" hidden="false" customHeight="false" outlineLevel="0" collapsed="false">
      <c r="A30" s="22"/>
      <c r="B30" s="60" t="s">
        <v>123</v>
      </c>
      <c r="C30" s="60"/>
      <c r="D30" s="3"/>
      <c r="E30" s="74"/>
      <c r="F30" s="175" t="n">
        <f aca="false">SUM(H30:J30)</f>
        <v>23</v>
      </c>
      <c r="G30" s="176" t="s">
        <v>124</v>
      </c>
      <c r="H30" s="26" t="n">
        <f aca="false">Internal!F18</f>
        <v>0</v>
      </c>
      <c r="I30" s="26" t="n">
        <f aca="false">Internal!G18</f>
        <v>23</v>
      </c>
      <c r="J30" s="26" t="n">
        <f aca="false">Internal!H18</f>
        <v>0</v>
      </c>
      <c r="K30" s="3"/>
      <c r="L30" s="3"/>
      <c r="M30" s="3"/>
      <c r="N30" s="3"/>
      <c r="O30" s="3"/>
      <c r="P30" s="3"/>
      <c r="Q30" s="3"/>
      <c r="R30" s="3"/>
      <c r="S30" s="3"/>
      <c r="T30" s="3"/>
      <c r="U30" s="3"/>
      <c r="V30" s="3"/>
      <c r="W30" s="3"/>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c r="IW30" s="3"/>
    </row>
    <row r="31" customFormat="false" ht="12.75" hidden="false" customHeight="false" outlineLevel="0" collapsed="false">
      <c r="A31" s="22"/>
      <c r="B31" s="60" t="s">
        <v>125</v>
      </c>
      <c r="C31" s="60"/>
      <c r="D31" s="3"/>
      <c r="E31" s="152"/>
      <c r="F31" s="31" t="n">
        <f aca="false">SUMPRODUCT(H29:J29,H30:J30)/1000</f>
        <v>34.5</v>
      </c>
      <c r="G31" s="3"/>
      <c r="H31" s="3"/>
      <c r="I31" s="3"/>
      <c r="J31" s="3"/>
      <c r="K31" s="3"/>
      <c r="L31" s="3"/>
      <c r="M31" s="3"/>
      <c r="N31" s="3"/>
      <c r="O31" s="3"/>
      <c r="P31" s="3"/>
      <c r="Q31" s="3"/>
      <c r="R31" s="3"/>
      <c r="S31" s="3"/>
      <c r="T31" s="3"/>
      <c r="U31" s="3"/>
      <c r="V31" s="3"/>
      <c r="W31" s="3"/>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c r="CQ31" s="24"/>
      <c r="CR31" s="24"/>
      <c r="CS31" s="24"/>
      <c r="CT31" s="24"/>
      <c r="CU31" s="24"/>
      <c r="CV31" s="24"/>
      <c r="CW31" s="24"/>
      <c r="CX31" s="24"/>
      <c r="CY31" s="24"/>
      <c r="CZ31" s="24"/>
      <c r="DA31" s="24"/>
      <c r="DB31" s="24"/>
      <c r="DC31" s="24"/>
      <c r="DD31" s="24"/>
      <c r="DE31" s="24"/>
      <c r="DF31" s="24"/>
      <c r="DG31" s="24"/>
      <c r="DH31" s="24"/>
      <c r="DI31" s="24"/>
      <c r="DJ31" s="24"/>
      <c r="DK31" s="24"/>
      <c r="DL31" s="24"/>
      <c r="DM31" s="24"/>
      <c r="DN31" s="24"/>
      <c r="DO31" s="24"/>
      <c r="DP31" s="24"/>
      <c r="DQ31" s="24"/>
      <c r="DR31" s="24"/>
      <c r="DS31" s="24"/>
      <c r="DT31" s="24"/>
      <c r="DU31" s="24"/>
      <c r="DV31" s="24"/>
      <c r="DW31" s="24"/>
      <c r="DX31" s="24"/>
      <c r="DY31" s="24"/>
      <c r="DZ31" s="24"/>
      <c r="EA31" s="24"/>
      <c r="EB31" s="24"/>
      <c r="EC31" s="24"/>
      <c r="ED31" s="24"/>
      <c r="EE31" s="24"/>
      <c r="EF31" s="24"/>
      <c r="EG31" s="24"/>
      <c r="EH31" s="24"/>
      <c r="EI31" s="24"/>
      <c r="EJ31" s="24"/>
      <c r="EK31" s="24"/>
      <c r="EL31" s="24"/>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c r="IW31" s="3"/>
    </row>
    <row r="32" customFormat="false" ht="12.75" hidden="false" customHeight="false" outlineLevel="0" collapsed="false">
      <c r="A32" s="22"/>
      <c r="B32" s="23"/>
      <c r="C32" s="23"/>
      <c r="D32" s="23"/>
      <c r="E32" s="22"/>
      <c r="F32" s="23"/>
      <c r="G32" s="3"/>
      <c r="H32" s="0"/>
      <c r="I32" s="0"/>
      <c r="J32" s="0"/>
      <c r="K32" s="0"/>
      <c r="L32" s="3"/>
      <c r="M32" s="3"/>
      <c r="N32" s="3"/>
      <c r="O32" s="3"/>
      <c r="P32" s="3"/>
      <c r="Q32" s="3"/>
      <c r="R32" s="3"/>
      <c r="S32" s="3"/>
      <c r="T32" s="3"/>
      <c r="U32" s="3"/>
      <c r="V32" s="3"/>
      <c r="W32" s="3"/>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c r="IW32" s="3"/>
    </row>
    <row r="33" customFormat="false" ht="12.75" hidden="false" customHeight="false" outlineLevel="0" collapsed="false">
      <c r="A33" s="3"/>
      <c r="B33" s="177" t="s">
        <v>126</v>
      </c>
      <c r="C33" s="155"/>
      <c r="D33" s="178"/>
      <c r="E33" s="179" t="s">
        <v>24</v>
      </c>
      <c r="F33" s="179" t="s">
        <v>25</v>
      </c>
      <c r="G33" s="3"/>
      <c r="H33" s="0"/>
      <c r="I33" s="0"/>
      <c r="J33" s="0"/>
      <c r="K33" s="0"/>
      <c r="L33" s="3"/>
      <c r="M33" s="3"/>
      <c r="N33" s="3"/>
      <c r="O33" s="3"/>
      <c r="P33" s="3"/>
      <c r="Q33" s="3"/>
      <c r="R33" s="3"/>
      <c r="S33" s="3"/>
      <c r="T33" s="3"/>
      <c r="U33" s="3"/>
      <c r="V33" s="3"/>
      <c r="W33" s="3"/>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c r="IW33" s="3"/>
    </row>
    <row r="34" customFormat="false" ht="12.75" hidden="false" customHeight="false" outlineLevel="0" collapsed="false">
      <c r="A34" s="3"/>
      <c r="B34" s="155"/>
      <c r="C34" s="155"/>
      <c r="D34" s="178"/>
      <c r="E34" s="3"/>
      <c r="F34" s="3"/>
      <c r="G34" s="3"/>
      <c r="H34" s="0"/>
      <c r="I34" s="0"/>
      <c r="J34" s="0"/>
      <c r="K34" s="0"/>
      <c r="L34" s="3"/>
      <c r="M34" s="3"/>
      <c r="N34" s="3"/>
      <c r="O34" s="3"/>
      <c r="P34" s="3"/>
      <c r="Q34" s="3"/>
      <c r="R34" s="3"/>
      <c r="S34" s="3"/>
      <c r="T34" s="3"/>
      <c r="U34" s="3"/>
      <c r="V34" s="3"/>
      <c r="W34" s="3"/>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c r="IW34" s="3"/>
    </row>
    <row r="35" customFormat="false" ht="12.75" hidden="false" customHeight="false" outlineLevel="0" collapsed="false">
      <c r="B35" s="180" t="s">
        <v>75</v>
      </c>
      <c r="C35" s="181"/>
      <c r="D35" s="15"/>
      <c r="E35" s="89"/>
      <c r="H35" s="0"/>
      <c r="I35" s="0"/>
      <c r="J35" s="0"/>
      <c r="K35" s="0"/>
    </row>
    <row r="36" customFormat="false" ht="12.75" hidden="false" customHeight="false" outlineLevel="0" collapsed="false">
      <c r="A36" s="23"/>
      <c r="B36" s="25" t="s">
        <v>127</v>
      </c>
      <c r="C36" s="25"/>
      <c r="D36" s="22"/>
      <c r="E36" s="182" t="n">
        <f aca="false">F36/F30</f>
        <v>1444.12272156148</v>
      </c>
      <c r="F36" s="183" t="n">
        <f aca="false">Internal!F113</f>
        <v>33214.8225959142</v>
      </c>
      <c r="G36" s="22"/>
      <c r="H36" s="0"/>
      <c r="I36" s="0"/>
      <c r="J36" s="0"/>
      <c r="K36" s="0"/>
      <c r="L36" s="3"/>
      <c r="M36" s="3"/>
      <c r="N36" s="3"/>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c r="IW36" s="3"/>
    </row>
    <row r="37" customFormat="false" ht="12.75" hidden="false" customHeight="false" outlineLevel="0" collapsed="false">
      <c r="A37" s="23"/>
      <c r="B37" s="22"/>
      <c r="C37" s="22"/>
      <c r="D37" s="22"/>
      <c r="E37" s="89"/>
      <c r="F37" s="100"/>
      <c r="G37" s="22"/>
      <c r="H37" s="0"/>
      <c r="I37" s="0"/>
      <c r="J37" s="0"/>
      <c r="K37" s="0"/>
      <c r="L37" s="3"/>
      <c r="M37" s="3"/>
      <c r="N37" s="3"/>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row>
    <row r="38" customFormat="false" ht="12.75" hidden="false" customHeight="false" outlineLevel="0" collapsed="false">
      <c r="A38" s="44"/>
      <c r="B38" s="45" t="s">
        <v>128</v>
      </c>
      <c r="C38" s="45"/>
      <c r="D38" s="23"/>
      <c r="E38" s="89"/>
      <c r="F38" s="100"/>
      <c r="G38" s="22"/>
      <c r="H38" s="184"/>
      <c r="I38" s="184"/>
      <c r="J38" s="3"/>
      <c r="K38" s="3"/>
      <c r="L38" s="3"/>
      <c r="M38" s="3"/>
      <c r="N38" s="3"/>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row>
    <row r="39" customFormat="false" ht="12.75" hidden="false" customHeight="false" outlineLevel="0" collapsed="false">
      <c r="A39" s="44"/>
      <c r="B39" s="60" t="s">
        <v>129</v>
      </c>
      <c r="C39" s="60"/>
      <c r="D39" s="23"/>
      <c r="E39" s="89"/>
      <c r="F39" s="185" t="n">
        <f aca="false">H25</f>
        <v>2002</v>
      </c>
      <c r="G39" s="22"/>
      <c r="H39" s="186" t="n">
        <f aca="false">F39-1</f>
        <v>2001</v>
      </c>
      <c r="I39" s="187" t="n">
        <f aca="false">H39-1</f>
        <v>2000</v>
      </c>
      <c r="J39" s="187" t="n">
        <f aca="false">I39-1</f>
        <v>1999</v>
      </c>
      <c r="K39" s="187" t="n">
        <f aca="false">J39-1</f>
        <v>1998</v>
      </c>
      <c r="L39" s="3"/>
      <c r="M39" s="3"/>
      <c r="N39" s="3"/>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c r="IW39" s="3"/>
    </row>
    <row r="40" customFormat="false" ht="12.75" hidden="false" customHeight="false" outlineLevel="0" collapsed="false">
      <c r="A40" s="124"/>
      <c r="B40" s="124" t="s">
        <v>130</v>
      </c>
      <c r="C40" s="23"/>
      <c r="D40" s="124"/>
      <c r="E40" s="89"/>
      <c r="F40" s="188" t="n">
        <f aca="false">SUM(H40:K40)</f>
        <v>0</v>
      </c>
      <c r="G40" s="59" t="s">
        <v>131</v>
      </c>
      <c r="H40" s="189" t="n">
        <v>0</v>
      </c>
      <c r="I40" s="190"/>
      <c r="J40" s="190"/>
      <c r="K40" s="191" t="n">
        <v>0</v>
      </c>
      <c r="L40" s="108"/>
      <c r="M40" s="108"/>
      <c r="N40" s="108"/>
      <c r="O40" s="106"/>
      <c r="P40" s="106"/>
      <c r="Q40" s="106"/>
      <c r="R40" s="106"/>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c r="DK40" s="114"/>
      <c r="DL40" s="114"/>
      <c r="DM40" s="114"/>
      <c r="DN40" s="114"/>
      <c r="DO40" s="114"/>
      <c r="DP40" s="114"/>
      <c r="DQ40" s="114"/>
      <c r="DR40" s="114"/>
      <c r="DS40" s="114"/>
      <c r="DT40" s="114"/>
      <c r="DU40" s="114"/>
      <c r="DV40" s="114"/>
      <c r="DW40" s="114"/>
      <c r="DX40" s="114"/>
      <c r="DY40" s="114"/>
      <c r="DZ40" s="114"/>
      <c r="EA40" s="114"/>
      <c r="EB40" s="114"/>
      <c r="EC40" s="114"/>
      <c r="ED40" s="114"/>
      <c r="EE40" s="114"/>
      <c r="EF40" s="114"/>
      <c r="EG40" s="114"/>
      <c r="EH40" s="114"/>
      <c r="EI40" s="114"/>
      <c r="EJ40" s="114"/>
      <c r="EK40" s="114"/>
      <c r="EL40" s="114"/>
    </row>
    <row r="41" customFormat="false" ht="12.75" hidden="false" customHeight="false" outlineLevel="0" collapsed="false">
      <c r="A41" s="124"/>
      <c r="B41" s="124" t="s">
        <v>132</v>
      </c>
      <c r="C41" s="23"/>
      <c r="D41" s="124"/>
      <c r="E41" s="89"/>
      <c r="F41" s="188" t="n">
        <f aca="false">SUM(H41:K41)</f>
        <v>138</v>
      </c>
      <c r="G41" s="59" t="s">
        <v>133</v>
      </c>
      <c r="H41" s="189" t="n">
        <f aca="false">IF(4*$F$31&gt;340,340,4*$F$31)</f>
        <v>138</v>
      </c>
      <c r="I41" s="190"/>
      <c r="J41" s="190"/>
      <c r="K41" s="191"/>
      <c r="L41" s="108"/>
      <c r="M41" s="108"/>
      <c r="N41" s="108"/>
      <c r="O41" s="106"/>
      <c r="P41" s="106"/>
      <c r="Q41" s="106"/>
      <c r="R41" s="106"/>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c r="DK41" s="114"/>
      <c r="DL41" s="114"/>
      <c r="DM41" s="114"/>
      <c r="DN41" s="114"/>
      <c r="DO41" s="114"/>
      <c r="DP41" s="114"/>
      <c r="DQ41" s="114"/>
      <c r="DR41" s="114"/>
      <c r="DS41" s="114"/>
      <c r="DT41" s="114"/>
      <c r="DU41" s="114"/>
      <c r="DV41" s="114"/>
      <c r="DW41" s="114"/>
      <c r="DX41" s="114"/>
      <c r="DY41" s="114"/>
      <c r="DZ41" s="114"/>
      <c r="EA41" s="114"/>
      <c r="EB41" s="114"/>
      <c r="EC41" s="114"/>
      <c r="ED41" s="114"/>
      <c r="EE41" s="114"/>
      <c r="EF41" s="114"/>
      <c r="EG41" s="114"/>
      <c r="EH41" s="114"/>
      <c r="EI41" s="114"/>
      <c r="EJ41" s="114"/>
      <c r="EK41" s="114"/>
      <c r="EL41" s="114"/>
    </row>
    <row r="42" customFormat="false" ht="12.75" hidden="false" customHeight="false" outlineLevel="0" collapsed="false">
      <c r="A42" s="124"/>
      <c r="B42" s="111" t="s">
        <v>134</v>
      </c>
      <c r="C42" s="22"/>
      <c r="D42" s="124"/>
      <c r="E42" s="89"/>
      <c r="F42" s="188" t="n">
        <f aca="false">SUM(H42:K42)</f>
        <v>103.5</v>
      </c>
      <c r="G42" s="59" t="s">
        <v>133</v>
      </c>
      <c r="H42" s="189" t="n">
        <f aca="false">IF(3*$F$31&gt;375,375,3*$F$31)</f>
        <v>103.5</v>
      </c>
      <c r="I42" s="190"/>
      <c r="J42" s="190"/>
      <c r="K42" s="192" t="n">
        <v>0</v>
      </c>
      <c r="L42" s="106"/>
      <c r="M42" s="106"/>
      <c r="N42" s="106"/>
      <c r="O42" s="106"/>
      <c r="P42" s="106"/>
      <c r="Q42" s="106"/>
      <c r="R42" s="106"/>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c r="DM42" s="114"/>
      <c r="DN42" s="114"/>
      <c r="DO42" s="114"/>
      <c r="DP42" s="114"/>
      <c r="DQ42" s="114"/>
      <c r="DR42" s="114"/>
      <c r="DS42" s="114"/>
      <c r="DT42" s="114"/>
      <c r="DU42" s="114"/>
      <c r="DV42" s="114"/>
      <c r="DW42" s="114"/>
      <c r="DX42" s="114"/>
      <c r="DY42" s="114"/>
      <c r="DZ42" s="114"/>
      <c r="EA42" s="114"/>
      <c r="EB42" s="114"/>
      <c r="EC42" s="114"/>
      <c r="ED42" s="114"/>
      <c r="EE42" s="114"/>
      <c r="EF42" s="114"/>
      <c r="EG42" s="114"/>
      <c r="EH42" s="114"/>
      <c r="EI42" s="114"/>
      <c r="EJ42" s="114"/>
      <c r="EK42" s="114"/>
      <c r="EL42" s="114"/>
    </row>
    <row r="43" customFormat="false" ht="12.75" hidden="false" customHeight="false" outlineLevel="0" collapsed="false">
      <c r="A43" s="124"/>
      <c r="B43" s="111" t="s">
        <v>135</v>
      </c>
      <c r="C43" s="22"/>
      <c r="D43" s="124"/>
      <c r="E43" s="89"/>
      <c r="F43" s="188" t="n">
        <f aca="false">SUM(H43:K43)</f>
        <v>138</v>
      </c>
      <c r="G43" s="59" t="s">
        <v>133</v>
      </c>
      <c r="H43" s="189" t="n">
        <f aca="false">IF(4*$F$31&gt;520,520,4*$F$31)</f>
        <v>138</v>
      </c>
      <c r="I43" s="190"/>
      <c r="J43" s="190"/>
      <c r="K43" s="192" t="n">
        <v>0</v>
      </c>
      <c r="L43" s="106"/>
      <c r="M43" s="106"/>
      <c r="N43" s="106"/>
      <c r="O43" s="106"/>
      <c r="P43" s="106"/>
      <c r="Q43" s="106"/>
      <c r="R43" s="106"/>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c r="DO43" s="114"/>
      <c r="DP43" s="114"/>
      <c r="DQ43" s="114"/>
      <c r="DR43" s="114"/>
      <c r="DS43" s="114"/>
      <c r="DT43" s="114"/>
      <c r="DU43" s="114"/>
      <c r="DV43" s="114"/>
      <c r="DW43" s="114"/>
      <c r="DX43" s="114"/>
      <c r="DY43" s="114"/>
      <c r="DZ43" s="114"/>
      <c r="EA43" s="114"/>
      <c r="EB43" s="114"/>
      <c r="EC43" s="114"/>
      <c r="ED43" s="114"/>
      <c r="EE43" s="114"/>
      <c r="EF43" s="114"/>
      <c r="EG43" s="114"/>
      <c r="EH43" s="114"/>
      <c r="EI43" s="114"/>
      <c r="EJ43" s="114"/>
      <c r="EK43" s="114"/>
      <c r="EL43" s="114"/>
    </row>
    <row r="44" customFormat="false" ht="12.75" hidden="false" customHeight="false" outlineLevel="0" collapsed="false">
      <c r="A44" s="124"/>
      <c r="B44" s="111" t="s">
        <v>136</v>
      </c>
      <c r="C44" s="22"/>
      <c r="D44" s="124"/>
      <c r="E44" s="89"/>
      <c r="F44" s="188" t="n">
        <f aca="false">SUM(H44:K44)</f>
        <v>0</v>
      </c>
      <c r="G44" s="59" t="s">
        <v>137</v>
      </c>
      <c r="H44" s="189" t="n">
        <v>0</v>
      </c>
      <c r="I44" s="190"/>
      <c r="J44" s="190"/>
      <c r="K44" s="192"/>
      <c r="L44" s="106"/>
      <c r="M44" s="106"/>
      <c r="N44" s="106"/>
      <c r="O44" s="106"/>
      <c r="P44" s="106"/>
      <c r="Q44" s="106"/>
      <c r="R44" s="106"/>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c r="DM44" s="114"/>
      <c r="DN44" s="114"/>
      <c r="DO44" s="114"/>
      <c r="DP44" s="114"/>
      <c r="DQ44" s="114"/>
      <c r="DR44" s="114"/>
      <c r="DS44" s="114"/>
      <c r="DT44" s="114"/>
      <c r="DU44" s="114"/>
      <c r="DV44" s="114"/>
      <c r="DW44" s="114"/>
      <c r="DX44" s="114"/>
      <c r="DY44" s="114"/>
      <c r="DZ44" s="114"/>
      <c r="EA44" s="114"/>
      <c r="EB44" s="114"/>
      <c r="EC44" s="114"/>
      <c r="ED44" s="114"/>
      <c r="EE44" s="114"/>
      <c r="EF44" s="114"/>
      <c r="EG44" s="114"/>
      <c r="EH44" s="114"/>
      <c r="EI44" s="114"/>
      <c r="EJ44" s="114"/>
      <c r="EK44" s="114"/>
      <c r="EL44" s="114"/>
    </row>
    <row r="45" customFormat="false" ht="12.75" hidden="false" customHeight="false" outlineLevel="0" collapsed="false">
      <c r="A45" s="124"/>
      <c r="B45" s="124" t="s">
        <v>138</v>
      </c>
      <c r="C45" s="23"/>
      <c r="D45" s="124"/>
      <c r="E45" s="89"/>
      <c r="F45" s="188" t="n">
        <f aca="false">SUM(H45:K45)</f>
        <v>0</v>
      </c>
      <c r="G45" s="59" t="s">
        <v>131</v>
      </c>
      <c r="H45" s="189" t="n">
        <v>0</v>
      </c>
      <c r="I45" s="190"/>
      <c r="J45" s="190"/>
      <c r="K45" s="192" t="n">
        <v>0</v>
      </c>
      <c r="L45" s="106"/>
      <c r="M45" s="106"/>
      <c r="N45" s="106"/>
      <c r="O45" s="106"/>
      <c r="P45" s="106"/>
      <c r="Q45" s="106"/>
      <c r="R45" s="106"/>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c r="DM45" s="114"/>
      <c r="DN45" s="114"/>
      <c r="DO45" s="114"/>
      <c r="DP45" s="114"/>
      <c r="DQ45" s="114"/>
      <c r="DR45" s="114"/>
      <c r="DS45" s="114"/>
      <c r="DT45" s="114"/>
      <c r="DU45" s="114"/>
      <c r="DV45" s="114"/>
      <c r="DW45" s="114"/>
      <c r="DX45" s="114"/>
      <c r="DY45" s="114"/>
      <c r="DZ45" s="114"/>
      <c r="EA45" s="114"/>
      <c r="EB45" s="114"/>
      <c r="EC45" s="114"/>
      <c r="ED45" s="114"/>
      <c r="EE45" s="114"/>
      <c r="EF45" s="114"/>
      <c r="EG45" s="114"/>
      <c r="EH45" s="114"/>
      <c r="EI45" s="114"/>
      <c r="EJ45" s="114"/>
      <c r="EK45" s="114"/>
      <c r="EL45" s="114"/>
    </row>
    <row r="46" customFormat="false" ht="12.75" hidden="false" customHeight="false" outlineLevel="0" collapsed="false">
      <c r="A46" s="124"/>
      <c r="B46" s="124" t="s">
        <v>139</v>
      </c>
      <c r="C46" s="23"/>
      <c r="D46" s="124"/>
      <c r="E46" s="89"/>
      <c r="F46" s="188" t="n">
        <f aca="false">SUM(H46:K46)</f>
        <v>0</v>
      </c>
      <c r="G46" s="59" t="s">
        <v>131</v>
      </c>
      <c r="H46" s="189" t="n">
        <v>0</v>
      </c>
      <c r="I46" s="190"/>
      <c r="J46" s="190"/>
      <c r="K46" s="192" t="n">
        <v>0</v>
      </c>
      <c r="L46" s="106"/>
      <c r="M46" s="106"/>
      <c r="N46" s="106"/>
      <c r="O46" s="106"/>
      <c r="P46" s="106"/>
      <c r="Q46" s="106"/>
      <c r="R46" s="106"/>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c r="DM46" s="114"/>
      <c r="DN46" s="114"/>
      <c r="DO46" s="114"/>
      <c r="DP46" s="114"/>
      <c r="DQ46" s="114"/>
      <c r="DR46" s="114"/>
      <c r="DS46" s="114"/>
      <c r="DT46" s="114"/>
      <c r="DU46" s="114"/>
      <c r="DV46" s="114"/>
      <c r="DW46" s="114"/>
      <c r="DX46" s="114"/>
      <c r="DY46" s="114"/>
      <c r="DZ46" s="114"/>
      <c r="EA46" s="114"/>
      <c r="EB46" s="114"/>
      <c r="EC46" s="114"/>
      <c r="ED46" s="114"/>
      <c r="EE46" s="114"/>
      <c r="EF46" s="114"/>
      <c r="EG46" s="114"/>
      <c r="EH46" s="114"/>
      <c r="EI46" s="114"/>
      <c r="EJ46" s="114"/>
      <c r="EK46" s="114"/>
      <c r="EL46" s="114"/>
    </row>
    <row r="47" customFormat="false" ht="12.75" hidden="false" customHeight="false" outlineLevel="0" collapsed="false">
      <c r="A47" s="124"/>
      <c r="B47" s="124" t="s">
        <v>140</v>
      </c>
      <c r="C47" s="23"/>
      <c r="D47" s="124"/>
      <c r="E47" s="89"/>
      <c r="F47" s="188" t="n">
        <f aca="false">SUM(H47:K47)</f>
        <v>34.5</v>
      </c>
      <c r="G47" s="59" t="s">
        <v>133</v>
      </c>
      <c r="H47" s="189" t="n">
        <f aca="false">IF(1*$F$31&gt;127,127,1*$F$31)</f>
        <v>34.5</v>
      </c>
      <c r="I47" s="190"/>
      <c r="J47" s="190"/>
      <c r="K47" s="192"/>
      <c r="L47" s="106"/>
      <c r="M47" s="106"/>
      <c r="N47" s="106"/>
      <c r="O47" s="106"/>
      <c r="P47" s="106"/>
      <c r="Q47" s="106"/>
      <c r="R47" s="106"/>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c r="DK47" s="114"/>
      <c r="DL47" s="114"/>
      <c r="DM47" s="114"/>
      <c r="DN47" s="114"/>
      <c r="DO47" s="114"/>
      <c r="DP47" s="114"/>
      <c r="DQ47" s="114"/>
      <c r="DR47" s="114"/>
      <c r="DS47" s="114"/>
      <c r="DT47" s="114"/>
      <c r="DU47" s="114"/>
      <c r="DV47" s="114"/>
      <c r="DW47" s="114"/>
      <c r="DX47" s="114"/>
      <c r="DY47" s="114"/>
      <c r="DZ47" s="114"/>
      <c r="EA47" s="114"/>
      <c r="EB47" s="114"/>
      <c r="EC47" s="114"/>
      <c r="ED47" s="114"/>
      <c r="EE47" s="114"/>
      <c r="EF47" s="114"/>
      <c r="EG47" s="114"/>
      <c r="EH47" s="114"/>
      <c r="EI47" s="114"/>
      <c r="EJ47" s="114"/>
      <c r="EK47" s="114"/>
      <c r="EL47" s="114"/>
    </row>
    <row r="48" customFormat="false" ht="12.75" hidden="false" customHeight="false" outlineLevel="0" collapsed="false">
      <c r="A48" s="124"/>
      <c r="B48" s="124" t="s">
        <v>141</v>
      </c>
      <c r="C48" s="23"/>
      <c r="D48" s="124"/>
      <c r="E48" s="89"/>
      <c r="F48" s="188" t="n">
        <f aca="false">SUM(H48:K48)</f>
        <v>0</v>
      </c>
      <c r="G48" s="59" t="s">
        <v>131</v>
      </c>
      <c r="H48" s="189" t="n">
        <v>0</v>
      </c>
      <c r="I48" s="190"/>
      <c r="J48" s="190"/>
      <c r="K48" s="192" t="n">
        <v>0</v>
      </c>
      <c r="L48" s="106"/>
      <c r="M48" s="106"/>
      <c r="N48" s="106"/>
      <c r="O48" s="106"/>
      <c r="P48" s="106"/>
      <c r="Q48" s="106"/>
      <c r="R48" s="106"/>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c r="DK48" s="114"/>
      <c r="DL48" s="114"/>
      <c r="DM48" s="114"/>
      <c r="DN48" s="114"/>
      <c r="DO48" s="114"/>
      <c r="DP48" s="114"/>
      <c r="DQ48" s="114"/>
      <c r="DR48" s="114"/>
      <c r="DS48" s="114"/>
      <c r="DT48" s="114"/>
      <c r="DU48" s="114"/>
      <c r="DV48" s="114"/>
      <c r="DW48" s="114"/>
      <c r="DX48" s="114"/>
      <c r="DY48" s="114"/>
      <c r="DZ48" s="114"/>
      <c r="EA48" s="114"/>
      <c r="EB48" s="114"/>
      <c r="EC48" s="114"/>
      <c r="ED48" s="114"/>
      <c r="EE48" s="114"/>
      <c r="EF48" s="114"/>
      <c r="EG48" s="114"/>
      <c r="EH48" s="114"/>
      <c r="EI48" s="114"/>
      <c r="EJ48" s="114"/>
      <c r="EK48" s="114"/>
      <c r="EL48" s="114"/>
    </row>
    <row r="49" customFormat="false" ht="12.75" hidden="false" customHeight="false" outlineLevel="0" collapsed="false">
      <c r="A49" s="124"/>
      <c r="B49" s="124" t="s">
        <v>142</v>
      </c>
      <c r="C49" s="23"/>
      <c r="D49" s="124"/>
      <c r="E49" s="89"/>
      <c r="F49" s="188" t="n">
        <f aca="false">SUM(H49:K49)</f>
        <v>0</v>
      </c>
      <c r="G49" s="59" t="s">
        <v>131</v>
      </c>
      <c r="H49" s="189" t="n">
        <v>0</v>
      </c>
      <c r="I49" s="190"/>
      <c r="J49" s="190"/>
      <c r="K49" s="192" t="n">
        <v>0</v>
      </c>
      <c r="L49" s="106"/>
      <c r="M49" s="106"/>
      <c r="N49" s="106"/>
      <c r="O49" s="106"/>
      <c r="P49" s="106"/>
      <c r="Q49" s="106"/>
      <c r="R49" s="106"/>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c r="DK49" s="114"/>
      <c r="DL49" s="114"/>
      <c r="DM49" s="114"/>
      <c r="DN49" s="114"/>
      <c r="DO49" s="114"/>
      <c r="DP49" s="114"/>
      <c r="DQ49" s="114"/>
      <c r="DR49" s="114"/>
      <c r="DS49" s="114"/>
      <c r="DT49" s="114"/>
      <c r="DU49" s="114"/>
      <c r="DV49" s="114"/>
      <c r="DW49" s="114"/>
      <c r="DX49" s="114"/>
      <c r="DY49" s="114"/>
      <c r="DZ49" s="114"/>
      <c r="EA49" s="114"/>
      <c r="EB49" s="114"/>
      <c r="EC49" s="114"/>
      <c r="ED49" s="114"/>
      <c r="EE49" s="114"/>
      <c r="EF49" s="114"/>
      <c r="EG49" s="114"/>
      <c r="EH49" s="114"/>
      <c r="EI49" s="114"/>
      <c r="EJ49" s="114"/>
      <c r="EK49" s="114"/>
      <c r="EL49" s="114"/>
    </row>
    <row r="50" customFormat="false" ht="12.75" hidden="false" customHeight="false" outlineLevel="0" collapsed="false">
      <c r="A50" s="124"/>
      <c r="B50" s="124" t="s">
        <v>143</v>
      </c>
      <c r="C50" s="23"/>
      <c r="D50" s="124"/>
      <c r="E50" s="89"/>
      <c r="F50" s="188" t="n">
        <f aca="false">SUM(H50:K50)</f>
        <v>0</v>
      </c>
      <c r="G50" s="59" t="s">
        <v>131</v>
      </c>
      <c r="H50" s="193" t="n">
        <v>0</v>
      </c>
      <c r="I50" s="190"/>
      <c r="J50" s="190"/>
      <c r="K50" s="192" t="n">
        <v>0</v>
      </c>
      <c r="L50" s="106"/>
      <c r="M50" s="106"/>
      <c r="N50" s="106"/>
      <c r="O50" s="106"/>
      <c r="P50" s="106"/>
      <c r="Q50" s="106"/>
      <c r="R50" s="106"/>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c r="DK50" s="114"/>
      <c r="DL50" s="114"/>
      <c r="DM50" s="114"/>
      <c r="DN50" s="114"/>
      <c r="DO50" s="114"/>
      <c r="DP50" s="114"/>
      <c r="DQ50" s="114"/>
      <c r="DR50" s="114"/>
      <c r="DS50" s="114"/>
      <c r="DT50" s="114"/>
      <c r="DU50" s="114"/>
      <c r="DV50" s="114"/>
      <c r="DW50" s="114"/>
      <c r="DX50" s="114"/>
      <c r="DY50" s="114"/>
      <c r="DZ50" s="114"/>
      <c r="EA50" s="114"/>
      <c r="EB50" s="114"/>
      <c r="EC50" s="114"/>
      <c r="ED50" s="114"/>
      <c r="EE50" s="114"/>
      <c r="EF50" s="114"/>
      <c r="EG50" s="114"/>
      <c r="EH50" s="114"/>
      <c r="EI50" s="114"/>
      <c r="EJ50" s="114"/>
      <c r="EK50" s="114"/>
      <c r="EL50" s="114"/>
    </row>
    <row r="51" customFormat="false" ht="12.75" hidden="false" customHeight="false" outlineLevel="0" collapsed="false">
      <c r="A51" s="124"/>
      <c r="B51" s="124" t="s">
        <v>144</v>
      </c>
      <c r="C51" s="194"/>
      <c r="D51" s="124"/>
      <c r="E51" s="89"/>
      <c r="F51" s="188" t="n">
        <f aca="false">SUM(H51:K51)</f>
        <v>200</v>
      </c>
      <c r="G51" s="59" t="s">
        <v>133</v>
      </c>
      <c r="H51" s="189" t="n">
        <f aca="false">IF(200+IF($F$31&gt;50,2*($F$31-50),0)&gt;360,360,200+IF($F$31&gt;50,2*($F$31-50),0))</f>
        <v>200</v>
      </c>
      <c r="I51" s="190"/>
      <c r="J51" s="190"/>
      <c r="K51" s="192" t="n">
        <v>0</v>
      </c>
      <c r="L51" s="106"/>
      <c r="M51" s="106"/>
      <c r="N51" s="106"/>
      <c r="O51" s="106"/>
      <c r="P51" s="106"/>
      <c r="Q51" s="106"/>
      <c r="R51" s="106"/>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c r="DK51" s="114"/>
      <c r="DL51" s="114"/>
      <c r="DM51" s="114"/>
      <c r="DN51" s="114"/>
      <c r="DO51" s="114"/>
      <c r="DP51" s="114"/>
      <c r="DQ51" s="114"/>
      <c r="DR51" s="114"/>
      <c r="DS51" s="114"/>
      <c r="DT51" s="114"/>
      <c r="DU51" s="114"/>
      <c r="DV51" s="114"/>
      <c r="DW51" s="114"/>
      <c r="DX51" s="114"/>
      <c r="DY51" s="114"/>
      <c r="DZ51" s="114"/>
      <c r="EA51" s="114"/>
      <c r="EB51" s="114"/>
      <c r="EC51" s="114"/>
      <c r="ED51" s="114"/>
      <c r="EE51" s="114"/>
      <c r="EF51" s="114"/>
      <c r="EG51" s="114"/>
      <c r="EH51" s="114"/>
      <c r="EI51" s="114"/>
      <c r="EJ51" s="114"/>
      <c r="EK51" s="114"/>
      <c r="EL51" s="114"/>
    </row>
    <row r="52" customFormat="false" ht="12.75" hidden="false" customHeight="false" outlineLevel="0" collapsed="false">
      <c r="A52" s="124"/>
      <c r="B52" s="124" t="s">
        <v>145</v>
      </c>
      <c r="C52" s="194"/>
      <c r="D52" s="124"/>
      <c r="E52" s="89"/>
      <c r="F52" s="188" t="n">
        <f aca="false">SUM(H52:K52)</f>
        <v>99</v>
      </c>
      <c r="G52" s="59" t="s">
        <v>133</v>
      </c>
      <c r="H52" s="189" t="n">
        <f aca="false">IF(60+IF($F$31&gt;15,2*($F$31-15),0)&gt;225,225,60+IF($F$31&gt;15,2*($F$31-15),0))</f>
        <v>99</v>
      </c>
      <c r="I52" s="190"/>
      <c r="J52" s="190"/>
      <c r="K52" s="192"/>
      <c r="L52" s="106"/>
      <c r="M52" s="106"/>
      <c r="N52" s="106"/>
      <c r="O52" s="106"/>
      <c r="P52" s="106"/>
      <c r="Q52" s="106"/>
      <c r="R52" s="106"/>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c r="DK52" s="114"/>
      <c r="DL52" s="114"/>
      <c r="DM52" s="114"/>
      <c r="DN52" s="114"/>
      <c r="DO52" s="114"/>
      <c r="DP52" s="114"/>
      <c r="DQ52" s="114"/>
      <c r="DR52" s="114"/>
      <c r="DS52" s="114"/>
      <c r="DT52" s="114"/>
      <c r="DU52" s="114"/>
      <c r="DV52" s="114"/>
      <c r="DW52" s="114"/>
      <c r="DX52" s="114"/>
      <c r="DY52" s="114"/>
      <c r="DZ52" s="114"/>
      <c r="EA52" s="114"/>
      <c r="EB52" s="114"/>
      <c r="EC52" s="114"/>
      <c r="ED52" s="114"/>
      <c r="EE52" s="114"/>
      <c r="EF52" s="114"/>
      <c r="EG52" s="114"/>
      <c r="EH52" s="114"/>
      <c r="EI52" s="114"/>
      <c r="EJ52" s="114"/>
      <c r="EK52" s="114"/>
      <c r="EL52" s="114"/>
    </row>
    <row r="53" customFormat="false" ht="12.75" hidden="false" customHeight="false" outlineLevel="0" collapsed="false">
      <c r="A53" s="124"/>
      <c r="B53" s="124" t="s">
        <v>146</v>
      </c>
      <c r="C53" s="194"/>
      <c r="D53" s="124"/>
      <c r="E53" s="89"/>
      <c r="F53" s="188" t="n">
        <f aca="false">SUM(H53:K53)</f>
        <v>50</v>
      </c>
      <c r="G53" s="59" t="s">
        <v>133</v>
      </c>
      <c r="H53" s="189" t="n">
        <f aca="false">50+IF($F$31&gt;50,1*($F$31-50),0)</f>
        <v>50</v>
      </c>
      <c r="I53" s="190"/>
      <c r="J53" s="190"/>
      <c r="K53" s="192"/>
      <c r="L53" s="106"/>
      <c r="M53" s="106"/>
      <c r="N53" s="106"/>
      <c r="O53" s="106"/>
      <c r="P53" s="106"/>
      <c r="Q53" s="106"/>
      <c r="R53" s="106"/>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c r="DK53" s="114"/>
      <c r="DL53" s="114"/>
      <c r="DM53" s="114"/>
      <c r="DN53" s="114"/>
      <c r="DO53" s="114"/>
      <c r="DP53" s="114"/>
      <c r="DQ53" s="114"/>
      <c r="DR53" s="114"/>
      <c r="DS53" s="114"/>
      <c r="DT53" s="114"/>
      <c r="DU53" s="114"/>
      <c r="DV53" s="114"/>
      <c r="DW53" s="114"/>
      <c r="DX53" s="114"/>
      <c r="DY53" s="114"/>
      <c r="DZ53" s="114"/>
      <c r="EA53" s="114"/>
      <c r="EB53" s="114"/>
      <c r="EC53" s="114"/>
      <c r="ED53" s="114"/>
      <c r="EE53" s="114"/>
      <c r="EF53" s="114"/>
      <c r="EG53" s="114"/>
      <c r="EH53" s="114"/>
      <c r="EI53" s="114"/>
      <c r="EJ53" s="114"/>
      <c r="EK53" s="114"/>
      <c r="EL53" s="114"/>
    </row>
    <row r="54" customFormat="false" ht="12.75" hidden="false" customHeight="false" outlineLevel="0" collapsed="false">
      <c r="A54" s="124"/>
      <c r="B54" s="124" t="s">
        <v>147</v>
      </c>
      <c r="C54" s="195"/>
      <c r="D54" s="124"/>
      <c r="E54" s="89"/>
      <c r="F54" s="188" t="n">
        <f aca="false">SUM(H54:K54)</f>
        <v>250</v>
      </c>
      <c r="G54" s="59" t="s">
        <v>133</v>
      </c>
      <c r="H54" s="189" t="n">
        <f aca="false">250+IF($F$31&gt;50,5*($F$31-50),0)</f>
        <v>250</v>
      </c>
      <c r="I54" s="190"/>
      <c r="J54" s="191"/>
      <c r="K54" s="192" t="n">
        <v>0</v>
      </c>
      <c r="L54" s="106"/>
      <c r="M54" s="106"/>
      <c r="N54" s="106"/>
      <c r="O54" s="106"/>
      <c r="P54" s="106"/>
      <c r="Q54" s="106"/>
      <c r="R54" s="106"/>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c r="DK54" s="114"/>
      <c r="DL54" s="114"/>
      <c r="DM54" s="114"/>
      <c r="DN54" s="114"/>
      <c r="DO54" s="114"/>
      <c r="DP54" s="114"/>
      <c r="DQ54" s="114"/>
      <c r="DR54" s="114"/>
      <c r="DS54" s="114"/>
      <c r="DT54" s="114"/>
      <c r="DU54" s="114"/>
      <c r="DV54" s="114"/>
      <c r="DW54" s="114"/>
      <c r="DX54" s="114"/>
      <c r="DY54" s="114"/>
      <c r="DZ54" s="114"/>
      <c r="EA54" s="114"/>
      <c r="EB54" s="114"/>
      <c r="EC54" s="114"/>
      <c r="ED54" s="114"/>
      <c r="EE54" s="114"/>
      <c r="EF54" s="114"/>
      <c r="EG54" s="114"/>
      <c r="EH54" s="114"/>
      <c r="EI54" s="114"/>
      <c r="EJ54" s="114"/>
      <c r="EK54" s="114"/>
      <c r="EL54" s="114"/>
    </row>
    <row r="55" customFormat="false" ht="13.5" hidden="false" customHeight="false" outlineLevel="0" collapsed="false">
      <c r="A55" s="124"/>
      <c r="B55" s="196" t="s">
        <v>148</v>
      </c>
      <c r="C55" s="25"/>
      <c r="D55" s="111"/>
      <c r="E55" s="83" t="n">
        <f aca="false">F55/$F$30</f>
        <v>44.0434782608696</v>
      </c>
      <c r="F55" s="197" t="n">
        <f aca="false">SUM(F40:F54)</f>
        <v>1013</v>
      </c>
      <c r="G55" s="59"/>
      <c r="H55" s="198"/>
      <c r="I55" s="124"/>
      <c r="J55" s="12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c r="DK55" s="114"/>
      <c r="DL55" s="114"/>
      <c r="DM55" s="114"/>
      <c r="DN55" s="114"/>
      <c r="DO55" s="114"/>
      <c r="DP55" s="114"/>
      <c r="DQ55" s="114"/>
      <c r="DR55" s="114"/>
      <c r="DS55" s="114"/>
      <c r="DT55" s="114"/>
      <c r="DU55" s="114"/>
      <c r="DV55" s="114"/>
      <c r="DW55" s="114"/>
      <c r="DX55" s="114"/>
      <c r="DY55" s="114"/>
      <c r="DZ55" s="114"/>
      <c r="EA55" s="114"/>
      <c r="EB55" s="114"/>
      <c r="EC55" s="114"/>
      <c r="ED55" s="114"/>
      <c r="EE55" s="114"/>
      <c r="EF55" s="114"/>
      <c r="EG55" s="114"/>
      <c r="EH55" s="114"/>
      <c r="EI55" s="114"/>
      <c r="EJ55" s="114"/>
      <c r="EK55" s="114"/>
      <c r="EL55" s="114"/>
    </row>
    <row r="56" customFormat="false" ht="13.5" hidden="false" customHeight="false" outlineLevel="0" collapsed="false">
      <c r="A56" s="124"/>
      <c r="B56" s="196"/>
      <c r="C56" s="25"/>
      <c r="D56" s="111"/>
      <c r="E56" s="182"/>
      <c r="F56" s="199"/>
      <c r="G56" s="59"/>
      <c r="H56" s="200" t="s">
        <v>149</v>
      </c>
      <c r="I56" s="201"/>
      <c r="J56" s="202" t="n">
        <f aca="false">E159</f>
        <v>34500</v>
      </c>
      <c r="K56" s="201" t="s">
        <v>150</v>
      </c>
      <c r="L56" s="201"/>
      <c r="M56" s="203" t="s">
        <v>151</v>
      </c>
      <c r="N56" s="204"/>
      <c r="O56" s="205"/>
      <c r="P56" s="206"/>
      <c r="Q56" s="206"/>
      <c r="R56" s="207"/>
      <c r="S56" s="208"/>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c r="DK56" s="114"/>
      <c r="DL56" s="114"/>
      <c r="DM56" s="114"/>
      <c r="DN56" s="114"/>
      <c r="DO56" s="114"/>
      <c r="DP56" s="114"/>
      <c r="DQ56" s="114"/>
      <c r="DR56" s="114"/>
      <c r="DS56" s="114"/>
      <c r="DT56" s="114"/>
      <c r="DU56" s="114"/>
      <c r="DV56" s="114"/>
      <c r="DW56" s="114"/>
      <c r="DX56" s="114"/>
      <c r="DY56" s="114"/>
      <c r="DZ56" s="114"/>
      <c r="EA56" s="114"/>
      <c r="EB56" s="114"/>
      <c r="EC56" s="114"/>
      <c r="ED56" s="114"/>
      <c r="EE56" s="114"/>
      <c r="EF56" s="114"/>
      <c r="EG56" s="114"/>
      <c r="EH56" s="114"/>
      <c r="EI56" s="114"/>
      <c r="EJ56" s="114"/>
      <c r="EK56" s="114"/>
      <c r="EL56" s="114"/>
    </row>
    <row r="57" customFormat="false" ht="12.75" hidden="false" customHeight="false" outlineLevel="0" collapsed="false">
      <c r="A57" s="124"/>
      <c r="B57" s="196"/>
      <c r="C57" s="25"/>
      <c r="D57" s="111"/>
      <c r="E57" s="182"/>
      <c r="F57" s="199"/>
      <c r="G57" s="59"/>
      <c r="H57" s="209"/>
      <c r="I57" s="108"/>
      <c r="J57" s="210" t="n">
        <f aca="false">E160</f>
        <v>6122.35680955307</v>
      </c>
      <c r="K57" s="106" t="s">
        <v>152</v>
      </c>
      <c r="L57" s="108"/>
      <c r="M57" s="39" t="s">
        <v>153</v>
      </c>
      <c r="N57" s="39"/>
      <c r="O57" s="39"/>
      <c r="P57" s="211" t="n">
        <v>4</v>
      </c>
      <c r="Q57" s="39" t="s">
        <v>154</v>
      </c>
      <c r="R57" s="212" t="n">
        <v>0.0754472707193066</v>
      </c>
      <c r="S57" s="213" t="n">
        <v>35734</v>
      </c>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4"/>
      <c r="BR57" s="114"/>
      <c r="BS57" s="114"/>
      <c r="BT57" s="114"/>
      <c r="BU57" s="114"/>
      <c r="BV57" s="114"/>
      <c r="BW57" s="114"/>
      <c r="BX57" s="114"/>
      <c r="BY57" s="114"/>
      <c r="BZ57" s="114"/>
      <c r="CA57" s="114"/>
      <c r="CB57" s="114"/>
      <c r="CC57" s="114"/>
      <c r="CD57" s="114"/>
      <c r="CE57" s="114"/>
      <c r="CF57" s="114"/>
      <c r="CG57" s="114"/>
      <c r="CH57" s="114"/>
      <c r="CI57" s="114"/>
      <c r="CJ57" s="114"/>
      <c r="CK57" s="114"/>
      <c r="CL57" s="114"/>
      <c r="CM57" s="114"/>
      <c r="CN57" s="114"/>
      <c r="CO57" s="114"/>
      <c r="CP57" s="114"/>
      <c r="CQ57" s="114"/>
      <c r="CR57" s="114"/>
      <c r="CS57" s="114"/>
      <c r="CT57" s="114"/>
      <c r="CU57" s="114"/>
      <c r="CV57" s="114"/>
      <c r="CW57" s="114"/>
      <c r="CX57" s="114"/>
      <c r="CY57" s="114"/>
      <c r="CZ57" s="114"/>
      <c r="DA57" s="114"/>
      <c r="DB57" s="114"/>
      <c r="DC57" s="114"/>
      <c r="DD57" s="114"/>
      <c r="DE57" s="114"/>
      <c r="DF57" s="114"/>
      <c r="DG57" s="114"/>
      <c r="DH57" s="114"/>
      <c r="DI57" s="114"/>
      <c r="DJ57" s="114"/>
      <c r="DK57" s="114"/>
      <c r="DL57" s="114"/>
      <c r="DM57" s="114"/>
      <c r="DN57" s="114"/>
      <c r="DO57" s="114"/>
      <c r="DP57" s="114"/>
      <c r="DQ57" s="114"/>
      <c r="DR57" s="114"/>
      <c r="DS57" s="114"/>
      <c r="DT57" s="114"/>
      <c r="DU57" s="114"/>
      <c r="DV57" s="114"/>
      <c r="DW57" s="114"/>
      <c r="DX57" s="114"/>
      <c r="DY57" s="114"/>
      <c r="DZ57" s="114"/>
      <c r="EA57" s="114"/>
      <c r="EB57" s="114"/>
      <c r="EC57" s="114"/>
      <c r="ED57" s="114"/>
      <c r="EE57" s="114"/>
      <c r="EF57" s="114"/>
      <c r="EG57" s="114"/>
      <c r="EH57" s="114"/>
      <c r="EI57" s="114"/>
      <c r="EJ57" s="114"/>
      <c r="EK57" s="114"/>
      <c r="EL57" s="114"/>
    </row>
    <row r="58" customFormat="false" ht="12.75" hidden="false" customHeight="false" outlineLevel="0" collapsed="false">
      <c r="A58" s="124"/>
      <c r="B58" s="196"/>
      <c r="C58" s="25"/>
      <c r="D58" s="111"/>
      <c r="E58" s="182"/>
      <c r="F58" s="199"/>
      <c r="G58" s="59"/>
      <c r="H58" s="214" t="s">
        <v>155</v>
      </c>
      <c r="I58" s="215" t="s">
        <v>156</v>
      </c>
      <c r="J58" s="108"/>
      <c r="K58" s="108"/>
      <c r="L58" s="106"/>
      <c r="M58" s="39" t="s">
        <v>157</v>
      </c>
      <c r="N58" s="39"/>
      <c r="O58" s="39"/>
      <c r="P58" s="216" t="n">
        <f aca="false">TABLE_2</f>
        <v>0.0754472707193066</v>
      </c>
      <c r="Q58" s="39"/>
      <c r="R58" s="106"/>
      <c r="S58" s="217" t="s">
        <v>158</v>
      </c>
      <c r="T58" s="114"/>
      <c r="U58" s="114"/>
      <c r="V58" s="114"/>
      <c r="W58" s="114"/>
      <c r="X58" s="114"/>
      <c r="Y58" s="114"/>
      <c r="Z58" s="114"/>
      <c r="AA58" s="114"/>
      <c r="AB58" s="114"/>
      <c r="AC58" s="114"/>
      <c r="AD58" s="114"/>
      <c r="AE58" s="114"/>
      <c r="AF58" s="114"/>
      <c r="AG58" s="114"/>
      <c r="AH58" s="114"/>
      <c r="AI58" s="114"/>
      <c r="AJ58" s="114"/>
      <c r="AK58" s="114"/>
      <c r="AL58" s="114"/>
      <c r="AM58" s="114"/>
      <c r="AN58" s="114"/>
      <c r="AO58" s="114"/>
      <c r="AP58" s="114"/>
      <c r="AQ58" s="114"/>
      <c r="AR58" s="114"/>
      <c r="AS58" s="114"/>
      <c r="AT58" s="114"/>
      <c r="AU58" s="114"/>
      <c r="AV58" s="114"/>
      <c r="AW58" s="114"/>
      <c r="AX58" s="114"/>
      <c r="AY58" s="114"/>
      <c r="AZ58" s="114"/>
      <c r="BA58" s="114"/>
      <c r="BB58" s="114"/>
      <c r="BC58" s="114"/>
      <c r="BD58" s="114"/>
      <c r="BE58" s="114"/>
      <c r="BF58" s="114"/>
      <c r="BG58" s="114"/>
      <c r="BH58" s="114"/>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114"/>
      <c r="CG58" s="114"/>
      <c r="CH58" s="114"/>
      <c r="CI58" s="114"/>
      <c r="CJ58" s="114"/>
      <c r="CK58" s="114"/>
      <c r="CL58" s="114"/>
      <c r="CM58" s="114"/>
      <c r="CN58" s="114"/>
      <c r="CO58" s="114"/>
      <c r="CP58" s="114"/>
      <c r="CQ58" s="114"/>
      <c r="CR58" s="114"/>
      <c r="CS58" s="114"/>
      <c r="CT58" s="114"/>
      <c r="CU58" s="114"/>
      <c r="CV58" s="114"/>
      <c r="CW58" s="114"/>
      <c r="CX58" s="114"/>
      <c r="CY58" s="114"/>
      <c r="CZ58" s="114"/>
      <c r="DA58" s="114"/>
      <c r="DB58" s="114"/>
      <c r="DC58" s="114"/>
      <c r="DD58" s="114"/>
      <c r="DE58" s="114"/>
      <c r="DF58" s="114"/>
      <c r="DG58" s="114"/>
      <c r="DH58" s="114"/>
      <c r="DI58" s="114"/>
      <c r="DJ58" s="114"/>
      <c r="DK58" s="114"/>
      <c r="DL58" s="114"/>
      <c r="DM58" s="114"/>
      <c r="DN58" s="114"/>
      <c r="DO58" s="114"/>
      <c r="DP58" s="114"/>
      <c r="DQ58" s="114"/>
      <c r="DR58" s="114"/>
      <c r="DS58" s="114"/>
      <c r="DT58" s="114"/>
      <c r="DU58" s="114"/>
      <c r="DV58" s="114"/>
      <c r="DW58" s="114"/>
      <c r="DX58" s="114"/>
      <c r="DY58" s="114"/>
      <c r="DZ58" s="114"/>
      <c r="EA58" s="114"/>
      <c r="EB58" s="114"/>
      <c r="EC58" s="114"/>
      <c r="ED58" s="114"/>
      <c r="EE58" s="114"/>
      <c r="EF58" s="114"/>
      <c r="EG58" s="114"/>
      <c r="EH58" s="114"/>
      <c r="EI58" s="114"/>
      <c r="EJ58" s="114"/>
      <c r="EK58" s="114"/>
      <c r="EL58" s="114"/>
    </row>
    <row r="59" customFormat="false" ht="12.75" hidden="false" customHeight="false" outlineLevel="0" collapsed="false">
      <c r="A59" s="23"/>
      <c r="B59" s="25" t="s">
        <v>159</v>
      </c>
      <c r="C59" s="25"/>
      <c r="D59" s="22"/>
      <c r="E59" s="182"/>
      <c r="F59" s="218"/>
      <c r="G59" s="59"/>
      <c r="H59" s="219" t="n">
        <f aca="false">$E$159*I59/100</f>
        <v>41.4</v>
      </c>
      <c r="I59" s="220" t="n">
        <v>0.12</v>
      </c>
      <c r="J59" s="221" t="s">
        <v>160</v>
      </c>
      <c r="K59" s="221" t="s">
        <v>161</v>
      </c>
      <c r="L59" s="106"/>
      <c r="M59" s="221" t="s">
        <v>162</v>
      </c>
      <c r="N59" s="39"/>
      <c r="O59" s="221"/>
      <c r="P59" s="216" t="n">
        <v>0.02</v>
      </c>
      <c r="Q59" s="106"/>
      <c r="R59" s="37"/>
      <c r="S59" s="222"/>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c r="IW59" s="3"/>
    </row>
    <row r="60" customFormat="false" ht="12.75" hidden="false" customHeight="false" outlineLevel="0" collapsed="false">
      <c r="A60" s="23"/>
      <c r="B60" s="223" t="s">
        <v>163</v>
      </c>
      <c r="C60" s="74"/>
      <c r="E60" s="89"/>
      <c r="F60" s="224" t="n">
        <f aca="false">H64*H66*0+95.391</f>
        <v>95.391</v>
      </c>
      <c r="G60" s="29" t="s">
        <v>164</v>
      </c>
      <c r="H60" s="219" t="n">
        <f aca="false">$E$160*I60/100</f>
        <v>9.1835352143296</v>
      </c>
      <c r="I60" s="225" t="n">
        <v>0.15</v>
      </c>
      <c r="J60" s="221" t="s">
        <v>160</v>
      </c>
      <c r="K60" s="221" t="s">
        <v>165</v>
      </c>
      <c r="L60" s="106"/>
      <c r="M60" s="221" t="s">
        <v>166</v>
      </c>
      <c r="N60" s="39"/>
      <c r="O60" s="221"/>
      <c r="P60" s="226" t="n">
        <f aca="false">P58+P59</f>
        <v>0.0954472707193066</v>
      </c>
      <c r="Q60" s="221"/>
      <c r="R60" s="37"/>
      <c r="S60" s="222"/>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c r="IW60" s="3"/>
    </row>
    <row r="61" customFormat="false" ht="12.75" hidden="false" customHeight="false" outlineLevel="0" collapsed="false">
      <c r="A61" s="227"/>
      <c r="B61" s="228" t="s">
        <v>167</v>
      </c>
      <c r="C61" s="181"/>
      <c r="D61" s="111"/>
      <c r="E61" s="89"/>
      <c r="F61" s="229" t="n">
        <f aca="false">SUM(Srcs_Uses!E15:E17)*P61*(P60/12)*P57+P62</f>
        <v>709.812363009924</v>
      </c>
      <c r="G61" s="29" t="s">
        <v>168</v>
      </c>
      <c r="H61" s="219" t="n">
        <f aca="false">I61*F21</f>
        <v>5</v>
      </c>
      <c r="I61" s="220" t="n">
        <f aca="false">5000/1000</f>
        <v>5</v>
      </c>
      <c r="J61" s="221" t="s">
        <v>169</v>
      </c>
      <c r="K61" s="221" t="s">
        <v>170</v>
      </c>
      <c r="L61" s="106"/>
      <c r="M61" s="221" t="s">
        <v>171</v>
      </c>
      <c r="N61" s="39"/>
      <c r="O61" s="221"/>
      <c r="P61" s="56" t="n">
        <v>0.65</v>
      </c>
      <c r="Q61" s="106" t="s">
        <v>172</v>
      </c>
      <c r="R61" s="37"/>
      <c r="S61" s="222"/>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c r="IU61" s="3"/>
      <c r="IV61" s="3"/>
      <c r="IW61" s="3"/>
    </row>
    <row r="62" customFormat="false" ht="12.75" hidden="false" customHeight="false" outlineLevel="0" collapsed="false">
      <c r="A62" s="124"/>
      <c r="B62" s="228" t="s">
        <v>173</v>
      </c>
      <c r="C62" s="181"/>
      <c r="E62" s="89"/>
      <c r="F62" s="230" t="n">
        <f aca="false">E174*(1-D175)</f>
        <v>0</v>
      </c>
      <c r="G62" s="129" t="s">
        <v>174</v>
      </c>
      <c r="H62" s="219" t="n">
        <f aca="false">I62*F30*F21</f>
        <v>1.61</v>
      </c>
      <c r="I62" s="220" t="n">
        <f aca="false">70/1000</f>
        <v>0.07</v>
      </c>
      <c r="J62" s="221" t="s">
        <v>175</v>
      </c>
      <c r="K62" s="221" t="s">
        <v>176</v>
      </c>
      <c r="L62" s="106"/>
      <c r="M62" s="221" t="s">
        <v>177</v>
      </c>
      <c r="N62" s="39"/>
      <c r="O62" s="221"/>
      <c r="P62" s="109" t="n">
        <v>0</v>
      </c>
      <c r="Q62" s="106" t="s">
        <v>172</v>
      </c>
      <c r="R62" s="37"/>
      <c r="S62" s="222"/>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c r="IW62" s="3"/>
    </row>
    <row r="63" customFormat="false" ht="13.5" hidden="false" customHeight="false" outlineLevel="0" collapsed="false">
      <c r="A63" s="23"/>
      <c r="B63" s="25" t="s">
        <v>178</v>
      </c>
      <c r="C63" s="25"/>
      <c r="D63" s="22"/>
      <c r="E63" s="231" t="n">
        <f aca="false">F63/F30</f>
        <v>35.0088418699967</v>
      </c>
      <c r="F63" s="232" t="n">
        <f aca="false">SUM(F60:F62)</f>
        <v>805.203363009924</v>
      </c>
      <c r="G63" s="59"/>
      <c r="H63" s="219" t="n">
        <f aca="false">(+$E$159+E160)*I63/100</f>
        <v>8.12447136191062</v>
      </c>
      <c r="I63" s="225" t="n">
        <v>0.02</v>
      </c>
      <c r="J63" s="221" t="s">
        <v>179</v>
      </c>
      <c r="K63" s="221" t="s">
        <v>180</v>
      </c>
      <c r="L63" s="106"/>
      <c r="M63" s="108"/>
      <c r="N63" s="106"/>
      <c r="O63" s="35"/>
      <c r="P63" s="37"/>
      <c r="Q63" s="37"/>
      <c r="R63" s="37"/>
      <c r="S63" s="222"/>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c r="HC63" s="3"/>
      <c r="HD63" s="3"/>
      <c r="HE63" s="3"/>
      <c r="HF63" s="3"/>
      <c r="HG63" s="3"/>
      <c r="HH63" s="3"/>
      <c r="HI63" s="3"/>
      <c r="HJ63" s="3"/>
      <c r="HK63" s="3"/>
      <c r="HL63" s="3"/>
      <c r="HM63" s="3"/>
      <c r="HN63" s="3"/>
      <c r="HO63" s="3"/>
      <c r="HP63" s="3"/>
      <c r="HQ63" s="3"/>
      <c r="HR63" s="3"/>
      <c r="HS63" s="3"/>
      <c r="HT63" s="3"/>
      <c r="HU63" s="3"/>
      <c r="HV63" s="3"/>
      <c r="HW63" s="3"/>
      <c r="HX63" s="3"/>
      <c r="HY63" s="3"/>
      <c r="HZ63" s="3"/>
      <c r="IA63" s="3"/>
      <c r="IB63" s="3"/>
      <c r="IC63" s="3"/>
      <c r="ID63" s="3"/>
      <c r="IE63" s="3"/>
      <c r="IF63" s="3"/>
      <c r="IG63" s="3"/>
      <c r="IH63" s="3"/>
      <c r="II63" s="3"/>
      <c r="IJ63" s="3"/>
      <c r="IK63" s="3"/>
      <c r="IL63" s="3"/>
      <c r="IM63" s="3"/>
      <c r="IN63" s="3"/>
      <c r="IO63" s="3"/>
      <c r="IP63" s="3"/>
      <c r="IQ63" s="3"/>
      <c r="IR63" s="3"/>
      <c r="IS63" s="3"/>
      <c r="IT63" s="3"/>
      <c r="IU63" s="3"/>
      <c r="IV63" s="3"/>
      <c r="IW63" s="3"/>
    </row>
    <row r="64" customFormat="false" ht="12.75" hidden="false" customHeight="false" outlineLevel="0" collapsed="false">
      <c r="A64" s="23"/>
      <c r="B64" s="3"/>
      <c r="D64" s="3"/>
      <c r="E64" s="3"/>
      <c r="F64" s="3"/>
      <c r="G64" s="3"/>
      <c r="H64" s="219" t="n">
        <f aca="false">SUM(H57:H63)</f>
        <v>65.3180065762402</v>
      </c>
      <c r="I64" s="221" t="s">
        <v>181</v>
      </c>
      <c r="J64" s="221"/>
      <c r="K64" s="108"/>
      <c r="L64" s="106"/>
      <c r="M64" s="106"/>
      <c r="N64" s="106"/>
      <c r="O64" s="35"/>
      <c r="P64" s="37"/>
      <c r="Q64" s="37"/>
      <c r="R64" s="37"/>
      <c r="S64" s="222"/>
      <c r="T64" s="24"/>
      <c r="U64" s="24"/>
      <c r="V64" s="24"/>
      <c r="W64" s="24"/>
      <c r="X64" s="24"/>
      <c r="Y64" s="24"/>
      <c r="Z64" s="24"/>
      <c r="AA64" s="24"/>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c r="FV64" s="3"/>
      <c r="FW64" s="3"/>
      <c r="FX64" s="3"/>
      <c r="FY64" s="3"/>
      <c r="FZ64" s="3"/>
      <c r="GA64" s="3"/>
      <c r="GB64" s="3"/>
      <c r="GC64" s="3"/>
      <c r="GD64" s="3"/>
      <c r="GE64" s="3"/>
      <c r="GF64" s="3"/>
      <c r="GG64" s="3"/>
      <c r="GH64" s="3"/>
      <c r="GI64" s="3"/>
      <c r="GJ64" s="3"/>
      <c r="GK64" s="3"/>
      <c r="GL64" s="3"/>
      <c r="GM64" s="3"/>
      <c r="GN64" s="3"/>
      <c r="GO64" s="3"/>
      <c r="GP64" s="3"/>
      <c r="GQ64" s="3"/>
      <c r="GR64" s="3"/>
      <c r="GS64" s="3"/>
      <c r="GT64" s="3"/>
      <c r="GU64" s="3"/>
      <c r="GV64" s="3"/>
      <c r="GW64" s="3"/>
      <c r="GX64" s="3"/>
      <c r="GY64" s="3"/>
      <c r="GZ64" s="3"/>
      <c r="HA64" s="3"/>
      <c r="HB64" s="3"/>
      <c r="HC64" s="3"/>
      <c r="HD64" s="3"/>
      <c r="HE64" s="3"/>
      <c r="HF64" s="3"/>
      <c r="HG64" s="3"/>
      <c r="HH64" s="3"/>
      <c r="HI64" s="3"/>
      <c r="HJ64" s="3"/>
      <c r="HK64" s="3"/>
      <c r="HL64" s="3"/>
      <c r="HM64" s="3"/>
      <c r="HN64" s="3"/>
      <c r="HO64" s="3"/>
      <c r="HP64" s="3"/>
      <c r="HQ64" s="3"/>
      <c r="HR64" s="3"/>
      <c r="HS64" s="3"/>
      <c r="HT64" s="3"/>
      <c r="HU64" s="3"/>
      <c r="HV64" s="3"/>
      <c r="HW64" s="3"/>
      <c r="HX64" s="3"/>
      <c r="HY64" s="3"/>
      <c r="HZ64" s="3"/>
      <c r="IA64" s="3"/>
      <c r="IB64" s="3"/>
      <c r="IC64" s="3"/>
      <c r="ID64" s="3"/>
      <c r="IE64" s="3"/>
      <c r="IF64" s="3"/>
      <c r="IG64" s="3"/>
      <c r="IH64" s="3"/>
      <c r="II64" s="3"/>
      <c r="IJ64" s="3"/>
      <c r="IK64" s="3"/>
      <c r="IL64" s="3"/>
      <c r="IM64" s="3"/>
      <c r="IN64" s="3"/>
      <c r="IO64" s="3"/>
      <c r="IP64" s="3"/>
      <c r="IQ64" s="3"/>
      <c r="IR64" s="3"/>
      <c r="IS64" s="3"/>
      <c r="IT64" s="3"/>
      <c r="IU64" s="3"/>
      <c r="IV64" s="3"/>
      <c r="IW64" s="3"/>
    </row>
    <row r="65" customFormat="false" ht="12.75" hidden="false" customHeight="false" outlineLevel="0" collapsed="false">
      <c r="A65" s="23"/>
      <c r="B65" s="25"/>
      <c r="C65" s="25"/>
      <c r="D65" s="22"/>
      <c r="E65" s="182"/>
      <c r="F65" s="218"/>
      <c r="G65" s="59"/>
      <c r="H65" s="219"/>
      <c r="I65" s="221"/>
      <c r="J65" s="221"/>
      <c r="K65" s="108"/>
      <c r="L65" s="106"/>
      <c r="M65" s="106"/>
      <c r="N65" s="106"/>
      <c r="O65" s="35"/>
      <c r="P65" s="37"/>
      <c r="Q65" s="37"/>
      <c r="R65" s="37"/>
      <c r="S65" s="222"/>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c r="FW65" s="3"/>
      <c r="FX65" s="3"/>
      <c r="FY65" s="3"/>
      <c r="FZ65" s="3"/>
      <c r="GA65" s="3"/>
      <c r="GB65" s="3"/>
      <c r="GC65" s="3"/>
      <c r="GD65" s="3"/>
      <c r="GE65" s="3"/>
      <c r="GF65" s="3"/>
      <c r="GG65" s="3"/>
      <c r="GH65" s="3"/>
      <c r="GI65" s="3"/>
      <c r="GJ65" s="3"/>
      <c r="GK65" s="3"/>
      <c r="GL65" s="3"/>
      <c r="GM65" s="3"/>
      <c r="GN65" s="3"/>
      <c r="GO65" s="3"/>
      <c r="GP65" s="3"/>
      <c r="GQ65" s="3"/>
      <c r="GR65" s="3"/>
      <c r="GS65" s="3"/>
      <c r="GT65" s="3"/>
      <c r="GU65" s="3"/>
      <c r="GV65" s="3"/>
      <c r="GW65" s="3"/>
      <c r="GX65" s="3"/>
      <c r="GY65" s="3"/>
      <c r="GZ65" s="3"/>
      <c r="HA65" s="3"/>
      <c r="HB65" s="3"/>
      <c r="HC65" s="3"/>
      <c r="HD65" s="3"/>
      <c r="HE65" s="3"/>
      <c r="HF65" s="3"/>
      <c r="HG65" s="3"/>
      <c r="HH65" s="3"/>
      <c r="HI65" s="3"/>
      <c r="HJ65" s="3"/>
      <c r="HK65" s="3"/>
      <c r="HL65" s="3"/>
      <c r="HM65" s="3"/>
      <c r="HN65" s="3"/>
      <c r="HO65" s="3"/>
      <c r="HP65" s="3"/>
      <c r="HQ65" s="3"/>
      <c r="HR65" s="3"/>
      <c r="HS65" s="3"/>
      <c r="HT65" s="3"/>
      <c r="HU65" s="3"/>
      <c r="HV65" s="3"/>
      <c r="HW65" s="3"/>
      <c r="HX65" s="3"/>
      <c r="HY65" s="3"/>
      <c r="HZ65" s="3"/>
      <c r="IA65" s="3"/>
      <c r="IB65" s="3"/>
      <c r="IC65" s="3"/>
      <c r="ID65" s="3"/>
      <c r="IE65" s="3"/>
      <c r="IF65" s="3"/>
      <c r="IG65" s="3"/>
      <c r="IH65" s="3"/>
      <c r="II65" s="3"/>
      <c r="IJ65" s="3"/>
      <c r="IK65" s="3"/>
      <c r="IL65" s="3"/>
      <c r="IM65" s="3"/>
      <c r="IN65" s="3"/>
      <c r="IO65" s="3"/>
      <c r="IP65" s="3"/>
      <c r="IQ65" s="3"/>
      <c r="IR65" s="3"/>
      <c r="IS65" s="3"/>
      <c r="IT65" s="3"/>
      <c r="IU65" s="3"/>
      <c r="IV65" s="3"/>
      <c r="IW65" s="3"/>
    </row>
    <row r="66" customFormat="false" ht="13.5" hidden="false" customHeight="false" outlineLevel="0" collapsed="false">
      <c r="A66" s="23"/>
      <c r="B66" s="25" t="s">
        <v>182</v>
      </c>
      <c r="C66" s="25"/>
      <c r="D66" s="22"/>
      <c r="E66" s="182"/>
      <c r="F66" s="218"/>
      <c r="G66" s="59"/>
      <c r="H66" s="233" t="n">
        <f aca="false">P57/12</f>
        <v>0.333333333333333</v>
      </c>
      <c r="I66" s="234" t="s">
        <v>183</v>
      </c>
      <c r="J66" s="235"/>
      <c r="K66" s="234"/>
      <c r="L66" s="236"/>
      <c r="M66" s="236"/>
      <c r="N66" s="236"/>
      <c r="O66" s="237"/>
      <c r="P66" s="238"/>
      <c r="Q66" s="238"/>
      <c r="R66" s="238"/>
      <c r="S66" s="239"/>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c r="FW66" s="3"/>
      <c r="FX66" s="3"/>
      <c r="FY66" s="3"/>
      <c r="FZ66" s="3"/>
      <c r="GA66" s="3"/>
      <c r="GB66" s="3"/>
      <c r="GC66" s="3"/>
      <c r="GD66" s="3"/>
      <c r="GE66" s="3"/>
      <c r="GF66" s="3"/>
      <c r="GG66" s="3"/>
      <c r="GH66" s="3"/>
      <c r="GI66" s="3"/>
      <c r="GJ66" s="3"/>
      <c r="GK66" s="3"/>
      <c r="GL66" s="3"/>
      <c r="GM66" s="3"/>
      <c r="GN66" s="3"/>
      <c r="GO66" s="3"/>
      <c r="GP66" s="3"/>
      <c r="GQ66" s="3"/>
      <c r="GR66" s="3"/>
      <c r="GS66" s="3"/>
      <c r="GT66" s="3"/>
      <c r="GU66" s="3"/>
      <c r="GV66" s="3"/>
      <c r="GW66" s="3"/>
      <c r="GX66" s="3"/>
      <c r="GY66" s="3"/>
      <c r="GZ66" s="3"/>
      <c r="HA66" s="3"/>
      <c r="HB66" s="3"/>
      <c r="HC66" s="3"/>
      <c r="HD66" s="3"/>
      <c r="HE66" s="3"/>
      <c r="HF66" s="3"/>
      <c r="HG66" s="3"/>
      <c r="HH66" s="3"/>
      <c r="HI66" s="3"/>
      <c r="HJ66" s="3"/>
      <c r="HK66" s="3"/>
      <c r="HL66" s="3"/>
      <c r="HM66" s="3"/>
      <c r="HN66" s="3"/>
      <c r="HO66" s="3"/>
      <c r="HP66" s="3"/>
      <c r="HQ66" s="3"/>
      <c r="HR66" s="3"/>
      <c r="HS66" s="3"/>
      <c r="HT66" s="3"/>
      <c r="HU66" s="3"/>
      <c r="HV66" s="3"/>
      <c r="HW66" s="3"/>
      <c r="HX66" s="3"/>
      <c r="HY66" s="3"/>
      <c r="HZ66" s="3"/>
      <c r="IA66" s="3"/>
      <c r="IB66" s="3"/>
      <c r="IC66" s="3"/>
      <c r="ID66" s="3"/>
      <c r="IE66" s="3"/>
      <c r="IF66" s="3"/>
      <c r="IG66" s="3"/>
      <c r="IH66" s="3"/>
      <c r="II66" s="3"/>
      <c r="IJ66" s="3"/>
      <c r="IK66" s="3"/>
      <c r="IL66" s="3"/>
      <c r="IM66" s="3"/>
      <c r="IN66" s="3"/>
      <c r="IO66" s="3"/>
      <c r="IP66" s="3"/>
      <c r="IQ66" s="3"/>
      <c r="IR66" s="3"/>
      <c r="IS66" s="3"/>
      <c r="IT66" s="3"/>
      <c r="IU66" s="3"/>
      <c r="IV66" s="3"/>
      <c r="IW66" s="3"/>
    </row>
    <row r="67" customFormat="false" ht="12.75" hidden="false" customHeight="false" outlineLevel="0" collapsed="false">
      <c r="A67" s="227"/>
      <c r="B67" s="240" t="s">
        <v>184</v>
      </c>
      <c r="C67" s="60"/>
      <c r="D67" s="124"/>
      <c r="E67" s="89"/>
      <c r="F67" s="241" t="n">
        <v>1300</v>
      </c>
      <c r="G67" s="242" t="s">
        <v>185</v>
      </c>
      <c r="M67" s="22"/>
      <c r="N67" s="22"/>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c r="DK67" s="114"/>
      <c r="DL67" s="114"/>
      <c r="DM67" s="114"/>
      <c r="DN67" s="114"/>
      <c r="DO67" s="114"/>
      <c r="DP67" s="114"/>
      <c r="DQ67" s="114"/>
      <c r="DR67" s="114"/>
      <c r="DS67" s="114"/>
      <c r="DT67" s="114"/>
      <c r="DU67" s="114"/>
      <c r="DV67" s="114"/>
      <c r="DW67" s="114"/>
      <c r="DX67" s="114"/>
      <c r="DY67" s="114"/>
      <c r="DZ67" s="114"/>
      <c r="EA67" s="114"/>
      <c r="EB67" s="114"/>
      <c r="EC67" s="114"/>
      <c r="ED67" s="114"/>
      <c r="EE67" s="114"/>
      <c r="EF67" s="114"/>
      <c r="EG67" s="114"/>
      <c r="EH67" s="114"/>
      <c r="EI67" s="114"/>
      <c r="EJ67" s="114"/>
      <c r="EK67" s="114"/>
      <c r="EL67" s="114"/>
    </row>
    <row r="68" customFormat="false" ht="12.75" hidden="false" customHeight="false" outlineLevel="0" collapsed="false">
      <c r="A68" s="227"/>
      <c r="B68" s="240" t="s">
        <v>186</v>
      </c>
      <c r="C68" s="60"/>
      <c r="D68" s="124"/>
      <c r="E68" s="89"/>
      <c r="F68" s="241" t="n">
        <v>100</v>
      </c>
      <c r="G68" s="242" t="s">
        <v>185</v>
      </c>
      <c r="M68" s="22"/>
      <c r="N68" s="22"/>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c r="DK68" s="114"/>
      <c r="DL68" s="114"/>
      <c r="DM68" s="114"/>
      <c r="DN68" s="114"/>
      <c r="DO68" s="114"/>
      <c r="DP68" s="114"/>
      <c r="DQ68" s="114"/>
      <c r="DR68" s="114"/>
      <c r="DS68" s="114"/>
      <c r="DT68" s="114"/>
      <c r="DU68" s="114"/>
      <c r="DV68" s="114"/>
      <c r="DW68" s="114"/>
      <c r="DX68" s="114"/>
      <c r="DY68" s="114"/>
      <c r="DZ68" s="114"/>
      <c r="EA68" s="114"/>
      <c r="EB68" s="114"/>
      <c r="EC68" s="114"/>
      <c r="ED68" s="114"/>
      <c r="EE68" s="114"/>
      <c r="EF68" s="114"/>
      <c r="EG68" s="114"/>
      <c r="EH68" s="114"/>
      <c r="EI68" s="114"/>
      <c r="EJ68" s="114"/>
      <c r="EK68" s="114"/>
      <c r="EL68" s="114"/>
    </row>
    <row r="69" customFormat="false" ht="12.75" hidden="false" customHeight="false" outlineLevel="0" collapsed="false">
      <c r="A69" s="227"/>
      <c r="B69" s="240" t="s">
        <v>187</v>
      </c>
      <c r="C69" s="60"/>
      <c r="D69" s="124"/>
      <c r="E69" s="89"/>
      <c r="F69" s="241" t="n">
        <v>40</v>
      </c>
      <c r="G69" s="242" t="s">
        <v>185</v>
      </c>
      <c r="H69" s="243" t="s">
        <v>188</v>
      </c>
      <c r="M69" s="3"/>
      <c r="N69" s="3"/>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c r="DK69" s="114"/>
      <c r="DL69" s="114"/>
      <c r="DM69" s="114"/>
      <c r="DN69" s="114"/>
      <c r="DO69" s="114"/>
      <c r="DP69" s="114"/>
      <c r="DQ69" s="114"/>
      <c r="DR69" s="114"/>
      <c r="DS69" s="114"/>
      <c r="DT69" s="114"/>
      <c r="DU69" s="114"/>
      <c r="DV69" s="114"/>
      <c r="DW69" s="114"/>
      <c r="DX69" s="114"/>
      <c r="DY69" s="114"/>
      <c r="DZ69" s="114"/>
      <c r="EA69" s="114"/>
      <c r="EB69" s="114"/>
      <c r="EC69" s="114"/>
      <c r="ED69" s="114"/>
      <c r="EE69" s="114"/>
      <c r="EF69" s="114"/>
      <c r="EG69" s="114"/>
      <c r="EH69" s="114"/>
      <c r="EI69" s="114"/>
      <c r="EJ69" s="114"/>
      <c r="EK69" s="114"/>
      <c r="EL69" s="114"/>
    </row>
    <row r="70" customFormat="false" ht="12.75" hidden="false" customHeight="false" outlineLevel="0" collapsed="false">
      <c r="A70" s="227"/>
      <c r="B70" s="240" t="s">
        <v>189</v>
      </c>
      <c r="C70" s="60"/>
      <c r="D70" s="124"/>
      <c r="E70" s="89"/>
      <c r="F70" s="241" t="n">
        <v>25</v>
      </c>
      <c r="G70" s="59" t="s">
        <v>190</v>
      </c>
      <c r="H70" s="243" t="s">
        <v>191</v>
      </c>
      <c r="M70" s="100"/>
      <c r="N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c r="DK70" s="114"/>
      <c r="DL70" s="114"/>
      <c r="DM70" s="114"/>
      <c r="DN70" s="114"/>
      <c r="DO70" s="114"/>
      <c r="DP70" s="114"/>
      <c r="DQ70" s="114"/>
      <c r="DR70" s="114"/>
      <c r="DS70" s="114"/>
      <c r="DT70" s="114"/>
      <c r="DU70" s="114"/>
      <c r="DV70" s="114"/>
      <c r="DW70" s="114"/>
      <c r="DX70" s="114"/>
      <c r="DY70" s="114"/>
      <c r="DZ70" s="114"/>
      <c r="EA70" s="114"/>
      <c r="EB70" s="114"/>
      <c r="EC70" s="114"/>
      <c r="ED70" s="114"/>
      <c r="EE70" s="114"/>
      <c r="EF70" s="114"/>
      <c r="EG70" s="114"/>
      <c r="EH70" s="114"/>
      <c r="EI70" s="114"/>
      <c r="EJ70" s="114"/>
      <c r="EK70" s="114"/>
      <c r="EL70" s="114"/>
    </row>
    <row r="71" customFormat="false" ht="12.75" hidden="false" customHeight="false" outlineLevel="0" collapsed="false">
      <c r="A71" s="227"/>
      <c r="B71" s="240" t="s">
        <v>192</v>
      </c>
      <c r="C71" s="60"/>
      <c r="D71" s="124"/>
      <c r="E71" s="89"/>
      <c r="F71" s="244" t="n">
        <f aca="false">IF(100+IF($F$31&gt;15,5*($F$31-15),0)&gt;665,665,100+IF($F$31&gt;15,5*($F$31-15),0))</f>
        <v>197.5</v>
      </c>
      <c r="G71" s="59" t="s">
        <v>190</v>
      </c>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c r="DK71" s="114"/>
      <c r="DL71" s="114"/>
      <c r="DM71" s="114"/>
      <c r="DN71" s="114"/>
      <c r="DO71" s="114"/>
      <c r="DP71" s="114"/>
      <c r="DQ71" s="114"/>
      <c r="DR71" s="114"/>
      <c r="DS71" s="114"/>
      <c r="DT71" s="114"/>
      <c r="DU71" s="114"/>
      <c r="DV71" s="114"/>
      <c r="DW71" s="114"/>
      <c r="DX71" s="114"/>
      <c r="DY71" s="114"/>
      <c r="DZ71" s="114"/>
      <c r="EA71" s="114"/>
      <c r="EB71" s="114"/>
      <c r="EC71" s="114"/>
      <c r="ED71" s="114"/>
      <c r="EE71" s="114"/>
      <c r="EF71" s="114"/>
      <c r="EG71" s="114"/>
      <c r="EH71" s="114"/>
      <c r="EI71" s="114"/>
      <c r="EJ71" s="114"/>
      <c r="EK71" s="114"/>
      <c r="EL71" s="114"/>
    </row>
    <row r="72" customFormat="false" ht="12.75" hidden="false" customHeight="false" outlineLevel="0" collapsed="false">
      <c r="A72" s="227"/>
      <c r="B72" s="240" t="s">
        <v>193</v>
      </c>
      <c r="C72" s="60"/>
      <c r="D72" s="124"/>
      <c r="E72" s="89"/>
      <c r="F72" s="245" t="n">
        <v>1500</v>
      </c>
      <c r="G72" s="59" t="s">
        <v>154</v>
      </c>
      <c r="H72" s="1" t="s">
        <v>194</v>
      </c>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c r="DK72" s="114"/>
      <c r="DL72" s="114"/>
      <c r="DM72" s="114"/>
      <c r="DN72" s="114"/>
      <c r="DO72" s="114"/>
      <c r="DP72" s="114"/>
      <c r="DQ72" s="114"/>
      <c r="DR72" s="114"/>
      <c r="DS72" s="114"/>
      <c r="DT72" s="114"/>
      <c r="DU72" s="114"/>
      <c r="DV72" s="114"/>
      <c r="DW72" s="114"/>
      <c r="DX72" s="114"/>
      <c r="DY72" s="114"/>
      <c r="DZ72" s="114"/>
      <c r="EA72" s="114"/>
      <c r="EB72" s="114"/>
      <c r="EC72" s="114"/>
      <c r="ED72" s="114"/>
      <c r="EE72" s="114"/>
      <c r="EF72" s="114"/>
      <c r="EG72" s="114"/>
      <c r="EH72" s="114"/>
      <c r="EI72" s="114"/>
      <c r="EJ72" s="114"/>
      <c r="EK72" s="114"/>
      <c r="EL72" s="114"/>
    </row>
    <row r="73" customFormat="false" ht="12.75" hidden="false" customHeight="false" outlineLevel="0" collapsed="false">
      <c r="A73" s="227"/>
      <c r="B73" s="223" t="s">
        <v>195</v>
      </c>
      <c r="C73" s="74"/>
      <c r="D73" s="111"/>
      <c r="E73" s="89"/>
      <c r="F73" s="241" t="n">
        <v>0</v>
      </c>
      <c r="G73" s="242" t="s">
        <v>185</v>
      </c>
      <c r="N73" s="49"/>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114"/>
      <c r="AY73" s="114"/>
      <c r="AZ73" s="114"/>
      <c r="BA73" s="114"/>
      <c r="BB73" s="114"/>
      <c r="BC73" s="114"/>
      <c r="BD73" s="114"/>
      <c r="BE73" s="114"/>
      <c r="BF73" s="114"/>
      <c r="BG73" s="114"/>
      <c r="BH73" s="114"/>
      <c r="BI73" s="114"/>
      <c r="BJ73" s="114"/>
      <c r="BK73" s="114"/>
      <c r="BL73" s="114"/>
      <c r="BM73" s="114"/>
      <c r="BN73" s="114"/>
      <c r="BO73" s="114"/>
      <c r="BP73" s="114"/>
      <c r="BQ73" s="114"/>
      <c r="BR73" s="114"/>
      <c r="BS73" s="114"/>
      <c r="BT73" s="114"/>
      <c r="BU73" s="114"/>
      <c r="BV73" s="114"/>
      <c r="BW73" s="114"/>
      <c r="BX73" s="114"/>
      <c r="BY73" s="114"/>
      <c r="BZ73" s="114"/>
      <c r="CA73" s="114"/>
      <c r="CB73" s="114"/>
      <c r="CC73" s="114"/>
      <c r="CD73" s="114"/>
      <c r="CE73" s="114"/>
      <c r="CF73" s="114"/>
      <c r="CG73" s="114"/>
      <c r="CH73" s="114"/>
      <c r="CI73" s="114"/>
      <c r="CJ73" s="114"/>
      <c r="CK73" s="114"/>
      <c r="CL73" s="114"/>
      <c r="CM73" s="114"/>
      <c r="CN73" s="114"/>
      <c r="CO73" s="114"/>
      <c r="CP73" s="114"/>
      <c r="CQ73" s="114"/>
      <c r="CR73" s="114"/>
      <c r="CS73" s="114"/>
      <c r="CT73" s="114"/>
      <c r="CU73" s="114"/>
      <c r="CV73" s="114"/>
      <c r="CW73" s="114"/>
      <c r="CX73" s="114"/>
      <c r="CY73" s="114"/>
      <c r="CZ73" s="114"/>
      <c r="DA73" s="114"/>
      <c r="DB73" s="114"/>
      <c r="DC73" s="114"/>
      <c r="DD73" s="114"/>
      <c r="DE73" s="114"/>
      <c r="DF73" s="114"/>
      <c r="DG73" s="114"/>
      <c r="DH73" s="114"/>
      <c r="DI73" s="114"/>
      <c r="DJ73" s="114"/>
      <c r="DK73" s="114"/>
      <c r="DL73" s="114"/>
      <c r="DM73" s="114"/>
      <c r="DN73" s="114"/>
      <c r="DO73" s="114"/>
      <c r="DP73" s="114"/>
      <c r="DQ73" s="114"/>
      <c r="DR73" s="114"/>
      <c r="DS73" s="114"/>
      <c r="DT73" s="114"/>
      <c r="DU73" s="114"/>
      <c r="DV73" s="114"/>
      <c r="DW73" s="114"/>
      <c r="DX73" s="114"/>
      <c r="DY73" s="114"/>
      <c r="DZ73" s="114"/>
      <c r="EA73" s="114"/>
      <c r="EB73" s="114"/>
      <c r="EC73" s="114"/>
      <c r="ED73" s="114"/>
      <c r="EE73" s="114"/>
      <c r="EF73" s="114"/>
      <c r="EG73" s="114"/>
      <c r="EH73" s="114"/>
      <c r="EI73" s="114"/>
      <c r="EJ73" s="114"/>
      <c r="EK73" s="114"/>
      <c r="EL73" s="114"/>
    </row>
    <row r="74" customFormat="false" ht="12.75" hidden="false" customHeight="false" outlineLevel="0" collapsed="false">
      <c r="A74" s="227"/>
      <c r="B74" s="223" t="s">
        <v>196</v>
      </c>
      <c r="C74" s="74"/>
      <c r="D74" s="111"/>
      <c r="E74" s="89"/>
      <c r="F74" s="241" t="n">
        <v>0</v>
      </c>
      <c r="G74" s="59" t="s">
        <v>154</v>
      </c>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c r="DK74" s="114"/>
      <c r="DL74" s="114"/>
      <c r="DM74" s="114"/>
      <c r="DN74" s="114"/>
      <c r="DO74" s="114"/>
      <c r="DP74" s="114"/>
      <c r="DQ74" s="114"/>
      <c r="DR74" s="114"/>
      <c r="DS74" s="114"/>
      <c r="DT74" s="114"/>
      <c r="DU74" s="114"/>
      <c r="DV74" s="114"/>
      <c r="DW74" s="114"/>
      <c r="DX74" s="114"/>
      <c r="DY74" s="114"/>
      <c r="DZ74" s="114"/>
      <c r="EA74" s="114"/>
      <c r="EB74" s="114"/>
      <c r="EC74" s="114"/>
      <c r="ED74" s="114"/>
      <c r="EE74" s="114"/>
      <c r="EF74" s="114"/>
      <c r="EG74" s="114"/>
      <c r="EH74" s="114"/>
      <c r="EI74" s="114"/>
      <c r="EJ74" s="114"/>
      <c r="EK74" s="114"/>
      <c r="EL74" s="114"/>
    </row>
    <row r="75" customFormat="false" ht="12.75" hidden="false" customHeight="false" outlineLevel="0" collapsed="false">
      <c r="A75" s="227"/>
      <c r="B75" s="223" t="s">
        <v>197</v>
      </c>
      <c r="C75" s="78" t="n">
        <v>26000</v>
      </c>
      <c r="D75" s="246" t="n">
        <v>0.02</v>
      </c>
      <c r="E75" s="89" t="s">
        <v>198</v>
      </c>
      <c r="F75" s="241" t="n">
        <f aca="false">C75*D75</f>
        <v>520</v>
      </c>
      <c r="G75" s="59" t="s">
        <v>198</v>
      </c>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c r="DK75" s="114"/>
      <c r="DL75" s="114"/>
      <c r="DM75" s="114"/>
      <c r="DN75" s="114"/>
      <c r="DO75" s="114"/>
      <c r="DP75" s="114"/>
      <c r="DQ75" s="114"/>
      <c r="DR75" s="114"/>
      <c r="DS75" s="114"/>
      <c r="DT75" s="114"/>
      <c r="DU75" s="114"/>
      <c r="DV75" s="114"/>
      <c r="DW75" s="114"/>
      <c r="DX75" s="114"/>
      <c r="DY75" s="114"/>
      <c r="DZ75" s="114"/>
      <c r="EA75" s="114"/>
      <c r="EB75" s="114"/>
      <c r="EC75" s="114"/>
      <c r="ED75" s="114"/>
      <c r="EE75" s="114"/>
      <c r="EF75" s="114"/>
      <c r="EG75" s="114"/>
      <c r="EH75" s="114"/>
      <c r="EI75" s="114"/>
      <c r="EJ75" s="114"/>
      <c r="EK75" s="114"/>
      <c r="EL75" s="114"/>
    </row>
    <row r="76" customFormat="false" ht="12.75" hidden="false" customHeight="false" outlineLevel="0" collapsed="false">
      <c r="A76" s="227"/>
      <c r="B76" s="223" t="s">
        <v>199</v>
      </c>
      <c r="C76" s="74"/>
      <c r="D76" s="111"/>
      <c r="E76" s="89"/>
      <c r="F76" s="241" t="n">
        <v>0</v>
      </c>
      <c r="G76" s="59" t="s">
        <v>154</v>
      </c>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c r="DK76" s="114"/>
      <c r="DL76" s="114"/>
      <c r="DM76" s="114"/>
      <c r="DN76" s="114"/>
      <c r="DO76" s="114"/>
      <c r="DP76" s="114"/>
      <c r="DQ76" s="114"/>
      <c r="DR76" s="114"/>
      <c r="DS76" s="114"/>
      <c r="DT76" s="114"/>
      <c r="DU76" s="114"/>
      <c r="DV76" s="114"/>
      <c r="DW76" s="114"/>
      <c r="DX76" s="114"/>
      <c r="DY76" s="114"/>
      <c r="DZ76" s="114"/>
      <c r="EA76" s="114"/>
      <c r="EB76" s="114"/>
      <c r="EC76" s="114"/>
      <c r="ED76" s="114"/>
      <c r="EE76" s="114"/>
      <c r="EF76" s="114"/>
      <c r="EG76" s="114"/>
      <c r="EH76" s="114"/>
      <c r="EI76" s="114"/>
      <c r="EJ76" s="114"/>
      <c r="EK76" s="114"/>
      <c r="EL76" s="114"/>
    </row>
    <row r="77" customFormat="false" ht="12.75" hidden="false" customHeight="false" outlineLevel="0" collapsed="false">
      <c r="A77" s="227"/>
      <c r="B77" s="240" t="s">
        <v>200</v>
      </c>
      <c r="C77" s="82"/>
      <c r="D77" s="124"/>
      <c r="E77" s="89"/>
      <c r="F77" s="244" t="n">
        <f aca="false">IF(5*$F$31&gt;640,640,5*$F$31)</f>
        <v>172.5</v>
      </c>
      <c r="G77" s="59" t="s">
        <v>190</v>
      </c>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c r="DK77" s="114"/>
      <c r="DL77" s="114"/>
      <c r="DM77" s="114"/>
      <c r="DN77" s="114"/>
      <c r="DO77" s="114"/>
      <c r="DP77" s="114"/>
      <c r="DQ77" s="114"/>
      <c r="DR77" s="114"/>
      <c r="DS77" s="114"/>
      <c r="DT77" s="114"/>
      <c r="DU77" s="114"/>
      <c r="DV77" s="114"/>
      <c r="DW77" s="114"/>
      <c r="DX77" s="114"/>
      <c r="DY77" s="114"/>
      <c r="DZ77" s="114"/>
      <c r="EA77" s="114"/>
      <c r="EB77" s="114"/>
      <c r="EC77" s="114"/>
      <c r="ED77" s="114"/>
      <c r="EE77" s="114"/>
      <c r="EF77" s="114"/>
      <c r="EG77" s="114"/>
      <c r="EH77" s="114"/>
      <c r="EI77" s="114"/>
      <c r="EJ77" s="114"/>
      <c r="EK77" s="114"/>
      <c r="EL77" s="114"/>
    </row>
    <row r="78" customFormat="false" ht="12.75" hidden="false" customHeight="false" outlineLevel="0" collapsed="false">
      <c r="A78" s="124"/>
      <c r="B78" s="228" t="s">
        <v>201</v>
      </c>
      <c r="C78" s="247" t="n">
        <f aca="false">Assum!E230</f>
        <v>12580.9312927461</v>
      </c>
      <c r="D78" s="246" t="n">
        <v>0.015</v>
      </c>
      <c r="E78" s="89" t="s">
        <v>198</v>
      </c>
      <c r="F78" s="248" t="n">
        <f aca="false">D78*C78</f>
        <v>188.713969391191</v>
      </c>
      <c r="G78" s="242" t="s">
        <v>185</v>
      </c>
      <c r="H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c r="DK78" s="114"/>
      <c r="DL78" s="114"/>
      <c r="DM78" s="114"/>
      <c r="DN78" s="114"/>
      <c r="DO78" s="114"/>
      <c r="DP78" s="114"/>
      <c r="DQ78" s="114"/>
      <c r="DR78" s="114"/>
      <c r="DS78" s="114"/>
      <c r="DT78" s="114"/>
      <c r="DU78" s="114"/>
      <c r="DV78" s="114"/>
      <c r="DW78" s="114"/>
      <c r="DX78" s="114"/>
      <c r="DY78" s="114"/>
      <c r="DZ78" s="114"/>
      <c r="EA78" s="114"/>
      <c r="EB78" s="114"/>
      <c r="EC78" s="114"/>
      <c r="ED78" s="114"/>
      <c r="EE78" s="114"/>
      <c r="EF78" s="114"/>
      <c r="EG78" s="114"/>
      <c r="EH78" s="114"/>
      <c r="EI78" s="114"/>
      <c r="EJ78" s="114"/>
      <c r="EK78" s="114"/>
      <c r="EL78" s="114"/>
    </row>
    <row r="79" customFormat="false" ht="12.75" hidden="false" customHeight="false" outlineLevel="0" collapsed="false">
      <c r="A79" s="124"/>
      <c r="B79" s="228" t="s">
        <v>202</v>
      </c>
      <c r="C79" s="247" t="n">
        <f aca="false">C274</f>
        <v>0</v>
      </c>
      <c r="D79" s="246" t="n">
        <v>0.02</v>
      </c>
      <c r="E79" s="89"/>
      <c r="F79" s="248" t="n">
        <f aca="false">D79*C79</f>
        <v>0</v>
      </c>
      <c r="G79" s="59" t="s">
        <v>185</v>
      </c>
      <c r="H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c r="DK79" s="114"/>
      <c r="DL79" s="114"/>
      <c r="DM79" s="114"/>
      <c r="DN79" s="114"/>
      <c r="DO79" s="114"/>
      <c r="DP79" s="114"/>
      <c r="DQ79" s="114"/>
      <c r="DR79" s="114"/>
      <c r="DS79" s="114"/>
      <c r="DT79" s="114"/>
      <c r="DU79" s="114"/>
      <c r="DV79" s="114"/>
      <c r="DW79" s="114"/>
      <c r="DX79" s="114"/>
      <c r="DY79" s="114"/>
      <c r="DZ79" s="114"/>
      <c r="EA79" s="114"/>
      <c r="EB79" s="114"/>
      <c r="EC79" s="114"/>
      <c r="ED79" s="114"/>
      <c r="EE79" s="114"/>
      <c r="EF79" s="114"/>
      <c r="EG79" s="114"/>
      <c r="EH79" s="114"/>
      <c r="EI79" s="114"/>
      <c r="EJ79" s="114"/>
      <c r="EK79" s="114"/>
      <c r="EL79" s="114"/>
    </row>
    <row r="80" customFormat="false" ht="13.5" hidden="false" customHeight="false" outlineLevel="0" collapsed="false">
      <c r="A80" s="124"/>
      <c r="B80" s="196" t="s">
        <v>203</v>
      </c>
      <c r="C80" s="25"/>
      <c r="D80" s="111"/>
      <c r="E80" s="83" t="n">
        <f aca="false">F80/$F$30</f>
        <v>175.813650843095</v>
      </c>
      <c r="F80" s="249" t="n">
        <f aca="false">SUM(F67:F79)</f>
        <v>4043.71396939119</v>
      </c>
      <c r="H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c r="DK80" s="114"/>
      <c r="DL80" s="114"/>
      <c r="DM80" s="114"/>
      <c r="DN80" s="114"/>
      <c r="DO80" s="114"/>
      <c r="DP80" s="114"/>
      <c r="DQ80" s="114"/>
      <c r="DR80" s="114"/>
      <c r="DS80" s="114"/>
      <c r="DT80" s="114"/>
      <c r="DU80" s="114"/>
      <c r="DV80" s="114"/>
      <c r="DW80" s="114"/>
      <c r="DX80" s="114"/>
      <c r="DY80" s="114"/>
      <c r="DZ80" s="114"/>
      <c r="EA80" s="114"/>
      <c r="EB80" s="114"/>
      <c r="EC80" s="114"/>
      <c r="ED80" s="114"/>
      <c r="EE80" s="114"/>
      <c r="EF80" s="114"/>
      <c r="EG80" s="114"/>
      <c r="EH80" s="114"/>
      <c r="EI80" s="114"/>
      <c r="EJ80" s="114"/>
      <c r="EK80" s="114"/>
      <c r="EL80" s="114"/>
    </row>
    <row r="81" customFormat="false" ht="13.5" hidden="false" customHeight="false" outlineLevel="0" collapsed="false">
      <c r="A81" s="124"/>
      <c r="C81" s="1"/>
      <c r="H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c r="DK81" s="114"/>
      <c r="DL81" s="114"/>
      <c r="DM81" s="114"/>
      <c r="DN81" s="114"/>
      <c r="DO81" s="114"/>
      <c r="DP81" s="114"/>
      <c r="DQ81" s="114"/>
      <c r="DR81" s="114"/>
      <c r="DS81" s="114"/>
      <c r="DT81" s="114"/>
      <c r="DU81" s="114"/>
      <c r="DV81" s="114"/>
      <c r="DW81" s="114"/>
      <c r="DX81" s="114"/>
      <c r="DY81" s="114"/>
      <c r="DZ81" s="114"/>
      <c r="EA81" s="114"/>
      <c r="EB81" s="114"/>
      <c r="EC81" s="114"/>
      <c r="ED81" s="114"/>
      <c r="EE81" s="114"/>
      <c r="EF81" s="114"/>
      <c r="EG81" s="114"/>
      <c r="EH81" s="114"/>
      <c r="EI81" s="114"/>
      <c r="EJ81" s="114"/>
      <c r="EK81" s="114"/>
      <c r="EL81" s="114"/>
    </row>
    <row r="82" customFormat="false" ht="13.5" hidden="false" customHeight="false" outlineLevel="0" collapsed="false">
      <c r="A82" s="124"/>
      <c r="B82" s="196" t="s">
        <v>204</v>
      </c>
      <c r="C82" s="22"/>
      <c r="D82" s="111"/>
      <c r="E82" s="250" t="n">
        <f aca="false">F82/$F$30</f>
        <v>1698.98869253545</v>
      </c>
      <c r="F82" s="251" t="n">
        <f aca="false">zcell10+F55+F63+F80</f>
        <v>39076.7399283153</v>
      </c>
      <c r="G82" s="252" t="s">
        <v>205</v>
      </c>
      <c r="H82" s="253" t="n">
        <f aca="false">Srcs_Uses!E33</f>
        <v>39076.7399283153</v>
      </c>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c r="DK82" s="114"/>
      <c r="DL82" s="114"/>
      <c r="DM82" s="114"/>
      <c r="DN82" s="114"/>
      <c r="DO82" s="114"/>
      <c r="DP82" s="114"/>
      <c r="DQ82" s="114"/>
      <c r="DR82" s="114"/>
      <c r="DS82" s="114"/>
      <c r="DT82" s="114"/>
      <c r="DU82" s="114"/>
      <c r="DV82" s="114"/>
      <c r="DW82" s="114"/>
      <c r="DX82" s="114"/>
      <c r="DY82" s="114"/>
      <c r="DZ82" s="114"/>
      <c r="EA82" s="114"/>
      <c r="EB82" s="114"/>
      <c r="EC82" s="114"/>
      <c r="ED82" s="114"/>
      <c r="EE82" s="114"/>
      <c r="EF82" s="114"/>
      <c r="EG82" s="114"/>
      <c r="EH82" s="114"/>
      <c r="EI82" s="114"/>
      <c r="EJ82" s="114"/>
      <c r="EK82" s="114"/>
      <c r="EL82" s="114"/>
    </row>
    <row r="83" customFormat="false" ht="12.75" hidden="false" customHeight="false" outlineLevel="0" collapsed="false">
      <c r="A83" s="124"/>
      <c r="C83" s="1"/>
      <c r="G83" s="124"/>
      <c r="H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c r="DK83" s="114"/>
      <c r="DL83" s="114"/>
      <c r="DM83" s="114"/>
      <c r="DN83" s="114"/>
      <c r="DO83" s="114"/>
      <c r="DP83" s="114"/>
      <c r="DQ83" s="114"/>
      <c r="DR83" s="114"/>
      <c r="DS83" s="114"/>
      <c r="DT83" s="114"/>
      <c r="DU83" s="114"/>
      <c r="DV83" s="114"/>
      <c r="DW83" s="114"/>
      <c r="DX83" s="114"/>
      <c r="DY83" s="114"/>
      <c r="DZ83" s="114"/>
      <c r="EA83" s="114"/>
      <c r="EB83" s="114"/>
      <c r="EC83" s="114"/>
      <c r="ED83" s="114"/>
      <c r="EE83" s="114"/>
      <c r="EF83" s="114"/>
      <c r="EG83" s="114"/>
      <c r="EH83" s="114"/>
      <c r="EI83" s="114"/>
      <c r="EJ83" s="114"/>
      <c r="EK83" s="114"/>
      <c r="EL83" s="114"/>
    </row>
    <row r="84" customFormat="false" ht="12.75" hidden="false" customHeight="false" outlineLevel="0" collapsed="false">
      <c r="A84" s="124"/>
      <c r="C84" s="1"/>
      <c r="G84" s="124"/>
      <c r="H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c r="DK84" s="114"/>
      <c r="DL84" s="114"/>
      <c r="DM84" s="114"/>
      <c r="DN84" s="114"/>
      <c r="DO84" s="114"/>
      <c r="DP84" s="114"/>
      <c r="DQ84" s="114"/>
      <c r="DR84" s="114"/>
      <c r="DS84" s="114"/>
      <c r="DT84" s="114"/>
      <c r="DU84" s="114"/>
      <c r="DV84" s="114"/>
      <c r="DW84" s="114"/>
      <c r="DX84" s="114"/>
      <c r="DY84" s="114"/>
      <c r="DZ84" s="114"/>
      <c r="EA84" s="114"/>
      <c r="EB84" s="114"/>
      <c r="EC84" s="114"/>
      <c r="ED84" s="114"/>
      <c r="EE84" s="114"/>
      <c r="EF84" s="114"/>
      <c r="EG84" s="114"/>
      <c r="EH84" s="114"/>
      <c r="EI84" s="114"/>
      <c r="EJ84" s="114"/>
      <c r="EK84" s="114"/>
      <c r="EL84" s="114"/>
    </row>
    <row r="85" customFormat="false" ht="12.75" hidden="false" customHeight="false" outlineLevel="0" collapsed="false">
      <c r="C85" s="155"/>
      <c r="D85" s="111"/>
      <c r="E85" s="111"/>
      <c r="F85" s="124"/>
      <c r="G85" s="124"/>
      <c r="H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4"/>
      <c r="BR85" s="114"/>
      <c r="BS85" s="114"/>
      <c r="BT85" s="114"/>
      <c r="BU85" s="114"/>
      <c r="BV85" s="114"/>
      <c r="BW85" s="114"/>
      <c r="BX85" s="114"/>
      <c r="BY85" s="114"/>
      <c r="BZ85" s="114"/>
      <c r="CA85" s="114"/>
      <c r="CB85" s="114"/>
      <c r="CC85" s="114"/>
      <c r="CD85" s="114"/>
      <c r="CE85" s="114"/>
      <c r="CF85" s="114"/>
      <c r="CG85" s="114"/>
      <c r="CH85" s="114"/>
      <c r="CI85" s="114"/>
      <c r="CJ85" s="114"/>
      <c r="CK85" s="114"/>
      <c r="CL85" s="114"/>
      <c r="CM85" s="114"/>
      <c r="CN85" s="114"/>
      <c r="CO85" s="114"/>
      <c r="CP85" s="114"/>
      <c r="CQ85" s="114"/>
      <c r="CR85" s="114"/>
      <c r="CS85" s="114"/>
      <c r="CT85" s="114"/>
      <c r="CU85" s="114"/>
      <c r="CV85" s="114"/>
      <c r="CW85" s="114"/>
      <c r="CX85" s="114"/>
      <c r="CY85" s="114"/>
      <c r="CZ85" s="114"/>
      <c r="DA85" s="114"/>
      <c r="DB85" s="114"/>
      <c r="DC85" s="114"/>
      <c r="DD85" s="114"/>
      <c r="DE85" s="114"/>
      <c r="DF85" s="114"/>
      <c r="DG85" s="114"/>
      <c r="DH85" s="114"/>
      <c r="DI85" s="114"/>
      <c r="DJ85" s="114"/>
      <c r="DK85" s="114"/>
      <c r="DL85" s="114"/>
      <c r="DM85" s="114"/>
      <c r="DN85" s="114"/>
      <c r="DO85" s="114"/>
      <c r="DP85" s="114"/>
      <c r="DQ85" s="114"/>
      <c r="DR85" s="114"/>
      <c r="DS85" s="114"/>
      <c r="DT85" s="114"/>
      <c r="DU85" s="114"/>
      <c r="DV85" s="114"/>
      <c r="DW85" s="114"/>
      <c r="DX85" s="114"/>
      <c r="DY85" s="114"/>
      <c r="DZ85" s="114"/>
      <c r="EA85" s="114"/>
      <c r="EB85" s="114"/>
      <c r="EC85" s="114"/>
      <c r="ED85" s="114"/>
      <c r="EE85" s="114"/>
      <c r="EF85" s="114"/>
      <c r="EG85" s="114"/>
      <c r="EH85" s="114"/>
      <c r="EI85" s="114"/>
      <c r="EJ85" s="114"/>
      <c r="EK85" s="114"/>
      <c r="EL85" s="114"/>
    </row>
    <row r="86" customFormat="false" ht="12.75" hidden="false" customHeight="false" outlineLevel="0" collapsed="false">
      <c r="A86" s="124"/>
      <c r="B86" s="177" t="s">
        <v>206</v>
      </c>
      <c r="C86" s="22"/>
      <c r="D86" s="111"/>
      <c r="E86" s="111"/>
      <c r="F86" s="111"/>
      <c r="G86" s="124"/>
      <c r="H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c r="DK86" s="114"/>
      <c r="DL86" s="114"/>
      <c r="DM86" s="114"/>
      <c r="DN86" s="114"/>
      <c r="DO86" s="114"/>
      <c r="DP86" s="114"/>
      <c r="DQ86" s="114"/>
      <c r="DR86" s="114"/>
      <c r="DS86" s="114"/>
      <c r="DT86" s="114"/>
      <c r="DU86" s="114"/>
      <c r="DV86" s="114"/>
      <c r="DW86" s="114"/>
      <c r="DX86" s="114"/>
      <c r="DY86" s="114"/>
      <c r="DZ86" s="114"/>
      <c r="EA86" s="114"/>
      <c r="EB86" s="114"/>
      <c r="EC86" s="114"/>
      <c r="ED86" s="114"/>
      <c r="EE86" s="114"/>
      <c r="EF86" s="114"/>
      <c r="EG86" s="114"/>
      <c r="EH86" s="114"/>
      <c r="EI86" s="114"/>
      <c r="EJ86" s="114"/>
      <c r="EK86" s="114"/>
      <c r="EL86" s="114"/>
    </row>
    <row r="87" customFormat="false" ht="12.75" hidden="false" customHeight="false" outlineLevel="0" collapsed="false">
      <c r="A87" s="124"/>
      <c r="B87" s="221" t="s">
        <v>207</v>
      </c>
      <c r="C87" s="39"/>
      <c r="E87" s="190" t="n">
        <f aca="false">6061.1*F30</f>
        <v>139405.3</v>
      </c>
      <c r="F87" s="111" t="s">
        <v>208</v>
      </c>
      <c r="G87" s="12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c r="DK87" s="114"/>
      <c r="DL87" s="114"/>
      <c r="DM87" s="114"/>
      <c r="DN87" s="114"/>
      <c r="DO87" s="114"/>
      <c r="DP87" s="114"/>
      <c r="DQ87" s="114"/>
      <c r="DR87" s="114"/>
      <c r="DS87" s="114"/>
      <c r="DT87" s="114"/>
      <c r="DU87" s="114"/>
      <c r="DV87" s="114"/>
      <c r="DW87" s="114"/>
      <c r="DX87" s="114"/>
      <c r="DY87" s="114"/>
      <c r="DZ87" s="114"/>
      <c r="EA87" s="114"/>
      <c r="EB87" s="114"/>
      <c r="EC87" s="114"/>
      <c r="ED87" s="114"/>
      <c r="EE87" s="114"/>
      <c r="EF87" s="114"/>
      <c r="EG87" s="114"/>
      <c r="EH87" s="114"/>
      <c r="EI87" s="114"/>
      <c r="EJ87" s="114"/>
      <c r="EK87" s="114"/>
      <c r="EL87" s="114"/>
    </row>
    <row r="88" customFormat="false" ht="12.75" hidden="false" customHeight="false" outlineLevel="0" collapsed="false">
      <c r="A88" s="124"/>
      <c r="B88" s="221" t="s">
        <v>209</v>
      </c>
      <c r="C88" s="39"/>
      <c r="E88" s="254" t="n">
        <f aca="false">$F$31*8760</f>
        <v>302220</v>
      </c>
      <c r="F88" s="111"/>
      <c r="G88" s="12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c r="DK88" s="114"/>
      <c r="DL88" s="114"/>
      <c r="DM88" s="114"/>
      <c r="DN88" s="114"/>
      <c r="DO88" s="114"/>
      <c r="DP88" s="114"/>
      <c r="DQ88" s="114"/>
      <c r="DR88" s="114"/>
      <c r="DS88" s="114"/>
      <c r="DT88" s="114"/>
      <c r="DU88" s="114"/>
      <c r="DV88" s="114"/>
      <c r="DW88" s="114"/>
      <c r="DX88" s="114"/>
      <c r="DY88" s="114"/>
      <c r="DZ88" s="114"/>
      <c r="EA88" s="114"/>
      <c r="EB88" s="114"/>
      <c r="EC88" s="114"/>
      <c r="ED88" s="114"/>
      <c r="EE88" s="114"/>
      <c r="EF88" s="114"/>
      <c r="EG88" s="114"/>
      <c r="EH88" s="114"/>
      <c r="EI88" s="114"/>
      <c r="EJ88" s="114"/>
      <c r="EK88" s="114"/>
      <c r="EL88" s="114"/>
    </row>
    <row r="89" customFormat="false" ht="12.75" hidden="false" customHeight="false" outlineLevel="0" collapsed="false">
      <c r="A89" s="124"/>
      <c r="B89" s="221" t="s">
        <v>210</v>
      </c>
      <c r="C89" s="39"/>
      <c r="E89" s="255" t="n">
        <f aca="false">E87/E88</f>
        <v>0.461270928462709</v>
      </c>
      <c r="F89" s="111"/>
      <c r="G89" s="256"/>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c r="DK89" s="114"/>
      <c r="DL89" s="114"/>
      <c r="DM89" s="114"/>
      <c r="DN89" s="114"/>
      <c r="DO89" s="114"/>
      <c r="DP89" s="114"/>
      <c r="DQ89" s="114"/>
      <c r="DR89" s="114"/>
      <c r="DS89" s="114"/>
      <c r="DT89" s="114"/>
      <c r="DU89" s="114"/>
      <c r="DV89" s="114"/>
      <c r="DW89" s="114"/>
      <c r="DX89" s="114"/>
      <c r="DY89" s="114"/>
      <c r="DZ89" s="114"/>
      <c r="EA89" s="114"/>
      <c r="EB89" s="114"/>
      <c r="EC89" s="114"/>
      <c r="ED89" s="114"/>
      <c r="EE89" s="114"/>
      <c r="EF89" s="114"/>
      <c r="EG89" s="114"/>
      <c r="EH89" s="114"/>
      <c r="EI89" s="114"/>
      <c r="EJ89" s="114"/>
      <c r="EK89" s="114"/>
      <c r="EL89" s="114"/>
    </row>
    <row r="90" customFormat="false" ht="12.75" hidden="false" customHeight="false" outlineLevel="0" collapsed="false">
      <c r="A90" s="124"/>
      <c r="B90" s="221"/>
      <c r="C90" s="39"/>
      <c r="E90" s="255"/>
      <c r="F90" s="111"/>
      <c r="G90" s="256"/>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c r="DK90" s="114"/>
      <c r="DL90" s="114"/>
      <c r="DM90" s="114"/>
      <c r="DN90" s="114"/>
      <c r="DO90" s="114"/>
      <c r="DP90" s="114"/>
      <c r="DQ90" s="114"/>
      <c r="DR90" s="114"/>
      <c r="DS90" s="114"/>
      <c r="DT90" s="114"/>
      <c r="DU90" s="114"/>
      <c r="DV90" s="114"/>
      <c r="DW90" s="114"/>
      <c r="DX90" s="114"/>
      <c r="DY90" s="114"/>
      <c r="DZ90" s="114"/>
      <c r="EA90" s="114"/>
      <c r="EB90" s="114"/>
      <c r="EC90" s="114"/>
      <c r="ED90" s="114"/>
      <c r="EE90" s="114"/>
      <c r="EF90" s="114"/>
      <c r="EG90" s="114"/>
      <c r="EH90" s="114"/>
      <c r="EI90" s="114"/>
      <c r="EJ90" s="114"/>
      <c r="EK90" s="114"/>
      <c r="EL90" s="114"/>
    </row>
    <row r="91" customFormat="false" ht="12.75" hidden="false" customHeight="false" outlineLevel="0" collapsed="false">
      <c r="A91" s="124"/>
      <c r="B91" s="111"/>
      <c r="C91" s="22"/>
      <c r="D91" s="111"/>
      <c r="E91" s="4" t="n">
        <v>1</v>
      </c>
      <c r="F91" s="5" t="n">
        <v>2</v>
      </c>
      <c r="G91" s="5" t="n">
        <v>3</v>
      </c>
      <c r="H91" s="5" t="n">
        <v>4</v>
      </c>
      <c r="I91" s="5" t="n">
        <v>5</v>
      </c>
      <c r="J91" s="5" t="n">
        <v>6</v>
      </c>
      <c r="K91" s="5" t="n">
        <v>7</v>
      </c>
      <c r="L91" s="5" t="n">
        <v>8</v>
      </c>
      <c r="M91" s="5" t="n">
        <v>9</v>
      </c>
      <c r="N91" s="5" t="n">
        <v>10</v>
      </c>
      <c r="O91" s="5" t="n">
        <v>11</v>
      </c>
      <c r="P91" s="5" t="n">
        <v>12</v>
      </c>
      <c r="Q91" s="5" t="n">
        <v>13</v>
      </c>
      <c r="R91" s="5" t="n">
        <v>14</v>
      </c>
      <c r="S91" s="5" t="n">
        <v>15</v>
      </c>
      <c r="T91" s="5" t="n">
        <v>16</v>
      </c>
      <c r="U91" s="5" t="n">
        <v>17</v>
      </c>
      <c r="V91" s="5" t="n">
        <v>18</v>
      </c>
      <c r="W91" s="5" t="n">
        <v>19</v>
      </c>
      <c r="X91" s="5" t="n">
        <v>20</v>
      </c>
      <c r="Y91" s="5" t="n">
        <v>21</v>
      </c>
      <c r="Z91" s="5" t="n">
        <v>22</v>
      </c>
      <c r="AA91" s="5" t="n">
        <v>23</v>
      </c>
      <c r="AB91" s="5" t="n">
        <v>24</v>
      </c>
      <c r="AC91" s="5" t="n">
        <v>25</v>
      </c>
      <c r="AD91" s="5" t="n">
        <v>26</v>
      </c>
      <c r="AE91" s="5" t="n">
        <v>27</v>
      </c>
      <c r="AF91" s="5" t="n">
        <v>28</v>
      </c>
      <c r="AG91" s="5" t="n">
        <v>29</v>
      </c>
      <c r="AH91" s="6" t="n">
        <v>30</v>
      </c>
      <c r="AI91" s="6" t="n">
        <v>31</v>
      </c>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c r="DK91" s="114"/>
      <c r="DL91" s="114"/>
      <c r="DM91" s="114"/>
      <c r="DN91" s="114"/>
      <c r="DO91" s="114"/>
      <c r="DP91" s="114"/>
      <c r="DQ91" s="114"/>
      <c r="DR91" s="114"/>
      <c r="DS91" s="114"/>
      <c r="DT91" s="114"/>
      <c r="DU91" s="114"/>
      <c r="DV91" s="114"/>
      <c r="DW91" s="114"/>
      <c r="DX91" s="114"/>
      <c r="DY91" s="114"/>
      <c r="DZ91" s="114"/>
      <c r="EA91" s="114"/>
      <c r="EB91" s="114"/>
      <c r="EC91" s="114"/>
      <c r="ED91" s="114"/>
      <c r="EE91" s="114"/>
      <c r="EF91" s="114"/>
      <c r="EG91" s="114"/>
      <c r="EH91" s="114"/>
      <c r="EI91" s="114"/>
      <c r="EJ91" s="114"/>
      <c r="EK91" s="114"/>
      <c r="EL91" s="114"/>
    </row>
    <row r="92" customFormat="false" ht="12.75" hidden="false" customHeight="false" outlineLevel="0" collapsed="false">
      <c r="D92" s="124"/>
      <c r="E92" s="7" t="n">
        <f aca="false">Assum!$H$25</f>
        <v>2002</v>
      </c>
      <c r="F92" s="8" t="n">
        <f aca="false">E92+1</f>
        <v>2003</v>
      </c>
      <c r="G92" s="8" t="n">
        <f aca="false">F92+1</f>
        <v>2004</v>
      </c>
      <c r="H92" s="8" t="n">
        <f aca="false">G92+1</f>
        <v>2005</v>
      </c>
      <c r="I92" s="8" t="n">
        <f aca="false">H92+1</f>
        <v>2006</v>
      </c>
      <c r="J92" s="8" t="n">
        <f aca="false">I92+1</f>
        <v>2007</v>
      </c>
      <c r="K92" s="8" t="n">
        <f aca="false">J92+1</f>
        <v>2008</v>
      </c>
      <c r="L92" s="8" t="n">
        <f aca="false">K92+1</f>
        <v>2009</v>
      </c>
      <c r="M92" s="8" t="n">
        <f aca="false">L92+1</f>
        <v>2010</v>
      </c>
      <c r="N92" s="8" t="n">
        <f aca="false">M92+1</f>
        <v>2011</v>
      </c>
      <c r="O92" s="8" t="n">
        <f aca="false">N92+1</f>
        <v>2012</v>
      </c>
      <c r="P92" s="8" t="n">
        <f aca="false">O92+1</f>
        <v>2013</v>
      </c>
      <c r="Q92" s="8" t="n">
        <f aca="false">P92+1</f>
        <v>2014</v>
      </c>
      <c r="R92" s="8" t="n">
        <f aca="false">Q92+1</f>
        <v>2015</v>
      </c>
      <c r="S92" s="8" t="n">
        <f aca="false">R92+1</f>
        <v>2016</v>
      </c>
      <c r="T92" s="8" t="n">
        <f aca="false">S92+1</f>
        <v>2017</v>
      </c>
      <c r="U92" s="8" t="n">
        <f aca="false">T92+1</f>
        <v>2018</v>
      </c>
      <c r="V92" s="8" t="n">
        <f aca="false">U92+1</f>
        <v>2019</v>
      </c>
      <c r="W92" s="8" t="n">
        <f aca="false">V92+1</f>
        <v>2020</v>
      </c>
      <c r="X92" s="8" t="n">
        <f aca="false">W92+1</f>
        <v>2021</v>
      </c>
      <c r="Y92" s="8" t="n">
        <f aca="false">X92+1</f>
        <v>2022</v>
      </c>
      <c r="Z92" s="8" t="n">
        <f aca="false">Y92+1</f>
        <v>2023</v>
      </c>
      <c r="AA92" s="8" t="n">
        <f aca="false">Z92+1</f>
        <v>2024</v>
      </c>
      <c r="AB92" s="8" t="n">
        <f aca="false">AA92+1</f>
        <v>2025</v>
      </c>
      <c r="AC92" s="8" t="n">
        <f aca="false">AB92+1</f>
        <v>2026</v>
      </c>
      <c r="AD92" s="8" t="n">
        <f aca="false">AC92+1</f>
        <v>2027</v>
      </c>
      <c r="AE92" s="8" t="n">
        <f aca="false">AD92+1</f>
        <v>2028</v>
      </c>
      <c r="AF92" s="8" t="n">
        <f aca="false">AE92+1</f>
        <v>2029</v>
      </c>
      <c r="AG92" s="8" t="n">
        <f aca="false">AF92+1</f>
        <v>2030</v>
      </c>
      <c r="AH92" s="9" t="n">
        <f aca="false">AG92+1</f>
        <v>2031</v>
      </c>
      <c r="AI92" s="9" t="n">
        <f aca="false">AH92+1</f>
        <v>2032</v>
      </c>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c r="DK92" s="114"/>
      <c r="DL92" s="114"/>
      <c r="DM92" s="114"/>
      <c r="DN92" s="114"/>
      <c r="DO92" s="114"/>
      <c r="DP92" s="114"/>
      <c r="DQ92" s="114"/>
      <c r="DR92" s="114"/>
      <c r="DS92" s="114"/>
      <c r="DT92" s="114"/>
      <c r="DU92" s="114"/>
      <c r="DV92" s="114"/>
      <c r="DW92" s="114"/>
      <c r="DX92" s="114"/>
      <c r="DY92" s="114"/>
      <c r="DZ92" s="114"/>
      <c r="EA92" s="114"/>
      <c r="EB92" s="114"/>
      <c r="EC92" s="114"/>
      <c r="ED92" s="114"/>
      <c r="EE92" s="114"/>
      <c r="EF92" s="114"/>
      <c r="EG92" s="114"/>
      <c r="EH92" s="114"/>
      <c r="EI92" s="114"/>
      <c r="EJ92" s="114"/>
      <c r="EK92" s="114"/>
      <c r="EL92" s="114"/>
    </row>
    <row r="93" customFormat="false" ht="12.75" hidden="false" customHeight="false" outlineLevel="0" collapsed="false">
      <c r="A93" s="124"/>
      <c r="B93" s="257" t="s">
        <v>211</v>
      </c>
      <c r="C93" s="258"/>
      <c r="D93" s="124"/>
      <c r="E93" s="259" t="n">
        <f aca="false">E89</f>
        <v>0.461270928462709</v>
      </c>
      <c r="F93" s="259" t="n">
        <f aca="false">E93</f>
        <v>0.461270928462709</v>
      </c>
      <c r="G93" s="259" t="n">
        <f aca="false">F93</f>
        <v>0.461270928462709</v>
      </c>
      <c r="H93" s="259" t="n">
        <f aca="false">G93</f>
        <v>0.461270928462709</v>
      </c>
      <c r="I93" s="259" t="n">
        <f aca="false">H93</f>
        <v>0.461270928462709</v>
      </c>
      <c r="J93" s="259" t="n">
        <f aca="false">I93</f>
        <v>0.461270928462709</v>
      </c>
      <c r="K93" s="259" t="n">
        <f aca="false">J93</f>
        <v>0.461270928462709</v>
      </c>
      <c r="L93" s="259" t="n">
        <f aca="false">K93</f>
        <v>0.461270928462709</v>
      </c>
      <c r="M93" s="259" t="n">
        <f aca="false">L93</f>
        <v>0.461270928462709</v>
      </c>
      <c r="N93" s="259" t="n">
        <f aca="false">M93</f>
        <v>0.461270928462709</v>
      </c>
      <c r="O93" s="259" t="n">
        <f aca="false">N93</f>
        <v>0.461270928462709</v>
      </c>
      <c r="P93" s="259" t="n">
        <f aca="false">O93</f>
        <v>0.461270928462709</v>
      </c>
      <c r="Q93" s="259" t="n">
        <f aca="false">P93</f>
        <v>0.461270928462709</v>
      </c>
      <c r="R93" s="259" t="n">
        <f aca="false">Q93</f>
        <v>0.461270928462709</v>
      </c>
      <c r="S93" s="259" t="n">
        <f aca="false">R93</f>
        <v>0.461270928462709</v>
      </c>
      <c r="T93" s="259" t="n">
        <f aca="false">S93</f>
        <v>0.461270928462709</v>
      </c>
      <c r="U93" s="259" t="n">
        <f aca="false">T93</f>
        <v>0.461270928462709</v>
      </c>
      <c r="V93" s="259" t="n">
        <f aca="false">U93</f>
        <v>0.461270928462709</v>
      </c>
      <c r="W93" s="259" t="n">
        <f aca="false">V93</f>
        <v>0.461270928462709</v>
      </c>
      <c r="X93" s="259" t="n">
        <f aca="false">W93</f>
        <v>0.461270928462709</v>
      </c>
      <c r="Y93" s="259" t="n">
        <f aca="false">X93</f>
        <v>0.461270928462709</v>
      </c>
      <c r="Z93" s="259" t="n">
        <f aca="false">Y93</f>
        <v>0.461270928462709</v>
      </c>
      <c r="AA93" s="259" t="n">
        <f aca="false">Z93</f>
        <v>0.461270928462709</v>
      </c>
      <c r="AB93" s="259" t="n">
        <f aca="false">AA93</f>
        <v>0.461270928462709</v>
      </c>
      <c r="AC93" s="259" t="n">
        <f aca="false">AB93</f>
        <v>0.461270928462709</v>
      </c>
      <c r="AD93" s="259" t="n">
        <f aca="false">AC93</f>
        <v>0.461270928462709</v>
      </c>
      <c r="AE93" s="259" t="n">
        <f aca="false">AD93</f>
        <v>0.461270928462709</v>
      </c>
      <c r="AF93" s="259" t="n">
        <f aca="false">AE93</f>
        <v>0.461270928462709</v>
      </c>
      <c r="AG93" s="259" t="n">
        <f aca="false">AF93</f>
        <v>0.461270928462709</v>
      </c>
      <c r="AH93" s="259" t="n">
        <f aca="false">AG93</f>
        <v>0.461270928462709</v>
      </c>
      <c r="AI93" s="259" t="n">
        <f aca="false">AH93</f>
        <v>0.461270928462709</v>
      </c>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c r="DK93" s="114"/>
      <c r="DL93" s="114"/>
      <c r="DM93" s="114"/>
      <c r="DN93" s="114"/>
      <c r="DO93" s="114"/>
      <c r="DP93" s="114"/>
      <c r="DQ93" s="114"/>
      <c r="DR93" s="114"/>
      <c r="DS93" s="114"/>
      <c r="DT93" s="114"/>
      <c r="DU93" s="114"/>
      <c r="DV93" s="114"/>
      <c r="DW93" s="114"/>
      <c r="DX93" s="114"/>
      <c r="DY93" s="114"/>
      <c r="DZ93" s="114"/>
      <c r="EA93" s="114"/>
      <c r="EB93" s="114"/>
      <c r="EC93" s="114"/>
      <c r="ED93" s="114"/>
      <c r="EE93" s="114"/>
      <c r="EF93" s="114"/>
      <c r="EG93" s="114"/>
      <c r="EH93" s="114"/>
      <c r="EI93" s="114"/>
      <c r="EJ93" s="114"/>
      <c r="EK93" s="114"/>
      <c r="EL93" s="114"/>
    </row>
    <row r="94" customFormat="false" ht="12.75" hidden="false" customHeight="false" outlineLevel="0" collapsed="false">
      <c r="A94" s="124"/>
      <c r="B94" s="124" t="s">
        <v>212</v>
      </c>
      <c r="C94" s="23"/>
      <c r="D94" s="124"/>
      <c r="E94" s="56" t="n">
        <v>0</v>
      </c>
      <c r="F94" s="56" t="n">
        <f aca="false">E94</f>
        <v>0</v>
      </c>
      <c r="G94" s="56" t="n">
        <f aca="false">F94</f>
        <v>0</v>
      </c>
      <c r="H94" s="56" t="n">
        <f aca="false">G94</f>
        <v>0</v>
      </c>
      <c r="I94" s="56" t="n">
        <f aca="false">H94</f>
        <v>0</v>
      </c>
      <c r="J94" s="56" t="n">
        <f aca="false">I94</f>
        <v>0</v>
      </c>
      <c r="K94" s="56" t="n">
        <f aca="false">J94</f>
        <v>0</v>
      </c>
      <c r="L94" s="56" t="n">
        <f aca="false">K94</f>
        <v>0</v>
      </c>
      <c r="M94" s="56" t="n">
        <f aca="false">L94</f>
        <v>0</v>
      </c>
      <c r="N94" s="56" t="n">
        <f aca="false">M94</f>
        <v>0</v>
      </c>
      <c r="O94" s="56" t="n">
        <f aca="false">N94</f>
        <v>0</v>
      </c>
      <c r="P94" s="56" t="n">
        <f aca="false">O94</f>
        <v>0</v>
      </c>
      <c r="Q94" s="56" t="n">
        <f aca="false">P94</f>
        <v>0</v>
      </c>
      <c r="R94" s="56" t="n">
        <f aca="false">Q94</f>
        <v>0</v>
      </c>
      <c r="S94" s="56" t="n">
        <f aca="false">R94</f>
        <v>0</v>
      </c>
      <c r="T94" s="56" t="n">
        <f aca="false">S94</f>
        <v>0</v>
      </c>
      <c r="U94" s="56" t="n">
        <f aca="false">T94</f>
        <v>0</v>
      </c>
      <c r="V94" s="56" t="n">
        <f aca="false">U94</f>
        <v>0</v>
      </c>
      <c r="W94" s="56" t="n">
        <f aca="false">V94</f>
        <v>0</v>
      </c>
      <c r="X94" s="56" t="n">
        <f aca="false">W94</f>
        <v>0</v>
      </c>
      <c r="Y94" s="56" t="n">
        <f aca="false">X94</f>
        <v>0</v>
      </c>
      <c r="Z94" s="56" t="n">
        <f aca="false">Y94</f>
        <v>0</v>
      </c>
      <c r="AA94" s="56" t="n">
        <f aca="false">Z94</f>
        <v>0</v>
      </c>
      <c r="AB94" s="56" t="n">
        <f aca="false">AA94</f>
        <v>0</v>
      </c>
      <c r="AC94" s="56" t="n">
        <f aca="false">AB94</f>
        <v>0</v>
      </c>
      <c r="AD94" s="56" t="n">
        <f aca="false">AC94</f>
        <v>0</v>
      </c>
      <c r="AE94" s="56" t="n">
        <f aca="false">AD94</f>
        <v>0</v>
      </c>
      <c r="AF94" s="56" t="n">
        <f aca="false">AE94</f>
        <v>0</v>
      </c>
      <c r="AG94" s="56" t="n">
        <f aca="false">AF94</f>
        <v>0</v>
      </c>
      <c r="AH94" s="56" t="n">
        <f aca="false">AG94</f>
        <v>0</v>
      </c>
      <c r="AI94" s="56" t="n">
        <f aca="false">AH94</f>
        <v>0</v>
      </c>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c r="DK94" s="114"/>
      <c r="DL94" s="114"/>
      <c r="DM94" s="114"/>
      <c r="DN94" s="114"/>
      <c r="DO94" s="114"/>
      <c r="DP94" s="114"/>
      <c r="DQ94" s="114"/>
      <c r="DR94" s="114"/>
      <c r="DS94" s="114"/>
      <c r="DT94" s="114"/>
      <c r="DU94" s="114"/>
      <c r="DV94" s="114"/>
      <c r="DW94" s="114"/>
      <c r="DX94" s="114"/>
      <c r="DY94" s="114"/>
      <c r="DZ94" s="114"/>
      <c r="EA94" s="114"/>
      <c r="EB94" s="114"/>
      <c r="EC94" s="114"/>
      <c r="ED94" s="114"/>
      <c r="EE94" s="114"/>
      <c r="EF94" s="114"/>
      <c r="EG94" s="114"/>
      <c r="EH94" s="114"/>
      <c r="EI94" s="114"/>
      <c r="EJ94" s="114"/>
      <c r="EK94" s="114"/>
      <c r="EL94" s="114"/>
    </row>
    <row r="95" customFormat="false" ht="12.75" hidden="false" customHeight="false" outlineLevel="0" collapsed="false">
      <c r="A95" s="124"/>
      <c r="B95" s="124" t="s">
        <v>213</v>
      </c>
      <c r="C95" s="23"/>
      <c r="D95" s="124"/>
      <c r="E95" s="56" t="n">
        <v>-0.02</v>
      </c>
      <c r="F95" s="56" t="n">
        <f aca="false">E95</f>
        <v>-0.02</v>
      </c>
      <c r="G95" s="56" t="n">
        <f aca="false">F95</f>
        <v>-0.02</v>
      </c>
      <c r="H95" s="56" t="n">
        <f aca="false">G95</f>
        <v>-0.02</v>
      </c>
      <c r="I95" s="56" t="n">
        <f aca="false">H95</f>
        <v>-0.02</v>
      </c>
      <c r="J95" s="56" t="n">
        <f aca="false">I95</f>
        <v>-0.02</v>
      </c>
      <c r="K95" s="56" t="n">
        <f aca="false">J95</f>
        <v>-0.02</v>
      </c>
      <c r="L95" s="56" t="n">
        <f aca="false">K95</f>
        <v>-0.02</v>
      </c>
      <c r="M95" s="56" t="n">
        <f aca="false">L95</f>
        <v>-0.02</v>
      </c>
      <c r="N95" s="56" t="n">
        <f aca="false">M95</f>
        <v>-0.02</v>
      </c>
      <c r="O95" s="56" t="n">
        <f aca="false">N95</f>
        <v>-0.02</v>
      </c>
      <c r="P95" s="56" t="n">
        <f aca="false">O95</f>
        <v>-0.02</v>
      </c>
      <c r="Q95" s="56" t="n">
        <f aca="false">P95</f>
        <v>-0.02</v>
      </c>
      <c r="R95" s="56" t="n">
        <f aca="false">Q95</f>
        <v>-0.02</v>
      </c>
      <c r="S95" s="56" t="n">
        <f aca="false">R95</f>
        <v>-0.02</v>
      </c>
      <c r="T95" s="56" t="n">
        <f aca="false">S95</f>
        <v>-0.02</v>
      </c>
      <c r="U95" s="56" t="n">
        <f aca="false">T95</f>
        <v>-0.02</v>
      </c>
      <c r="V95" s="56" t="n">
        <f aca="false">U95</f>
        <v>-0.02</v>
      </c>
      <c r="W95" s="56" t="n">
        <f aca="false">V95</f>
        <v>-0.02</v>
      </c>
      <c r="X95" s="56" t="n">
        <f aca="false">W95</f>
        <v>-0.02</v>
      </c>
      <c r="Y95" s="56" t="n">
        <f aca="false">X95</f>
        <v>-0.02</v>
      </c>
      <c r="Z95" s="56" t="n">
        <f aca="false">Y95</f>
        <v>-0.02</v>
      </c>
      <c r="AA95" s="56" t="n">
        <f aca="false">Z95</f>
        <v>-0.02</v>
      </c>
      <c r="AB95" s="56" t="n">
        <f aca="false">AA95</f>
        <v>-0.02</v>
      </c>
      <c r="AC95" s="56" t="n">
        <f aca="false">AB95</f>
        <v>-0.02</v>
      </c>
      <c r="AD95" s="56" t="n">
        <f aca="false">AC95</f>
        <v>-0.02</v>
      </c>
      <c r="AE95" s="56" t="n">
        <f aca="false">AD95</f>
        <v>-0.02</v>
      </c>
      <c r="AF95" s="56" t="n">
        <f aca="false">AE95</f>
        <v>-0.02</v>
      </c>
      <c r="AG95" s="56" t="n">
        <f aca="false">AF95</f>
        <v>-0.02</v>
      </c>
      <c r="AH95" s="56" t="n">
        <f aca="false">AG95</f>
        <v>-0.02</v>
      </c>
      <c r="AI95" s="56" t="n">
        <f aca="false">AH95</f>
        <v>-0.02</v>
      </c>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c r="DK95" s="114"/>
      <c r="DL95" s="114"/>
      <c r="DM95" s="114"/>
      <c r="DN95" s="114"/>
      <c r="DO95" s="114"/>
      <c r="DP95" s="114"/>
      <c r="DQ95" s="114"/>
      <c r="DR95" s="114"/>
      <c r="DS95" s="114"/>
      <c r="DT95" s="114"/>
      <c r="DU95" s="114"/>
      <c r="DV95" s="114"/>
      <c r="DW95" s="114"/>
      <c r="DX95" s="114"/>
      <c r="DY95" s="114"/>
      <c r="DZ95" s="114"/>
      <c r="EA95" s="114"/>
      <c r="EB95" s="114"/>
      <c r="EC95" s="114"/>
      <c r="ED95" s="114"/>
      <c r="EE95" s="114"/>
      <c r="EF95" s="114"/>
      <c r="EG95" s="114"/>
      <c r="EH95" s="114"/>
      <c r="EI95" s="114"/>
      <c r="EJ95" s="114"/>
      <c r="EK95" s="114"/>
      <c r="EL95" s="114"/>
    </row>
    <row r="96" customFormat="false" ht="12.75" hidden="false" customHeight="false" outlineLevel="0" collapsed="false">
      <c r="A96" s="124"/>
      <c r="B96" s="124" t="s">
        <v>214</v>
      </c>
      <c r="C96" s="23"/>
      <c r="D96" s="124"/>
      <c r="E96" s="56" t="n">
        <v>-0.02</v>
      </c>
      <c r="F96" s="56" t="n">
        <f aca="false">E96</f>
        <v>-0.02</v>
      </c>
      <c r="G96" s="56" t="n">
        <f aca="false">F96</f>
        <v>-0.02</v>
      </c>
      <c r="H96" s="56" t="n">
        <f aca="false">G96</f>
        <v>-0.02</v>
      </c>
      <c r="I96" s="56" t="n">
        <f aca="false">H96</f>
        <v>-0.02</v>
      </c>
      <c r="J96" s="56" t="n">
        <f aca="false">I96</f>
        <v>-0.02</v>
      </c>
      <c r="K96" s="56" t="n">
        <f aca="false">J96</f>
        <v>-0.02</v>
      </c>
      <c r="L96" s="56" t="n">
        <f aca="false">K96</f>
        <v>-0.02</v>
      </c>
      <c r="M96" s="56" t="n">
        <f aca="false">L96</f>
        <v>-0.02</v>
      </c>
      <c r="N96" s="56" t="n">
        <f aca="false">M96</f>
        <v>-0.02</v>
      </c>
      <c r="O96" s="56" t="n">
        <f aca="false">N96</f>
        <v>-0.02</v>
      </c>
      <c r="P96" s="56" t="n">
        <f aca="false">O96</f>
        <v>-0.02</v>
      </c>
      <c r="Q96" s="56" t="n">
        <f aca="false">P96</f>
        <v>-0.02</v>
      </c>
      <c r="R96" s="56" t="n">
        <f aca="false">Q96</f>
        <v>-0.02</v>
      </c>
      <c r="S96" s="56" t="n">
        <f aca="false">R96</f>
        <v>-0.02</v>
      </c>
      <c r="T96" s="56" t="n">
        <f aca="false">S96</f>
        <v>-0.02</v>
      </c>
      <c r="U96" s="56" t="n">
        <f aca="false">T96</f>
        <v>-0.02</v>
      </c>
      <c r="V96" s="56" t="n">
        <f aca="false">U96</f>
        <v>-0.02</v>
      </c>
      <c r="W96" s="56" t="n">
        <f aca="false">V96</f>
        <v>-0.02</v>
      </c>
      <c r="X96" s="56" t="n">
        <f aca="false">W96</f>
        <v>-0.02</v>
      </c>
      <c r="Y96" s="56" t="n">
        <f aca="false">X96</f>
        <v>-0.02</v>
      </c>
      <c r="Z96" s="56" t="n">
        <f aca="false">Y96</f>
        <v>-0.02</v>
      </c>
      <c r="AA96" s="56" t="n">
        <f aca="false">Z96</f>
        <v>-0.02</v>
      </c>
      <c r="AB96" s="56" t="n">
        <f aca="false">AA96</f>
        <v>-0.02</v>
      </c>
      <c r="AC96" s="56" t="n">
        <f aca="false">AB96</f>
        <v>-0.02</v>
      </c>
      <c r="AD96" s="56" t="n">
        <f aca="false">AC96</f>
        <v>-0.02</v>
      </c>
      <c r="AE96" s="56" t="n">
        <f aca="false">AD96</f>
        <v>-0.02</v>
      </c>
      <c r="AF96" s="56" t="n">
        <f aca="false">AE96</f>
        <v>-0.02</v>
      </c>
      <c r="AG96" s="56" t="n">
        <f aca="false">AF96</f>
        <v>-0.02</v>
      </c>
      <c r="AH96" s="56" t="n">
        <f aca="false">AG96</f>
        <v>-0.02</v>
      </c>
      <c r="AI96" s="56" t="n">
        <f aca="false">AH96</f>
        <v>-0.02</v>
      </c>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c r="DK96" s="114"/>
      <c r="DL96" s="114"/>
      <c r="DM96" s="114"/>
      <c r="DN96" s="114"/>
      <c r="DO96" s="114"/>
      <c r="DP96" s="114"/>
      <c r="DQ96" s="114"/>
      <c r="DR96" s="114"/>
      <c r="DS96" s="114"/>
      <c r="DT96" s="114"/>
      <c r="DU96" s="114"/>
      <c r="DV96" s="114"/>
      <c r="DW96" s="114"/>
      <c r="DX96" s="114"/>
      <c r="DY96" s="114"/>
      <c r="DZ96" s="114"/>
      <c r="EA96" s="114"/>
      <c r="EB96" s="114"/>
      <c r="EC96" s="114"/>
      <c r="ED96" s="114"/>
      <c r="EE96" s="114"/>
      <c r="EF96" s="114"/>
      <c r="EG96" s="114"/>
      <c r="EH96" s="114"/>
      <c r="EI96" s="114"/>
      <c r="EJ96" s="114"/>
      <c r="EK96" s="114"/>
      <c r="EL96" s="114"/>
    </row>
    <row r="97" customFormat="false" ht="12.75" hidden="false" customHeight="false" outlineLevel="0" collapsed="false">
      <c r="A97" s="124"/>
      <c r="B97" s="124" t="s">
        <v>215</v>
      </c>
      <c r="C97" s="23"/>
      <c r="D97" s="124"/>
      <c r="E97" s="56" t="n">
        <v>0</v>
      </c>
      <c r="F97" s="56" t="n">
        <f aca="false">E97</f>
        <v>0</v>
      </c>
      <c r="G97" s="56" t="n">
        <f aca="false">F97</f>
        <v>0</v>
      </c>
      <c r="H97" s="56" t="n">
        <f aca="false">G97</f>
        <v>0</v>
      </c>
      <c r="I97" s="56" t="n">
        <f aca="false">H97</f>
        <v>0</v>
      </c>
      <c r="J97" s="56" t="n">
        <f aca="false">I97</f>
        <v>0</v>
      </c>
      <c r="K97" s="56" t="n">
        <f aca="false">J97</f>
        <v>0</v>
      </c>
      <c r="L97" s="56" t="n">
        <f aca="false">K97</f>
        <v>0</v>
      </c>
      <c r="M97" s="56" t="n">
        <f aca="false">L97</f>
        <v>0</v>
      </c>
      <c r="N97" s="56" t="n">
        <f aca="false">M97</f>
        <v>0</v>
      </c>
      <c r="O97" s="56" t="n">
        <f aca="false">N97</f>
        <v>0</v>
      </c>
      <c r="P97" s="56" t="n">
        <f aca="false">O97</f>
        <v>0</v>
      </c>
      <c r="Q97" s="56" t="n">
        <f aca="false">P97</f>
        <v>0</v>
      </c>
      <c r="R97" s="56" t="n">
        <f aca="false">Q97</f>
        <v>0</v>
      </c>
      <c r="S97" s="56" t="n">
        <f aca="false">R97</f>
        <v>0</v>
      </c>
      <c r="T97" s="56" t="n">
        <f aca="false">S97</f>
        <v>0</v>
      </c>
      <c r="U97" s="56" t="n">
        <f aca="false">T97</f>
        <v>0</v>
      </c>
      <c r="V97" s="56" t="n">
        <f aca="false">U97</f>
        <v>0</v>
      </c>
      <c r="W97" s="56" t="n">
        <f aca="false">V97</f>
        <v>0</v>
      </c>
      <c r="X97" s="56" t="n">
        <f aca="false">W97</f>
        <v>0</v>
      </c>
      <c r="Y97" s="56" t="n">
        <f aca="false">X97</f>
        <v>0</v>
      </c>
      <c r="Z97" s="56" t="n">
        <f aca="false">Y97</f>
        <v>0</v>
      </c>
      <c r="AA97" s="56" t="n">
        <f aca="false">Z97</f>
        <v>0</v>
      </c>
      <c r="AB97" s="56" t="n">
        <f aca="false">AA97</f>
        <v>0</v>
      </c>
      <c r="AC97" s="56" t="n">
        <f aca="false">AB97</f>
        <v>0</v>
      </c>
      <c r="AD97" s="56" t="n">
        <f aca="false">AC97</f>
        <v>0</v>
      </c>
      <c r="AE97" s="56" t="n">
        <f aca="false">AD97</f>
        <v>0</v>
      </c>
      <c r="AF97" s="56" t="n">
        <f aca="false">AE97</f>
        <v>0</v>
      </c>
      <c r="AG97" s="56" t="n">
        <f aca="false">AF97</f>
        <v>0</v>
      </c>
      <c r="AH97" s="56" t="n">
        <f aca="false">AG97</f>
        <v>0</v>
      </c>
      <c r="AI97" s="56" t="n">
        <f aca="false">AH97</f>
        <v>0</v>
      </c>
      <c r="AJ97" s="114"/>
      <c r="AK97" s="114"/>
      <c r="AL97" s="114"/>
      <c r="AM97" s="114"/>
      <c r="AN97" s="114"/>
      <c r="AO97" s="114"/>
      <c r="AP97" s="114"/>
      <c r="AQ97" s="114"/>
      <c r="AR97" s="114"/>
      <c r="AS97" s="114"/>
      <c r="AT97" s="114"/>
      <c r="AU97" s="114"/>
      <c r="AV97" s="114"/>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c r="CG97" s="114"/>
      <c r="CH97" s="114"/>
      <c r="CI97" s="114"/>
      <c r="CJ97" s="114"/>
      <c r="CK97" s="114"/>
      <c r="CL97" s="114"/>
      <c r="CM97" s="114"/>
      <c r="CN97" s="114"/>
      <c r="CO97" s="114"/>
      <c r="CP97" s="114"/>
      <c r="CQ97" s="114"/>
      <c r="CR97" s="114"/>
      <c r="CS97" s="114"/>
      <c r="CT97" s="114"/>
      <c r="CU97" s="114"/>
      <c r="CV97" s="114"/>
      <c r="CW97" s="114"/>
      <c r="CX97" s="114"/>
      <c r="CY97" s="114"/>
      <c r="CZ97" s="114"/>
      <c r="DA97" s="114"/>
      <c r="DB97" s="114"/>
      <c r="DC97" s="114"/>
      <c r="DD97" s="114"/>
      <c r="DE97" s="114"/>
      <c r="DF97" s="114"/>
      <c r="DG97" s="114"/>
      <c r="DH97" s="114"/>
      <c r="DI97" s="114"/>
      <c r="DJ97" s="114"/>
      <c r="DK97" s="114"/>
      <c r="DL97" s="114"/>
      <c r="DM97" s="114"/>
      <c r="DN97" s="114"/>
      <c r="DO97" s="114"/>
      <c r="DP97" s="114"/>
      <c r="DQ97" s="114"/>
      <c r="DR97" s="114"/>
      <c r="DS97" s="114"/>
      <c r="DT97" s="114"/>
      <c r="DU97" s="114"/>
      <c r="DV97" s="114"/>
      <c r="DW97" s="114"/>
      <c r="DX97" s="114"/>
      <c r="DY97" s="114"/>
      <c r="DZ97" s="114"/>
      <c r="EA97" s="114"/>
      <c r="EB97" s="114"/>
      <c r="EC97" s="114"/>
      <c r="ED97" s="114"/>
      <c r="EE97" s="114"/>
      <c r="EF97" s="114"/>
      <c r="EG97" s="114"/>
      <c r="EH97" s="114"/>
      <c r="EI97" s="114"/>
      <c r="EJ97" s="114"/>
      <c r="EK97" s="114"/>
      <c r="EL97" s="114"/>
    </row>
    <row r="98" customFormat="false" ht="12.75" hidden="false" customHeight="false" outlineLevel="0" collapsed="false">
      <c r="A98" s="124"/>
      <c r="B98" s="124" t="s">
        <v>216</v>
      </c>
      <c r="C98" s="23"/>
      <c r="D98" s="124"/>
      <c r="E98" s="56" t="n">
        <v>-0.01</v>
      </c>
      <c r="F98" s="56" t="n">
        <f aca="false">E98</f>
        <v>-0.01</v>
      </c>
      <c r="G98" s="56" t="n">
        <f aca="false">F98</f>
        <v>-0.01</v>
      </c>
      <c r="H98" s="56" t="n">
        <f aca="false">G98</f>
        <v>-0.01</v>
      </c>
      <c r="I98" s="56" t="n">
        <f aca="false">H98</f>
        <v>-0.01</v>
      </c>
      <c r="J98" s="56" t="n">
        <f aca="false">I98</f>
        <v>-0.01</v>
      </c>
      <c r="K98" s="56" t="n">
        <f aca="false">J98</f>
        <v>-0.01</v>
      </c>
      <c r="L98" s="56" t="n">
        <f aca="false">K98</f>
        <v>-0.01</v>
      </c>
      <c r="M98" s="56" t="n">
        <f aca="false">L98</f>
        <v>-0.01</v>
      </c>
      <c r="N98" s="56" t="n">
        <f aca="false">M98</f>
        <v>-0.01</v>
      </c>
      <c r="O98" s="56" t="n">
        <f aca="false">N98</f>
        <v>-0.01</v>
      </c>
      <c r="P98" s="56" t="n">
        <f aca="false">O98</f>
        <v>-0.01</v>
      </c>
      <c r="Q98" s="56" t="n">
        <f aca="false">P98</f>
        <v>-0.01</v>
      </c>
      <c r="R98" s="56" t="n">
        <f aca="false">Q98</f>
        <v>-0.01</v>
      </c>
      <c r="S98" s="56" t="n">
        <f aca="false">R98</f>
        <v>-0.01</v>
      </c>
      <c r="T98" s="56" t="n">
        <f aca="false">S98</f>
        <v>-0.01</v>
      </c>
      <c r="U98" s="56" t="n">
        <f aca="false">T98</f>
        <v>-0.01</v>
      </c>
      <c r="V98" s="56" t="n">
        <f aca="false">U98</f>
        <v>-0.01</v>
      </c>
      <c r="W98" s="56" t="n">
        <f aca="false">V98</f>
        <v>-0.01</v>
      </c>
      <c r="X98" s="56" t="n">
        <f aca="false">W98</f>
        <v>-0.01</v>
      </c>
      <c r="Y98" s="56" t="n">
        <f aca="false">X98</f>
        <v>-0.01</v>
      </c>
      <c r="Z98" s="56" t="n">
        <f aca="false">Y98</f>
        <v>-0.01</v>
      </c>
      <c r="AA98" s="56" t="n">
        <f aca="false">Z98</f>
        <v>-0.01</v>
      </c>
      <c r="AB98" s="56" t="n">
        <f aca="false">AA98</f>
        <v>-0.01</v>
      </c>
      <c r="AC98" s="56" t="n">
        <f aca="false">AB98</f>
        <v>-0.01</v>
      </c>
      <c r="AD98" s="56" t="n">
        <f aca="false">AC98</f>
        <v>-0.01</v>
      </c>
      <c r="AE98" s="56" t="n">
        <f aca="false">AD98</f>
        <v>-0.01</v>
      </c>
      <c r="AF98" s="56" t="n">
        <f aca="false">AE98</f>
        <v>-0.01</v>
      </c>
      <c r="AG98" s="56" t="n">
        <f aca="false">AF98</f>
        <v>-0.01</v>
      </c>
      <c r="AH98" s="56" t="n">
        <f aca="false">AG98</f>
        <v>-0.01</v>
      </c>
      <c r="AI98" s="56" t="n">
        <f aca="false">AH98</f>
        <v>-0.01</v>
      </c>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c r="DK98" s="114"/>
      <c r="DL98" s="114"/>
      <c r="DM98" s="114"/>
      <c r="DN98" s="114"/>
      <c r="DO98" s="114"/>
      <c r="DP98" s="114"/>
      <c r="DQ98" s="114"/>
      <c r="DR98" s="114"/>
      <c r="DS98" s="114"/>
      <c r="DT98" s="114"/>
      <c r="DU98" s="114"/>
      <c r="DV98" s="114"/>
      <c r="DW98" s="114"/>
      <c r="DX98" s="114"/>
      <c r="DY98" s="114"/>
      <c r="DZ98" s="114"/>
      <c r="EA98" s="114"/>
      <c r="EB98" s="114"/>
      <c r="EC98" s="114"/>
      <c r="ED98" s="114"/>
      <c r="EE98" s="114"/>
      <c r="EF98" s="114"/>
      <c r="EG98" s="114"/>
      <c r="EH98" s="114"/>
      <c r="EI98" s="114"/>
      <c r="EJ98" s="114"/>
      <c r="EK98" s="114"/>
      <c r="EL98" s="114"/>
    </row>
    <row r="99" customFormat="false" ht="12.75" hidden="false" customHeight="false" outlineLevel="0" collapsed="false">
      <c r="A99" s="124"/>
      <c r="B99" s="124" t="s">
        <v>217</v>
      </c>
      <c r="C99" s="23"/>
      <c r="D99" s="124"/>
      <c r="E99" s="56" t="n">
        <v>-0.03</v>
      </c>
      <c r="F99" s="56" t="n">
        <f aca="false">E99</f>
        <v>-0.03</v>
      </c>
      <c r="G99" s="56" t="n">
        <f aca="false">F99</f>
        <v>-0.03</v>
      </c>
      <c r="H99" s="56" t="n">
        <f aca="false">G99</f>
        <v>-0.03</v>
      </c>
      <c r="I99" s="56" t="n">
        <f aca="false">H99</f>
        <v>-0.03</v>
      </c>
      <c r="J99" s="56" t="n">
        <f aca="false">I99</f>
        <v>-0.03</v>
      </c>
      <c r="K99" s="56" t="n">
        <f aca="false">J99</f>
        <v>-0.03</v>
      </c>
      <c r="L99" s="56" t="n">
        <f aca="false">K99</f>
        <v>-0.03</v>
      </c>
      <c r="M99" s="56" t="n">
        <f aca="false">L99</f>
        <v>-0.03</v>
      </c>
      <c r="N99" s="56" t="n">
        <f aca="false">M99</f>
        <v>-0.03</v>
      </c>
      <c r="O99" s="56" t="n">
        <f aca="false">N99</f>
        <v>-0.03</v>
      </c>
      <c r="P99" s="56" t="n">
        <f aca="false">O99</f>
        <v>-0.03</v>
      </c>
      <c r="Q99" s="56" t="n">
        <f aca="false">P99</f>
        <v>-0.03</v>
      </c>
      <c r="R99" s="56" t="n">
        <f aca="false">Q99</f>
        <v>-0.03</v>
      </c>
      <c r="S99" s="56" t="n">
        <f aca="false">R99</f>
        <v>-0.03</v>
      </c>
      <c r="T99" s="56" t="n">
        <f aca="false">S99</f>
        <v>-0.03</v>
      </c>
      <c r="U99" s="56" t="n">
        <f aca="false">T99</f>
        <v>-0.03</v>
      </c>
      <c r="V99" s="56" t="n">
        <f aca="false">U99</f>
        <v>-0.03</v>
      </c>
      <c r="W99" s="56" t="n">
        <f aca="false">V99</f>
        <v>-0.03</v>
      </c>
      <c r="X99" s="56" t="n">
        <f aca="false">W99</f>
        <v>-0.03</v>
      </c>
      <c r="Y99" s="56" t="n">
        <f aca="false">X99</f>
        <v>-0.03</v>
      </c>
      <c r="Z99" s="56" t="n">
        <f aca="false">Y99</f>
        <v>-0.03</v>
      </c>
      <c r="AA99" s="56" t="n">
        <f aca="false">Z99</f>
        <v>-0.03</v>
      </c>
      <c r="AB99" s="56" t="n">
        <f aca="false">AA99</f>
        <v>-0.03</v>
      </c>
      <c r="AC99" s="56" t="n">
        <f aca="false">AB99</f>
        <v>-0.03</v>
      </c>
      <c r="AD99" s="56" t="n">
        <f aca="false">AC99</f>
        <v>-0.03</v>
      </c>
      <c r="AE99" s="56" t="n">
        <f aca="false">AD99</f>
        <v>-0.03</v>
      </c>
      <c r="AF99" s="56" t="n">
        <f aca="false">AE99</f>
        <v>-0.03</v>
      </c>
      <c r="AG99" s="56" t="n">
        <f aca="false">AF99</f>
        <v>-0.03</v>
      </c>
      <c r="AH99" s="56" t="n">
        <f aca="false">AG99</f>
        <v>-0.03</v>
      </c>
      <c r="AI99" s="56" t="n">
        <f aca="false">AH99</f>
        <v>-0.03</v>
      </c>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c r="DK99" s="114"/>
      <c r="DL99" s="114"/>
      <c r="DM99" s="114"/>
      <c r="DN99" s="114"/>
      <c r="DO99" s="114"/>
      <c r="DP99" s="114"/>
      <c r="DQ99" s="114"/>
      <c r="DR99" s="114"/>
      <c r="DS99" s="114"/>
      <c r="DT99" s="114"/>
      <c r="DU99" s="114"/>
      <c r="DV99" s="114"/>
      <c r="DW99" s="114"/>
      <c r="DX99" s="114"/>
      <c r="DY99" s="114"/>
      <c r="DZ99" s="114"/>
      <c r="EA99" s="114"/>
      <c r="EB99" s="114"/>
      <c r="EC99" s="114"/>
      <c r="ED99" s="114"/>
      <c r="EE99" s="114"/>
      <c r="EF99" s="114"/>
      <c r="EG99" s="114"/>
      <c r="EH99" s="114"/>
      <c r="EI99" s="114"/>
      <c r="EJ99" s="114"/>
      <c r="EK99" s="114"/>
      <c r="EL99" s="114"/>
    </row>
    <row r="100" customFormat="false" ht="12.75" hidden="false" customHeight="false" outlineLevel="0" collapsed="false">
      <c r="A100" s="124"/>
      <c r="B100" s="124" t="s">
        <v>218</v>
      </c>
      <c r="C100" s="23"/>
      <c r="D100" s="124"/>
      <c r="E100" s="56" t="n">
        <v>-0.01</v>
      </c>
      <c r="F100" s="56" t="n">
        <f aca="false">E100</f>
        <v>-0.01</v>
      </c>
      <c r="G100" s="56" t="n">
        <f aca="false">F100</f>
        <v>-0.01</v>
      </c>
      <c r="H100" s="56" t="n">
        <f aca="false">G100</f>
        <v>-0.01</v>
      </c>
      <c r="I100" s="56" t="n">
        <f aca="false">H100</f>
        <v>-0.01</v>
      </c>
      <c r="J100" s="56" t="n">
        <f aca="false">I100</f>
        <v>-0.01</v>
      </c>
      <c r="K100" s="56" t="n">
        <f aca="false">J100</f>
        <v>-0.01</v>
      </c>
      <c r="L100" s="56" t="n">
        <f aca="false">K100</f>
        <v>-0.01</v>
      </c>
      <c r="M100" s="56" t="n">
        <f aca="false">L100</f>
        <v>-0.01</v>
      </c>
      <c r="N100" s="56" t="n">
        <f aca="false">M100</f>
        <v>-0.01</v>
      </c>
      <c r="O100" s="56" t="n">
        <f aca="false">N100</f>
        <v>-0.01</v>
      </c>
      <c r="P100" s="56" t="n">
        <f aca="false">O100</f>
        <v>-0.01</v>
      </c>
      <c r="Q100" s="56" t="n">
        <f aca="false">P100</f>
        <v>-0.01</v>
      </c>
      <c r="R100" s="56" t="n">
        <f aca="false">Q100</f>
        <v>-0.01</v>
      </c>
      <c r="S100" s="56" t="n">
        <f aca="false">R100</f>
        <v>-0.01</v>
      </c>
      <c r="T100" s="56" t="n">
        <f aca="false">S100</f>
        <v>-0.01</v>
      </c>
      <c r="U100" s="56" t="n">
        <f aca="false">T100</f>
        <v>-0.01</v>
      </c>
      <c r="V100" s="56" t="n">
        <f aca="false">U100</f>
        <v>-0.01</v>
      </c>
      <c r="W100" s="56" t="n">
        <f aca="false">V100</f>
        <v>-0.01</v>
      </c>
      <c r="X100" s="56" t="n">
        <f aca="false">W100</f>
        <v>-0.01</v>
      </c>
      <c r="Y100" s="56" t="n">
        <f aca="false">X100</f>
        <v>-0.01</v>
      </c>
      <c r="Z100" s="56" t="n">
        <f aca="false">Y100</f>
        <v>-0.01</v>
      </c>
      <c r="AA100" s="56" t="n">
        <f aca="false">Z100</f>
        <v>-0.01</v>
      </c>
      <c r="AB100" s="56" t="n">
        <f aca="false">AA100</f>
        <v>-0.01</v>
      </c>
      <c r="AC100" s="56" t="n">
        <f aca="false">AB100</f>
        <v>-0.01</v>
      </c>
      <c r="AD100" s="56" t="n">
        <f aca="false">AC100</f>
        <v>-0.01</v>
      </c>
      <c r="AE100" s="56" t="n">
        <f aca="false">AD100</f>
        <v>-0.01</v>
      </c>
      <c r="AF100" s="56" t="n">
        <f aca="false">AE100</f>
        <v>-0.01</v>
      </c>
      <c r="AG100" s="56" t="n">
        <f aca="false">AF100</f>
        <v>-0.01</v>
      </c>
      <c r="AH100" s="56" t="n">
        <f aca="false">AG100</f>
        <v>-0.01</v>
      </c>
      <c r="AI100" s="56" t="n">
        <f aca="false">AH100</f>
        <v>-0.01</v>
      </c>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c r="DK100" s="114"/>
      <c r="DL100" s="114"/>
      <c r="DM100" s="114"/>
      <c r="DN100" s="114"/>
      <c r="DO100" s="114"/>
      <c r="DP100" s="114"/>
      <c r="DQ100" s="114"/>
      <c r="DR100" s="114"/>
      <c r="DS100" s="114"/>
      <c r="DT100" s="114"/>
      <c r="DU100" s="114"/>
      <c r="DV100" s="114"/>
      <c r="DW100" s="114"/>
      <c r="DX100" s="114"/>
      <c r="DY100" s="114"/>
      <c r="DZ100" s="114"/>
      <c r="EA100" s="114"/>
      <c r="EB100" s="114"/>
      <c r="EC100" s="114"/>
      <c r="ED100" s="114"/>
      <c r="EE100" s="114"/>
      <c r="EF100" s="114"/>
      <c r="EG100" s="114"/>
      <c r="EH100" s="114"/>
      <c r="EI100" s="114"/>
      <c r="EJ100" s="114"/>
      <c r="EK100" s="114"/>
      <c r="EL100" s="114"/>
    </row>
    <row r="101" customFormat="false" ht="12.75" hidden="false" customHeight="false" outlineLevel="0" collapsed="false">
      <c r="A101" s="124"/>
      <c r="B101" s="124" t="s">
        <v>219</v>
      </c>
      <c r="C101" s="23"/>
      <c r="D101" s="124"/>
      <c r="E101" s="260" t="n">
        <v>0</v>
      </c>
      <c r="F101" s="56" t="n">
        <f aca="false">E101</f>
        <v>0</v>
      </c>
      <c r="G101" s="56" t="n">
        <f aca="false">F101</f>
        <v>0</v>
      </c>
      <c r="H101" s="56" t="n">
        <f aca="false">G101</f>
        <v>0</v>
      </c>
      <c r="I101" s="56" t="n">
        <f aca="false">H101</f>
        <v>0</v>
      </c>
      <c r="J101" s="56" t="n">
        <f aca="false">I101</f>
        <v>0</v>
      </c>
      <c r="K101" s="56" t="n">
        <f aca="false">J101</f>
        <v>0</v>
      </c>
      <c r="L101" s="56" t="n">
        <f aca="false">K101</f>
        <v>0</v>
      </c>
      <c r="M101" s="56" t="n">
        <f aca="false">L101</f>
        <v>0</v>
      </c>
      <c r="N101" s="56" t="n">
        <f aca="false">M101</f>
        <v>0</v>
      </c>
      <c r="O101" s="56" t="n">
        <f aca="false">N101</f>
        <v>0</v>
      </c>
      <c r="P101" s="56" t="n">
        <f aca="false">O101</f>
        <v>0</v>
      </c>
      <c r="Q101" s="56" t="n">
        <f aca="false">P101</f>
        <v>0</v>
      </c>
      <c r="R101" s="56" t="n">
        <f aca="false">Q101</f>
        <v>0</v>
      </c>
      <c r="S101" s="56" t="n">
        <f aca="false">R101</f>
        <v>0</v>
      </c>
      <c r="T101" s="56" t="n">
        <f aca="false">S101</f>
        <v>0</v>
      </c>
      <c r="U101" s="56" t="n">
        <f aca="false">T101</f>
        <v>0</v>
      </c>
      <c r="V101" s="56" t="n">
        <f aca="false">U101</f>
        <v>0</v>
      </c>
      <c r="W101" s="56" t="n">
        <f aca="false">V101</f>
        <v>0</v>
      </c>
      <c r="X101" s="56" t="n">
        <f aca="false">W101</f>
        <v>0</v>
      </c>
      <c r="Y101" s="56" t="n">
        <f aca="false">X101</f>
        <v>0</v>
      </c>
      <c r="Z101" s="56" t="n">
        <f aca="false">Y101</f>
        <v>0</v>
      </c>
      <c r="AA101" s="56" t="n">
        <f aca="false">Z101</f>
        <v>0</v>
      </c>
      <c r="AB101" s="56" t="n">
        <f aca="false">AA101</f>
        <v>0</v>
      </c>
      <c r="AC101" s="56" t="n">
        <f aca="false">AB101</f>
        <v>0</v>
      </c>
      <c r="AD101" s="56" t="n">
        <f aca="false">AC101</f>
        <v>0</v>
      </c>
      <c r="AE101" s="56" t="n">
        <f aca="false">AD101</f>
        <v>0</v>
      </c>
      <c r="AF101" s="56" t="n">
        <f aca="false">AE101</f>
        <v>0</v>
      </c>
      <c r="AG101" s="56" t="n">
        <f aca="false">AF101</f>
        <v>0</v>
      </c>
      <c r="AH101" s="56" t="n">
        <f aca="false">AG101</f>
        <v>0</v>
      </c>
      <c r="AI101" s="56" t="n">
        <f aca="false">AH101</f>
        <v>0</v>
      </c>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c r="DK101" s="114"/>
      <c r="DL101" s="114"/>
      <c r="DM101" s="114"/>
      <c r="DN101" s="114"/>
      <c r="DO101" s="114"/>
      <c r="DP101" s="114"/>
      <c r="DQ101" s="114"/>
      <c r="DR101" s="114"/>
      <c r="DS101" s="114"/>
      <c r="DT101" s="114"/>
      <c r="DU101" s="114"/>
      <c r="DV101" s="114"/>
      <c r="DW101" s="114"/>
      <c r="DX101" s="114"/>
      <c r="DY101" s="114"/>
      <c r="DZ101" s="114"/>
      <c r="EA101" s="114"/>
      <c r="EB101" s="114"/>
      <c r="EC101" s="114"/>
      <c r="ED101" s="114"/>
      <c r="EE101" s="114"/>
      <c r="EF101" s="114"/>
      <c r="EG101" s="114"/>
      <c r="EH101" s="114"/>
      <c r="EI101" s="114"/>
      <c r="EJ101" s="114"/>
      <c r="EK101" s="114"/>
      <c r="EL101" s="114"/>
    </row>
    <row r="102" customFormat="false" ht="12.75" hidden="false" customHeight="false" outlineLevel="0" collapsed="false">
      <c r="A102" s="124"/>
      <c r="B102" s="198" t="s">
        <v>220</v>
      </c>
      <c r="C102" s="152"/>
      <c r="D102" s="124"/>
      <c r="E102" s="261" t="n">
        <f aca="false">E$93*(1+E$94)*(1+E$95)*(1+E$96)*(1+E$97)*(1+E$98)*(1+E$99)*(1+E$100)*(1+E101)</f>
        <v>0.421163143916795</v>
      </c>
      <c r="F102" s="261" t="n">
        <f aca="false">F$93*(1+F$94)*(1+F$95)*(1+F$96)*(1+F$97)*(1+F$98)*(1+F$99)*(1+F$100)*(1+F101)</f>
        <v>0.421163143916795</v>
      </c>
      <c r="G102" s="261" t="n">
        <f aca="false">G$93*(1+G$94)*(1+G$95)*(1+G$96)*(1+G$97)*(1+G$98)*(1+G$99)*(1+G$100)*(1+G101)</f>
        <v>0.421163143916795</v>
      </c>
      <c r="H102" s="261" t="n">
        <f aca="false">H$93*(1+H$94)*(1+H$95)*(1+H$96)*(1+H$97)*(1+H$98)*(1+H$99)*(1+H$100)*(1+H101)</f>
        <v>0.421163143916795</v>
      </c>
      <c r="I102" s="261" t="n">
        <f aca="false">I$93*(1+I$94)*(1+I$95)*(1+I$96)*(1+I$97)*(1+I$98)*(1+I$99)*(1+I$100)*(1+I101)</f>
        <v>0.421163143916795</v>
      </c>
      <c r="J102" s="261" t="n">
        <f aca="false">J$93*(1+J$94)*(1+J$95)*(1+J$96)*(1+J$97)*(1+J$98)*(1+J$99)*(1+J$100)*(1+J101)</f>
        <v>0.421163143916795</v>
      </c>
      <c r="K102" s="261" t="n">
        <f aca="false">K$93*(1+K$94)*(1+K$95)*(1+K$96)*(1+K$97)*(1+K$98)*(1+K$99)*(1+K$100)*(1+K101)</f>
        <v>0.421163143916795</v>
      </c>
      <c r="L102" s="261" t="n">
        <f aca="false">L$93*(1+L$94)*(1+L$95)*(1+L$96)*(1+L$97)*(1+L$98)*(1+L$99)*(1+L$100)*(1+L101)</f>
        <v>0.421163143916795</v>
      </c>
      <c r="M102" s="261" t="n">
        <f aca="false">M$93*(1+M$94)*(1+M$95)*(1+M$96)*(1+M$97)*(1+M$98)*(1+M$99)*(1+M$100)*(1+M101)</f>
        <v>0.421163143916795</v>
      </c>
      <c r="N102" s="261" t="n">
        <f aca="false">N$93*(1+N$94)*(1+N$95)*(1+N$96)*(1+N$97)*(1+N$98)*(1+N$99)*(1+N$100)*(1+N101)</f>
        <v>0.421163143916795</v>
      </c>
      <c r="O102" s="261" t="n">
        <f aca="false">O$93*(1+O$94)*(1+O$95)*(1+O$96)*(1+O$97)*(1+O$98)*(1+O$99)*(1+O$100)*(1+O101)</f>
        <v>0.421163143916795</v>
      </c>
      <c r="P102" s="261" t="n">
        <f aca="false">P$93*(1+P$94)*(1+P$95)*(1+P$96)*(1+P$97)*(1+P$98)*(1+P$99)*(1+P$100)*(1+P101)</f>
        <v>0.421163143916795</v>
      </c>
      <c r="Q102" s="261" t="n">
        <f aca="false">Q$93*(1+Q$94)*(1+Q$95)*(1+Q$96)*(1+Q$97)*(1+Q$98)*(1+Q$99)*(1+Q$100)*(1+Q101)</f>
        <v>0.421163143916795</v>
      </c>
      <c r="R102" s="261" t="n">
        <f aca="false">R$93*(1+R$94)*(1+R$95)*(1+R$96)*(1+R$97)*(1+R$98)*(1+R$99)*(1+R$100)*(1+R101)</f>
        <v>0.421163143916795</v>
      </c>
      <c r="S102" s="261" t="n">
        <f aca="false">S$93*(1+S$94)*(1+S$95)*(1+S$96)*(1+S$97)*(1+S$98)*(1+S$99)*(1+S$100)*(1+S101)</f>
        <v>0.421163143916795</v>
      </c>
      <c r="T102" s="261" t="n">
        <f aca="false">T$93*(1+T$94)*(1+T$95)*(1+T$96)*(1+T$97)*(1+T$98)*(1+T$99)*(1+T$100)*(1+T101)</f>
        <v>0.421163143916795</v>
      </c>
      <c r="U102" s="261" t="n">
        <f aca="false">U$93*(1+U$94)*(1+U$95)*(1+U$96)*(1+U$97)*(1+U$98)*(1+U$99)*(1+U$100)*(1+U101)</f>
        <v>0.421163143916795</v>
      </c>
      <c r="V102" s="261" t="n">
        <f aca="false">V$93*(1+V$94)*(1+V$95)*(1+V$96)*(1+V$97)*(1+V$98)*(1+V$99)*(1+V$100)*(1+V101)</f>
        <v>0.421163143916795</v>
      </c>
      <c r="W102" s="261" t="n">
        <f aca="false">W$93*(1+W$94)*(1+W$95)*(1+W$96)*(1+W$97)*(1+W$98)*(1+W$99)*(1+W$100)*(1+W101)</f>
        <v>0.421163143916795</v>
      </c>
      <c r="X102" s="261" t="n">
        <f aca="false">X$93*(1+X$94)*(1+X$95)*(1+X$96)*(1+X$97)*(1+X$98)*(1+X$99)*(1+X$100)*(1+X101)</f>
        <v>0.421163143916795</v>
      </c>
      <c r="Y102" s="261" t="n">
        <f aca="false">Y$93*(1+Y$94)*(1+Y$95)*(1+Y$96)*(1+Y$97)*(1+Y$98)*(1+Y$99)*(1+Y$100)*(1+Y101)</f>
        <v>0.421163143916795</v>
      </c>
      <c r="Z102" s="261" t="n">
        <f aca="false">Z$93*(1+Z$94)*(1+Z$95)*(1+Z$96)*(1+Z$97)*(1+Z$98)*(1+Z$99)*(1+Z$100)*(1+Z101)</f>
        <v>0.421163143916795</v>
      </c>
      <c r="AA102" s="261" t="n">
        <f aca="false">AA$93*(1+AA$94)*(1+AA$95)*(1+AA$96)*(1+AA$97)*(1+AA$98)*(1+AA$99)*(1+AA$100)*(1+AA101)</f>
        <v>0.421163143916795</v>
      </c>
      <c r="AB102" s="261" t="n">
        <f aca="false">AB$93*(1+AB$94)*(1+AB$95)*(1+AB$96)*(1+AB$97)*(1+AB$98)*(1+AB$99)*(1+AB$100)*(1+AB101)</f>
        <v>0.421163143916795</v>
      </c>
      <c r="AC102" s="261" t="n">
        <f aca="false">AC$93*(1+AC$94)*(1+AC$95)*(1+AC$96)*(1+AC$97)*(1+AC$98)*(1+AC$99)*(1+AC$100)*(1+AC101)</f>
        <v>0.421163143916795</v>
      </c>
      <c r="AD102" s="261" t="n">
        <f aca="false">AD$93*(1+AD$94)*(1+AD$95)*(1+AD$96)*(1+AD$97)*(1+AD$98)*(1+AD$99)*(1+AD$100)*(1+AD101)</f>
        <v>0.421163143916795</v>
      </c>
      <c r="AE102" s="261" t="n">
        <f aca="false">AE$93*(1+AE$94)*(1+AE$95)*(1+AE$96)*(1+AE$97)*(1+AE$98)*(1+AE$99)*(1+AE$100)*(1+AE101)</f>
        <v>0.421163143916795</v>
      </c>
      <c r="AF102" s="261" t="n">
        <f aca="false">AF$93*(1+AF$94)*(1+AF$95)*(1+AF$96)*(1+AF$97)*(1+AF$98)*(1+AF$99)*(1+AF$100)*(1+AF101)</f>
        <v>0.421163143916795</v>
      </c>
      <c r="AG102" s="261" t="n">
        <f aca="false">AG$93*(1+AG$94)*(1+AG$95)*(1+AG$96)*(1+AG$97)*(1+AG$98)*(1+AG$99)*(1+AG$100)*(1+AG101)</f>
        <v>0.421163143916795</v>
      </c>
      <c r="AH102" s="261" t="n">
        <f aca="false">AH$93*(1+AH$94)*(1+AH$95)*(1+AH$96)*(1+AH$97)*(1+AH$98)*(1+AH$99)*(1+AH$100)*(1+AH101)</f>
        <v>0.421163143916795</v>
      </c>
      <c r="AI102" s="261" t="n">
        <f aca="false">AI$93*(1+AI$94)*(1+AI$95)*(1+AI$96)*(1+AI$97)*(1+AI$98)*(1+AI$99)*(1+AI$100)*(1+AI101)</f>
        <v>0.421163143916795</v>
      </c>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c r="DK102" s="114"/>
      <c r="DL102" s="114"/>
      <c r="DM102" s="114"/>
      <c r="DN102" s="114"/>
      <c r="DO102" s="114"/>
      <c r="DP102" s="114"/>
      <c r="DQ102" s="114"/>
      <c r="DR102" s="114"/>
      <c r="DS102" s="114"/>
      <c r="DT102" s="114"/>
      <c r="DU102" s="114"/>
      <c r="DV102" s="114"/>
      <c r="DW102" s="114"/>
      <c r="DX102" s="114"/>
      <c r="DY102" s="114"/>
      <c r="DZ102" s="114"/>
      <c r="EA102" s="114"/>
      <c r="EB102" s="114"/>
      <c r="EC102" s="114"/>
      <c r="ED102" s="114"/>
      <c r="EE102" s="114"/>
      <c r="EF102" s="114"/>
      <c r="EG102" s="114"/>
      <c r="EH102" s="114"/>
      <c r="EI102" s="114"/>
      <c r="EJ102" s="114"/>
      <c r="EK102" s="114"/>
      <c r="EL102" s="114"/>
    </row>
    <row r="103" customFormat="false" ht="12.75" hidden="false" customHeight="false" outlineLevel="0" collapsed="false">
      <c r="A103" s="124"/>
      <c r="B103" s="124"/>
      <c r="C103" s="23"/>
      <c r="D103" s="124"/>
      <c r="E103" s="111"/>
      <c r="F103" s="111"/>
      <c r="G103" s="262"/>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c r="DK103" s="114"/>
      <c r="DL103" s="114"/>
      <c r="DM103" s="114"/>
      <c r="DN103" s="114"/>
      <c r="DO103" s="114"/>
      <c r="DP103" s="114"/>
      <c r="DQ103" s="114"/>
      <c r="DR103" s="114"/>
      <c r="DS103" s="114"/>
      <c r="DT103" s="114"/>
      <c r="DU103" s="114"/>
      <c r="DV103" s="114"/>
      <c r="DW103" s="114"/>
      <c r="DX103" s="114"/>
      <c r="DY103" s="114"/>
      <c r="DZ103" s="114"/>
      <c r="EA103" s="114"/>
      <c r="EB103" s="114"/>
      <c r="EC103" s="114"/>
      <c r="ED103" s="114"/>
      <c r="EE103" s="114"/>
      <c r="EF103" s="114"/>
      <c r="EG103" s="114"/>
      <c r="EH103" s="114"/>
      <c r="EI103" s="114"/>
      <c r="EJ103" s="114"/>
      <c r="EK103" s="114"/>
      <c r="EL103" s="114"/>
    </row>
    <row r="104" customFormat="false" ht="12.75" hidden="false" customHeight="false" outlineLevel="0" collapsed="false">
      <c r="A104" s="124"/>
      <c r="B104" s="124" t="s">
        <v>221</v>
      </c>
      <c r="C104" s="23"/>
      <c r="D104" s="124"/>
      <c r="E104" s="263" t="n">
        <v>1</v>
      </c>
      <c r="F104" s="263" t="n">
        <f aca="false">E104</f>
        <v>1</v>
      </c>
      <c r="G104" s="263" t="n">
        <f aca="false">F104</f>
        <v>1</v>
      </c>
      <c r="H104" s="263" t="n">
        <f aca="false">G104</f>
        <v>1</v>
      </c>
      <c r="I104" s="263" t="n">
        <f aca="false">H104</f>
        <v>1</v>
      </c>
      <c r="J104" s="263" t="n">
        <f aca="false">I104</f>
        <v>1</v>
      </c>
      <c r="K104" s="263" t="n">
        <f aca="false">J104</f>
        <v>1</v>
      </c>
      <c r="L104" s="263" t="n">
        <f aca="false">K104</f>
        <v>1</v>
      </c>
      <c r="M104" s="263" t="n">
        <f aca="false">L104</f>
        <v>1</v>
      </c>
      <c r="N104" s="263" t="n">
        <f aca="false">M104</f>
        <v>1</v>
      </c>
      <c r="O104" s="263" t="n">
        <f aca="false">N104</f>
        <v>1</v>
      </c>
      <c r="P104" s="263" t="n">
        <f aca="false">O104</f>
        <v>1</v>
      </c>
      <c r="Q104" s="263" t="n">
        <f aca="false">P104</f>
        <v>1</v>
      </c>
      <c r="R104" s="263" t="n">
        <f aca="false">Q104</f>
        <v>1</v>
      </c>
      <c r="S104" s="263" t="n">
        <f aca="false">R104</f>
        <v>1</v>
      </c>
      <c r="T104" s="263" t="n">
        <f aca="false">S104</f>
        <v>1</v>
      </c>
      <c r="U104" s="263" t="n">
        <f aca="false">T104</f>
        <v>1</v>
      </c>
      <c r="V104" s="263" t="n">
        <f aca="false">U104</f>
        <v>1</v>
      </c>
      <c r="W104" s="263" t="n">
        <f aca="false">V104</f>
        <v>1</v>
      </c>
      <c r="X104" s="263" t="n">
        <f aca="false">W104</f>
        <v>1</v>
      </c>
      <c r="Y104" s="263" t="n">
        <f aca="false">X104</f>
        <v>1</v>
      </c>
      <c r="Z104" s="263" t="n">
        <f aca="false">Y104</f>
        <v>1</v>
      </c>
      <c r="AA104" s="263" t="n">
        <f aca="false">Z104</f>
        <v>1</v>
      </c>
      <c r="AB104" s="263" t="n">
        <f aca="false">AA104</f>
        <v>1</v>
      </c>
      <c r="AC104" s="263" t="n">
        <f aca="false">AB104</f>
        <v>1</v>
      </c>
      <c r="AD104" s="263" t="n">
        <f aca="false">AC104</f>
        <v>1</v>
      </c>
      <c r="AE104" s="263" t="n">
        <f aca="false">AD104</f>
        <v>1</v>
      </c>
      <c r="AF104" s="263" t="n">
        <f aca="false">AE104</f>
        <v>1</v>
      </c>
      <c r="AG104" s="263" t="n">
        <f aca="false">AF104</f>
        <v>1</v>
      </c>
      <c r="AH104" s="263" t="n">
        <f aca="false">AG104</f>
        <v>1</v>
      </c>
      <c r="AI104" s="263" t="n">
        <f aca="false">AH104</f>
        <v>1</v>
      </c>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c r="DK104" s="114"/>
      <c r="DL104" s="114"/>
      <c r="DM104" s="114"/>
      <c r="DN104" s="114"/>
      <c r="DO104" s="114"/>
      <c r="DP104" s="114"/>
      <c r="DQ104" s="114"/>
      <c r="DR104" s="114"/>
      <c r="DS104" s="114"/>
      <c r="DT104" s="114"/>
      <c r="DU104" s="114"/>
      <c r="DV104" s="114"/>
      <c r="DW104" s="114"/>
      <c r="DX104" s="114"/>
      <c r="DY104" s="114"/>
      <c r="DZ104" s="114"/>
      <c r="EA104" s="114"/>
      <c r="EB104" s="114"/>
      <c r="EC104" s="114"/>
      <c r="ED104" s="114"/>
      <c r="EE104" s="114"/>
      <c r="EF104" s="114"/>
      <c r="EG104" s="114"/>
      <c r="EH104" s="114"/>
      <c r="EI104" s="114"/>
      <c r="EJ104" s="114"/>
      <c r="EK104" s="114"/>
      <c r="EL104" s="114"/>
    </row>
    <row r="105" customFormat="false" ht="12.75" hidden="false" customHeight="false" outlineLevel="0" collapsed="false">
      <c r="A105" s="124"/>
      <c r="B105" s="264" t="s">
        <v>222</v>
      </c>
      <c r="C105" s="49"/>
      <c r="D105" s="124"/>
      <c r="E105" s="100" t="n">
        <f aca="false">(E102*$F$31*8760)*E104</f>
        <v>127283.925354534</v>
      </c>
      <c r="F105" s="100" t="n">
        <f aca="false">(F102*$F$31*8760)*F104</f>
        <v>127283.925354534</v>
      </c>
      <c r="G105" s="100" t="n">
        <f aca="false">(G102*$F$31*8760)*G104</f>
        <v>127283.925354534</v>
      </c>
      <c r="H105" s="100" t="n">
        <f aca="false">(H102*$F$31*8760)*H104</f>
        <v>127283.925354534</v>
      </c>
      <c r="I105" s="100" t="n">
        <f aca="false">(I102*$F$31*8760)*I104</f>
        <v>127283.925354534</v>
      </c>
      <c r="J105" s="100" t="n">
        <f aca="false">(J102*$F$31*8760)*J104</f>
        <v>127283.925354534</v>
      </c>
      <c r="K105" s="100" t="n">
        <f aca="false">(K102*$F$31*8760)*K104</f>
        <v>127283.925354534</v>
      </c>
      <c r="L105" s="100" t="n">
        <f aca="false">(L102*$F$31*8760)*L104</f>
        <v>127283.925354534</v>
      </c>
      <c r="M105" s="100" t="n">
        <f aca="false">(M102*$F$31*8760)*M104</f>
        <v>127283.925354534</v>
      </c>
      <c r="N105" s="100" t="n">
        <f aca="false">(N102*$F$31*8760)*N104</f>
        <v>127283.925354534</v>
      </c>
      <c r="O105" s="100" t="n">
        <f aca="false">(O102*$F$31*8760)*O104</f>
        <v>127283.925354534</v>
      </c>
      <c r="P105" s="100" t="n">
        <f aca="false">(P102*$F$31*8760)*P104</f>
        <v>127283.925354534</v>
      </c>
      <c r="Q105" s="100" t="n">
        <f aca="false">(Q102*$F$31*8760)*Q104</f>
        <v>127283.925354534</v>
      </c>
      <c r="R105" s="100" t="n">
        <f aca="false">(R102*$F$31*8760)*R104</f>
        <v>127283.925354534</v>
      </c>
      <c r="S105" s="100" t="n">
        <f aca="false">(S102*$F$31*8760)*S104</f>
        <v>127283.925354534</v>
      </c>
      <c r="T105" s="100" t="n">
        <f aca="false">(T102*$F$31*8760)*T104</f>
        <v>127283.925354534</v>
      </c>
      <c r="U105" s="100" t="n">
        <f aca="false">(U102*$F$31*8760)*U104</f>
        <v>127283.925354534</v>
      </c>
      <c r="V105" s="100" t="n">
        <f aca="false">(V102*$F$31*8760)*V104</f>
        <v>127283.925354534</v>
      </c>
      <c r="W105" s="100" t="n">
        <f aca="false">(W102*$F$31*8760)*W104</f>
        <v>127283.925354534</v>
      </c>
      <c r="X105" s="100" t="n">
        <f aca="false">(X102*$F$31*8760)*X104</f>
        <v>127283.925354534</v>
      </c>
      <c r="Y105" s="100" t="n">
        <f aca="false">(Y102*$F$31*8760)*Y104</f>
        <v>127283.925354534</v>
      </c>
      <c r="Z105" s="100" t="n">
        <f aca="false">(Z102*$F$31*8760)*Z104</f>
        <v>127283.925354534</v>
      </c>
      <c r="AA105" s="100" t="n">
        <f aca="false">(AA102*$F$31*8760)*AA104</f>
        <v>127283.925354534</v>
      </c>
      <c r="AB105" s="100" t="n">
        <f aca="false">(AB102*$F$31*8760)*AB104</f>
        <v>127283.925354534</v>
      </c>
      <c r="AC105" s="100" t="n">
        <f aca="false">(AC102*$F$31*8760)*AC104</f>
        <v>127283.925354534</v>
      </c>
      <c r="AD105" s="100" t="n">
        <f aca="false">(AD102*$F$31*8760)*AD104</f>
        <v>127283.925354534</v>
      </c>
      <c r="AE105" s="100" t="n">
        <f aca="false">(AE102*$F$31*8760)*AE104</f>
        <v>127283.925354534</v>
      </c>
      <c r="AF105" s="100" t="n">
        <f aca="false">(AF102*$F$31*8760)*AF104</f>
        <v>127283.925354534</v>
      </c>
      <c r="AG105" s="100" t="n">
        <f aca="false">(AG102*$F$31*8760)*AG104</f>
        <v>127283.925354534</v>
      </c>
      <c r="AH105" s="100" t="n">
        <f aca="false">(AH102*$F$31*8760)*AH104</f>
        <v>127283.925354534</v>
      </c>
      <c r="AI105" s="100" t="n">
        <f aca="false">(AI102*$F$31*8760)*AI104</f>
        <v>127283.925354534</v>
      </c>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c r="DK105" s="114"/>
      <c r="DL105" s="114"/>
      <c r="DM105" s="114"/>
      <c r="DN105" s="114"/>
      <c r="DO105" s="114"/>
      <c r="DP105" s="114"/>
      <c r="DQ105" s="114"/>
      <c r="DR105" s="114"/>
      <c r="DS105" s="114"/>
      <c r="DT105" s="114"/>
      <c r="DU105" s="114"/>
      <c r="DV105" s="114"/>
      <c r="DW105" s="114"/>
      <c r="DX105" s="114"/>
      <c r="DY105" s="114"/>
      <c r="DZ105" s="114"/>
      <c r="EA105" s="114"/>
      <c r="EB105" s="114"/>
      <c r="EC105" s="114"/>
      <c r="ED105" s="114"/>
      <c r="EE105" s="114"/>
      <c r="EF105" s="114"/>
      <c r="EG105" s="114"/>
      <c r="EH105" s="114"/>
      <c r="EI105" s="114"/>
      <c r="EJ105" s="114"/>
      <c r="EK105" s="114"/>
      <c r="EL105" s="114"/>
    </row>
    <row r="106" customFormat="false" ht="12.75" hidden="false" customHeight="false" outlineLevel="0" collapsed="false">
      <c r="A106" s="124"/>
      <c r="B106" s="111"/>
      <c r="C106" s="22"/>
      <c r="D106" s="111"/>
      <c r="E106" s="111"/>
      <c r="F106" s="111"/>
      <c r="G106" s="12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c r="DK106" s="114"/>
      <c r="DL106" s="114"/>
      <c r="DM106" s="114"/>
      <c r="DN106" s="114"/>
      <c r="DO106" s="114"/>
      <c r="DP106" s="114"/>
      <c r="DQ106" s="114"/>
      <c r="DR106" s="114"/>
      <c r="DS106" s="114"/>
      <c r="DT106" s="114"/>
      <c r="DU106" s="114"/>
      <c r="DV106" s="114"/>
      <c r="DW106" s="114"/>
      <c r="DX106" s="114"/>
      <c r="DY106" s="114"/>
      <c r="DZ106" s="114"/>
      <c r="EA106" s="114"/>
      <c r="EB106" s="114"/>
      <c r="EC106" s="114"/>
      <c r="ED106" s="114"/>
      <c r="EE106" s="114"/>
      <c r="EF106" s="114"/>
      <c r="EG106" s="114"/>
      <c r="EH106" s="114"/>
      <c r="EI106" s="114"/>
      <c r="EJ106" s="114"/>
      <c r="EK106" s="114"/>
      <c r="EL106" s="114"/>
    </row>
    <row r="107" customFormat="false" ht="12.75" hidden="false" customHeight="false" outlineLevel="0" collapsed="false">
      <c r="A107" s="124"/>
      <c r="B107" s="111"/>
      <c r="C107" s="22"/>
      <c r="D107" s="111"/>
      <c r="E107" s="111"/>
      <c r="F107" s="111"/>
      <c r="G107" s="12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c r="DK107" s="114"/>
      <c r="DL107" s="114"/>
      <c r="DM107" s="114"/>
      <c r="DN107" s="114"/>
      <c r="DO107" s="114"/>
      <c r="DP107" s="114"/>
      <c r="DQ107" s="114"/>
      <c r="DR107" s="114"/>
      <c r="DS107" s="114"/>
      <c r="DT107" s="114"/>
      <c r="DU107" s="114"/>
      <c r="DV107" s="114"/>
      <c r="DW107" s="114"/>
      <c r="DX107" s="114"/>
      <c r="DY107" s="114"/>
      <c r="DZ107" s="114"/>
      <c r="EA107" s="114"/>
      <c r="EB107" s="114"/>
      <c r="EC107" s="114"/>
      <c r="ED107" s="114"/>
      <c r="EE107" s="114"/>
      <c r="EF107" s="114"/>
      <c r="EG107" s="114"/>
      <c r="EH107" s="114"/>
      <c r="EI107" s="114"/>
      <c r="EJ107" s="114"/>
      <c r="EK107" s="114"/>
      <c r="EL107" s="114"/>
    </row>
    <row r="108" customFormat="false" ht="12.75" hidden="false" customHeight="false" outlineLevel="0" collapsed="false">
      <c r="A108" s="124"/>
      <c r="B108" s="177" t="s">
        <v>223</v>
      </c>
      <c r="C108" s="265" t="n">
        <f aca="false">EWCSum!L25</f>
        <v>0.13</v>
      </c>
      <c r="D108" s="111"/>
      <c r="E108" s="266" t="n">
        <v>1</v>
      </c>
      <c r="F108" s="267" t="n">
        <v>2</v>
      </c>
      <c r="G108" s="267" t="n">
        <v>3</v>
      </c>
      <c r="H108" s="267" t="n">
        <v>4</v>
      </c>
      <c r="I108" s="267" t="n">
        <v>5</v>
      </c>
      <c r="J108" s="267" t="n">
        <v>6</v>
      </c>
      <c r="K108" s="267" t="n">
        <v>7</v>
      </c>
      <c r="L108" s="267" t="n">
        <v>8</v>
      </c>
      <c r="M108" s="267" t="n">
        <v>9</v>
      </c>
      <c r="N108" s="267" t="n">
        <v>10</v>
      </c>
      <c r="O108" s="267" t="n">
        <v>11</v>
      </c>
      <c r="P108" s="267" t="n">
        <v>12</v>
      </c>
      <c r="Q108" s="267" t="n">
        <v>13</v>
      </c>
      <c r="R108" s="267" t="n">
        <v>14</v>
      </c>
      <c r="S108" s="267" t="n">
        <v>15</v>
      </c>
      <c r="T108" s="267" t="n">
        <v>16</v>
      </c>
      <c r="U108" s="267" t="n">
        <v>17</v>
      </c>
      <c r="V108" s="267" t="n">
        <v>18</v>
      </c>
      <c r="W108" s="267" t="n">
        <v>19</v>
      </c>
      <c r="X108" s="267" t="n">
        <v>20</v>
      </c>
      <c r="Y108" s="267" t="n">
        <v>21</v>
      </c>
      <c r="Z108" s="267" t="n">
        <v>22</v>
      </c>
      <c r="AA108" s="267" t="n">
        <v>23</v>
      </c>
      <c r="AB108" s="267" t="n">
        <v>24</v>
      </c>
      <c r="AC108" s="267" t="n">
        <v>25</v>
      </c>
      <c r="AD108" s="267" t="n">
        <v>26</v>
      </c>
      <c r="AE108" s="267" t="n">
        <v>27</v>
      </c>
      <c r="AF108" s="267" t="n">
        <v>28</v>
      </c>
      <c r="AG108" s="267" t="n">
        <v>29</v>
      </c>
      <c r="AH108" s="267" t="n">
        <v>30</v>
      </c>
      <c r="AI108" s="268" t="n">
        <v>31</v>
      </c>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c r="DK108" s="114"/>
      <c r="DL108" s="114"/>
      <c r="DM108" s="114"/>
      <c r="DN108" s="114"/>
      <c r="DO108" s="114"/>
      <c r="DP108" s="114"/>
      <c r="DQ108" s="114"/>
      <c r="DR108" s="114"/>
      <c r="DS108" s="114"/>
      <c r="DT108" s="114"/>
      <c r="DU108" s="114"/>
      <c r="DV108" s="114"/>
      <c r="DW108" s="114"/>
      <c r="DX108" s="114"/>
      <c r="DY108" s="114"/>
      <c r="DZ108" s="114"/>
      <c r="EA108" s="114"/>
      <c r="EB108" s="114"/>
      <c r="EC108" s="114"/>
      <c r="ED108" s="114"/>
      <c r="EE108" s="114"/>
      <c r="EF108" s="114"/>
      <c r="EG108" s="114"/>
      <c r="EH108" s="114"/>
      <c r="EI108" s="114"/>
      <c r="EJ108" s="114"/>
      <c r="EK108" s="114"/>
      <c r="EL108" s="114"/>
    </row>
    <row r="109" customFormat="false" ht="12.75" hidden="false" customHeight="false" outlineLevel="0" collapsed="false">
      <c r="A109" s="269"/>
      <c r="B109" s="3"/>
      <c r="C109" s="270" t="s">
        <v>224</v>
      </c>
      <c r="D109" s="23"/>
      <c r="E109" s="7" t="n">
        <f aca="false">Assum!$H$25</f>
        <v>2002</v>
      </c>
      <c r="F109" s="8" t="n">
        <f aca="false">E109+1</f>
        <v>2003</v>
      </c>
      <c r="G109" s="8" t="n">
        <f aca="false">F109+1</f>
        <v>2004</v>
      </c>
      <c r="H109" s="8" t="n">
        <f aca="false">G109+1</f>
        <v>2005</v>
      </c>
      <c r="I109" s="8" t="n">
        <f aca="false">H109+1</f>
        <v>2006</v>
      </c>
      <c r="J109" s="8" t="n">
        <f aca="false">I109+1</f>
        <v>2007</v>
      </c>
      <c r="K109" s="8" t="n">
        <f aca="false">J109+1</f>
        <v>2008</v>
      </c>
      <c r="L109" s="8" t="n">
        <f aca="false">K109+1</f>
        <v>2009</v>
      </c>
      <c r="M109" s="8" t="n">
        <f aca="false">L109+1</f>
        <v>2010</v>
      </c>
      <c r="N109" s="8" t="n">
        <f aca="false">M109+1</f>
        <v>2011</v>
      </c>
      <c r="O109" s="8" t="n">
        <f aca="false">N109+1</f>
        <v>2012</v>
      </c>
      <c r="P109" s="8" t="n">
        <f aca="false">O109+1</f>
        <v>2013</v>
      </c>
      <c r="Q109" s="8" t="n">
        <f aca="false">P109+1</f>
        <v>2014</v>
      </c>
      <c r="R109" s="8" t="n">
        <f aca="false">Q109+1</f>
        <v>2015</v>
      </c>
      <c r="S109" s="8" t="n">
        <f aca="false">R109+1</f>
        <v>2016</v>
      </c>
      <c r="T109" s="8" t="n">
        <f aca="false">S109+1</f>
        <v>2017</v>
      </c>
      <c r="U109" s="8" t="n">
        <f aca="false">T109+1</f>
        <v>2018</v>
      </c>
      <c r="V109" s="8" t="n">
        <f aca="false">U109+1</f>
        <v>2019</v>
      </c>
      <c r="W109" s="8" t="n">
        <f aca="false">V109+1</f>
        <v>2020</v>
      </c>
      <c r="X109" s="8" t="n">
        <f aca="false">W109+1</f>
        <v>2021</v>
      </c>
      <c r="Y109" s="8" t="n">
        <f aca="false">X109+1</f>
        <v>2022</v>
      </c>
      <c r="Z109" s="8" t="n">
        <f aca="false">Y109+1</f>
        <v>2023</v>
      </c>
      <c r="AA109" s="8" t="n">
        <f aca="false">Z109+1</f>
        <v>2024</v>
      </c>
      <c r="AB109" s="8" t="n">
        <f aca="false">AA109+1</f>
        <v>2025</v>
      </c>
      <c r="AC109" s="8" t="n">
        <f aca="false">AB109+1</f>
        <v>2026</v>
      </c>
      <c r="AD109" s="8" t="n">
        <f aca="false">AC109+1</f>
        <v>2027</v>
      </c>
      <c r="AE109" s="8" t="n">
        <f aca="false">AD109+1</f>
        <v>2028</v>
      </c>
      <c r="AF109" s="8" t="n">
        <f aca="false">AE109+1</f>
        <v>2029</v>
      </c>
      <c r="AG109" s="8" t="n">
        <f aca="false">AF109+1</f>
        <v>2030</v>
      </c>
      <c r="AH109" s="8" t="n">
        <f aca="false">AG109+1</f>
        <v>2031</v>
      </c>
      <c r="AI109" s="9" t="n">
        <f aca="false">AH109+1</f>
        <v>2032</v>
      </c>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c r="BM109" s="24"/>
      <c r="BN109" s="24"/>
      <c r="BO109" s="24"/>
      <c r="BP109" s="24"/>
      <c r="BQ109" s="24"/>
      <c r="BR109" s="24"/>
      <c r="BS109" s="24"/>
      <c r="BT109" s="24"/>
      <c r="BU109" s="24"/>
      <c r="BV109" s="24"/>
      <c r="BW109" s="24"/>
      <c r="BX109" s="24"/>
      <c r="BY109" s="24"/>
      <c r="BZ109" s="24"/>
      <c r="CA109" s="24"/>
      <c r="CB109" s="24"/>
      <c r="CC109" s="24"/>
      <c r="CD109" s="24"/>
      <c r="CE109" s="24"/>
      <c r="CF109" s="24"/>
      <c r="CG109" s="24"/>
      <c r="CH109" s="24"/>
      <c r="CI109" s="24"/>
      <c r="CJ109" s="24"/>
      <c r="CK109" s="24"/>
      <c r="CL109" s="24"/>
      <c r="CM109" s="24"/>
      <c r="CN109" s="24"/>
      <c r="CO109" s="24"/>
      <c r="CP109" s="24"/>
      <c r="CQ109" s="24"/>
      <c r="CR109" s="24"/>
      <c r="CS109" s="24"/>
      <c r="CT109" s="24"/>
      <c r="CU109" s="24"/>
      <c r="CV109" s="24"/>
      <c r="CW109" s="24"/>
      <c r="CX109" s="24"/>
      <c r="CY109" s="24"/>
      <c r="CZ109" s="24"/>
      <c r="DA109" s="24"/>
      <c r="DB109" s="24"/>
      <c r="DC109" s="24"/>
      <c r="DD109" s="24"/>
      <c r="DE109" s="24"/>
      <c r="DF109" s="24"/>
      <c r="DG109" s="24"/>
      <c r="DH109" s="24"/>
      <c r="DI109" s="24"/>
      <c r="DJ109" s="24"/>
      <c r="DK109" s="24"/>
      <c r="DL109" s="24"/>
      <c r="DM109" s="24"/>
      <c r="DN109" s="24"/>
      <c r="DO109" s="24"/>
      <c r="DP109" s="24"/>
      <c r="DQ109" s="24"/>
      <c r="DR109" s="24"/>
      <c r="DS109" s="24"/>
      <c r="DT109" s="24"/>
      <c r="DU109" s="24"/>
      <c r="DV109" s="24"/>
      <c r="DW109" s="24"/>
      <c r="DX109" s="24"/>
      <c r="DY109" s="24"/>
      <c r="DZ109" s="24"/>
      <c r="EA109" s="24"/>
      <c r="EB109" s="24"/>
      <c r="EC109" s="24"/>
      <c r="ED109" s="24"/>
      <c r="EE109" s="24"/>
      <c r="EF109" s="24"/>
      <c r="EG109" s="24"/>
      <c r="EH109" s="24"/>
      <c r="EI109" s="24"/>
      <c r="EJ109" s="24"/>
      <c r="EK109" s="24"/>
      <c r="EL109" s="24"/>
      <c r="EM109" s="3"/>
      <c r="EN109" s="3"/>
      <c r="EO109" s="3"/>
      <c r="EP109" s="3"/>
      <c r="EQ109" s="3"/>
      <c r="ER109" s="3"/>
      <c r="ES109" s="3"/>
      <c r="ET109" s="3"/>
      <c r="EU109" s="3"/>
      <c r="EV109" s="3"/>
      <c r="EW109" s="3"/>
      <c r="EX109" s="3"/>
      <c r="EY109" s="3"/>
      <c r="EZ109" s="3"/>
      <c r="FA109" s="3"/>
      <c r="FB109" s="3"/>
      <c r="FC109" s="3"/>
      <c r="FD109" s="3"/>
      <c r="FE109" s="3"/>
      <c r="FF109" s="3"/>
      <c r="FG109" s="3"/>
      <c r="FH109" s="3"/>
      <c r="FI109" s="3"/>
      <c r="FJ109" s="3"/>
      <c r="FK109" s="3"/>
      <c r="FL109" s="3"/>
      <c r="FM109" s="3"/>
      <c r="FN109" s="3"/>
      <c r="FO109" s="3"/>
      <c r="FP109" s="3"/>
      <c r="FQ109" s="3"/>
      <c r="FR109" s="3"/>
      <c r="FS109" s="3"/>
      <c r="FT109" s="3"/>
      <c r="FU109" s="3"/>
      <c r="FV109" s="3"/>
      <c r="FW109" s="3"/>
      <c r="FX109" s="3"/>
      <c r="FY109" s="3"/>
      <c r="FZ109" s="3"/>
      <c r="GA109" s="3"/>
      <c r="GB109" s="3"/>
      <c r="GC109" s="3"/>
      <c r="GD109" s="3"/>
      <c r="GE109" s="3"/>
      <c r="GF109" s="3"/>
      <c r="GG109" s="3"/>
      <c r="GH109" s="3"/>
      <c r="GI109" s="3"/>
      <c r="GJ109" s="3"/>
      <c r="GK109" s="3"/>
      <c r="GL109" s="3"/>
      <c r="GM109" s="3"/>
      <c r="GN109" s="3"/>
      <c r="GO109" s="3"/>
      <c r="GP109" s="3"/>
      <c r="GQ109" s="3"/>
      <c r="GR109" s="3"/>
      <c r="GS109" s="3"/>
      <c r="GT109" s="3"/>
      <c r="GU109" s="3"/>
      <c r="GV109" s="3"/>
      <c r="GW109" s="3"/>
      <c r="GX109" s="3"/>
      <c r="GY109" s="3"/>
      <c r="GZ109" s="3"/>
      <c r="HA109" s="3"/>
      <c r="HB109" s="3"/>
      <c r="HC109" s="3"/>
      <c r="HD109" s="3"/>
      <c r="HE109" s="3"/>
      <c r="HF109" s="3"/>
      <c r="HG109" s="3"/>
      <c r="HH109" s="3"/>
      <c r="HI109" s="3"/>
      <c r="HJ109" s="3"/>
      <c r="HK109" s="3"/>
      <c r="HL109" s="3"/>
      <c r="HM109" s="3"/>
      <c r="HN109" s="3"/>
      <c r="HO109" s="3"/>
      <c r="HP109" s="3"/>
      <c r="HQ109" s="3"/>
      <c r="HR109" s="3"/>
      <c r="HS109" s="3"/>
      <c r="HT109" s="3"/>
      <c r="HU109" s="3"/>
      <c r="HV109" s="3"/>
      <c r="HW109" s="3"/>
      <c r="HX109" s="3"/>
      <c r="HY109" s="3"/>
      <c r="HZ109" s="3"/>
      <c r="IA109" s="3"/>
      <c r="IB109" s="3"/>
      <c r="IC109" s="3"/>
      <c r="ID109" s="3"/>
      <c r="IE109" s="3"/>
      <c r="IF109" s="3"/>
      <c r="IG109" s="3"/>
      <c r="IH109" s="3"/>
      <c r="II109" s="3"/>
      <c r="IJ109" s="3"/>
      <c r="IK109" s="3"/>
      <c r="IL109" s="3"/>
      <c r="IM109" s="3"/>
      <c r="IN109" s="3"/>
      <c r="IO109" s="3"/>
      <c r="IP109" s="3"/>
      <c r="IQ109" s="3"/>
      <c r="IR109" s="3"/>
      <c r="IS109" s="3"/>
      <c r="IT109" s="3"/>
      <c r="IU109" s="3"/>
      <c r="IV109" s="3"/>
      <c r="IW109" s="3"/>
    </row>
    <row r="110" customFormat="false" ht="12.75" hidden="false" customHeight="false" outlineLevel="0" collapsed="false">
      <c r="A110" s="271"/>
      <c r="B110" s="227" t="s">
        <v>225</v>
      </c>
      <c r="C110" s="272" t="n">
        <v>0.0291</v>
      </c>
      <c r="E110" s="273" t="n">
        <f aca="false">C110</f>
        <v>0.0291</v>
      </c>
      <c r="F110" s="273" t="n">
        <f aca="false">E110</f>
        <v>0.0291</v>
      </c>
      <c r="G110" s="273" t="n">
        <f aca="false">F110</f>
        <v>0.0291</v>
      </c>
      <c r="H110" s="273" t="n">
        <f aca="false">G110</f>
        <v>0.0291</v>
      </c>
      <c r="I110" s="273" t="n">
        <f aca="false">H110</f>
        <v>0.0291</v>
      </c>
      <c r="J110" s="273" t="n">
        <f aca="false">I110</f>
        <v>0.0291</v>
      </c>
      <c r="K110" s="273" t="n">
        <f aca="false">J110</f>
        <v>0.0291</v>
      </c>
      <c r="L110" s="273" t="n">
        <f aca="false">K110</f>
        <v>0.0291</v>
      </c>
      <c r="M110" s="273" t="n">
        <f aca="false">L110</f>
        <v>0.0291</v>
      </c>
      <c r="N110" s="273" t="n">
        <f aca="false">M110</f>
        <v>0.0291</v>
      </c>
      <c r="O110" s="273" t="n">
        <f aca="false">N110</f>
        <v>0.0291</v>
      </c>
      <c r="P110" s="273" t="n">
        <f aca="false">O110</f>
        <v>0.0291</v>
      </c>
      <c r="Q110" s="273" t="n">
        <f aca="false">P110</f>
        <v>0.0291</v>
      </c>
      <c r="R110" s="273" t="n">
        <f aca="false">Q110</f>
        <v>0.0291</v>
      </c>
      <c r="S110" s="273" t="n">
        <f aca="false">R110</f>
        <v>0.0291</v>
      </c>
      <c r="T110" s="273" t="n">
        <f aca="false">S110</f>
        <v>0.0291</v>
      </c>
      <c r="U110" s="273" t="n">
        <f aca="false">T110</f>
        <v>0.0291</v>
      </c>
      <c r="V110" s="273" t="n">
        <f aca="false">U110</f>
        <v>0.0291</v>
      </c>
      <c r="W110" s="273" t="n">
        <f aca="false">V110</f>
        <v>0.0291</v>
      </c>
      <c r="X110" s="273" t="n">
        <f aca="false">W110</f>
        <v>0.0291</v>
      </c>
      <c r="Y110" s="273" t="n">
        <f aca="false">X110</f>
        <v>0.0291</v>
      </c>
      <c r="Z110" s="273" t="n">
        <f aca="false">Y110</f>
        <v>0.0291</v>
      </c>
      <c r="AA110" s="273" t="n">
        <f aca="false">Z110</f>
        <v>0.0291</v>
      </c>
      <c r="AB110" s="273" t="n">
        <f aca="false">AA110</f>
        <v>0.0291</v>
      </c>
      <c r="AC110" s="273" t="n">
        <f aca="false">AB110</f>
        <v>0.0291</v>
      </c>
      <c r="AD110" s="273" t="n">
        <f aca="false">AC110</f>
        <v>0.0291</v>
      </c>
      <c r="AE110" s="273" t="n">
        <f aca="false">AD110</f>
        <v>0.0291</v>
      </c>
      <c r="AF110" s="273" t="n">
        <f aca="false">AE110</f>
        <v>0.0291</v>
      </c>
      <c r="AG110" s="273" t="n">
        <f aca="false">AF110</f>
        <v>0.0291</v>
      </c>
      <c r="AH110" s="273" t="n">
        <f aca="false">AG110</f>
        <v>0.0291</v>
      </c>
      <c r="AI110" s="273" t="n">
        <f aca="false">AH110</f>
        <v>0.0291</v>
      </c>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c r="DI110" s="114"/>
      <c r="DJ110" s="114"/>
      <c r="DK110" s="114"/>
      <c r="DL110" s="114"/>
      <c r="DM110" s="114"/>
      <c r="DN110" s="114"/>
      <c r="DO110" s="114"/>
      <c r="DP110" s="114"/>
      <c r="DQ110" s="114"/>
      <c r="DR110" s="114"/>
      <c r="DS110" s="114"/>
      <c r="DT110" s="114"/>
      <c r="DU110" s="114"/>
      <c r="DV110" s="114"/>
      <c r="DW110" s="114"/>
      <c r="DX110" s="114"/>
      <c r="DY110" s="114"/>
      <c r="DZ110" s="114"/>
      <c r="EA110" s="114"/>
      <c r="EB110" s="114"/>
      <c r="EC110" s="114"/>
      <c r="ED110" s="114"/>
      <c r="EE110" s="114"/>
      <c r="EF110" s="114"/>
      <c r="EG110" s="114"/>
      <c r="EH110" s="114"/>
      <c r="EI110" s="114"/>
      <c r="EJ110" s="114"/>
      <c r="EK110" s="114"/>
      <c r="EL110" s="114"/>
    </row>
    <row r="111" customFormat="false" ht="12.75" hidden="false" customHeight="false" outlineLevel="0" collapsed="false">
      <c r="A111" s="271"/>
      <c r="B111" s="227" t="s">
        <v>226</v>
      </c>
      <c r="C111" s="44"/>
      <c r="D111" s="124"/>
      <c r="E111" s="274" t="n">
        <v>0.025</v>
      </c>
      <c r="F111" s="274" t="n">
        <f aca="false">E111</f>
        <v>0.025</v>
      </c>
      <c r="G111" s="274" t="n">
        <f aca="false">F111</f>
        <v>0.025</v>
      </c>
      <c r="H111" s="274" t="n">
        <f aca="false">G111</f>
        <v>0.025</v>
      </c>
      <c r="I111" s="274" t="n">
        <f aca="false">H111</f>
        <v>0.025</v>
      </c>
      <c r="J111" s="274" t="n">
        <f aca="false">I111</f>
        <v>0.025</v>
      </c>
      <c r="K111" s="274" t="n">
        <f aca="false">J111</f>
        <v>0.025</v>
      </c>
      <c r="L111" s="274" t="n">
        <f aca="false">K111</f>
        <v>0.025</v>
      </c>
      <c r="M111" s="274" t="n">
        <f aca="false">L111</f>
        <v>0.025</v>
      </c>
      <c r="N111" s="274" t="n">
        <f aca="false">M111</f>
        <v>0.025</v>
      </c>
      <c r="O111" s="274" t="n">
        <f aca="false">N111</f>
        <v>0.025</v>
      </c>
      <c r="P111" s="274" t="n">
        <f aca="false">O111</f>
        <v>0.025</v>
      </c>
      <c r="Q111" s="274" t="n">
        <f aca="false">P111</f>
        <v>0.025</v>
      </c>
      <c r="R111" s="274" t="n">
        <f aca="false">Q111</f>
        <v>0.025</v>
      </c>
      <c r="S111" s="274" t="n">
        <f aca="false">R111</f>
        <v>0.025</v>
      </c>
      <c r="T111" s="274" t="n">
        <f aca="false">S111</f>
        <v>0.025</v>
      </c>
      <c r="U111" s="274" t="n">
        <f aca="false">T111</f>
        <v>0.025</v>
      </c>
      <c r="V111" s="274" t="n">
        <f aca="false">U111</f>
        <v>0.025</v>
      </c>
      <c r="W111" s="274" t="n">
        <f aca="false">V111</f>
        <v>0.025</v>
      </c>
      <c r="X111" s="274" t="n">
        <f aca="false">W111</f>
        <v>0.025</v>
      </c>
      <c r="Y111" s="274" t="n">
        <f aca="false">X111</f>
        <v>0.025</v>
      </c>
      <c r="Z111" s="274" t="n">
        <f aca="false">Y111</f>
        <v>0.025</v>
      </c>
      <c r="AA111" s="274" t="n">
        <f aca="false">Z111</f>
        <v>0.025</v>
      </c>
      <c r="AB111" s="274" t="n">
        <f aca="false">AA111</f>
        <v>0.025</v>
      </c>
      <c r="AC111" s="274" t="n">
        <f aca="false">AB111</f>
        <v>0.025</v>
      </c>
      <c r="AD111" s="274" t="n">
        <f aca="false">AC111</f>
        <v>0.025</v>
      </c>
      <c r="AE111" s="274" t="n">
        <f aca="false">AD111</f>
        <v>0.025</v>
      </c>
      <c r="AF111" s="274" t="n">
        <f aca="false">AE111</f>
        <v>0.025</v>
      </c>
      <c r="AG111" s="274" t="n">
        <f aca="false">AF111</f>
        <v>0.025</v>
      </c>
      <c r="AH111" s="274" t="n">
        <f aca="false">AG111</f>
        <v>0.025</v>
      </c>
      <c r="AI111" s="274" t="n">
        <f aca="false">AH111</f>
        <v>0.025</v>
      </c>
      <c r="AJ111" s="114"/>
      <c r="AK111" s="114"/>
      <c r="AL111" s="114"/>
      <c r="AM111" s="114"/>
      <c r="AN111" s="114"/>
      <c r="AO111" s="114"/>
      <c r="AP111" s="114"/>
      <c r="AQ111" s="114"/>
      <c r="AR111" s="114"/>
      <c r="AS111" s="114"/>
      <c r="AT111" s="114"/>
      <c r="AU111" s="114"/>
      <c r="AV111" s="114"/>
      <c r="AW111" s="114"/>
      <c r="AX111" s="114"/>
      <c r="AY111" s="114"/>
      <c r="AZ111" s="114"/>
      <c r="BA111" s="114"/>
      <c r="BB111" s="114"/>
      <c r="BC111" s="114"/>
      <c r="BD111" s="114"/>
      <c r="BE111" s="114"/>
      <c r="BF111" s="114"/>
      <c r="BG111" s="114"/>
      <c r="BH111" s="114"/>
      <c r="BI111" s="114"/>
      <c r="BJ111" s="114"/>
      <c r="BK111" s="114"/>
      <c r="BL111" s="114"/>
      <c r="BM111" s="114"/>
      <c r="BN111" s="114"/>
      <c r="BO111" s="114"/>
      <c r="BP111" s="114"/>
      <c r="BQ111" s="114"/>
      <c r="BR111" s="114"/>
      <c r="BS111" s="114"/>
      <c r="BT111" s="114"/>
      <c r="BU111" s="114"/>
      <c r="BV111" s="114"/>
      <c r="BW111" s="114"/>
      <c r="BX111" s="114"/>
      <c r="BY111" s="114"/>
      <c r="BZ111" s="114"/>
      <c r="CA111" s="114"/>
      <c r="CB111" s="114"/>
      <c r="CC111" s="114"/>
      <c r="CD111" s="114"/>
      <c r="CE111" s="114"/>
      <c r="CF111" s="114"/>
      <c r="CG111" s="114"/>
      <c r="CH111" s="114"/>
      <c r="CI111" s="114"/>
      <c r="CJ111" s="114"/>
      <c r="CK111" s="114"/>
      <c r="CL111" s="114"/>
      <c r="CM111" s="114"/>
      <c r="CN111" s="114"/>
      <c r="CO111" s="114"/>
      <c r="CP111" s="114"/>
      <c r="CQ111" s="114"/>
      <c r="CR111" s="114"/>
      <c r="CS111" s="114"/>
      <c r="CT111" s="114"/>
      <c r="CU111" s="114"/>
      <c r="CV111" s="114"/>
      <c r="CW111" s="114"/>
      <c r="CX111" s="114"/>
      <c r="CY111" s="114"/>
      <c r="CZ111" s="114"/>
      <c r="DA111" s="114"/>
      <c r="DB111" s="114"/>
      <c r="DC111" s="114"/>
      <c r="DD111" s="114"/>
      <c r="DE111" s="114"/>
      <c r="DF111" s="114"/>
      <c r="DG111" s="114"/>
      <c r="DH111" s="114"/>
      <c r="DI111" s="114"/>
      <c r="DJ111" s="114"/>
      <c r="DK111" s="114"/>
      <c r="DL111" s="114"/>
      <c r="DM111" s="114"/>
      <c r="DN111" s="114"/>
      <c r="DO111" s="114"/>
      <c r="DP111" s="114"/>
      <c r="DQ111" s="114"/>
      <c r="DR111" s="114"/>
      <c r="DS111" s="114"/>
      <c r="DT111" s="114"/>
      <c r="DU111" s="114"/>
      <c r="DV111" s="114"/>
      <c r="DW111" s="114"/>
      <c r="DX111" s="114"/>
      <c r="DY111" s="114"/>
      <c r="DZ111" s="114"/>
      <c r="EA111" s="114"/>
      <c r="EB111" s="114"/>
      <c r="EC111" s="114"/>
      <c r="ED111" s="114"/>
      <c r="EE111" s="114"/>
      <c r="EF111" s="114"/>
      <c r="EG111" s="114"/>
      <c r="EH111" s="114"/>
      <c r="EI111" s="114"/>
      <c r="EJ111" s="114"/>
      <c r="EK111" s="114"/>
      <c r="EL111" s="114"/>
    </row>
    <row r="112" customFormat="false" ht="12.75" hidden="false" customHeight="false" outlineLevel="0" collapsed="false">
      <c r="A112" s="271"/>
      <c r="B112" s="227" t="s">
        <v>227</v>
      </c>
      <c r="C112" s="44"/>
      <c r="D112" s="124"/>
      <c r="E112" s="274" t="n">
        <v>0</v>
      </c>
      <c r="F112" s="274"/>
      <c r="G112" s="274"/>
      <c r="H112" s="274"/>
      <c r="I112" s="274"/>
      <c r="J112" s="274"/>
      <c r="K112" s="274"/>
      <c r="L112" s="274"/>
      <c r="M112" s="274"/>
      <c r="N112" s="274"/>
      <c r="O112" s="274"/>
      <c r="P112" s="274"/>
      <c r="Q112" s="274"/>
      <c r="R112" s="274"/>
      <c r="S112" s="274"/>
      <c r="T112" s="274"/>
      <c r="U112" s="274"/>
      <c r="V112" s="274"/>
      <c r="W112" s="274"/>
      <c r="X112" s="274"/>
      <c r="Y112" s="274"/>
      <c r="Z112" s="274"/>
      <c r="AA112" s="274"/>
      <c r="AB112" s="274"/>
      <c r="AC112" s="274"/>
      <c r="AD112" s="274"/>
      <c r="AE112" s="274"/>
      <c r="AF112" s="274"/>
      <c r="AG112" s="274"/>
      <c r="AH112" s="274"/>
      <c r="AI112" s="274"/>
      <c r="AJ112" s="114"/>
      <c r="AK112" s="114"/>
      <c r="AL112" s="114"/>
      <c r="AM112" s="114"/>
      <c r="AN112" s="114"/>
      <c r="AO112" s="114"/>
      <c r="AP112" s="114"/>
      <c r="AQ112" s="114"/>
      <c r="AR112" s="114"/>
      <c r="AS112" s="114"/>
      <c r="AT112" s="114"/>
      <c r="AU112" s="114"/>
      <c r="AV112" s="114"/>
      <c r="AW112" s="114"/>
      <c r="AX112" s="114"/>
      <c r="AY112" s="114"/>
      <c r="AZ112" s="114"/>
      <c r="BA112" s="114"/>
      <c r="BB112" s="114"/>
      <c r="BC112" s="114"/>
      <c r="BD112" s="114"/>
      <c r="BE112" s="114"/>
      <c r="BF112" s="114"/>
      <c r="BG112" s="114"/>
      <c r="BH112" s="114"/>
      <c r="BI112" s="114"/>
      <c r="BJ112" s="114"/>
      <c r="BK112" s="114"/>
      <c r="BL112" s="114"/>
      <c r="BM112" s="114"/>
      <c r="BN112" s="114"/>
      <c r="BO112" s="114"/>
      <c r="BP112" s="114"/>
      <c r="BQ112" s="114"/>
      <c r="BR112" s="114"/>
      <c r="BS112" s="114"/>
      <c r="BT112" s="114"/>
      <c r="BU112" s="114"/>
      <c r="BV112" s="114"/>
      <c r="BW112" s="114"/>
      <c r="BX112" s="114"/>
      <c r="BY112" s="114"/>
      <c r="BZ112" s="114"/>
      <c r="CA112" s="114"/>
      <c r="CB112" s="114"/>
      <c r="CC112" s="114"/>
      <c r="CD112" s="114"/>
      <c r="CE112" s="114"/>
      <c r="CF112" s="114"/>
      <c r="CG112" s="114"/>
      <c r="CH112" s="114"/>
      <c r="CI112" s="114"/>
      <c r="CJ112" s="114"/>
      <c r="CK112" s="114"/>
      <c r="CL112" s="114"/>
      <c r="CM112" s="114"/>
      <c r="CN112" s="114"/>
      <c r="CO112" s="114"/>
      <c r="CP112" s="114"/>
      <c r="CQ112" s="114"/>
      <c r="CR112" s="114"/>
      <c r="CS112" s="114"/>
      <c r="CT112" s="114"/>
      <c r="CU112" s="114"/>
      <c r="CV112" s="114"/>
      <c r="CW112" s="114"/>
      <c r="CX112" s="114"/>
      <c r="CY112" s="114"/>
      <c r="CZ112" s="114"/>
      <c r="DA112" s="114"/>
      <c r="DB112" s="114"/>
      <c r="DC112" s="114"/>
      <c r="DD112" s="114"/>
      <c r="DE112" s="114"/>
      <c r="DF112" s="114"/>
      <c r="DG112" s="114"/>
      <c r="DH112" s="114"/>
      <c r="DI112" s="114"/>
      <c r="DJ112" s="114"/>
      <c r="DK112" s="114"/>
      <c r="DL112" s="114"/>
      <c r="DM112" s="114"/>
      <c r="DN112" s="114"/>
      <c r="DO112" s="114"/>
      <c r="DP112" s="114"/>
      <c r="DQ112" s="114"/>
      <c r="DR112" s="114"/>
      <c r="DS112" s="114"/>
      <c r="DT112" s="114"/>
      <c r="DU112" s="114"/>
      <c r="DV112" s="114"/>
      <c r="DW112" s="114"/>
      <c r="DX112" s="114"/>
      <c r="DY112" s="114"/>
      <c r="DZ112" s="114"/>
      <c r="EA112" s="114"/>
      <c r="EB112" s="114"/>
      <c r="EC112" s="114"/>
      <c r="ED112" s="114"/>
      <c r="EE112" s="114"/>
      <c r="EF112" s="114"/>
      <c r="EG112" s="114"/>
      <c r="EH112" s="114"/>
      <c r="EI112" s="114"/>
      <c r="EJ112" s="114"/>
      <c r="EK112" s="114"/>
      <c r="EL112" s="114"/>
    </row>
    <row r="113" customFormat="false" ht="12.6" hidden="false" customHeight="true" outlineLevel="0" collapsed="false">
      <c r="A113" s="271"/>
      <c r="B113" s="227"/>
      <c r="C113" s="44"/>
      <c r="D113" s="124"/>
      <c r="E113" s="221"/>
      <c r="F113" s="262"/>
      <c r="G113" s="227"/>
      <c r="H113" s="124"/>
      <c r="I113" s="275"/>
      <c r="J113" s="275"/>
      <c r="K113" s="275"/>
      <c r="L113" s="275"/>
      <c r="M113" s="275"/>
      <c r="N113" s="275"/>
      <c r="O113" s="275"/>
      <c r="P113" s="275"/>
      <c r="Q113" s="275"/>
      <c r="R113" s="275"/>
      <c r="S113" s="275"/>
      <c r="T113" s="275"/>
      <c r="U113" s="275"/>
      <c r="V113" s="275"/>
      <c r="W113" s="275"/>
      <c r="X113" s="275"/>
      <c r="Y113" s="275"/>
      <c r="Z113" s="275"/>
      <c r="AA113" s="275"/>
      <c r="AB113" s="275"/>
      <c r="AC113" s="275"/>
      <c r="AD113" s="275"/>
      <c r="AE113" s="275"/>
      <c r="AF113" s="275"/>
      <c r="AG113" s="275"/>
      <c r="AH113" s="275"/>
      <c r="AI113" s="275"/>
      <c r="AJ113" s="114"/>
      <c r="AK113" s="114"/>
      <c r="AL113" s="114"/>
      <c r="AM113" s="114"/>
      <c r="AN113" s="114"/>
      <c r="AO113" s="114"/>
      <c r="AP113" s="114"/>
      <c r="AQ113" s="114"/>
      <c r="AR113" s="114"/>
      <c r="AS113" s="114"/>
      <c r="AT113" s="114"/>
      <c r="AU113" s="114"/>
      <c r="AV113" s="114"/>
      <c r="AW113" s="114"/>
      <c r="AX113" s="114"/>
      <c r="AY113" s="114"/>
      <c r="AZ113" s="114"/>
      <c r="BA113" s="114"/>
      <c r="BB113" s="114"/>
      <c r="BC113" s="114"/>
      <c r="BD113" s="114"/>
      <c r="BE113" s="114"/>
      <c r="BF113" s="114"/>
      <c r="BG113" s="114"/>
      <c r="BH113" s="114"/>
      <c r="BI113" s="114"/>
      <c r="BJ113" s="114"/>
      <c r="BK113" s="114"/>
      <c r="BL113" s="114"/>
      <c r="BM113" s="114"/>
      <c r="BN113" s="114"/>
      <c r="BO113" s="114"/>
      <c r="BP113" s="114"/>
      <c r="BQ113" s="114"/>
      <c r="BR113" s="114"/>
      <c r="BS113" s="114"/>
      <c r="BT113" s="114"/>
      <c r="BU113" s="114"/>
      <c r="BV113" s="114"/>
      <c r="BW113" s="114"/>
      <c r="BX113" s="114"/>
      <c r="BY113" s="114"/>
      <c r="BZ113" s="114"/>
      <c r="CA113" s="114"/>
      <c r="CB113" s="114"/>
      <c r="CC113" s="114"/>
      <c r="CD113" s="114"/>
      <c r="CE113" s="114"/>
      <c r="CF113" s="114"/>
      <c r="CG113" s="114"/>
      <c r="CH113" s="114"/>
      <c r="CI113" s="114"/>
      <c r="CJ113" s="114"/>
      <c r="CK113" s="114"/>
      <c r="CL113" s="114"/>
      <c r="CM113" s="114"/>
      <c r="CN113" s="114"/>
      <c r="CO113" s="114"/>
      <c r="CP113" s="114"/>
      <c r="CQ113" s="114"/>
      <c r="CR113" s="114"/>
      <c r="CS113" s="114"/>
      <c r="CT113" s="114"/>
      <c r="CU113" s="114"/>
      <c r="CV113" s="114"/>
      <c r="CW113" s="114"/>
      <c r="CX113" s="114"/>
      <c r="CY113" s="114"/>
      <c r="CZ113" s="114"/>
      <c r="DA113" s="114"/>
      <c r="DB113" s="114"/>
      <c r="DC113" s="114"/>
      <c r="DD113" s="114"/>
      <c r="DE113" s="114"/>
      <c r="DF113" s="114"/>
      <c r="DG113" s="114"/>
      <c r="DH113" s="114"/>
      <c r="DI113" s="114"/>
      <c r="DJ113" s="114"/>
      <c r="DK113" s="114"/>
      <c r="DL113" s="114"/>
      <c r="DM113" s="114"/>
      <c r="DN113" s="114"/>
      <c r="DO113" s="114"/>
      <c r="DP113" s="114"/>
      <c r="DQ113" s="114"/>
      <c r="DR113" s="114"/>
      <c r="DS113" s="114"/>
      <c r="DT113" s="114"/>
      <c r="DU113" s="114"/>
      <c r="DV113" s="114"/>
      <c r="DW113" s="114"/>
      <c r="DX113" s="114"/>
      <c r="DY113" s="114"/>
      <c r="DZ113" s="114"/>
      <c r="EA113" s="114"/>
      <c r="EB113" s="114"/>
      <c r="EC113" s="114"/>
      <c r="ED113" s="114"/>
      <c r="EE113" s="114"/>
      <c r="EF113" s="114"/>
      <c r="EG113" s="114"/>
      <c r="EH113" s="114"/>
      <c r="EI113" s="114"/>
      <c r="EJ113" s="114"/>
      <c r="EK113" s="114"/>
      <c r="EL113" s="114"/>
    </row>
    <row r="114" customFormat="false" ht="12.75" hidden="false" customHeight="false" outlineLevel="0" collapsed="false">
      <c r="A114" s="269"/>
      <c r="B114" s="10" t="s">
        <v>228</v>
      </c>
      <c r="C114" s="10"/>
      <c r="D114" s="74"/>
      <c r="E114" s="74" t="n">
        <f aca="false">IF(E109&lt;$E$116,E110+E112,E111+E112)</f>
        <v>0.0291</v>
      </c>
      <c r="F114" s="74" t="n">
        <f aca="false">IF(F109&lt;$E$116,F110+F112,F111+F112)</f>
        <v>0.0291</v>
      </c>
      <c r="G114" s="74" t="n">
        <f aca="false">IF(G109&lt;$E$116,G110+G112,G111+G112)</f>
        <v>0.0291</v>
      </c>
      <c r="H114" s="74" t="n">
        <f aca="false">IF(H109&lt;$E$116,H110+H112,H111+H112)</f>
        <v>0.0291</v>
      </c>
      <c r="I114" s="74" t="n">
        <f aca="false">IF(I109&lt;$E$116,I110+I112,I111+I112)</f>
        <v>0.0291</v>
      </c>
      <c r="J114" s="74" t="n">
        <f aca="false">IF(J109&lt;$E$116,J110+J112,J111+J112)</f>
        <v>0.0291</v>
      </c>
      <c r="K114" s="74" t="n">
        <f aca="false">IF(K109&lt;$E$116,K110+K112,K111+K112)</f>
        <v>0.0291</v>
      </c>
      <c r="L114" s="74" t="n">
        <f aca="false">IF(L109&lt;$E$116,L110+L112,L111+L112)</f>
        <v>0.0291</v>
      </c>
      <c r="M114" s="74" t="n">
        <f aca="false">IF(M109&lt;$E$116,M110+M112,M111+M112)</f>
        <v>0.0291</v>
      </c>
      <c r="N114" s="74" t="n">
        <f aca="false">IF(N109&lt;$E$116,N110+N112,N111+N112)</f>
        <v>0.0291</v>
      </c>
      <c r="O114" s="74" t="n">
        <f aca="false">IF(O109&lt;$E$116,O110+O112,O111+O112)</f>
        <v>0.0291</v>
      </c>
      <c r="P114" s="74" t="n">
        <f aca="false">IF(P109&lt;$E$116,P110+P112,P111+P112)</f>
        <v>0.0291</v>
      </c>
      <c r="Q114" s="74" t="n">
        <f aca="false">IF(Q109&lt;$E$116,Q110+Q112,Q111+Q112)</f>
        <v>0.0291</v>
      </c>
      <c r="R114" s="74" t="n">
        <f aca="false">IF(R109&lt;$E$116,R110+R112,R111+R112)</f>
        <v>0.0291</v>
      </c>
      <c r="S114" s="74" t="n">
        <f aca="false">IF(S109&lt;$E$116,S110+S112,S111+S112)</f>
        <v>0.0291</v>
      </c>
      <c r="T114" s="74" t="n">
        <f aca="false">IF(T109&lt;$E$116,T110+T112,T111+T112)</f>
        <v>0.0291</v>
      </c>
      <c r="U114" s="74" t="n">
        <f aca="false">IF(U109&lt;$E$116,U110+U112,U111+U112)</f>
        <v>0.0291</v>
      </c>
      <c r="V114" s="74" t="n">
        <f aca="false">IF(V109&lt;$E$116,V110+V112,V111+V112)</f>
        <v>0.0291</v>
      </c>
      <c r="W114" s="74" t="n">
        <f aca="false">IF(W109&lt;$E$116,W110+W112,W111+W112)</f>
        <v>0.0291</v>
      </c>
      <c r="X114" s="74" t="n">
        <f aca="false">IF(X109&lt;$E$116,X110+X112,X111+X112)</f>
        <v>0.0291</v>
      </c>
      <c r="Y114" s="74" t="n">
        <f aca="false">IF(Y109&lt;$E$116,Y110+Y112,Y111+Y112)</f>
        <v>0.0291</v>
      </c>
      <c r="Z114" s="74" t="n">
        <f aca="false">IF(Z109&lt;$E$116,Z110+Z112,Z111+Z112)</f>
        <v>0.0291</v>
      </c>
      <c r="AA114" s="74" t="n">
        <f aca="false">IF(AA109&lt;$E$116,AA110+AA112,AA111+AA112)</f>
        <v>0.0291</v>
      </c>
      <c r="AB114" s="74" t="n">
        <f aca="false">IF(AB109&lt;$E$116,AB110+AB112,AB111+AB112)</f>
        <v>0.0291</v>
      </c>
      <c r="AC114" s="74" t="n">
        <f aca="false">IF(AC109&lt;$E$116,AC110+AC112,AC111+AC112)</f>
        <v>0.0291</v>
      </c>
      <c r="AD114" s="74" t="n">
        <f aca="false">IF(AD109&lt;$E$116,AD110+AD112,AD111+AD112)</f>
        <v>0.0291</v>
      </c>
      <c r="AE114" s="74" t="n">
        <f aca="false">IF(AE109&lt;$E$116,AE110+AE112,AE111+AE112)</f>
        <v>0.0291</v>
      </c>
      <c r="AF114" s="74" t="n">
        <f aca="false">IF(AF109&lt;$E$116,AF110+AF112,AF111+AF112)</f>
        <v>0.0291</v>
      </c>
      <c r="AG114" s="74" t="n">
        <f aca="false">IF(AG109&lt;$E$116,AG110+AG112,AG111+AG112)</f>
        <v>0.0291</v>
      </c>
      <c r="AH114" s="74" t="n">
        <f aca="false">IF(AH109&lt;$E$116,AH110+AH112,AH111+AH112)</f>
        <v>0.0291</v>
      </c>
      <c r="AI114" s="74" t="n">
        <f aca="false">IF(AI109&lt;$E$116,AI110+AI112,AI111+AI112)</f>
        <v>0.0291</v>
      </c>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c r="CE114" s="24"/>
      <c r="CF114" s="24"/>
      <c r="CG114" s="24"/>
      <c r="CH114" s="24"/>
      <c r="CI114" s="24"/>
      <c r="CJ114" s="24"/>
      <c r="CK114" s="24"/>
      <c r="CL114" s="24"/>
      <c r="CM114" s="24"/>
      <c r="CN114" s="24"/>
      <c r="CO114" s="24"/>
      <c r="CP114" s="24"/>
      <c r="CQ114" s="24"/>
      <c r="CR114" s="24"/>
      <c r="CS114" s="24"/>
      <c r="CT114" s="24"/>
      <c r="CU114" s="24"/>
      <c r="CV114" s="24"/>
      <c r="CW114" s="24"/>
      <c r="CX114" s="24"/>
      <c r="CY114" s="24"/>
      <c r="CZ114" s="24"/>
      <c r="DA114" s="24"/>
      <c r="DB114" s="24"/>
      <c r="DC114" s="24"/>
      <c r="DD114" s="24"/>
      <c r="DE114" s="24"/>
      <c r="DF114" s="24"/>
      <c r="DG114" s="24"/>
      <c r="DH114" s="24"/>
      <c r="DI114" s="24"/>
      <c r="DJ114" s="24"/>
      <c r="DK114" s="24"/>
      <c r="DL114" s="24"/>
      <c r="DM114" s="24"/>
      <c r="DN114" s="24"/>
      <c r="DO114" s="24"/>
      <c r="DP114" s="24"/>
      <c r="DQ114" s="24"/>
      <c r="DR114" s="24"/>
      <c r="DS114" s="24"/>
      <c r="DT114" s="24"/>
      <c r="DU114" s="24"/>
      <c r="DV114" s="24"/>
      <c r="DW114" s="24"/>
      <c r="DX114" s="24"/>
      <c r="DY114" s="24"/>
      <c r="DZ114" s="24"/>
      <c r="EA114" s="24"/>
      <c r="EB114" s="24"/>
      <c r="EC114" s="24"/>
      <c r="ED114" s="24"/>
      <c r="EE114" s="24"/>
      <c r="EF114" s="24"/>
      <c r="EG114" s="24"/>
      <c r="EH114" s="24"/>
      <c r="EI114" s="24"/>
      <c r="EJ114" s="24"/>
      <c r="EK114" s="24"/>
      <c r="EL114" s="24"/>
      <c r="EM114" s="3"/>
      <c r="EN114" s="3"/>
      <c r="EO114" s="3"/>
      <c r="EP114" s="3"/>
      <c r="EQ114" s="3"/>
      <c r="ER114" s="3"/>
      <c r="ES114" s="3"/>
      <c r="ET114" s="3"/>
      <c r="EU114" s="3"/>
      <c r="EV114" s="3"/>
      <c r="EW114" s="3"/>
      <c r="EX114" s="3"/>
      <c r="EY114" s="3"/>
      <c r="EZ114" s="3"/>
      <c r="FA114" s="3"/>
      <c r="FB114" s="3"/>
      <c r="FC114" s="3"/>
      <c r="FD114" s="3"/>
      <c r="FE114" s="3"/>
      <c r="FF114" s="3"/>
      <c r="FG114" s="3"/>
      <c r="FH114" s="3"/>
      <c r="FI114" s="3"/>
      <c r="FJ114" s="3"/>
      <c r="FK114" s="3"/>
      <c r="FL114" s="3"/>
      <c r="FM114" s="3"/>
      <c r="FN114" s="3"/>
      <c r="FO114" s="3"/>
      <c r="FP114" s="3"/>
      <c r="FQ114" s="3"/>
      <c r="FR114" s="3"/>
      <c r="FS114" s="3"/>
      <c r="FT114" s="3"/>
      <c r="FU114" s="3"/>
      <c r="FV114" s="3"/>
      <c r="FW114" s="3"/>
      <c r="FX114" s="3"/>
      <c r="FY114" s="3"/>
      <c r="FZ114" s="3"/>
      <c r="GA114" s="3"/>
      <c r="GB114" s="3"/>
      <c r="GC114" s="3"/>
      <c r="GD114" s="3"/>
      <c r="GE114" s="3"/>
      <c r="GF114" s="3"/>
      <c r="GG114" s="3"/>
      <c r="GH114" s="3"/>
      <c r="GI114" s="3"/>
      <c r="GJ114" s="3"/>
      <c r="GK114" s="3"/>
      <c r="GL114" s="3"/>
      <c r="GM114" s="3"/>
      <c r="GN114" s="3"/>
      <c r="GO114" s="3"/>
      <c r="GP114" s="3"/>
      <c r="GQ114" s="3"/>
      <c r="GR114" s="3"/>
      <c r="GS114" s="3"/>
      <c r="GT114" s="3"/>
      <c r="GU114" s="3"/>
      <c r="GV114" s="3"/>
      <c r="GW114" s="3"/>
      <c r="GX114" s="3"/>
      <c r="GY114" s="3"/>
      <c r="GZ114" s="3"/>
      <c r="HA114" s="3"/>
      <c r="HB114" s="3"/>
      <c r="HC114" s="3"/>
      <c r="HD114" s="3"/>
      <c r="HE114" s="3"/>
      <c r="HF114" s="3"/>
      <c r="HG114" s="3"/>
      <c r="HH114" s="3"/>
      <c r="HI114" s="3"/>
      <c r="HJ114" s="3"/>
      <c r="HK114" s="3"/>
      <c r="HL114" s="3"/>
      <c r="HM114" s="3"/>
      <c r="HN114" s="3"/>
      <c r="HO114" s="3"/>
      <c r="HP114" s="3"/>
      <c r="HQ114" s="3"/>
      <c r="HR114" s="3"/>
      <c r="HS114" s="3"/>
      <c r="HT114" s="3"/>
      <c r="HU114" s="3"/>
      <c r="HV114" s="3"/>
      <c r="HW114" s="3"/>
      <c r="HX114" s="3"/>
      <c r="HY114" s="3"/>
      <c r="HZ114" s="3"/>
      <c r="IA114" s="3"/>
      <c r="IB114" s="3"/>
      <c r="IC114" s="3"/>
      <c r="ID114" s="3"/>
      <c r="IE114" s="3"/>
      <c r="IF114" s="3"/>
      <c r="IG114" s="3"/>
      <c r="IH114" s="3"/>
      <c r="II114" s="3"/>
      <c r="IJ114" s="3"/>
      <c r="IK114" s="3"/>
      <c r="IL114" s="3"/>
      <c r="IM114" s="3"/>
      <c r="IN114" s="3"/>
      <c r="IO114" s="3"/>
      <c r="IP114" s="3"/>
      <c r="IQ114" s="3"/>
      <c r="IR114" s="3"/>
      <c r="IS114" s="3"/>
      <c r="IT114" s="3"/>
      <c r="IU114" s="3"/>
      <c r="IV114" s="3"/>
      <c r="IW114" s="3"/>
    </row>
    <row r="115" customFormat="false" ht="12.75" hidden="false" customHeight="false" outlineLevel="0" collapsed="false">
      <c r="A115" s="269"/>
      <c r="B115" s="152"/>
      <c r="C115" s="152"/>
      <c r="D115" s="74"/>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c r="CE115" s="24"/>
      <c r="CF115" s="24"/>
      <c r="CG115" s="24"/>
      <c r="CH115" s="24"/>
      <c r="CI115" s="24"/>
      <c r="CJ115" s="24"/>
      <c r="CK115" s="24"/>
      <c r="CL115" s="24"/>
      <c r="CM115" s="24"/>
      <c r="CN115" s="24"/>
      <c r="CO115" s="24"/>
      <c r="CP115" s="24"/>
      <c r="CQ115" s="24"/>
      <c r="CR115" s="24"/>
      <c r="CS115" s="24"/>
      <c r="CT115" s="24"/>
      <c r="CU115" s="24"/>
      <c r="CV115" s="24"/>
      <c r="CW115" s="24"/>
      <c r="CX115" s="24"/>
      <c r="CY115" s="24"/>
      <c r="CZ115" s="24"/>
      <c r="DA115" s="24"/>
      <c r="DB115" s="24"/>
      <c r="DC115" s="24"/>
      <c r="DD115" s="24"/>
      <c r="DE115" s="24"/>
      <c r="DF115" s="24"/>
      <c r="DG115" s="24"/>
      <c r="DH115" s="24"/>
      <c r="DI115" s="24"/>
      <c r="DJ115" s="24"/>
      <c r="DK115" s="24"/>
      <c r="DL115" s="24"/>
      <c r="DM115" s="24"/>
      <c r="DN115" s="24"/>
      <c r="DO115" s="24"/>
      <c r="DP115" s="24"/>
      <c r="DQ115" s="24"/>
      <c r="DR115" s="24"/>
      <c r="DS115" s="24"/>
      <c r="DT115" s="24"/>
      <c r="DU115" s="24"/>
      <c r="DV115" s="24"/>
      <c r="DW115" s="24"/>
      <c r="DX115" s="24"/>
      <c r="DY115" s="24"/>
      <c r="DZ115" s="24"/>
      <c r="EA115" s="24"/>
      <c r="EB115" s="24"/>
      <c r="EC115" s="24"/>
      <c r="ED115" s="24"/>
      <c r="EE115" s="24"/>
      <c r="EF115" s="24"/>
      <c r="EG115" s="24"/>
      <c r="EH115" s="24"/>
      <c r="EI115" s="24"/>
      <c r="EJ115" s="24"/>
      <c r="EK115" s="24"/>
      <c r="EL115" s="24"/>
      <c r="EM115" s="3"/>
      <c r="EN115" s="3"/>
      <c r="EO115" s="3"/>
      <c r="EP115" s="3"/>
      <c r="EQ115" s="3"/>
      <c r="ER115" s="3"/>
      <c r="ES115" s="3"/>
      <c r="ET115" s="3"/>
      <c r="EU115" s="3"/>
      <c r="EV115" s="3"/>
      <c r="EW115" s="3"/>
      <c r="EX115" s="3"/>
      <c r="EY115" s="3"/>
      <c r="EZ115" s="3"/>
      <c r="FA115" s="3"/>
      <c r="FB115" s="3"/>
      <c r="FC115" s="3"/>
      <c r="FD115" s="3"/>
      <c r="FE115" s="3"/>
      <c r="FF115" s="3"/>
      <c r="FG115" s="3"/>
      <c r="FH115" s="3"/>
      <c r="FI115" s="3"/>
      <c r="FJ115" s="3"/>
      <c r="FK115" s="3"/>
      <c r="FL115" s="3"/>
      <c r="FM115" s="3"/>
      <c r="FN115" s="3"/>
      <c r="FO115" s="3"/>
      <c r="FP115" s="3"/>
      <c r="FQ115" s="3"/>
      <c r="FR115" s="3"/>
      <c r="FS115" s="3"/>
      <c r="FT115" s="3"/>
      <c r="FU115" s="3"/>
      <c r="FV115" s="3"/>
      <c r="FW115" s="3"/>
      <c r="FX115" s="3"/>
      <c r="FY115" s="3"/>
      <c r="FZ115" s="3"/>
      <c r="GA115" s="3"/>
      <c r="GB115" s="3"/>
      <c r="GC115" s="3"/>
      <c r="GD115" s="3"/>
      <c r="GE115" s="3"/>
      <c r="GF115" s="3"/>
      <c r="GG115" s="3"/>
      <c r="GH115" s="3"/>
      <c r="GI115" s="3"/>
      <c r="GJ115" s="3"/>
      <c r="GK115" s="3"/>
      <c r="GL115" s="3"/>
      <c r="GM115" s="3"/>
      <c r="GN115" s="3"/>
      <c r="GO115" s="3"/>
      <c r="GP115" s="3"/>
      <c r="GQ115" s="3"/>
      <c r="GR115" s="3"/>
      <c r="GS115" s="3"/>
      <c r="GT115" s="3"/>
      <c r="GU115" s="3"/>
      <c r="GV115" s="3"/>
      <c r="GW115" s="3"/>
      <c r="GX115" s="3"/>
      <c r="GY115" s="3"/>
      <c r="GZ115" s="3"/>
      <c r="HA115" s="3"/>
      <c r="HB115" s="3"/>
      <c r="HC115" s="3"/>
      <c r="HD115" s="3"/>
      <c r="HE115" s="3"/>
      <c r="HF115" s="3"/>
      <c r="HG115" s="3"/>
      <c r="HH115" s="3"/>
      <c r="HI115" s="3"/>
      <c r="HJ115" s="3"/>
      <c r="HK115" s="3"/>
      <c r="HL115" s="3"/>
      <c r="HM115" s="3"/>
      <c r="HN115" s="3"/>
      <c r="HO115" s="3"/>
      <c r="HP115" s="3"/>
      <c r="HQ115" s="3"/>
      <c r="HR115" s="3"/>
      <c r="HS115" s="3"/>
      <c r="HT115" s="3"/>
      <c r="HU115" s="3"/>
      <c r="HV115" s="3"/>
      <c r="HW115" s="3"/>
      <c r="HX115" s="3"/>
      <c r="HY115" s="3"/>
      <c r="HZ115" s="3"/>
      <c r="IA115" s="3"/>
      <c r="IB115" s="3"/>
      <c r="IC115" s="3"/>
      <c r="ID115" s="3"/>
      <c r="IE115" s="3"/>
      <c r="IF115" s="3"/>
      <c r="IG115" s="3"/>
      <c r="IH115" s="3"/>
      <c r="II115" s="3"/>
      <c r="IJ115" s="3"/>
      <c r="IK115" s="3"/>
      <c r="IL115" s="3"/>
      <c r="IM115" s="3"/>
      <c r="IN115" s="3"/>
      <c r="IO115" s="3"/>
      <c r="IP115" s="3"/>
      <c r="IQ115" s="3"/>
      <c r="IR115" s="3"/>
      <c r="IS115" s="3"/>
      <c r="IT115" s="3"/>
      <c r="IU115" s="3"/>
      <c r="IV115" s="3"/>
      <c r="IW115" s="3"/>
    </row>
    <row r="116" customFormat="false" ht="12.75" hidden="false" customHeight="false" outlineLevel="0" collapsed="false">
      <c r="A116" s="276"/>
      <c r="B116" s="227" t="s">
        <v>229</v>
      </c>
      <c r="C116" s="44"/>
      <c r="D116" s="124"/>
      <c r="E116" s="277" t="n">
        <v>2045</v>
      </c>
      <c r="F116" s="111"/>
      <c r="G116" s="111"/>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4"/>
      <c r="AL116" s="114"/>
      <c r="AM116" s="114"/>
      <c r="AN116" s="114"/>
      <c r="AO116" s="114"/>
      <c r="AP116" s="114"/>
      <c r="AQ116" s="114"/>
      <c r="AR116" s="114"/>
      <c r="AS116" s="114"/>
      <c r="AT116" s="114"/>
      <c r="AU116" s="114"/>
      <c r="AV116" s="114"/>
      <c r="AW116" s="114"/>
      <c r="AX116" s="114"/>
      <c r="AY116" s="114"/>
      <c r="AZ116" s="114"/>
      <c r="BA116" s="114"/>
      <c r="BB116" s="114"/>
      <c r="BC116" s="114"/>
      <c r="BD116" s="114"/>
      <c r="BE116" s="114"/>
      <c r="BF116" s="114"/>
      <c r="BG116" s="114"/>
      <c r="BH116" s="114"/>
      <c r="BI116" s="114"/>
      <c r="BJ116" s="114"/>
      <c r="BK116" s="114"/>
      <c r="BL116" s="114"/>
      <c r="BM116" s="114"/>
      <c r="BN116" s="114"/>
      <c r="BO116" s="114"/>
      <c r="BP116" s="114"/>
      <c r="BQ116" s="114"/>
      <c r="BR116" s="114"/>
      <c r="BS116" s="114"/>
      <c r="BT116" s="114"/>
      <c r="BU116" s="114"/>
      <c r="BV116" s="114"/>
      <c r="BW116" s="114"/>
      <c r="BX116" s="114"/>
      <c r="BY116" s="114"/>
      <c r="BZ116" s="114"/>
      <c r="CA116" s="114"/>
      <c r="CB116" s="114"/>
      <c r="CC116" s="114"/>
      <c r="CD116" s="114"/>
      <c r="CE116" s="114"/>
      <c r="CF116" s="114"/>
      <c r="CG116" s="114"/>
      <c r="CH116" s="114"/>
      <c r="CI116" s="114"/>
      <c r="CJ116" s="114"/>
      <c r="CK116" s="114"/>
      <c r="CL116" s="114"/>
      <c r="CM116" s="114"/>
      <c r="CN116" s="114"/>
      <c r="CO116" s="114"/>
      <c r="CP116" s="114"/>
      <c r="CQ116" s="114"/>
      <c r="CR116" s="114"/>
      <c r="CS116" s="114"/>
      <c r="CT116" s="114"/>
      <c r="CU116" s="114"/>
      <c r="CV116" s="114"/>
      <c r="CW116" s="114"/>
      <c r="CX116" s="114"/>
      <c r="CY116" s="114"/>
      <c r="CZ116" s="114"/>
      <c r="DA116" s="114"/>
      <c r="DB116" s="114"/>
      <c r="DC116" s="114"/>
      <c r="DD116" s="114"/>
      <c r="DE116" s="114"/>
      <c r="DF116" s="114"/>
      <c r="DG116" s="114"/>
      <c r="DH116" s="114"/>
      <c r="DI116" s="114"/>
      <c r="DJ116" s="114"/>
      <c r="DK116" s="114"/>
      <c r="DL116" s="114"/>
      <c r="DM116" s="114"/>
      <c r="DN116" s="114"/>
      <c r="DO116" s="114"/>
      <c r="DP116" s="114"/>
      <c r="DQ116" s="114"/>
      <c r="DR116" s="114"/>
      <c r="DS116" s="114"/>
      <c r="DT116" s="114"/>
      <c r="DU116" s="114"/>
      <c r="DV116" s="114"/>
      <c r="DW116" s="114"/>
      <c r="DX116" s="114"/>
      <c r="DY116" s="114"/>
      <c r="DZ116" s="114"/>
      <c r="EA116" s="114"/>
      <c r="EB116" s="114"/>
      <c r="EC116" s="114"/>
      <c r="ED116" s="114"/>
      <c r="EE116" s="114"/>
      <c r="EF116" s="114"/>
      <c r="EG116" s="114"/>
      <c r="EH116" s="114"/>
      <c r="EI116" s="114"/>
      <c r="EJ116" s="114"/>
      <c r="EK116" s="114"/>
      <c r="EL116" s="114"/>
    </row>
    <row r="117" customFormat="false" ht="12.75" hidden="false" customHeight="false" outlineLevel="0" collapsed="false">
      <c r="A117" s="276"/>
      <c r="B117" s="227"/>
      <c r="C117" s="44"/>
      <c r="D117" s="124"/>
      <c r="E117" s="278"/>
      <c r="F117" s="111"/>
      <c r="G117" s="111"/>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4"/>
      <c r="BR117" s="114"/>
      <c r="BS117" s="114"/>
      <c r="BT117" s="114"/>
      <c r="BU117" s="114"/>
      <c r="BV117" s="114"/>
      <c r="BW117" s="114"/>
      <c r="BX117" s="114"/>
      <c r="BY117" s="114"/>
      <c r="BZ117" s="114"/>
      <c r="CA117" s="114"/>
      <c r="CB117" s="114"/>
      <c r="CC117" s="114"/>
      <c r="CD117" s="114"/>
      <c r="CE117" s="114"/>
      <c r="CF117" s="114"/>
      <c r="CG117" s="114"/>
      <c r="CH117" s="114"/>
      <c r="CI117" s="114"/>
      <c r="CJ117" s="114"/>
      <c r="CK117" s="114"/>
      <c r="CL117" s="114"/>
      <c r="CM117" s="114"/>
      <c r="CN117" s="114"/>
      <c r="CO117" s="114"/>
      <c r="CP117" s="114"/>
      <c r="CQ117" s="114"/>
      <c r="CR117" s="114"/>
      <c r="CS117" s="114"/>
      <c r="CT117" s="114"/>
      <c r="CU117" s="114"/>
      <c r="CV117" s="114"/>
      <c r="CW117" s="114"/>
      <c r="CX117" s="114"/>
      <c r="CY117" s="114"/>
      <c r="CZ117" s="114"/>
      <c r="DA117" s="114"/>
      <c r="DB117" s="114"/>
      <c r="DC117" s="114"/>
      <c r="DD117" s="114"/>
      <c r="DE117" s="114"/>
      <c r="DF117" s="114"/>
      <c r="DG117" s="114"/>
      <c r="DH117" s="114"/>
      <c r="DI117" s="114"/>
      <c r="DJ117" s="114"/>
      <c r="DK117" s="114"/>
      <c r="DL117" s="114"/>
      <c r="DM117" s="114"/>
      <c r="DN117" s="114"/>
      <c r="DO117" s="114"/>
      <c r="DP117" s="114"/>
      <c r="DQ117" s="114"/>
      <c r="DR117" s="114"/>
      <c r="DS117" s="114"/>
      <c r="DT117" s="114"/>
      <c r="DU117" s="114"/>
      <c r="DV117" s="114"/>
      <c r="DW117" s="114"/>
      <c r="DX117" s="114"/>
      <c r="DY117" s="114"/>
      <c r="DZ117" s="114"/>
      <c r="EA117" s="114"/>
      <c r="EB117" s="114"/>
      <c r="EC117" s="114"/>
      <c r="ED117" s="114"/>
      <c r="EE117" s="114"/>
      <c r="EF117" s="114"/>
      <c r="EG117" s="114"/>
      <c r="EH117" s="114"/>
      <c r="EI117" s="114"/>
      <c r="EJ117" s="114"/>
      <c r="EK117" s="114"/>
      <c r="EL117" s="114"/>
    </row>
    <row r="118" customFormat="false" ht="12.75" hidden="false" customHeight="false" outlineLevel="0" collapsed="false">
      <c r="A118" s="276"/>
      <c r="B118" s="227"/>
      <c r="C118" s="44"/>
      <c r="D118" s="124"/>
      <c r="E118" s="279" t="s">
        <v>230</v>
      </c>
      <c r="F118" s="29" t="s">
        <v>231</v>
      </c>
      <c r="G118" s="111"/>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4"/>
      <c r="AL118" s="114"/>
      <c r="AM118" s="114"/>
      <c r="AN118" s="114"/>
      <c r="AO118" s="114"/>
      <c r="AP118" s="114"/>
      <c r="AQ118" s="114"/>
      <c r="AR118" s="114"/>
      <c r="AS118" s="114"/>
      <c r="AT118" s="114"/>
      <c r="AU118" s="114"/>
      <c r="AV118" s="114"/>
      <c r="AW118" s="114"/>
      <c r="AX118" s="114"/>
      <c r="AY118" s="114"/>
      <c r="AZ118" s="114"/>
      <c r="BA118" s="114"/>
      <c r="BB118" s="114"/>
      <c r="BC118" s="114"/>
      <c r="BD118" s="114"/>
      <c r="BE118" s="114"/>
      <c r="BF118" s="114"/>
      <c r="BG118" s="114"/>
      <c r="BH118" s="114"/>
      <c r="BI118" s="114"/>
      <c r="BJ118" s="114"/>
      <c r="BK118" s="114"/>
      <c r="BL118" s="114"/>
      <c r="BM118" s="114"/>
      <c r="BN118" s="114"/>
      <c r="BO118" s="114"/>
      <c r="BP118" s="114"/>
      <c r="BQ118" s="114"/>
      <c r="BR118" s="114"/>
      <c r="BS118" s="114"/>
      <c r="BT118" s="114"/>
      <c r="BU118" s="114"/>
      <c r="BV118" s="114"/>
      <c r="BW118" s="114"/>
      <c r="BX118" s="114"/>
      <c r="BY118" s="114"/>
      <c r="BZ118" s="114"/>
      <c r="CA118" s="114"/>
      <c r="CB118" s="114"/>
      <c r="CC118" s="114"/>
      <c r="CD118" s="114"/>
      <c r="CE118" s="114"/>
      <c r="CF118" s="114"/>
      <c r="CG118" s="114"/>
      <c r="CH118" s="114"/>
      <c r="CI118" s="114"/>
      <c r="CJ118" s="114"/>
      <c r="CK118" s="114"/>
      <c r="CL118" s="114"/>
      <c r="CM118" s="114"/>
      <c r="CN118" s="114"/>
      <c r="CO118" s="114"/>
      <c r="CP118" s="114"/>
      <c r="CQ118" s="114"/>
      <c r="CR118" s="114"/>
      <c r="CS118" s="114"/>
      <c r="CT118" s="114"/>
      <c r="CU118" s="114"/>
      <c r="CV118" s="114"/>
      <c r="CW118" s="114"/>
      <c r="CX118" s="114"/>
      <c r="CY118" s="114"/>
      <c r="CZ118" s="114"/>
      <c r="DA118" s="114"/>
      <c r="DB118" s="114"/>
      <c r="DC118" s="114"/>
      <c r="DD118" s="114"/>
      <c r="DE118" s="114"/>
      <c r="DF118" s="114"/>
      <c r="DG118" s="114"/>
      <c r="DH118" s="114"/>
      <c r="DI118" s="114"/>
      <c r="DJ118" s="114"/>
      <c r="DK118" s="114"/>
      <c r="DL118" s="114"/>
      <c r="DM118" s="114"/>
      <c r="DN118" s="114"/>
      <c r="DO118" s="114"/>
      <c r="DP118" s="114"/>
      <c r="DQ118" s="114"/>
      <c r="DR118" s="114"/>
      <c r="DS118" s="114"/>
      <c r="DT118" s="114"/>
      <c r="DU118" s="114"/>
      <c r="DV118" s="114"/>
      <c r="DW118" s="114"/>
      <c r="DX118" s="114"/>
      <c r="DY118" s="114"/>
      <c r="DZ118" s="114"/>
      <c r="EA118" s="114"/>
      <c r="EB118" s="114"/>
      <c r="EC118" s="114"/>
      <c r="ED118" s="114"/>
      <c r="EE118" s="114"/>
      <c r="EF118" s="114"/>
      <c r="EG118" s="114"/>
      <c r="EH118" s="114"/>
      <c r="EI118" s="114"/>
      <c r="EJ118" s="114"/>
      <c r="EK118" s="114"/>
      <c r="EL118" s="114"/>
    </row>
    <row r="119" customFormat="false" ht="12.75" hidden="false" customHeight="false" outlineLevel="0" collapsed="false">
      <c r="A119" s="276"/>
      <c r="B119" s="124" t="s">
        <v>232</v>
      </c>
      <c r="C119" s="23"/>
      <c r="D119" s="124"/>
      <c r="E119" s="280" t="n">
        <f aca="false">1-F119</f>
        <v>0</v>
      </c>
      <c r="F119" s="280" t="n">
        <f aca="false">H23</f>
        <v>1</v>
      </c>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c r="AN119" s="124"/>
      <c r="AO119" s="124"/>
      <c r="AP119" s="124"/>
      <c r="AQ119" s="124"/>
      <c r="AR119" s="124"/>
      <c r="AS119" s="124"/>
      <c r="AT119" s="124"/>
      <c r="AU119" s="124"/>
      <c r="AV119" s="124"/>
      <c r="AW119" s="124"/>
      <c r="AX119" s="124"/>
      <c r="AY119" s="124"/>
      <c r="AZ119" s="124"/>
      <c r="BA119" s="124"/>
      <c r="BB119" s="124"/>
      <c r="BC119" s="124"/>
      <c r="BD119" s="124"/>
      <c r="BE119" s="124"/>
      <c r="BF119" s="124"/>
      <c r="BG119" s="124"/>
      <c r="BH119" s="124"/>
      <c r="BI119" s="124"/>
      <c r="BJ119" s="124"/>
      <c r="BK119" s="124"/>
      <c r="BL119" s="124"/>
      <c r="BM119" s="124"/>
      <c r="BN119" s="124"/>
      <c r="BO119" s="124"/>
      <c r="BP119" s="124"/>
      <c r="BQ119" s="124"/>
      <c r="BR119" s="124"/>
      <c r="BS119" s="124"/>
      <c r="BT119" s="124"/>
      <c r="BU119" s="124"/>
      <c r="BV119" s="124"/>
      <c r="BW119" s="124"/>
      <c r="BX119" s="124"/>
      <c r="BY119" s="124"/>
      <c r="BZ119" s="124"/>
      <c r="CA119" s="124"/>
      <c r="CB119" s="124"/>
      <c r="CC119" s="124"/>
      <c r="CD119" s="124"/>
      <c r="CE119" s="124"/>
      <c r="CF119" s="124"/>
      <c r="CG119" s="124"/>
      <c r="CH119" s="124"/>
      <c r="CI119" s="124"/>
      <c r="CJ119" s="124"/>
      <c r="CK119" s="124"/>
      <c r="CL119" s="124"/>
      <c r="CM119" s="124"/>
      <c r="CN119" s="124"/>
      <c r="CO119" s="124"/>
      <c r="CP119" s="124"/>
      <c r="CQ119" s="124"/>
      <c r="CR119" s="124"/>
      <c r="CS119" s="124"/>
      <c r="CT119" s="124"/>
      <c r="CU119" s="124"/>
      <c r="CV119" s="124"/>
      <c r="CW119" s="124"/>
      <c r="CX119" s="124"/>
      <c r="CY119" s="124"/>
      <c r="CZ119" s="124"/>
      <c r="DA119" s="124"/>
      <c r="DB119" s="124"/>
      <c r="DC119" s="124"/>
      <c r="DD119" s="124"/>
      <c r="DE119" s="124"/>
      <c r="DF119" s="124"/>
      <c r="DG119" s="124"/>
      <c r="DH119" s="124"/>
      <c r="DI119" s="124"/>
      <c r="DJ119" s="124"/>
      <c r="DK119" s="124"/>
      <c r="DL119" s="124"/>
      <c r="DM119" s="124"/>
      <c r="DN119" s="124"/>
      <c r="DO119" s="124"/>
      <c r="DP119" s="124"/>
      <c r="DQ119" s="124"/>
      <c r="DR119" s="124"/>
      <c r="DS119" s="124"/>
      <c r="DT119" s="124"/>
      <c r="DU119" s="124"/>
      <c r="DV119" s="124"/>
      <c r="DW119" s="124"/>
      <c r="DX119" s="124"/>
      <c r="DY119" s="124"/>
      <c r="DZ119" s="124"/>
      <c r="EA119" s="124"/>
      <c r="EB119" s="124"/>
      <c r="EC119" s="124"/>
      <c r="ED119" s="124"/>
      <c r="EE119" s="124"/>
      <c r="EF119" s="124"/>
      <c r="EG119" s="124"/>
      <c r="EH119" s="124"/>
      <c r="EI119" s="124"/>
      <c r="EJ119" s="124"/>
      <c r="EK119" s="124"/>
      <c r="EL119" s="124"/>
    </row>
    <row r="120" customFormat="false" ht="12.75" hidden="false" customHeight="false" outlineLevel="0" collapsed="false">
      <c r="A120" s="276"/>
      <c r="B120" s="124"/>
      <c r="C120" s="23"/>
      <c r="D120" s="124"/>
      <c r="F120" s="111"/>
      <c r="G120" s="111"/>
      <c r="H120" s="111"/>
      <c r="I120" s="111"/>
      <c r="J120" s="111"/>
      <c r="K120" s="111"/>
      <c r="L120" s="111"/>
      <c r="M120" s="111"/>
      <c r="N120" s="111"/>
      <c r="O120" s="111"/>
      <c r="P120" s="111"/>
      <c r="Q120" s="111"/>
      <c r="R120" s="111"/>
      <c r="S120" s="111"/>
      <c r="T120" s="111"/>
      <c r="U120" s="111"/>
      <c r="V120" s="111"/>
      <c r="W120" s="111"/>
      <c r="X120" s="111"/>
      <c r="Y120" s="111"/>
      <c r="Z120" s="111"/>
      <c r="AA120" s="111"/>
      <c r="AB120" s="111"/>
      <c r="AC120" s="111"/>
      <c r="AD120" s="111"/>
      <c r="AE120" s="111"/>
      <c r="AF120" s="111"/>
      <c r="AG120" s="111"/>
      <c r="AH120" s="111"/>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4"/>
      <c r="BD120" s="114"/>
      <c r="BE120" s="114"/>
      <c r="BF120" s="114"/>
      <c r="BG120" s="114"/>
      <c r="BH120" s="114"/>
      <c r="BI120" s="114"/>
      <c r="BJ120" s="114"/>
      <c r="BK120" s="114"/>
      <c r="BL120" s="114"/>
      <c r="BM120" s="114"/>
      <c r="BN120" s="114"/>
      <c r="BO120" s="114"/>
      <c r="BP120" s="114"/>
      <c r="BQ120" s="114"/>
      <c r="BR120" s="114"/>
      <c r="BS120" s="114"/>
      <c r="BT120" s="114"/>
      <c r="BU120" s="114"/>
      <c r="BV120" s="114"/>
      <c r="BW120" s="114"/>
      <c r="BX120" s="114"/>
      <c r="BY120" s="114"/>
      <c r="BZ120" s="114"/>
      <c r="CA120" s="114"/>
      <c r="CB120" s="114"/>
      <c r="CC120" s="114"/>
      <c r="CD120" s="114"/>
      <c r="CE120" s="114"/>
      <c r="CF120" s="114"/>
      <c r="CG120" s="114"/>
      <c r="CH120" s="114"/>
      <c r="CI120" s="114"/>
      <c r="CJ120" s="114"/>
      <c r="CK120" s="114"/>
      <c r="CL120" s="114"/>
      <c r="CM120" s="114"/>
      <c r="CN120" s="114"/>
      <c r="CO120" s="114"/>
      <c r="CP120" s="114"/>
      <c r="CQ120" s="114"/>
      <c r="CR120" s="114"/>
      <c r="CS120" s="114"/>
      <c r="CT120" s="114"/>
      <c r="CU120" s="114"/>
      <c r="CV120" s="114"/>
      <c r="CW120" s="114"/>
      <c r="CX120" s="114"/>
      <c r="CY120" s="114"/>
      <c r="CZ120" s="114"/>
      <c r="DA120" s="114"/>
      <c r="DB120" s="114"/>
      <c r="DC120" s="114"/>
      <c r="DD120" s="114"/>
      <c r="DE120" s="114"/>
      <c r="DF120" s="114"/>
      <c r="DG120" s="114"/>
      <c r="DH120" s="114"/>
      <c r="DI120" s="114"/>
      <c r="DJ120" s="114"/>
      <c r="DK120" s="114"/>
      <c r="DL120" s="114"/>
      <c r="DM120" s="114"/>
      <c r="DN120" s="114"/>
      <c r="DO120" s="114"/>
      <c r="DP120" s="114"/>
      <c r="DQ120" s="114"/>
      <c r="DR120" s="114"/>
      <c r="DS120" s="114"/>
      <c r="DT120" s="114"/>
      <c r="DU120" s="114"/>
      <c r="DV120" s="114"/>
      <c r="DW120" s="114"/>
      <c r="DX120" s="114"/>
      <c r="DY120" s="114"/>
      <c r="DZ120" s="114"/>
      <c r="EA120" s="114"/>
      <c r="EB120" s="114"/>
      <c r="EC120" s="114"/>
      <c r="ED120" s="114"/>
      <c r="EE120" s="114"/>
      <c r="EF120" s="114"/>
      <c r="EG120" s="114"/>
      <c r="EH120" s="114"/>
      <c r="EI120" s="114"/>
      <c r="EJ120" s="114"/>
      <c r="EK120" s="114"/>
      <c r="EL120" s="114"/>
    </row>
    <row r="121" customFormat="false" ht="12.75" hidden="false" customHeight="false" outlineLevel="0" collapsed="false">
      <c r="A121" s="276"/>
      <c r="B121" s="111"/>
      <c r="C121" s="22"/>
      <c r="D121" s="111"/>
      <c r="E121" s="111"/>
      <c r="F121" s="111"/>
      <c r="G121" s="111"/>
      <c r="H121" s="111"/>
      <c r="I121" s="111"/>
      <c r="J121" s="111"/>
      <c r="K121" s="111"/>
      <c r="L121" s="111"/>
      <c r="M121" s="111"/>
      <c r="N121" s="111"/>
      <c r="O121" s="111"/>
      <c r="P121" s="111"/>
      <c r="Q121" s="111"/>
      <c r="R121" s="111"/>
      <c r="S121" s="111"/>
      <c r="T121" s="111"/>
      <c r="U121" s="111"/>
      <c r="V121" s="111"/>
      <c r="W121" s="111"/>
      <c r="X121" s="111"/>
      <c r="Y121" s="111"/>
      <c r="Z121" s="111"/>
      <c r="AA121" s="111"/>
      <c r="AB121" s="111"/>
      <c r="AC121" s="111"/>
      <c r="AD121" s="111"/>
      <c r="AE121" s="111"/>
      <c r="AF121" s="111"/>
      <c r="AG121" s="111"/>
      <c r="AH121" s="111"/>
      <c r="AI121" s="114"/>
      <c r="AJ121" s="114"/>
      <c r="AK121" s="114"/>
      <c r="AL121" s="114"/>
      <c r="AM121" s="114"/>
      <c r="AN121" s="114"/>
      <c r="AO121" s="114"/>
      <c r="AP121" s="114"/>
      <c r="AQ121" s="114"/>
      <c r="AR121" s="114"/>
      <c r="AS121" s="114"/>
      <c r="AT121" s="114"/>
      <c r="AU121" s="114"/>
      <c r="AV121" s="114"/>
      <c r="AW121" s="114"/>
      <c r="AX121" s="114"/>
      <c r="AY121" s="114"/>
      <c r="AZ121" s="114"/>
      <c r="BA121" s="114"/>
      <c r="BB121" s="114"/>
      <c r="BC121" s="114"/>
      <c r="BD121" s="114"/>
      <c r="BE121" s="114"/>
      <c r="BF121" s="114"/>
      <c r="BG121" s="114"/>
      <c r="BH121" s="114"/>
      <c r="BI121" s="114"/>
      <c r="BJ121" s="114"/>
      <c r="BK121" s="114"/>
      <c r="BL121" s="114"/>
      <c r="BM121" s="114"/>
      <c r="BN121" s="114"/>
      <c r="BO121" s="114"/>
      <c r="BP121" s="114"/>
      <c r="BQ121" s="114"/>
      <c r="BR121" s="114"/>
      <c r="BS121" s="114"/>
      <c r="BT121" s="114"/>
      <c r="BU121" s="114"/>
      <c r="BV121" s="114"/>
      <c r="BW121" s="114"/>
      <c r="BX121" s="114"/>
      <c r="BY121" s="114"/>
      <c r="BZ121" s="114"/>
      <c r="CA121" s="114"/>
      <c r="CB121" s="114"/>
      <c r="CC121" s="114"/>
      <c r="CD121" s="114"/>
      <c r="CE121" s="114"/>
      <c r="CF121" s="114"/>
      <c r="CG121" s="114"/>
      <c r="CH121" s="114"/>
      <c r="CI121" s="114"/>
      <c r="CJ121" s="114"/>
      <c r="CK121" s="114"/>
      <c r="CL121" s="114"/>
      <c r="CM121" s="114"/>
      <c r="CN121" s="114"/>
      <c r="CO121" s="114"/>
      <c r="CP121" s="114"/>
      <c r="CQ121" s="114"/>
      <c r="CR121" s="114"/>
      <c r="CS121" s="114"/>
      <c r="CT121" s="114"/>
      <c r="CU121" s="114"/>
      <c r="CV121" s="114"/>
      <c r="CW121" s="114"/>
      <c r="CX121" s="114"/>
      <c r="CY121" s="114"/>
      <c r="CZ121" s="114"/>
      <c r="DA121" s="114"/>
      <c r="DB121" s="114"/>
      <c r="DC121" s="114"/>
      <c r="DD121" s="114"/>
      <c r="DE121" s="114"/>
      <c r="DF121" s="114"/>
      <c r="DG121" s="114"/>
      <c r="DH121" s="114"/>
      <c r="DI121" s="114"/>
      <c r="DJ121" s="114"/>
      <c r="DK121" s="114"/>
      <c r="DL121" s="114"/>
      <c r="DM121" s="114"/>
      <c r="DN121" s="114"/>
      <c r="DO121" s="114"/>
      <c r="DP121" s="114"/>
      <c r="DQ121" s="114"/>
      <c r="DR121" s="114"/>
      <c r="DS121" s="114"/>
      <c r="DT121" s="114"/>
      <c r="DU121" s="114"/>
      <c r="DV121" s="114"/>
      <c r="DW121" s="114"/>
      <c r="DX121" s="114"/>
      <c r="DY121" s="114"/>
      <c r="DZ121" s="114"/>
      <c r="EA121" s="114"/>
      <c r="EB121" s="114"/>
      <c r="EC121" s="114"/>
      <c r="ED121" s="114"/>
      <c r="EE121" s="114"/>
      <c r="EF121" s="114"/>
      <c r="EG121" s="114"/>
      <c r="EH121" s="114"/>
      <c r="EI121" s="114"/>
      <c r="EJ121" s="114"/>
      <c r="EK121" s="114"/>
      <c r="EL121" s="114"/>
    </row>
    <row r="122" customFormat="false" ht="12.75" hidden="false" customHeight="false" outlineLevel="0" collapsed="false">
      <c r="A122" s="276"/>
      <c r="B122" s="117" t="s">
        <v>233</v>
      </c>
      <c r="C122" s="281"/>
      <c r="D122" s="56" t="n">
        <v>0.0825</v>
      </c>
      <c r="E122" s="282" t="n">
        <f aca="false">PMT(D122,20,-(NPV(D122,CashFlow!E8:X8)))</f>
        <v>0.0291</v>
      </c>
      <c r="F122" s="111"/>
      <c r="G122" s="111"/>
      <c r="H122" s="111"/>
      <c r="I122" s="111"/>
      <c r="J122" s="111"/>
      <c r="K122" s="111"/>
      <c r="L122" s="111"/>
      <c r="M122" s="111"/>
      <c r="N122" s="111"/>
      <c r="O122" s="111"/>
      <c r="P122" s="111"/>
      <c r="Q122" s="111"/>
      <c r="R122" s="111"/>
      <c r="S122" s="111"/>
      <c r="T122" s="111"/>
      <c r="U122" s="111"/>
      <c r="V122" s="111"/>
      <c r="W122" s="111"/>
      <c r="X122" s="111"/>
      <c r="Y122" s="111"/>
      <c r="Z122" s="111"/>
      <c r="AA122" s="111"/>
      <c r="AB122" s="111"/>
      <c r="AC122" s="111"/>
      <c r="AD122" s="111"/>
      <c r="AE122" s="111"/>
      <c r="AF122" s="111"/>
      <c r="AG122" s="111"/>
      <c r="AH122" s="111"/>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4"/>
      <c r="BE122" s="114"/>
      <c r="BF122" s="114"/>
      <c r="BG122" s="114"/>
      <c r="BH122" s="114"/>
      <c r="BI122" s="114"/>
      <c r="BJ122" s="114"/>
      <c r="BK122" s="114"/>
      <c r="BL122" s="114"/>
      <c r="BM122" s="114"/>
      <c r="BN122" s="114"/>
      <c r="BO122" s="114"/>
      <c r="BP122" s="114"/>
      <c r="BQ122" s="114"/>
      <c r="BR122" s="114"/>
      <c r="BS122" s="114"/>
      <c r="BT122" s="114"/>
      <c r="BU122" s="114"/>
      <c r="BV122" s="114"/>
      <c r="BW122" s="114"/>
      <c r="BX122" s="114"/>
      <c r="BY122" s="114"/>
      <c r="BZ122" s="114"/>
      <c r="CA122" s="114"/>
      <c r="CB122" s="114"/>
      <c r="CC122" s="114"/>
      <c r="CD122" s="114"/>
      <c r="CE122" s="114"/>
      <c r="CF122" s="114"/>
      <c r="CG122" s="114"/>
      <c r="CH122" s="114"/>
      <c r="CI122" s="114"/>
      <c r="CJ122" s="114"/>
      <c r="CK122" s="114"/>
      <c r="CL122" s="114"/>
      <c r="CM122" s="114"/>
      <c r="CN122" s="114"/>
      <c r="CO122" s="114"/>
      <c r="CP122" s="114"/>
      <c r="CQ122" s="114"/>
      <c r="CR122" s="114"/>
      <c r="CS122" s="114"/>
      <c r="CT122" s="114"/>
      <c r="CU122" s="114"/>
      <c r="CV122" s="114"/>
      <c r="CW122" s="114"/>
      <c r="CX122" s="114"/>
      <c r="CY122" s="114"/>
      <c r="CZ122" s="114"/>
      <c r="DA122" s="114"/>
      <c r="DB122" s="114"/>
      <c r="DC122" s="114"/>
      <c r="DD122" s="114"/>
      <c r="DE122" s="114"/>
      <c r="DF122" s="114"/>
      <c r="DG122" s="114"/>
      <c r="DH122" s="114"/>
      <c r="DI122" s="114"/>
      <c r="DJ122" s="114"/>
      <c r="DK122" s="114"/>
      <c r="DL122" s="114"/>
      <c r="DM122" s="114"/>
      <c r="DN122" s="114"/>
      <c r="DO122" s="114"/>
      <c r="DP122" s="114"/>
      <c r="DQ122" s="114"/>
      <c r="DR122" s="114"/>
      <c r="DS122" s="114"/>
      <c r="DT122" s="114"/>
      <c r="DU122" s="114"/>
      <c r="DV122" s="114"/>
      <c r="DW122" s="114"/>
      <c r="DX122" s="114"/>
      <c r="DY122" s="114"/>
      <c r="DZ122" s="114"/>
      <c r="EA122" s="114"/>
      <c r="EB122" s="114"/>
      <c r="EC122" s="114"/>
      <c r="ED122" s="114"/>
      <c r="EE122" s="114"/>
      <c r="EF122" s="114"/>
      <c r="EG122" s="114"/>
      <c r="EH122" s="114"/>
      <c r="EI122" s="114"/>
      <c r="EJ122" s="114"/>
      <c r="EK122" s="114"/>
      <c r="EL122" s="114"/>
    </row>
    <row r="123" customFormat="false" ht="12.75" hidden="false" customHeight="false" outlineLevel="0" collapsed="false">
      <c r="A123" s="124"/>
      <c r="B123" s="227"/>
      <c r="C123" s="44"/>
      <c r="D123" s="227"/>
      <c r="E123" s="111"/>
      <c r="F123" s="111"/>
      <c r="G123" s="111"/>
      <c r="H123" s="114"/>
      <c r="I123" s="111"/>
      <c r="J123" s="111"/>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4"/>
      <c r="AL123" s="114"/>
      <c r="AM123" s="114"/>
      <c r="AN123" s="114"/>
      <c r="AO123" s="114"/>
      <c r="AP123" s="114"/>
      <c r="AQ123" s="114"/>
      <c r="AR123" s="114"/>
      <c r="AS123" s="114"/>
      <c r="AT123" s="114"/>
      <c r="AU123" s="114"/>
      <c r="AV123" s="114"/>
      <c r="AW123" s="114"/>
      <c r="AX123" s="114"/>
      <c r="AY123" s="114"/>
      <c r="AZ123" s="114"/>
      <c r="BA123" s="114"/>
      <c r="BB123" s="114"/>
      <c r="BC123" s="114"/>
      <c r="BD123" s="114"/>
      <c r="BE123" s="114"/>
      <c r="BF123" s="114"/>
      <c r="BG123" s="114"/>
      <c r="BH123" s="114"/>
      <c r="BI123" s="114"/>
      <c r="BJ123" s="114"/>
      <c r="BK123" s="114"/>
      <c r="BL123" s="114"/>
      <c r="BM123" s="114"/>
      <c r="BN123" s="114"/>
      <c r="BO123" s="114"/>
      <c r="BP123" s="114"/>
      <c r="BQ123" s="114"/>
      <c r="BR123" s="114"/>
      <c r="BS123" s="114"/>
      <c r="BT123" s="114"/>
      <c r="BU123" s="114"/>
      <c r="BV123" s="114"/>
      <c r="BW123" s="114"/>
      <c r="BX123" s="114"/>
      <c r="BY123" s="114"/>
      <c r="BZ123" s="114"/>
      <c r="CA123" s="114"/>
      <c r="CB123" s="114"/>
      <c r="CC123" s="114"/>
      <c r="CD123" s="114"/>
      <c r="CE123" s="114"/>
      <c r="CF123" s="114"/>
      <c r="CG123" s="114"/>
      <c r="CH123" s="114"/>
      <c r="CI123" s="114"/>
      <c r="CJ123" s="114"/>
      <c r="CK123" s="114"/>
      <c r="CL123" s="114"/>
      <c r="CM123" s="114"/>
      <c r="CN123" s="114"/>
      <c r="CO123" s="114"/>
      <c r="CP123" s="114"/>
      <c r="CQ123" s="114"/>
      <c r="CR123" s="114"/>
      <c r="CS123" s="114"/>
      <c r="CT123" s="114"/>
      <c r="CU123" s="114"/>
      <c r="CV123" s="114"/>
      <c r="CW123" s="114"/>
      <c r="CX123" s="114"/>
      <c r="CY123" s="114"/>
      <c r="CZ123" s="114"/>
      <c r="DA123" s="114"/>
      <c r="DB123" s="114"/>
      <c r="DC123" s="114"/>
      <c r="DD123" s="114"/>
      <c r="DE123" s="114"/>
      <c r="DF123" s="114"/>
      <c r="DG123" s="114"/>
      <c r="DH123" s="114"/>
      <c r="DI123" s="114"/>
      <c r="DJ123" s="114"/>
      <c r="DK123" s="114"/>
      <c r="DL123" s="114"/>
      <c r="DM123" s="114"/>
      <c r="DN123" s="114"/>
      <c r="DO123" s="114"/>
      <c r="DP123" s="114"/>
      <c r="DQ123" s="114"/>
      <c r="DR123" s="114"/>
      <c r="DS123" s="114"/>
      <c r="DT123" s="114"/>
      <c r="DU123" s="114"/>
      <c r="DV123" s="114"/>
      <c r="DW123" s="114"/>
      <c r="DX123" s="114"/>
      <c r="DY123" s="114"/>
      <c r="DZ123" s="114"/>
      <c r="EA123" s="114"/>
      <c r="EB123" s="114"/>
      <c r="EC123" s="114"/>
      <c r="ED123" s="114"/>
      <c r="EE123" s="114"/>
      <c r="EF123" s="114"/>
      <c r="EG123" s="114"/>
      <c r="EH123" s="114"/>
      <c r="EI123" s="114"/>
      <c r="EJ123" s="114"/>
      <c r="EK123" s="114"/>
      <c r="EL123" s="114"/>
    </row>
    <row r="124" customFormat="false" ht="12.75" hidden="false" customHeight="false" outlineLevel="0" collapsed="false">
      <c r="A124" s="124"/>
      <c r="B124" s="124" t="s">
        <v>234</v>
      </c>
      <c r="C124" s="23"/>
      <c r="D124" s="124"/>
      <c r="E124" s="109" t="n">
        <f aca="false">F71</f>
        <v>197.5</v>
      </c>
      <c r="F124" s="111" t="s">
        <v>235</v>
      </c>
      <c r="G124" s="111"/>
      <c r="H124" s="114"/>
      <c r="I124" s="111"/>
      <c r="J124" s="111"/>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4"/>
      <c r="AL124" s="114"/>
      <c r="AM124" s="114"/>
      <c r="AN124" s="114"/>
      <c r="AO124" s="114"/>
      <c r="AP124" s="114"/>
      <c r="AQ124" s="114"/>
      <c r="AR124" s="114"/>
      <c r="AS124" s="114"/>
      <c r="AT124" s="114"/>
      <c r="AU124" s="114"/>
      <c r="AV124" s="114"/>
      <c r="AW124" s="114"/>
      <c r="AX124" s="114"/>
      <c r="AY124" s="114"/>
      <c r="AZ124" s="114"/>
      <c r="BA124" s="114"/>
      <c r="BB124" s="114"/>
      <c r="BC124" s="114"/>
      <c r="BD124" s="114"/>
      <c r="BE124" s="114"/>
      <c r="BF124" s="114"/>
      <c r="BG124" s="114"/>
      <c r="BH124" s="114"/>
      <c r="BI124" s="114"/>
      <c r="BJ124" s="114"/>
      <c r="BK124" s="114"/>
      <c r="BL124" s="114"/>
      <c r="BM124" s="114"/>
      <c r="BN124" s="114"/>
      <c r="BO124" s="114"/>
      <c r="BP124" s="114"/>
      <c r="BQ124" s="114"/>
      <c r="BR124" s="114"/>
      <c r="BS124" s="114"/>
      <c r="BT124" s="114"/>
      <c r="BU124" s="114"/>
      <c r="BV124" s="114"/>
      <c r="BW124" s="114"/>
      <c r="BX124" s="114"/>
      <c r="BY124" s="114"/>
      <c r="BZ124" s="114"/>
      <c r="CA124" s="114"/>
      <c r="CB124" s="114"/>
      <c r="CC124" s="114"/>
      <c r="CD124" s="114"/>
      <c r="CE124" s="114"/>
      <c r="CF124" s="114"/>
      <c r="CG124" s="114"/>
      <c r="CH124" s="114"/>
      <c r="CI124" s="114"/>
      <c r="CJ124" s="114"/>
      <c r="CK124" s="114"/>
      <c r="CL124" s="114"/>
      <c r="CM124" s="114"/>
      <c r="CN124" s="114"/>
      <c r="CO124" s="114"/>
      <c r="CP124" s="114"/>
      <c r="CQ124" s="114"/>
      <c r="CR124" s="114"/>
      <c r="CS124" s="114"/>
      <c r="CT124" s="114"/>
      <c r="CU124" s="114"/>
      <c r="CV124" s="114"/>
      <c r="CW124" s="114"/>
      <c r="CX124" s="114"/>
      <c r="CY124" s="114"/>
      <c r="CZ124" s="114"/>
      <c r="DA124" s="114"/>
      <c r="DB124" s="114"/>
      <c r="DC124" s="114"/>
      <c r="DD124" s="114"/>
      <c r="DE124" s="114"/>
      <c r="DF124" s="114"/>
      <c r="DG124" s="114"/>
      <c r="DH124" s="114"/>
      <c r="DI124" s="114"/>
      <c r="DJ124" s="114"/>
      <c r="DK124" s="114"/>
      <c r="DL124" s="114"/>
      <c r="DM124" s="114"/>
      <c r="DN124" s="114"/>
      <c r="DO124" s="114"/>
      <c r="DP124" s="114"/>
      <c r="DQ124" s="114"/>
      <c r="DR124" s="114"/>
      <c r="DS124" s="114"/>
      <c r="DT124" s="114"/>
      <c r="DU124" s="114"/>
      <c r="DV124" s="114"/>
      <c r="DW124" s="114"/>
      <c r="DX124" s="114"/>
      <c r="DY124" s="114"/>
      <c r="DZ124" s="114"/>
      <c r="EA124" s="114"/>
      <c r="EB124" s="114"/>
      <c r="EC124" s="114"/>
      <c r="ED124" s="114"/>
      <c r="EE124" s="114"/>
      <c r="EF124" s="114"/>
      <c r="EG124" s="114"/>
      <c r="EH124" s="114"/>
      <c r="EI124" s="114"/>
      <c r="EJ124" s="114"/>
      <c r="EK124" s="114"/>
      <c r="EL124" s="114"/>
    </row>
    <row r="125" customFormat="false" ht="12.75" hidden="false" customHeight="false" outlineLevel="0" collapsed="false">
      <c r="A125" s="124"/>
      <c r="B125" s="124" t="s">
        <v>236</v>
      </c>
      <c r="C125" s="0"/>
      <c r="D125" s="124"/>
      <c r="E125" s="109" t="n">
        <v>0</v>
      </c>
      <c r="F125" s="109" t="n">
        <v>0</v>
      </c>
      <c r="G125" s="109" t="n">
        <v>0</v>
      </c>
      <c r="H125" s="109" t="n">
        <v>0</v>
      </c>
      <c r="I125" s="109" t="n">
        <v>0</v>
      </c>
      <c r="J125" s="109" t="n">
        <v>0</v>
      </c>
      <c r="K125" s="109" t="n">
        <v>0</v>
      </c>
      <c r="L125" s="109" t="n">
        <v>0</v>
      </c>
      <c r="M125" s="109" t="n">
        <v>0</v>
      </c>
      <c r="N125" s="109" t="n">
        <v>0</v>
      </c>
      <c r="O125" s="109" t="n">
        <v>0</v>
      </c>
      <c r="P125" s="109" t="n">
        <v>0</v>
      </c>
      <c r="Q125" s="109" t="n">
        <v>0</v>
      </c>
      <c r="R125" s="109" t="n">
        <v>0</v>
      </c>
      <c r="S125" s="109" t="n">
        <v>0</v>
      </c>
      <c r="T125" s="109" t="n">
        <v>0</v>
      </c>
      <c r="U125" s="109" t="n">
        <v>0</v>
      </c>
      <c r="V125" s="109" t="n">
        <v>0</v>
      </c>
      <c r="W125" s="109" t="n">
        <v>0</v>
      </c>
      <c r="X125" s="109" t="n">
        <v>0</v>
      </c>
      <c r="Y125" s="109" t="n">
        <v>0</v>
      </c>
      <c r="Z125" s="109" t="n">
        <v>0</v>
      </c>
      <c r="AA125" s="109" t="n">
        <v>0</v>
      </c>
      <c r="AB125" s="109" t="n">
        <v>0</v>
      </c>
      <c r="AC125" s="109" t="n">
        <v>0</v>
      </c>
      <c r="AD125" s="109" t="n">
        <v>0</v>
      </c>
      <c r="AE125" s="109" t="n">
        <v>0</v>
      </c>
      <c r="AF125" s="109" t="n">
        <v>0</v>
      </c>
      <c r="AG125" s="109" t="n">
        <v>0</v>
      </c>
      <c r="AH125" s="109" t="n">
        <v>0</v>
      </c>
      <c r="AI125" s="109" t="n">
        <v>0</v>
      </c>
      <c r="AJ125" s="114"/>
      <c r="AK125" s="114"/>
      <c r="AL125" s="114"/>
      <c r="AM125" s="114"/>
      <c r="AN125" s="114"/>
      <c r="AO125" s="114"/>
      <c r="AP125" s="114"/>
      <c r="AQ125" s="114"/>
      <c r="AR125" s="114"/>
      <c r="AS125" s="114"/>
      <c r="AT125" s="114"/>
      <c r="AU125" s="114"/>
      <c r="AV125" s="114"/>
      <c r="AW125" s="114"/>
      <c r="AX125" s="114"/>
      <c r="AY125" s="114"/>
      <c r="AZ125" s="114"/>
      <c r="BA125" s="114"/>
      <c r="BB125" s="114"/>
      <c r="BC125" s="114"/>
      <c r="BD125" s="114"/>
      <c r="BE125" s="114"/>
      <c r="BF125" s="114"/>
      <c r="BG125" s="114"/>
      <c r="BH125" s="114"/>
      <c r="BI125" s="114"/>
      <c r="BJ125" s="114"/>
      <c r="BK125" s="114"/>
      <c r="BL125" s="114"/>
      <c r="BM125" s="114"/>
      <c r="BN125" s="114"/>
      <c r="BO125" s="114"/>
      <c r="BP125" s="114"/>
      <c r="BQ125" s="114"/>
      <c r="BR125" s="114"/>
      <c r="BS125" s="114"/>
      <c r="BT125" s="114"/>
      <c r="BU125" s="114"/>
      <c r="BV125" s="114"/>
      <c r="BW125" s="114"/>
      <c r="BX125" s="114"/>
      <c r="BY125" s="114"/>
      <c r="BZ125" s="114"/>
      <c r="CA125" s="114"/>
      <c r="CB125" s="114"/>
      <c r="CC125" s="114"/>
      <c r="CD125" s="114"/>
      <c r="CE125" s="114"/>
      <c r="CF125" s="114"/>
      <c r="CG125" s="114"/>
      <c r="CH125" s="114"/>
      <c r="CI125" s="114"/>
      <c r="CJ125" s="114"/>
      <c r="CK125" s="114"/>
      <c r="CL125" s="114"/>
      <c r="CM125" s="114"/>
      <c r="CN125" s="114"/>
      <c r="CO125" s="114"/>
      <c r="CP125" s="114"/>
      <c r="CQ125" s="114"/>
      <c r="CR125" s="114"/>
      <c r="CS125" s="114"/>
      <c r="CT125" s="114"/>
      <c r="CU125" s="114"/>
      <c r="CV125" s="114"/>
      <c r="CW125" s="114"/>
      <c r="CX125" s="114"/>
      <c r="CY125" s="114"/>
      <c r="CZ125" s="114"/>
      <c r="DA125" s="114"/>
      <c r="DB125" s="114"/>
      <c r="DC125" s="114"/>
      <c r="DD125" s="114"/>
      <c r="DE125" s="114"/>
      <c r="DF125" s="114"/>
      <c r="DG125" s="114"/>
      <c r="DH125" s="114"/>
      <c r="DI125" s="114"/>
      <c r="DJ125" s="114"/>
      <c r="DK125" s="114"/>
      <c r="DL125" s="114"/>
      <c r="DM125" s="114"/>
      <c r="DN125" s="114"/>
      <c r="DO125" s="114"/>
      <c r="DP125" s="114"/>
      <c r="DQ125" s="114"/>
      <c r="DR125" s="114"/>
      <c r="DS125" s="114"/>
      <c r="DT125" s="114"/>
      <c r="DU125" s="114"/>
      <c r="DV125" s="114"/>
      <c r="DW125" s="114"/>
      <c r="DX125" s="114"/>
      <c r="DY125" s="114"/>
      <c r="DZ125" s="114"/>
      <c r="EA125" s="114"/>
      <c r="EB125" s="114"/>
      <c r="EC125" s="114"/>
      <c r="ED125" s="114"/>
      <c r="EE125" s="114"/>
      <c r="EF125" s="114"/>
      <c r="EG125" s="114"/>
      <c r="EH125" s="114"/>
      <c r="EI125" s="114"/>
      <c r="EJ125" s="114"/>
      <c r="EK125" s="114"/>
      <c r="EL125" s="114"/>
    </row>
    <row r="126" customFormat="false" ht="12.75" hidden="false" customHeight="false" outlineLevel="0" collapsed="false">
      <c r="A126" s="124"/>
      <c r="B126" s="124" t="s">
        <v>199</v>
      </c>
      <c r="C126" s="23"/>
      <c r="D126" s="124"/>
      <c r="E126" s="283" t="n">
        <f aca="false">F76</f>
        <v>0</v>
      </c>
      <c r="F126" s="111" t="s">
        <v>237</v>
      </c>
      <c r="G126" s="111"/>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4"/>
      <c r="AL126" s="114"/>
      <c r="AM126" s="114"/>
      <c r="AN126" s="114"/>
      <c r="AO126" s="114"/>
      <c r="AP126" s="114"/>
      <c r="AQ126" s="114"/>
      <c r="AR126" s="114"/>
      <c r="AS126" s="114"/>
      <c r="AT126" s="114"/>
      <c r="AU126" s="114"/>
      <c r="AV126" s="114"/>
      <c r="AW126" s="114"/>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4"/>
      <c r="CE126" s="114"/>
      <c r="CF126" s="114"/>
      <c r="CG126" s="114"/>
      <c r="CH126" s="114"/>
      <c r="CI126" s="114"/>
      <c r="CJ126" s="114"/>
      <c r="CK126" s="114"/>
      <c r="CL126" s="114"/>
      <c r="CM126" s="114"/>
      <c r="CN126" s="114"/>
      <c r="CO126" s="114"/>
      <c r="CP126" s="114"/>
      <c r="CQ126" s="114"/>
      <c r="CR126" s="114"/>
      <c r="CS126" s="114"/>
      <c r="CT126" s="114"/>
      <c r="CU126" s="114"/>
      <c r="CV126" s="114"/>
      <c r="CW126" s="114"/>
      <c r="CX126" s="114"/>
      <c r="CY126" s="114"/>
      <c r="CZ126" s="114"/>
      <c r="DA126" s="114"/>
      <c r="DB126" s="114"/>
      <c r="DC126" s="114"/>
      <c r="DD126" s="114"/>
      <c r="DE126" s="114"/>
      <c r="DF126" s="114"/>
      <c r="DG126" s="114"/>
      <c r="DH126" s="114"/>
      <c r="DI126" s="114"/>
      <c r="DJ126" s="114"/>
      <c r="DK126" s="114"/>
      <c r="DL126" s="114"/>
      <c r="DM126" s="114"/>
      <c r="DN126" s="114"/>
      <c r="DO126" s="114"/>
      <c r="DP126" s="114"/>
      <c r="DQ126" s="114"/>
      <c r="DR126" s="114"/>
      <c r="DS126" s="114"/>
      <c r="DT126" s="114"/>
      <c r="DU126" s="114"/>
      <c r="DV126" s="114"/>
      <c r="DW126" s="114"/>
      <c r="DX126" s="114"/>
      <c r="DY126" s="114"/>
      <c r="DZ126" s="114"/>
      <c r="EA126" s="114"/>
      <c r="EB126" s="114"/>
      <c r="EC126" s="114"/>
      <c r="ED126" s="114"/>
      <c r="EE126" s="114"/>
      <c r="EF126" s="114"/>
      <c r="EG126" s="114"/>
      <c r="EH126" s="114"/>
      <c r="EI126" s="114"/>
      <c r="EJ126" s="114"/>
      <c r="EK126" s="114"/>
      <c r="EL126" s="114"/>
    </row>
    <row r="127" customFormat="false" ht="12.75" hidden="false" customHeight="false" outlineLevel="0" collapsed="false">
      <c r="A127" s="124"/>
      <c r="B127" s="124"/>
      <c r="C127" s="23"/>
      <c r="D127" s="124"/>
      <c r="E127" s="111"/>
      <c r="F127" s="111"/>
      <c r="G127" s="111"/>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4"/>
      <c r="AO127" s="114"/>
      <c r="AP127" s="114"/>
      <c r="AQ127" s="114"/>
      <c r="AR127" s="114"/>
      <c r="AS127" s="114"/>
      <c r="AT127" s="114"/>
      <c r="AU127" s="114"/>
      <c r="AV127" s="114"/>
      <c r="AW127" s="114"/>
      <c r="AX127" s="114"/>
      <c r="AY127" s="114"/>
      <c r="AZ127" s="114"/>
      <c r="BA127" s="114"/>
      <c r="BB127" s="114"/>
      <c r="BC127" s="114"/>
      <c r="BD127" s="114"/>
      <c r="BE127" s="114"/>
      <c r="BF127" s="114"/>
      <c r="BG127" s="114"/>
      <c r="BH127" s="114"/>
      <c r="BI127" s="114"/>
      <c r="BJ127" s="114"/>
      <c r="BK127" s="114"/>
      <c r="BL127" s="114"/>
      <c r="BM127" s="114"/>
      <c r="BN127" s="114"/>
      <c r="BO127" s="114"/>
      <c r="BP127" s="114"/>
      <c r="BQ127" s="114"/>
      <c r="BR127" s="114"/>
      <c r="BS127" s="114"/>
      <c r="BT127" s="114"/>
      <c r="BU127" s="114"/>
      <c r="BV127" s="114"/>
      <c r="BW127" s="114"/>
      <c r="BX127" s="114"/>
      <c r="BY127" s="114"/>
      <c r="BZ127" s="114"/>
      <c r="CA127" s="114"/>
      <c r="CB127" s="114"/>
      <c r="CC127" s="114"/>
      <c r="CD127" s="114"/>
      <c r="CE127" s="114"/>
      <c r="CF127" s="114"/>
      <c r="CG127" s="114"/>
      <c r="CH127" s="114"/>
      <c r="CI127" s="114"/>
      <c r="CJ127" s="114"/>
      <c r="CK127" s="114"/>
      <c r="CL127" s="114"/>
      <c r="CM127" s="114"/>
      <c r="CN127" s="114"/>
      <c r="CO127" s="114"/>
      <c r="CP127" s="114"/>
      <c r="CQ127" s="114"/>
      <c r="CR127" s="114"/>
      <c r="CS127" s="114"/>
      <c r="CT127" s="114"/>
      <c r="CU127" s="114"/>
      <c r="CV127" s="114"/>
      <c r="CW127" s="114"/>
      <c r="CX127" s="114"/>
      <c r="CY127" s="114"/>
      <c r="CZ127" s="114"/>
      <c r="DA127" s="114"/>
      <c r="DB127" s="114"/>
      <c r="DC127" s="114"/>
      <c r="DD127" s="114"/>
      <c r="DE127" s="114"/>
      <c r="DF127" s="114"/>
      <c r="DG127" s="114"/>
      <c r="DH127" s="114"/>
      <c r="DI127" s="114"/>
      <c r="DJ127" s="114"/>
      <c r="DK127" s="114"/>
      <c r="DL127" s="114"/>
      <c r="DM127" s="114"/>
      <c r="DN127" s="114"/>
      <c r="DO127" s="114"/>
      <c r="DP127" s="114"/>
      <c r="DQ127" s="114"/>
      <c r="DR127" s="114"/>
      <c r="DS127" s="114"/>
      <c r="DT127" s="114"/>
      <c r="DU127" s="114"/>
      <c r="DV127" s="114"/>
      <c r="DW127" s="114"/>
      <c r="DX127" s="114"/>
      <c r="DY127" s="114"/>
      <c r="DZ127" s="114"/>
      <c r="EA127" s="114"/>
      <c r="EB127" s="114"/>
      <c r="EC127" s="114"/>
      <c r="ED127" s="114"/>
      <c r="EE127" s="114"/>
      <c r="EF127" s="114"/>
      <c r="EG127" s="114"/>
      <c r="EH127" s="114"/>
      <c r="EI127" s="114"/>
      <c r="EJ127" s="114"/>
      <c r="EK127" s="114"/>
      <c r="EL127" s="114"/>
    </row>
    <row r="128" customFormat="false" ht="12.75" hidden="false" customHeight="false" outlineLevel="0" collapsed="false">
      <c r="B128" s="177" t="s">
        <v>238</v>
      </c>
      <c r="C128" s="155"/>
      <c r="D128" s="124"/>
      <c r="E128" s="111"/>
      <c r="F128" s="111"/>
      <c r="G128" s="111"/>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c r="AN128" s="114"/>
      <c r="AO128" s="114"/>
      <c r="AP128" s="114"/>
      <c r="AQ128" s="114"/>
      <c r="AR128" s="114"/>
      <c r="AS128" s="114"/>
      <c r="AT128" s="114"/>
      <c r="AU128" s="114"/>
      <c r="AV128" s="114"/>
      <c r="AW128" s="114"/>
      <c r="AX128" s="114"/>
      <c r="AY128" s="114"/>
      <c r="AZ128" s="114"/>
      <c r="BA128" s="11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c r="BV128" s="114"/>
      <c r="BW128" s="114"/>
      <c r="BX128" s="114"/>
      <c r="BY128" s="114"/>
      <c r="BZ128" s="114"/>
      <c r="CA128" s="114"/>
      <c r="CB128" s="114"/>
      <c r="CC128" s="114"/>
      <c r="CD128" s="114"/>
      <c r="CE128" s="114"/>
      <c r="CF128" s="114"/>
      <c r="CG128" s="114"/>
      <c r="CH128" s="114"/>
      <c r="CI128" s="114"/>
      <c r="CJ128" s="114"/>
      <c r="CK128" s="114"/>
      <c r="CL128" s="114"/>
      <c r="CM128" s="114"/>
      <c r="CN128" s="114"/>
      <c r="CO128" s="114"/>
      <c r="CP128" s="114"/>
      <c r="CQ128" s="114"/>
      <c r="CR128" s="114"/>
      <c r="CS128" s="114"/>
      <c r="CT128" s="114"/>
      <c r="CU128" s="114"/>
      <c r="CV128" s="114"/>
      <c r="CW128" s="114"/>
      <c r="CX128" s="114"/>
      <c r="CY128" s="114"/>
      <c r="CZ128" s="114"/>
      <c r="DA128" s="114"/>
      <c r="DB128" s="114"/>
      <c r="DC128" s="114"/>
      <c r="DD128" s="114"/>
      <c r="DE128" s="114"/>
      <c r="DF128" s="114"/>
      <c r="DG128" s="114"/>
      <c r="DH128" s="114"/>
      <c r="DI128" s="114"/>
      <c r="DJ128" s="114"/>
      <c r="DK128" s="114"/>
      <c r="DL128" s="114"/>
      <c r="DM128" s="114"/>
      <c r="DN128" s="114"/>
      <c r="DO128" s="114"/>
      <c r="DP128" s="114"/>
      <c r="DQ128" s="114"/>
      <c r="DR128" s="114"/>
      <c r="DS128" s="114"/>
      <c r="DT128" s="114"/>
      <c r="DU128" s="114"/>
      <c r="DV128" s="114"/>
      <c r="DW128" s="114"/>
      <c r="DX128" s="114"/>
      <c r="DY128" s="114"/>
      <c r="DZ128" s="114"/>
      <c r="EA128" s="114"/>
      <c r="EB128" s="114"/>
      <c r="EC128" s="114"/>
      <c r="ED128" s="114"/>
      <c r="EE128" s="114"/>
      <c r="EF128" s="114"/>
      <c r="EG128" s="114"/>
      <c r="EH128" s="114"/>
      <c r="EI128" s="114"/>
      <c r="EJ128" s="114"/>
      <c r="EK128" s="114"/>
      <c r="EL128" s="114"/>
    </row>
    <row r="129" customFormat="false" ht="12.75" hidden="false" customHeight="false" outlineLevel="0" collapsed="false">
      <c r="A129" s="111"/>
      <c r="B129" s="124" t="s">
        <v>239</v>
      </c>
      <c r="C129" s="23"/>
      <c r="D129" s="124"/>
      <c r="E129" s="284" t="n">
        <v>1998</v>
      </c>
      <c r="F129" s="285" t="n">
        <f aca="false">E129+1</f>
        <v>1999</v>
      </c>
      <c r="G129" s="285" t="n">
        <f aca="false">F129+1</f>
        <v>2000</v>
      </c>
      <c r="H129" s="285" t="n">
        <f aca="false">G129+1</f>
        <v>2001</v>
      </c>
      <c r="I129" s="285" t="n">
        <f aca="false">H129+1</f>
        <v>2002</v>
      </c>
      <c r="J129" s="285" t="n">
        <f aca="false">I129+1</f>
        <v>2003</v>
      </c>
      <c r="K129" s="285" t="n">
        <f aca="false">J129+1</f>
        <v>2004</v>
      </c>
      <c r="L129" s="285" t="n">
        <f aca="false">K129+1</f>
        <v>2005</v>
      </c>
      <c r="M129" s="285" t="n">
        <f aca="false">L129+1</f>
        <v>2006</v>
      </c>
      <c r="N129" s="285" t="n">
        <f aca="false">M129+1</f>
        <v>2007</v>
      </c>
      <c r="O129" s="285" t="n">
        <f aca="false">N129+1</f>
        <v>2008</v>
      </c>
      <c r="P129" s="285" t="n">
        <f aca="false">O129+1</f>
        <v>2009</v>
      </c>
      <c r="Q129" s="285" t="n">
        <f aca="false">P129+1</f>
        <v>2010</v>
      </c>
      <c r="R129" s="285" t="n">
        <f aca="false">Q129+1</f>
        <v>2011</v>
      </c>
      <c r="S129" s="285" t="n">
        <f aca="false">R129+1</f>
        <v>2012</v>
      </c>
      <c r="T129" s="285" t="n">
        <f aca="false">S129+1</f>
        <v>2013</v>
      </c>
      <c r="U129" s="285" t="n">
        <f aca="false">T129+1</f>
        <v>2014</v>
      </c>
      <c r="V129" s="285" t="n">
        <f aca="false">U129+1</f>
        <v>2015</v>
      </c>
      <c r="W129" s="285" t="n">
        <f aca="false">V129+1</f>
        <v>2016</v>
      </c>
      <c r="X129" s="285" t="n">
        <f aca="false">W129+1</f>
        <v>2017</v>
      </c>
      <c r="Y129" s="285" t="n">
        <f aca="false">X129+1</f>
        <v>2018</v>
      </c>
      <c r="Z129" s="285" t="n">
        <f aca="false">Y129+1</f>
        <v>2019</v>
      </c>
      <c r="AA129" s="285" t="n">
        <f aca="false">Z129+1</f>
        <v>2020</v>
      </c>
      <c r="AB129" s="285" t="n">
        <f aca="false">AA129+1</f>
        <v>2021</v>
      </c>
      <c r="AC129" s="285" t="n">
        <f aca="false">AB129+1</f>
        <v>2022</v>
      </c>
      <c r="AD129" s="285" t="n">
        <f aca="false">AC129+1</f>
        <v>2023</v>
      </c>
      <c r="AE129" s="285" t="n">
        <f aca="false">AD129+1</f>
        <v>2024</v>
      </c>
      <c r="AF129" s="285" t="n">
        <f aca="false">AE129+1</f>
        <v>2025</v>
      </c>
      <c r="AG129" s="285" t="n">
        <f aca="false">AF129+1</f>
        <v>2026</v>
      </c>
      <c r="AH129" s="285" t="n">
        <f aca="false">AG129+1</f>
        <v>2027</v>
      </c>
      <c r="AI129" s="285" t="n">
        <f aca="false">AH129+1</f>
        <v>2028</v>
      </c>
      <c r="AJ129" s="285" t="n">
        <f aca="false">AI129+1</f>
        <v>2029</v>
      </c>
      <c r="AK129" s="285" t="n">
        <f aca="false">AJ129+1</f>
        <v>2030</v>
      </c>
      <c r="AL129" s="286" t="n">
        <f aca="false">AK129+1</f>
        <v>2031</v>
      </c>
      <c r="AM129" s="114"/>
      <c r="AN129" s="114"/>
      <c r="AO129" s="114"/>
      <c r="AP129" s="114"/>
      <c r="AQ129" s="114"/>
      <c r="AR129" s="114"/>
      <c r="AS129" s="114"/>
      <c r="AT129" s="114"/>
      <c r="AU129" s="114"/>
      <c r="AV129" s="114"/>
      <c r="AW129" s="114"/>
      <c r="AX129" s="114"/>
      <c r="AY129" s="114"/>
      <c r="AZ129" s="114"/>
      <c r="BA129" s="11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c r="BV129" s="114"/>
      <c r="BW129" s="114"/>
      <c r="BX129" s="114"/>
      <c r="BY129" s="114"/>
      <c r="BZ129" s="114"/>
      <c r="CA129" s="114"/>
      <c r="CB129" s="114"/>
      <c r="CC129" s="114"/>
      <c r="CD129" s="114"/>
      <c r="CE129" s="114"/>
      <c r="CF129" s="114"/>
      <c r="CG129" s="114"/>
      <c r="CH129" s="114"/>
      <c r="CI129" s="114"/>
      <c r="CJ129" s="114"/>
      <c r="CK129" s="114"/>
      <c r="CL129" s="114"/>
      <c r="CM129" s="114"/>
      <c r="CN129" s="114"/>
      <c r="CO129" s="114"/>
      <c r="CP129" s="114"/>
      <c r="CQ129" s="114"/>
      <c r="CR129" s="114"/>
      <c r="CS129" s="114"/>
      <c r="CT129" s="114"/>
      <c r="CU129" s="114"/>
      <c r="CV129" s="114"/>
      <c r="CW129" s="114"/>
      <c r="CX129" s="114"/>
      <c r="CY129" s="114"/>
      <c r="CZ129" s="114"/>
      <c r="DA129" s="114"/>
      <c r="DB129" s="114"/>
      <c r="DC129" s="114"/>
      <c r="DD129" s="114"/>
      <c r="DE129" s="114"/>
      <c r="DF129" s="114"/>
      <c r="DG129" s="114"/>
      <c r="DH129" s="114"/>
      <c r="DI129" s="114"/>
      <c r="DJ129" s="114"/>
      <c r="DK129" s="114"/>
      <c r="DL129" s="114"/>
      <c r="DM129" s="114"/>
      <c r="DN129" s="114"/>
      <c r="DO129" s="114"/>
      <c r="DP129" s="114"/>
      <c r="DQ129" s="114"/>
      <c r="DR129" s="114"/>
      <c r="DS129" s="114"/>
      <c r="DT129" s="114"/>
      <c r="DU129" s="114"/>
      <c r="DV129" s="114"/>
      <c r="DW129" s="114"/>
      <c r="DX129" s="114"/>
      <c r="DY129" s="114"/>
      <c r="DZ129" s="114"/>
      <c r="EA129" s="114"/>
      <c r="EB129" s="114"/>
      <c r="EC129" s="114"/>
      <c r="ED129" s="114"/>
      <c r="EE129" s="114"/>
      <c r="EF129" s="114"/>
      <c r="EG129" s="114"/>
      <c r="EH129" s="114"/>
      <c r="EI129" s="114"/>
      <c r="EJ129" s="114"/>
      <c r="EK129" s="114"/>
      <c r="EL129" s="114"/>
    </row>
    <row r="130" customFormat="false" ht="12.75" hidden="false" customHeight="false" outlineLevel="0" collapsed="false">
      <c r="A130" s="111"/>
      <c r="B130" s="124" t="s">
        <v>240</v>
      </c>
      <c r="C130" s="23"/>
      <c r="D130" s="124"/>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114"/>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4"/>
      <c r="BR130" s="114"/>
      <c r="BS130" s="114"/>
      <c r="BT130" s="114"/>
      <c r="BU130" s="114"/>
      <c r="BV130" s="114"/>
      <c r="BW130" s="114"/>
      <c r="BX130" s="114"/>
      <c r="BY130" s="114"/>
      <c r="BZ130" s="114"/>
      <c r="CA130" s="114"/>
      <c r="CB130" s="114"/>
      <c r="CC130" s="114"/>
      <c r="CD130" s="114"/>
      <c r="CE130" s="114"/>
      <c r="CF130" s="114"/>
      <c r="CG130" s="114"/>
      <c r="CH130" s="114"/>
      <c r="CI130" s="114"/>
      <c r="CJ130" s="114"/>
      <c r="CK130" s="114"/>
      <c r="CL130" s="114"/>
      <c r="CM130" s="114"/>
      <c r="CN130" s="114"/>
      <c r="CO130" s="114"/>
      <c r="CP130" s="114"/>
      <c r="CQ130" s="114"/>
      <c r="CR130" s="114"/>
      <c r="CS130" s="114"/>
      <c r="CT130" s="114"/>
      <c r="CU130" s="114"/>
      <c r="CV130" s="114"/>
      <c r="CW130" s="114"/>
      <c r="CX130" s="114"/>
      <c r="CY130" s="114"/>
      <c r="CZ130" s="114"/>
      <c r="DA130" s="114"/>
      <c r="DB130" s="114"/>
      <c r="DC130" s="114"/>
      <c r="DD130" s="114"/>
      <c r="DE130" s="114"/>
      <c r="DF130" s="114"/>
      <c r="DG130" s="114"/>
      <c r="DH130" s="114"/>
      <c r="DI130" s="114"/>
      <c r="DJ130" s="114"/>
      <c r="DK130" s="114"/>
      <c r="DL130" s="114"/>
      <c r="DM130" s="114"/>
      <c r="DN130" s="114"/>
      <c r="DO130" s="114"/>
      <c r="DP130" s="114"/>
      <c r="DQ130" s="114"/>
      <c r="DR130" s="114"/>
      <c r="DS130" s="114"/>
      <c r="DT130" s="114"/>
      <c r="DU130" s="114"/>
      <c r="DV130" s="114"/>
      <c r="DW130" s="114"/>
      <c r="DX130" s="114"/>
      <c r="DY130" s="114"/>
      <c r="DZ130" s="114"/>
      <c r="EA130" s="114"/>
      <c r="EB130" s="114"/>
      <c r="EC130" s="114"/>
      <c r="ED130" s="114"/>
      <c r="EE130" s="114"/>
      <c r="EF130" s="114"/>
      <c r="EG130" s="114"/>
      <c r="EH130" s="114"/>
      <c r="EI130" s="114"/>
      <c r="EJ130" s="114"/>
      <c r="EK130" s="114"/>
      <c r="EL130" s="114"/>
    </row>
    <row r="131" customFormat="false" ht="12.75" hidden="false" customHeight="false" outlineLevel="0" collapsed="false">
      <c r="A131" s="111"/>
      <c r="B131" s="124" t="s">
        <v>241</v>
      </c>
      <c r="C131" s="23"/>
      <c r="D131" s="124"/>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114"/>
      <c r="AN131" s="114"/>
      <c r="AO131" s="114"/>
      <c r="AP131" s="114"/>
      <c r="AQ131" s="114"/>
      <c r="AR131" s="114"/>
      <c r="AS131" s="114"/>
      <c r="AT131" s="114"/>
      <c r="AU131" s="114"/>
      <c r="AV131" s="114"/>
      <c r="AW131" s="114"/>
      <c r="AX131" s="114"/>
      <c r="AY131" s="114"/>
      <c r="AZ131" s="114"/>
      <c r="BA131" s="114"/>
      <c r="BB131" s="114"/>
      <c r="BC131" s="114"/>
      <c r="BD131" s="114"/>
      <c r="BE131" s="114"/>
      <c r="BF131" s="114"/>
      <c r="BG131" s="114"/>
      <c r="BH131" s="114"/>
      <c r="BI131" s="114"/>
      <c r="BJ131" s="114"/>
      <c r="BK131" s="114"/>
      <c r="BL131" s="114"/>
      <c r="BM131" s="114"/>
      <c r="BN131" s="114"/>
      <c r="BO131" s="114"/>
      <c r="BP131" s="114"/>
      <c r="BQ131" s="114"/>
      <c r="BR131" s="114"/>
      <c r="BS131" s="114"/>
      <c r="BT131" s="114"/>
      <c r="BU131" s="114"/>
      <c r="BV131" s="114"/>
      <c r="BW131" s="114"/>
      <c r="BX131" s="114"/>
      <c r="BY131" s="114"/>
      <c r="BZ131" s="114"/>
      <c r="CA131" s="114"/>
      <c r="CB131" s="114"/>
      <c r="CC131" s="114"/>
      <c r="CD131" s="114"/>
      <c r="CE131" s="114"/>
      <c r="CF131" s="114"/>
      <c r="CG131" s="114"/>
      <c r="CH131" s="114"/>
      <c r="CI131" s="114"/>
      <c r="CJ131" s="114"/>
      <c r="CK131" s="114"/>
      <c r="CL131" s="114"/>
      <c r="CM131" s="114"/>
      <c r="CN131" s="114"/>
      <c r="CO131" s="114"/>
      <c r="CP131" s="114"/>
      <c r="CQ131" s="114"/>
      <c r="CR131" s="114"/>
      <c r="CS131" s="114"/>
      <c r="CT131" s="114"/>
      <c r="CU131" s="114"/>
      <c r="CV131" s="114"/>
      <c r="CW131" s="114"/>
      <c r="CX131" s="114"/>
      <c r="CY131" s="114"/>
      <c r="CZ131" s="114"/>
      <c r="DA131" s="114"/>
      <c r="DB131" s="114"/>
      <c r="DC131" s="114"/>
      <c r="DD131" s="114"/>
      <c r="DE131" s="114"/>
      <c r="DF131" s="114"/>
      <c r="DG131" s="114"/>
      <c r="DH131" s="114"/>
      <c r="DI131" s="114"/>
      <c r="DJ131" s="114"/>
      <c r="DK131" s="114"/>
      <c r="DL131" s="114"/>
      <c r="DM131" s="114"/>
      <c r="DN131" s="114"/>
      <c r="DO131" s="114"/>
      <c r="DP131" s="114"/>
      <c r="DQ131" s="114"/>
      <c r="DR131" s="114"/>
      <c r="DS131" s="114"/>
      <c r="DT131" s="114"/>
      <c r="DU131" s="114"/>
      <c r="DV131" s="114"/>
      <c r="DW131" s="114"/>
      <c r="DX131" s="114"/>
      <c r="DY131" s="114"/>
      <c r="DZ131" s="114"/>
      <c r="EA131" s="114"/>
      <c r="EB131" s="114"/>
      <c r="EC131" s="114"/>
      <c r="ED131" s="114"/>
      <c r="EE131" s="114"/>
      <c r="EF131" s="114"/>
      <c r="EG131" s="114"/>
      <c r="EH131" s="114"/>
      <c r="EI131" s="114"/>
      <c r="EJ131" s="114"/>
      <c r="EK131" s="114"/>
      <c r="EL131" s="114"/>
    </row>
    <row r="132" customFormat="false" ht="12.75" hidden="false" customHeight="false" outlineLevel="0" collapsed="false">
      <c r="A132" s="111"/>
      <c r="B132" s="124" t="s">
        <v>242</v>
      </c>
      <c r="C132" s="23"/>
      <c r="D132" s="124"/>
      <c r="E132" s="56" t="n">
        <v>0.0153</v>
      </c>
      <c r="F132" s="56" t="n">
        <v>0.0268</v>
      </c>
      <c r="G132" s="56" t="n">
        <v>0.0346</v>
      </c>
      <c r="H132" s="56" t="n">
        <v>0.031</v>
      </c>
      <c r="I132" s="56" t="n">
        <v>0.03</v>
      </c>
      <c r="J132" s="56" t="n">
        <v>0.029</v>
      </c>
      <c r="K132" s="56" t="n">
        <v>0.0285</v>
      </c>
      <c r="L132" s="56" t="n">
        <v>0.028</v>
      </c>
      <c r="M132" s="56" t="n">
        <v>0.0272</v>
      </c>
      <c r="N132" s="56" t="n">
        <v>0.0267</v>
      </c>
      <c r="O132" s="56" t="n">
        <v>0.0262</v>
      </c>
      <c r="P132" s="56" t="n">
        <v>0.0258</v>
      </c>
      <c r="Q132" s="56" t="n">
        <v>0.0254</v>
      </c>
      <c r="R132" s="56" t="n">
        <v>0.0252</v>
      </c>
      <c r="S132" s="56" t="n">
        <v>0.025</v>
      </c>
      <c r="T132" s="56" t="n">
        <v>0.0253</v>
      </c>
      <c r="U132" s="56" t="n">
        <v>0.0257</v>
      </c>
      <c r="V132" s="56" t="n">
        <v>0.0261</v>
      </c>
      <c r="W132" s="56" t="n">
        <v>0.0267</v>
      </c>
      <c r="X132" s="56" t="n">
        <v>0.0271</v>
      </c>
      <c r="Y132" s="56" t="n">
        <v>0.0274</v>
      </c>
      <c r="Z132" s="56" t="n">
        <v>0.0282</v>
      </c>
      <c r="AA132" s="56" t="n">
        <v>0.029</v>
      </c>
      <c r="AB132" s="56" t="n">
        <v>0.0305</v>
      </c>
      <c r="AC132" s="56" t="n">
        <v>0.0311</v>
      </c>
      <c r="AD132" s="56" t="n">
        <v>0.0318</v>
      </c>
      <c r="AE132" s="56" t="n">
        <f aca="false">AD132</f>
        <v>0.0318</v>
      </c>
      <c r="AF132" s="56" t="n">
        <f aca="false">AE132</f>
        <v>0.0318</v>
      </c>
      <c r="AG132" s="56" t="n">
        <f aca="false">AF132</f>
        <v>0.0318</v>
      </c>
      <c r="AH132" s="56" t="n">
        <f aca="false">AG132</f>
        <v>0.0318</v>
      </c>
      <c r="AI132" s="56" t="n">
        <f aca="false">AH132</f>
        <v>0.0318</v>
      </c>
      <c r="AJ132" s="56" t="n">
        <f aca="false">AI132</f>
        <v>0.0318</v>
      </c>
      <c r="AK132" s="56" t="n">
        <f aca="false">AJ132</f>
        <v>0.0318</v>
      </c>
      <c r="AL132" s="56" t="n">
        <f aca="false">AK132</f>
        <v>0.0318</v>
      </c>
      <c r="AM132" s="114"/>
      <c r="AN132" s="114"/>
      <c r="AO132" s="114"/>
      <c r="AP132" s="114"/>
      <c r="AQ132" s="114"/>
      <c r="AR132" s="114"/>
      <c r="AS132" s="114"/>
      <c r="AT132" s="114"/>
      <c r="AU132" s="114"/>
      <c r="AV132" s="114"/>
      <c r="AW132" s="114"/>
      <c r="AX132" s="114"/>
      <c r="AY132" s="114"/>
      <c r="AZ132" s="114"/>
      <c r="BA132" s="114"/>
      <c r="BB132" s="114"/>
      <c r="BC132" s="114"/>
      <c r="BD132" s="114"/>
      <c r="BE132" s="114"/>
      <c r="BF132" s="114"/>
      <c r="BG132" s="114"/>
      <c r="BH132" s="114"/>
      <c r="BI132" s="114"/>
      <c r="BJ132" s="114"/>
      <c r="BK132" s="114"/>
      <c r="BL132" s="114"/>
      <c r="BM132" s="114"/>
      <c r="BN132" s="114"/>
      <c r="BO132" s="114"/>
      <c r="BP132" s="114"/>
      <c r="BQ132" s="114"/>
      <c r="BR132" s="114"/>
      <c r="BS132" s="114"/>
      <c r="BT132" s="114"/>
      <c r="BU132" s="114"/>
      <c r="BV132" s="114"/>
      <c r="BW132" s="114"/>
      <c r="BX132" s="114"/>
      <c r="BY132" s="114"/>
      <c r="BZ132" s="114"/>
      <c r="CA132" s="114"/>
      <c r="CB132" s="114"/>
      <c r="CC132" s="114"/>
      <c r="CD132" s="114"/>
      <c r="CE132" s="114"/>
      <c r="CF132" s="114"/>
      <c r="CG132" s="114"/>
      <c r="CH132" s="114"/>
      <c r="CI132" s="114"/>
      <c r="CJ132" s="114"/>
      <c r="CK132" s="114"/>
      <c r="CL132" s="114"/>
      <c r="CM132" s="114"/>
      <c r="CN132" s="114"/>
      <c r="CO132" s="114"/>
      <c r="CP132" s="114"/>
      <c r="CQ132" s="114"/>
      <c r="CR132" s="114"/>
      <c r="CS132" s="114"/>
      <c r="CT132" s="114"/>
      <c r="CU132" s="114"/>
      <c r="CV132" s="114"/>
      <c r="CW132" s="114"/>
      <c r="CX132" s="114"/>
      <c r="CY132" s="114"/>
      <c r="CZ132" s="114"/>
      <c r="DA132" s="114"/>
      <c r="DB132" s="114"/>
      <c r="DC132" s="114"/>
      <c r="DD132" s="114"/>
      <c r="DE132" s="114"/>
      <c r="DF132" s="114"/>
      <c r="DG132" s="114"/>
      <c r="DH132" s="114"/>
      <c r="DI132" s="114"/>
      <c r="DJ132" s="114"/>
      <c r="DK132" s="114"/>
      <c r="DL132" s="114"/>
      <c r="DM132" s="114"/>
      <c r="DN132" s="114"/>
      <c r="DO132" s="114"/>
      <c r="DP132" s="114"/>
      <c r="DQ132" s="114"/>
      <c r="DR132" s="114"/>
      <c r="DS132" s="114"/>
      <c r="DT132" s="114"/>
      <c r="DU132" s="114"/>
      <c r="DV132" s="114"/>
      <c r="DW132" s="114"/>
      <c r="DX132" s="114"/>
      <c r="DY132" s="114"/>
      <c r="DZ132" s="114"/>
      <c r="EA132" s="114"/>
      <c r="EB132" s="114"/>
      <c r="EC132" s="114"/>
      <c r="ED132" s="114"/>
      <c r="EE132" s="114"/>
      <c r="EF132" s="114"/>
      <c r="EG132" s="114"/>
      <c r="EH132" s="114"/>
      <c r="EI132" s="114"/>
      <c r="EJ132" s="114"/>
      <c r="EK132" s="114"/>
      <c r="EL132" s="114"/>
    </row>
    <row r="133" customFormat="false" ht="12.75" hidden="false" customHeight="false" outlineLevel="0" collapsed="false">
      <c r="A133" s="111"/>
      <c r="B133" s="124" t="s">
        <v>243</v>
      </c>
      <c r="C133" s="23"/>
      <c r="D133" s="124"/>
      <c r="E133" s="56" t="n">
        <v>0.0088</v>
      </c>
      <c r="F133" s="56" t="n">
        <v>0.02</v>
      </c>
      <c r="G133" s="56" t="n">
        <v>0.0276</v>
      </c>
      <c r="H133" s="56" t="n">
        <v>0.024</v>
      </c>
      <c r="I133" s="56" t="n">
        <v>0.023</v>
      </c>
      <c r="J133" s="56" t="n">
        <v>0.022</v>
      </c>
      <c r="K133" s="56" t="n">
        <v>0.0215</v>
      </c>
      <c r="L133" s="56" t="n">
        <v>0.021</v>
      </c>
      <c r="M133" s="56" t="n">
        <v>0.0202</v>
      </c>
      <c r="N133" s="56" t="n">
        <v>0.0197</v>
      </c>
      <c r="O133" s="56" t="n">
        <v>0.0192</v>
      </c>
      <c r="P133" s="56" t="n">
        <v>0.0188</v>
      </c>
      <c r="Q133" s="56" t="n">
        <v>0.0184</v>
      </c>
      <c r="R133" s="56" t="n">
        <v>0.0182</v>
      </c>
      <c r="S133" s="56" t="n">
        <v>0.018</v>
      </c>
      <c r="T133" s="56" t="n">
        <v>0.0183</v>
      </c>
      <c r="U133" s="56" t="n">
        <v>0.0187</v>
      </c>
      <c r="V133" s="56" t="n">
        <v>0.0191</v>
      </c>
      <c r="W133" s="56" t="n">
        <v>0.0197</v>
      </c>
      <c r="X133" s="56" t="n">
        <v>0.0201</v>
      </c>
      <c r="Y133" s="56" t="n">
        <v>0.0204</v>
      </c>
      <c r="Z133" s="56" t="n">
        <v>0.0212</v>
      </c>
      <c r="AA133" s="56" t="n">
        <v>0.022</v>
      </c>
      <c r="AB133" s="56" t="n">
        <v>0.0235</v>
      </c>
      <c r="AC133" s="56" t="n">
        <v>0.0241</v>
      </c>
      <c r="AD133" s="56" t="n">
        <v>0.0248</v>
      </c>
      <c r="AE133" s="56" t="n">
        <f aca="false">AD133</f>
        <v>0.0248</v>
      </c>
      <c r="AF133" s="56" t="n">
        <f aca="false">AE133</f>
        <v>0.0248</v>
      </c>
      <c r="AG133" s="56" t="n">
        <f aca="false">AF133</f>
        <v>0.0248</v>
      </c>
      <c r="AH133" s="56" t="n">
        <f aca="false">AG133</f>
        <v>0.0248</v>
      </c>
      <c r="AI133" s="56" t="n">
        <f aca="false">AH133</f>
        <v>0.0248</v>
      </c>
      <c r="AJ133" s="56" t="n">
        <f aca="false">AI133</f>
        <v>0.0248</v>
      </c>
      <c r="AK133" s="56" t="n">
        <f aca="false">AJ133</f>
        <v>0.0248</v>
      </c>
      <c r="AL133" s="56" t="n">
        <f aca="false">AK133</f>
        <v>0.0248</v>
      </c>
      <c r="AM133" s="114"/>
      <c r="AN133" s="114"/>
      <c r="AO133" s="114"/>
      <c r="AP133" s="114"/>
      <c r="AQ133" s="114"/>
      <c r="AR133" s="114"/>
      <c r="AS133" s="114"/>
      <c r="AT133" s="114"/>
      <c r="AU133" s="114"/>
      <c r="AV133" s="114"/>
      <c r="AW133" s="114"/>
      <c r="AX133" s="114"/>
      <c r="AY133" s="114"/>
      <c r="AZ133" s="114"/>
      <c r="BA133" s="114"/>
      <c r="BB133" s="114"/>
      <c r="BC133" s="114"/>
      <c r="BD133" s="114"/>
      <c r="BE133" s="114"/>
      <c r="BF133" s="114"/>
      <c r="BG133" s="114"/>
      <c r="BH133" s="114"/>
      <c r="BI133" s="114"/>
      <c r="BJ133" s="114"/>
      <c r="BK133" s="114"/>
      <c r="BL133" s="114"/>
      <c r="BM133" s="114"/>
      <c r="BN133" s="114"/>
      <c r="BO133" s="114"/>
      <c r="BP133" s="114"/>
      <c r="BQ133" s="114"/>
      <c r="BR133" s="114"/>
      <c r="BS133" s="114"/>
      <c r="BT133" s="114"/>
      <c r="BU133" s="114"/>
      <c r="BV133" s="114"/>
      <c r="BW133" s="114"/>
      <c r="BX133" s="114"/>
      <c r="BY133" s="114"/>
      <c r="BZ133" s="114"/>
      <c r="CA133" s="114"/>
      <c r="CB133" s="114"/>
      <c r="CC133" s="114"/>
      <c r="CD133" s="114"/>
      <c r="CE133" s="114"/>
      <c r="CF133" s="114"/>
      <c r="CG133" s="114"/>
      <c r="CH133" s="114"/>
      <c r="CI133" s="114"/>
      <c r="CJ133" s="114"/>
      <c r="CK133" s="114"/>
      <c r="CL133" s="114"/>
      <c r="CM133" s="114"/>
      <c r="CN133" s="114"/>
      <c r="CO133" s="114"/>
      <c r="CP133" s="114"/>
      <c r="CQ133" s="114"/>
      <c r="CR133" s="114"/>
      <c r="CS133" s="114"/>
      <c r="CT133" s="114"/>
      <c r="CU133" s="114"/>
      <c r="CV133" s="114"/>
      <c r="CW133" s="114"/>
      <c r="CX133" s="114"/>
      <c r="CY133" s="114"/>
      <c r="CZ133" s="114"/>
      <c r="DA133" s="114"/>
      <c r="DB133" s="114"/>
      <c r="DC133" s="114"/>
      <c r="DD133" s="114"/>
      <c r="DE133" s="114"/>
      <c r="DF133" s="114"/>
      <c r="DG133" s="114"/>
      <c r="DH133" s="114"/>
      <c r="DI133" s="114"/>
      <c r="DJ133" s="114"/>
      <c r="DK133" s="114"/>
      <c r="DL133" s="114"/>
      <c r="DM133" s="114"/>
      <c r="DN133" s="114"/>
      <c r="DO133" s="114"/>
      <c r="DP133" s="114"/>
      <c r="DQ133" s="114"/>
      <c r="DR133" s="114"/>
      <c r="DS133" s="114"/>
      <c r="DT133" s="114"/>
      <c r="DU133" s="114"/>
      <c r="DV133" s="114"/>
      <c r="DW133" s="114"/>
      <c r="DX133" s="114"/>
      <c r="DY133" s="114"/>
      <c r="DZ133" s="114"/>
      <c r="EA133" s="114"/>
      <c r="EB133" s="114"/>
      <c r="EC133" s="114"/>
      <c r="ED133" s="114"/>
      <c r="EE133" s="114"/>
      <c r="EF133" s="114"/>
      <c r="EG133" s="114"/>
      <c r="EH133" s="114"/>
      <c r="EI133" s="114"/>
      <c r="EJ133" s="114"/>
      <c r="EK133" s="114"/>
      <c r="EL133" s="114"/>
    </row>
    <row r="134" customFormat="false" ht="12.75" hidden="false" customHeight="false" outlineLevel="0" collapsed="false">
      <c r="A134" s="111"/>
      <c r="B134" s="124" t="s">
        <v>244</v>
      </c>
      <c r="C134" s="23"/>
      <c r="D134" s="124"/>
      <c r="E134" s="261" t="n">
        <f aca="false">IF($D$136=1,E132,E130)</f>
        <v>0.0153</v>
      </c>
      <c r="F134" s="261" t="n">
        <f aca="false">IF($D$136=1,F132,F130)</f>
        <v>0.0268</v>
      </c>
      <c r="G134" s="261" t="n">
        <f aca="false">IF($D$136=1,G132,G130)</f>
        <v>0.0346</v>
      </c>
      <c r="H134" s="261" t="n">
        <f aca="false">IF($D$136=1,H132,H130)</f>
        <v>0.031</v>
      </c>
      <c r="I134" s="261" t="n">
        <f aca="false">IF($D$136=1,I132,I130)</f>
        <v>0.03</v>
      </c>
      <c r="J134" s="261" t="n">
        <f aca="false">IF($D$136=1,J132,J130)</f>
        <v>0.029</v>
      </c>
      <c r="K134" s="261" t="n">
        <f aca="false">IF($D$136=1,K132,K130)</f>
        <v>0.0285</v>
      </c>
      <c r="L134" s="261" t="n">
        <f aca="false">IF($D$136=1,L132,L130)</f>
        <v>0.028</v>
      </c>
      <c r="M134" s="261" t="n">
        <f aca="false">IF($D$136=1,M132,M130)</f>
        <v>0.0272</v>
      </c>
      <c r="N134" s="261" t="n">
        <f aca="false">IF($D$136=1,N132,N130)</f>
        <v>0.0267</v>
      </c>
      <c r="O134" s="261" t="n">
        <f aca="false">IF($D$136=1,O132,O130)</f>
        <v>0.0262</v>
      </c>
      <c r="P134" s="261" t="n">
        <f aca="false">IF($D$136=1,P132,P130)</f>
        <v>0.0258</v>
      </c>
      <c r="Q134" s="261" t="n">
        <f aca="false">IF($D$136=1,Q132,Q130)</f>
        <v>0.0254</v>
      </c>
      <c r="R134" s="261" t="n">
        <f aca="false">IF($D$136=1,R132,R130)</f>
        <v>0.0252</v>
      </c>
      <c r="S134" s="261" t="n">
        <f aca="false">IF($D$136=1,S132,S130)</f>
        <v>0.025</v>
      </c>
      <c r="T134" s="261" t="n">
        <f aca="false">IF($D$136=1,T132,T130)</f>
        <v>0.0253</v>
      </c>
      <c r="U134" s="261" t="n">
        <f aca="false">IF($D$136=1,U132,U130)</f>
        <v>0.0257</v>
      </c>
      <c r="V134" s="261" t="n">
        <f aca="false">IF($D$136=1,V132,V130)</f>
        <v>0.0261</v>
      </c>
      <c r="W134" s="261" t="n">
        <f aca="false">IF($D$136=1,W132,W130)</f>
        <v>0.0267</v>
      </c>
      <c r="X134" s="261" t="n">
        <f aca="false">IF($D$136=1,X132,X130)</f>
        <v>0.0271</v>
      </c>
      <c r="Y134" s="261" t="n">
        <f aca="false">IF($D$136=1,Y132,Y130)</f>
        <v>0.0274</v>
      </c>
      <c r="Z134" s="261" t="n">
        <f aca="false">IF($D$136=1,Z132,Z130)</f>
        <v>0.0282</v>
      </c>
      <c r="AA134" s="261" t="n">
        <f aca="false">IF($D$136=1,AA132,AA130)</f>
        <v>0.029</v>
      </c>
      <c r="AB134" s="261" t="n">
        <f aca="false">IF($D$136=1,AB132,AB130)</f>
        <v>0.0305</v>
      </c>
      <c r="AC134" s="261" t="n">
        <f aca="false">IF($D$136=1,AC132,AC130)</f>
        <v>0.0311</v>
      </c>
      <c r="AD134" s="261" t="n">
        <f aca="false">IF($D$136=1,AD132,AD130)</f>
        <v>0.0318</v>
      </c>
      <c r="AE134" s="261" t="n">
        <f aca="false">IF($D$136=1,AE132,AE130)</f>
        <v>0.0318</v>
      </c>
      <c r="AF134" s="261" t="n">
        <f aca="false">IF($D$136=1,AF132,AF130)</f>
        <v>0.0318</v>
      </c>
      <c r="AG134" s="261" t="n">
        <f aca="false">IF($D$136=1,AG132,AG130)</f>
        <v>0.0318</v>
      </c>
      <c r="AH134" s="261" t="n">
        <f aca="false">IF($D$136=1,AH132,AH130)</f>
        <v>0.0318</v>
      </c>
      <c r="AI134" s="261" t="n">
        <f aca="false">IF($D$136=1,AI132,AI130)</f>
        <v>0.0318</v>
      </c>
      <c r="AJ134" s="261" t="n">
        <f aca="false">IF($D$136=1,AJ132,AJ130)</f>
        <v>0.0318</v>
      </c>
      <c r="AK134" s="261" t="n">
        <f aca="false">IF($D$136=1,AK132,AK130)</f>
        <v>0.0318</v>
      </c>
      <c r="AL134" s="261" t="n">
        <f aca="false">IF($D$136=1,AL132,AL130)</f>
        <v>0.0318</v>
      </c>
      <c r="AM134" s="114"/>
      <c r="AN134" s="114"/>
      <c r="AO134" s="114"/>
      <c r="AP134" s="114"/>
      <c r="AQ134" s="114"/>
      <c r="AR134" s="114"/>
      <c r="AS134" s="114"/>
      <c r="AT134" s="114"/>
      <c r="AU134" s="114"/>
      <c r="AV134" s="114"/>
      <c r="AW134" s="114"/>
      <c r="AX134" s="114"/>
      <c r="AY134" s="114"/>
      <c r="AZ134" s="114"/>
      <c r="BA134" s="114"/>
      <c r="BB134" s="114"/>
      <c r="BC134" s="114"/>
      <c r="BD134" s="114"/>
      <c r="BE134" s="114"/>
      <c r="BF134" s="114"/>
      <c r="BG134" s="114"/>
      <c r="BH134" s="114"/>
      <c r="BI134" s="114"/>
      <c r="BJ134" s="114"/>
      <c r="BK134" s="114"/>
      <c r="BL134" s="114"/>
      <c r="BM134" s="114"/>
      <c r="BN134" s="114"/>
      <c r="BO134" s="114"/>
      <c r="BP134" s="114"/>
      <c r="BQ134" s="114"/>
      <c r="BR134" s="114"/>
      <c r="BS134" s="114"/>
      <c r="BT134" s="114"/>
      <c r="BU134" s="114"/>
      <c r="BV134" s="114"/>
      <c r="BW134" s="114"/>
      <c r="BX134" s="114"/>
      <c r="BY134" s="114"/>
      <c r="BZ134" s="114"/>
      <c r="CA134" s="114"/>
      <c r="CB134" s="114"/>
      <c r="CC134" s="114"/>
      <c r="CD134" s="114"/>
      <c r="CE134" s="114"/>
      <c r="CF134" s="114"/>
      <c r="CG134" s="114"/>
      <c r="CH134" s="114"/>
      <c r="CI134" s="114"/>
      <c r="CJ134" s="114"/>
      <c r="CK134" s="114"/>
      <c r="CL134" s="114"/>
      <c r="CM134" s="114"/>
      <c r="CN134" s="114"/>
      <c r="CO134" s="114"/>
      <c r="CP134" s="114"/>
      <c r="CQ134" s="114"/>
      <c r="CR134" s="114"/>
      <c r="CS134" s="114"/>
      <c r="CT134" s="114"/>
      <c r="CU134" s="114"/>
      <c r="CV134" s="114"/>
      <c r="CW134" s="114"/>
      <c r="CX134" s="114"/>
      <c r="CY134" s="114"/>
      <c r="CZ134" s="114"/>
      <c r="DA134" s="114"/>
      <c r="DB134" s="114"/>
      <c r="DC134" s="114"/>
      <c r="DD134" s="114"/>
      <c r="DE134" s="114"/>
      <c r="DF134" s="114"/>
      <c r="DG134" s="114"/>
      <c r="DH134" s="114"/>
      <c r="DI134" s="114"/>
      <c r="DJ134" s="114"/>
      <c r="DK134" s="114"/>
      <c r="DL134" s="114"/>
      <c r="DM134" s="114"/>
      <c r="DN134" s="114"/>
      <c r="DO134" s="114"/>
      <c r="DP134" s="114"/>
      <c r="DQ134" s="114"/>
      <c r="DR134" s="114"/>
      <c r="DS134" s="114"/>
      <c r="DT134" s="114"/>
      <c r="DU134" s="114"/>
      <c r="DV134" s="114"/>
      <c r="DW134" s="114"/>
      <c r="DX134" s="114"/>
      <c r="DY134" s="114"/>
      <c r="DZ134" s="114"/>
      <c r="EA134" s="114"/>
      <c r="EB134" s="114"/>
      <c r="EC134" s="114"/>
      <c r="ED134" s="114"/>
      <c r="EE134" s="114"/>
      <c r="EF134" s="114"/>
      <c r="EG134" s="114"/>
      <c r="EH134" s="114"/>
      <c r="EI134" s="114"/>
      <c r="EJ134" s="114"/>
      <c r="EK134" s="114"/>
      <c r="EL134" s="114"/>
    </row>
    <row r="135" customFormat="false" ht="12.75" hidden="false" customHeight="false" outlineLevel="0" collapsed="false">
      <c r="A135" s="111"/>
      <c r="B135" s="124" t="s">
        <v>245</v>
      </c>
      <c r="C135" s="23"/>
      <c r="D135" s="124"/>
      <c r="E135" s="261" t="n">
        <f aca="false">IF($D$136=1,E133,E131)</f>
        <v>0.0088</v>
      </c>
      <c r="F135" s="261" t="n">
        <f aca="false">IF($D$136=1,F133,F131)</f>
        <v>0.02</v>
      </c>
      <c r="G135" s="261" t="n">
        <f aca="false">IF($D$136=1,G133,G131)</f>
        <v>0.0276</v>
      </c>
      <c r="H135" s="261" t="n">
        <f aca="false">IF($D$136=1,H133,H131)</f>
        <v>0.024</v>
      </c>
      <c r="I135" s="261" t="n">
        <f aca="false">IF($D$136=1,I133,I131)</f>
        <v>0.023</v>
      </c>
      <c r="J135" s="261" t="n">
        <f aca="false">IF($D$136=1,J133,J131)</f>
        <v>0.022</v>
      </c>
      <c r="K135" s="261" t="n">
        <f aca="false">IF($D$136=1,K133,K131)</f>
        <v>0.0215</v>
      </c>
      <c r="L135" s="261" t="n">
        <f aca="false">IF($D$136=1,L133,L131)</f>
        <v>0.021</v>
      </c>
      <c r="M135" s="261" t="n">
        <f aca="false">IF($D$136=1,M133,M131)</f>
        <v>0.0202</v>
      </c>
      <c r="N135" s="261" t="n">
        <f aca="false">IF($D$136=1,N133,N131)</f>
        <v>0.0197</v>
      </c>
      <c r="O135" s="261" t="n">
        <f aca="false">IF($D$136=1,O133,O131)</f>
        <v>0.0192</v>
      </c>
      <c r="P135" s="261" t="n">
        <f aca="false">IF($D$136=1,P133,P131)</f>
        <v>0.0188</v>
      </c>
      <c r="Q135" s="261" t="n">
        <f aca="false">IF($D$136=1,Q133,Q131)</f>
        <v>0.0184</v>
      </c>
      <c r="R135" s="261" t="n">
        <f aca="false">IF($D$136=1,R133,R131)</f>
        <v>0.0182</v>
      </c>
      <c r="S135" s="261" t="n">
        <f aca="false">IF($D$136=1,S133,S131)</f>
        <v>0.018</v>
      </c>
      <c r="T135" s="261" t="n">
        <f aca="false">IF($D$136=1,T133,T131)</f>
        <v>0.0183</v>
      </c>
      <c r="U135" s="261" t="n">
        <f aca="false">IF($D$136=1,U133,U131)</f>
        <v>0.0187</v>
      </c>
      <c r="V135" s="261" t="n">
        <f aca="false">IF($D$136=1,V133,V131)</f>
        <v>0.0191</v>
      </c>
      <c r="W135" s="261" t="n">
        <f aca="false">IF($D$136=1,W133,W131)</f>
        <v>0.0197</v>
      </c>
      <c r="X135" s="261" t="n">
        <f aca="false">IF($D$136=1,X133,X131)</f>
        <v>0.0201</v>
      </c>
      <c r="Y135" s="261" t="n">
        <f aca="false">IF($D$136=1,Y133,Y131)</f>
        <v>0.0204</v>
      </c>
      <c r="Z135" s="261" t="n">
        <f aca="false">IF($D$136=1,Z133,Z131)</f>
        <v>0.0212</v>
      </c>
      <c r="AA135" s="261" t="n">
        <f aca="false">IF($D$136=1,AA133,AA131)</f>
        <v>0.022</v>
      </c>
      <c r="AB135" s="261" t="n">
        <f aca="false">IF($D$136=1,AB133,AB131)</f>
        <v>0.0235</v>
      </c>
      <c r="AC135" s="261" t="n">
        <f aca="false">IF($D$136=1,AC133,AC131)</f>
        <v>0.0241</v>
      </c>
      <c r="AD135" s="261" t="n">
        <f aca="false">IF($D$136=1,AD133,AD131)</f>
        <v>0.0248</v>
      </c>
      <c r="AE135" s="261" t="n">
        <f aca="false">IF($D$136=1,AE133,AE131)</f>
        <v>0.0248</v>
      </c>
      <c r="AF135" s="261" t="n">
        <f aca="false">IF($D$136=1,AF133,AF131)</f>
        <v>0.0248</v>
      </c>
      <c r="AG135" s="261" t="n">
        <f aca="false">IF($D$136=1,AG133,AG131)</f>
        <v>0.0248</v>
      </c>
      <c r="AH135" s="261" t="n">
        <f aca="false">IF($D$136=1,AH133,AH131)</f>
        <v>0.0248</v>
      </c>
      <c r="AI135" s="261" t="n">
        <f aca="false">IF($D$136=1,AI133,AI131)</f>
        <v>0.0248</v>
      </c>
      <c r="AJ135" s="261" t="n">
        <f aca="false">IF($D$136=1,AJ133,AJ131)</f>
        <v>0.0248</v>
      </c>
      <c r="AK135" s="261" t="n">
        <f aca="false">IF($D$136=1,AK133,AK131)</f>
        <v>0.0248</v>
      </c>
      <c r="AL135" s="261" t="n">
        <f aca="false">IF($D$136=1,AL133,AL131)</f>
        <v>0.0248</v>
      </c>
      <c r="AM135" s="114"/>
      <c r="AN135" s="114"/>
      <c r="AO135" s="114"/>
      <c r="AP135" s="114"/>
      <c r="AQ135" s="114"/>
      <c r="AR135" s="114"/>
      <c r="AS135" s="114"/>
      <c r="AT135" s="114"/>
      <c r="AU135" s="114"/>
      <c r="AV135" s="114"/>
      <c r="AW135" s="114"/>
      <c r="AX135" s="114"/>
      <c r="AY135" s="114"/>
      <c r="AZ135" s="114"/>
      <c r="BA135" s="114"/>
      <c r="BB135" s="114"/>
      <c r="BC135" s="114"/>
      <c r="BD135" s="114"/>
      <c r="BE135" s="114"/>
      <c r="BF135" s="114"/>
      <c r="BG135" s="114"/>
      <c r="BH135" s="114"/>
      <c r="BI135" s="114"/>
      <c r="BJ135" s="114"/>
      <c r="BK135" s="114"/>
      <c r="BL135" s="114"/>
      <c r="BM135" s="114"/>
      <c r="BN135" s="114"/>
      <c r="BO135" s="114"/>
      <c r="BP135" s="114"/>
      <c r="BQ135" s="114"/>
      <c r="BR135" s="114"/>
      <c r="BS135" s="114"/>
      <c r="BT135" s="114"/>
      <c r="BU135" s="114"/>
      <c r="BV135" s="114"/>
      <c r="BW135" s="114"/>
      <c r="BX135" s="114"/>
      <c r="BY135" s="114"/>
      <c r="BZ135" s="114"/>
      <c r="CA135" s="114"/>
      <c r="CB135" s="114"/>
      <c r="CC135" s="114"/>
      <c r="CD135" s="114"/>
      <c r="CE135" s="114"/>
      <c r="CF135" s="114"/>
      <c r="CG135" s="114"/>
      <c r="CH135" s="114"/>
      <c r="CI135" s="114"/>
      <c r="CJ135" s="114"/>
      <c r="CK135" s="114"/>
      <c r="CL135" s="114"/>
      <c r="CM135" s="114"/>
      <c r="CN135" s="114"/>
      <c r="CO135" s="114"/>
      <c r="CP135" s="114"/>
      <c r="CQ135" s="114"/>
      <c r="CR135" s="114"/>
      <c r="CS135" s="114"/>
      <c r="CT135" s="114"/>
      <c r="CU135" s="114"/>
      <c r="CV135" s="114"/>
      <c r="CW135" s="114"/>
      <c r="CX135" s="114"/>
      <c r="CY135" s="114"/>
      <c r="CZ135" s="114"/>
      <c r="DA135" s="114"/>
      <c r="DB135" s="114"/>
      <c r="DC135" s="114"/>
      <c r="DD135" s="114"/>
      <c r="DE135" s="114"/>
      <c r="DF135" s="114"/>
      <c r="DG135" s="114"/>
      <c r="DH135" s="114"/>
      <c r="DI135" s="114"/>
      <c r="DJ135" s="114"/>
      <c r="DK135" s="114"/>
      <c r="DL135" s="114"/>
      <c r="DM135" s="114"/>
      <c r="DN135" s="114"/>
      <c r="DO135" s="114"/>
      <c r="DP135" s="114"/>
      <c r="DQ135" s="114"/>
      <c r="DR135" s="114"/>
      <c r="DS135" s="114"/>
      <c r="DT135" s="114"/>
      <c r="DU135" s="114"/>
      <c r="DV135" s="114"/>
      <c r="DW135" s="114"/>
      <c r="DX135" s="114"/>
      <c r="DY135" s="114"/>
      <c r="DZ135" s="114"/>
      <c r="EA135" s="114"/>
      <c r="EB135" s="114"/>
      <c r="EC135" s="114"/>
      <c r="ED135" s="114"/>
      <c r="EE135" s="114"/>
      <c r="EF135" s="114"/>
      <c r="EG135" s="114"/>
      <c r="EH135" s="114"/>
      <c r="EI135" s="114"/>
      <c r="EJ135" s="114"/>
      <c r="EK135" s="114"/>
      <c r="EL135" s="114"/>
    </row>
    <row r="136" customFormat="false" ht="12.75" hidden="false" customHeight="false" outlineLevel="0" collapsed="false">
      <c r="A136" s="276"/>
      <c r="B136" s="124" t="s">
        <v>246</v>
      </c>
      <c r="C136" s="23"/>
      <c r="D136" s="287" t="n">
        <v>1</v>
      </c>
      <c r="F136" s="111"/>
      <c r="G136" s="111"/>
      <c r="H136" s="111"/>
      <c r="I136" s="111"/>
      <c r="J136" s="111"/>
      <c r="K136" s="111"/>
      <c r="L136" s="111"/>
      <c r="M136" s="111"/>
      <c r="N136" s="111"/>
      <c r="O136" s="275"/>
      <c r="P136" s="275"/>
      <c r="Q136" s="275"/>
      <c r="R136" s="275"/>
      <c r="S136" s="275"/>
      <c r="T136" s="275"/>
      <c r="U136" s="275"/>
      <c r="V136" s="275"/>
      <c r="W136" s="275"/>
      <c r="X136" s="275"/>
      <c r="Y136" s="275"/>
      <c r="Z136" s="275"/>
      <c r="AA136" s="275"/>
      <c r="AB136" s="275"/>
      <c r="AC136" s="275"/>
      <c r="AD136" s="275"/>
      <c r="AE136" s="275"/>
      <c r="AF136" s="275"/>
      <c r="AG136" s="275"/>
      <c r="AH136" s="275"/>
      <c r="AI136" s="275"/>
      <c r="AJ136" s="114"/>
      <c r="AK136" s="114"/>
      <c r="AL136" s="114"/>
      <c r="AM136" s="114"/>
      <c r="AN136" s="114"/>
      <c r="AO136" s="114"/>
      <c r="AP136" s="114"/>
      <c r="AQ136" s="114"/>
      <c r="AR136" s="114"/>
      <c r="AS136" s="114"/>
      <c r="AT136" s="114"/>
      <c r="AU136" s="114"/>
      <c r="AV136" s="114"/>
      <c r="AW136" s="114"/>
      <c r="AX136" s="114"/>
      <c r="AY136" s="114"/>
      <c r="AZ136" s="114"/>
      <c r="BA136" s="114"/>
      <c r="BB136" s="114"/>
      <c r="BC136" s="114"/>
      <c r="BD136" s="114"/>
      <c r="BE136" s="114"/>
      <c r="BF136" s="114"/>
      <c r="BG136" s="114"/>
      <c r="BH136" s="114"/>
      <c r="BI136" s="114"/>
      <c r="BJ136" s="114"/>
      <c r="BK136" s="114"/>
      <c r="BL136" s="114"/>
      <c r="BM136" s="114"/>
      <c r="BN136" s="114"/>
      <c r="BO136" s="114"/>
      <c r="BP136" s="114"/>
      <c r="BQ136" s="114"/>
      <c r="BR136" s="114"/>
      <c r="BS136" s="114"/>
      <c r="BT136" s="114"/>
      <c r="BU136" s="114"/>
      <c r="BV136" s="114"/>
      <c r="BW136" s="114"/>
      <c r="BX136" s="114"/>
      <c r="BY136" s="114"/>
      <c r="BZ136" s="114"/>
      <c r="CA136" s="114"/>
      <c r="CB136" s="114"/>
      <c r="CC136" s="114"/>
      <c r="CD136" s="114"/>
      <c r="CE136" s="114"/>
      <c r="CF136" s="114"/>
      <c r="CG136" s="114"/>
      <c r="CH136" s="114"/>
      <c r="CI136" s="114"/>
      <c r="CJ136" s="114"/>
      <c r="CK136" s="114"/>
      <c r="CL136" s="114"/>
      <c r="CM136" s="114"/>
      <c r="CN136" s="114"/>
      <c r="CO136" s="114"/>
      <c r="CP136" s="114"/>
      <c r="CQ136" s="114"/>
      <c r="CR136" s="114"/>
      <c r="CS136" s="114"/>
      <c r="CT136" s="114"/>
      <c r="CU136" s="114"/>
      <c r="CV136" s="114"/>
      <c r="CW136" s="114"/>
      <c r="CX136" s="114"/>
      <c r="CY136" s="114"/>
      <c r="CZ136" s="114"/>
      <c r="DA136" s="114"/>
      <c r="DB136" s="114"/>
      <c r="DC136" s="114"/>
      <c r="DD136" s="114"/>
      <c r="DE136" s="114"/>
      <c r="DF136" s="114"/>
      <c r="DG136" s="114"/>
      <c r="DH136" s="114"/>
      <c r="DI136" s="114"/>
      <c r="DJ136" s="114"/>
      <c r="DK136" s="114"/>
      <c r="DL136" s="114"/>
      <c r="DM136" s="114"/>
      <c r="DN136" s="114"/>
      <c r="DO136" s="114"/>
      <c r="DP136" s="114"/>
      <c r="DQ136" s="114"/>
      <c r="DR136" s="114"/>
      <c r="DS136" s="114"/>
      <c r="DT136" s="114"/>
      <c r="DU136" s="114"/>
      <c r="DV136" s="114"/>
      <c r="DW136" s="114"/>
      <c r="DX136" s="114"/>
      <c r="DY136" s="114"/>
      <c r="DZ136" s="114"/>
      <c r="EA136" s="114"/>
      <c r="EB136" s="114"/>
      <c r="EC136" s="114"/>
      <c r="ED136" s="114"/>
      <c r="EE136" s="114"/>
      <c r="EF136" s="114"/>
      <c r="EG136" s="114"/>
      <c r="EH136" s="114"/>
      <c r="EI136" s="114"/>
      <c r="EJ136" s="114"/>
      <c r="EK136" s="114"/>
      <c r="EL136" s="114"/>
    </row>
    <row r="137" customFormat="false" ht="12.75" hidden="false" customHeight="false" outlineLevel="0" collapsed="false">
      <c r="A137" s="276"/>
      <c r="B137" s="124"/>
      <c r="C137" s="23"/>
      <c r="D137" s="288"/>
      <c r="F137" s="111"/>
      <c r="G137" s="111"/>
      <c r="H137" s="111"/>
      <c r="I137" s="111"/>
      <c r="J137" s="111"/>
      <c r="K137" s="111"/>
      <c r="L137" s="111"/>
      <c r="M137" s="111"/>
      <c r="N137" s="111"/>
      <c r="O137" s="275"/>
      <c r="P137" s="275"/>
      <c r="Q137" s="275"/>
      <c r="R137" s="275"/>
      <c r="S137" s="275"/>
      <c r="T137" s="275"/>
      <c r="U137" s="275"/>
      <c r="V137" s="275"/>
      <c r="W137" s="275"/>
      <c r="X137" s="275"/>
      <c r="Y137" s="275"/>
      <c r="Z137" s="275"/>
      <c r="AA137" s="275"/>
      <c r="AB137" s="275"/>
      <c r="AC137" s="275"/>
      <c r="AD137" s="275"/>
      <c r="AE137" s="275"/>
      <c r="AF137" s="275"/>
      <c r="AG137" s="275"/>
      <c r="AH137" s="275"/>
      <c r="AI137" s="275"/>
      <c r="AJ137" s="114"/>
      <c r="AK137" s="114"/>
      <c r="AL137" s="114"/>
      <c r="AM137" s="114"/>
      <c r="AN137" s="114"/>
      <c r="AO137" s="114"/>
      <c r="AP137" s="114"/>
      <c r="AQ137" s="114"/>
      <c r="AR137" s="114"/>
      <c r="AS137" s="114"/>
      <c r="AT137" s="114"/>
      <c r="AU137" s="114"/>
      <c r="AV137" s="114"/>
      <c r="AW137" s="114"/>
      <c r="AX137" s="114"/>
      <c r="AY137" s="114"/>
      <c r="AZ137" s="114"/>
      <c r="BA137" s="114"/>
      <c r="BB137" s="114"/>
      <c r="BC137" s="114"/>
      <c r="BD137" s="114"/>
      <c r="BE137" s="114"/>
      <c r="BF137" s="114"/>
      <c r="BG137" s="114"/>
      <c r="BH137" s="114"/>
      <c r="BI137" s="114"/>
      <c r="BJ137" s="114"/>
      <c r="BK137" s="114"/>
      <c r="BL137" s="114"/>
      <c r="BM137" s="114"/>
      <c r="BN137" s="114"/>
      <c r="BO137" s="114"/>
      <c r="BP137" s="114"/>
      <c r="BQ137" s="114"/>
      <c r="BR137" s="114"/>
      <c r="BS137" s="114"/>
      <c r="BT137" s="114"/>
      <c r="BU137" s="114"/>
      <c r="BV137" s="114"/>
      <c r="BW137" s="114"/>
      <c r="BX137" s="114"/>
      <c r="BY137" s="114"/>
      <c r="BZ137" s="114"/>
      <c r="CA137" s="114"/>
      <c r="CB137" s="114"/>
      <c r="CC137" s="114"/>
      <c r="CD137" s="114"/>
      <c r="CE137" s="114"/>
      <c r="CF137" s="114"/>
      <c r="CG137" s="114"/>
      <c r="CH137" s="114"/>
      <c r="CI137" s="114"/>
      <c r="CJ137" s="114"/>
      <c r="CK137" s="114"/>
      <c r="CL137" s="114"/>
      <c r="CM137" s="114"/>
      <c r="CN137" s="114"/>
      <c r="CO137" s="114"/>
      <c r="CP137" s="114"/>
      <c r="CQ137" s="114"/>
      <c r="CR137" s="114"/>
      <c r="CS137" s="114"/>
      <c r="CT137" s="114"/>
      <c r="CU137" s="114"/>
      <c r="CV137" s="114"/>
      <c r="CW137" s="114"/>
      <c r="CX137" s="114"/>
      <c r="CY137" s="114"/>
      <c r="CZ137" s="114"/>
      <c r="DA137" s="114"/>
      <c r="DB137" s="114"/>
      <c r="DC137" s="114"/>
      <c r="DD137" s="114"/>
      <c r="DE137" s="114"/>
      <c r="DF137" s="114"/>
      <c r="DG137" s="114"/>
      <c r="DH137" s="114"/>
      <c r="DI137" s="114"/>
      <c r="DJ137" s="114"/>
      <c r="DK137" s="114"/>
      <c r="DL137" s="114"/>
      <c r="DM137" s="114"/>
      <c r="DN137" s="114"/>
      <c r="DO137" s="114"/>
      <c r="DP137" s="114"/>
      <c r="DQ137" s="114"/>
      <c r="DR137" s="114"/>
      <c r="DS137" s="114"/>
      <c r="DT137" s="114"/>
      <c r="DU137" s="114"/>
      <c r="DV137" s="114"/>
      <c r="DW137" s="114"/>
      <c r="DX137" s="114"/>
      <c r="DY137" s="114"/>
      <c r="DZ137" s="114"/>
      <c r="EA137" s="114"/>
      <c r="EB137" s="114"/>
      <c r="EC137" s="114"/>
      <c r="ED137" s="114"/>
      <c r="EE137" s="114"/>
      <c r="EF137" s="114"/>
      <c r="EG137" s="114"/>
      <c r="EH137" s="114"/>
      <c r="EI137" s="114"/>
      <c r="EJ137" s="114"/>
      <c r="EK137" s="114"/>
      <c r="EL137" s="114"/>
    </row>
    <row r="138" customFormat="false" ht="12.75" hidden="false" customHeight="false" outlineLevel="0" collapsed="false">
      <c r="A138" s="276"/>
      <c r="B138" s="124"/>
      <c r="C138" s="23"/>
      <c r="D138" s="124"/>
      <c r="E138" s="4" t="n">
        <v>1</v>
      </c>
      <c r="F138" s="5" t="n">
        <v>2</v>
      </c>
      <c r="G138" s="5" t="n">
        <v>3</v>
      </c>
      <c r="H138" s="5" t="n">
        <v>4</v>
      </c>
      <c r="I138" s="5" t="n">
        <v>5</v>
      </c>
      <c r="J138" s="5" t="n">
        <v>6</v>
      </c>
      <c r="K138" s="5" t="n">
        <v>7</v>
      </c>
      <c r="L138" s="5" t="n">
        <v>8</v>
      </c>
      <c r="M138" s="5" t="n">
        <v>9</v>
      </c>
      <c r="N138" s="5" t="n">
        <v>10</v>
      </c>
      <c r="O138" s="5" t="n">
        <v>11</v>
      </c>
      <c r="P138" s="5" t="n">
        <v>12</v>
      </c>
      <c r="Q138" s="5" t="n">
        <v>13</v>
      </c>
      <c r="R138" s="5" t="n">
        <v>14</v>
      </c>
      <c r="S138" s="5" t="n">
        <v>15</v>
      </c>
      <c r="T138" s="5" t="n">
        <v>16</v>
      </c>
      <c r="U138" s="5" t="n">
        <v>17</v>
      </c>
      <c r="V138" s="5" t="n">
        <v>18</v>
      </c>
      <c r="W138" s="5" t="n">
        <v>19</v>
      </c>
      <c r="X138" s="5" t="n">
        <v>20</v>
      </c>
      <c r="Y138" s="5" t="n">
        <v>21</v>
      </c>
      <c r="Z138" s="5" t="n">
        <v>22</v>
      </c>
      <c r="AA138" s="5" t="n">
        <v>23</v>
      </c>
      <c r="AB138" s="5" t="n">
        <v>24</v>
      </c>
      <c r="AC138" s="5" t="n">
        <v>25</v>
      </c>
      <c r="AD138" s="5" t="n">
        <v>26</v>
      </c>
      <c r="AE138" s="5" t="n">
        <v>27</v>
      </c>
      <c r="AF138" s="5" t="n">
        <v>28</v>
      </c>
      <c r="AG138" s="5" t="n">
        <v>29</v>
      </c>
      <c r="AH138" s="6" t="n">
        <v>30</v>
      </c>
      <c r="AI138" s="6" t="n">
        <v>31</v>
      </c>
      <c r="AJ138" s="6" t="n">
        <v>32</v>
      </c>
      <c r="AK138" s="6" t="n">
        <v>33</v>
      </c>
      <c r="AL138" s="6" t="n">
        <v>34</v>
      </c>
      <c r="AM138" s="114"/>
      <c r="AN138" s="114"/>
      <c r="AO138" s="114"/>
      <c r="AP138" s="114"/>
      <c r="AQ138" s="114"/>
      <c r="AR138" s="114"/>
      <c r="AS138" s="114"/>
      <c r="AT138" s="114"/>
      <c r="AU138" s="114"/>
      <c r="AV138" s="114"/>
      <c r="AW138" s="114"/>
      <c r="AX138" s="114"/>
      <c r="AY138" s="114"/>
      <c r="AZ138" s="114"/>
      <c r="BA138" s="114"/>
      <c r="BB138" s="114"/>
      <c r="BC138" s="114"/>
      <c r="BD138" s="114"/>
      <c r="BE138" s="114"/>
      <c r="BF138" s="114"/>
      <c r="BG138" s="114"/>
      <c r="BH138" s="114"/>
      <c r="BI138" s="114"/>
      <c r="BJ138" s="114"/>
      <c r="BK138" s="114"/>
      <c r="BL138" s="114"/>
      <c r="BM138" s="114"/>
      <c r="BN138" s="114"/>
      <c r="BO138" s="114"/>
      <c r="BP138" s="114"/>
      <c r="BQ138" s="114"/>
      <c r="BR138" s="114"/>
      <c r="BS138" s="114"/>
      <c r="BT138" s="114"/>
      <c r="BU138" s="114"/>
      <c r="BV138" s="114"/>
      <c r="BW138" s="114"/>
      <c r="BX138" s="114"/>
      <c r="BY138" s="114"/>
      <c r="BZ138" s="114"/>
      <c r="CA138" s="114"/>
      <c r="CB138" s="114"/>
      <c r="CC138" s="114"/>
      <c r="CD138" s="114"/>
      <c r="CE138" s="114"/>
      <c r="CF138" s="114"/>
      <c r="CG138" s="114"/>
      <c r="CH138" s="114"/>
      <c r="CI138" s="114"/>
      <c r="CJ138" s="114"/>
      <c r="CK138" s="114"/>
      <c r="CL138" s="114"/>
      <c r="CM138" s="114"/>
      <c r="CN138" s="114"/>
      <c r="CO138" s="114"/>
      <c r="CP138" s="114"/>
      <c r="CQ138" s="114"/>
      <c r="CR138" s="114"/>
      <c r="CS138" s="114"/>
      <c r="CT138" s="114"/>
      <c r="CU138" s="114"/>
      <c r="CV138" s="114"/>
      <c r="CW138" s="114"/>
      <c r="CX138" s="114"/>
      <c r="CY138" s="114"/>
      <c r="CZ138" s="114"/>
      <c r="DA138" s="114"/>
      <c r="DB138" s="114"/>
      <c r="DC138" s="114"/>
      <c r="DD138" s="114"/>
      <c r="DE138" s="114"/>
      <c r="DF138" s="114"/>
      <c r="DG138" s="114"/>
      <c r="DH138" s="114"/>
      <c r="DI138" s="114"/>
      <c r="DJ138" s="114"/>
      <c r="DK138" s="114"/>
      <c r="DL138" s="114"/>
      <c r="DM138" s="114"/>
      <c r="DN138" s="114"/>
      <c r="DO138" s="114"/>
      <c r="DP138" s="114"/>
      <c r="DQ138" s="114"/>
      <c r="DR138" s="114"/>
      <c r="DS138" s="114"/>
      <c r="DT138" s="114"/>
      <c r="DU138" s="114"/>
      <c r="DV138" s="114"/>
      <c r="DW138" s="114"/>
      <c r="DX138" s="114"/>
      <c r="DY138" s="114"/>
      <c r="DZ138" s="114"/>
      <c r="EA138" s="114"/>
      <c r="EB138" s="114"/>
      <c r="EC138" s="114"/>
      <c r="ED138" s="114"/>
      <c r="EE138" s="114"/>
      <c r="EF138" s="114"/>
      <c r="EG138" s="114"/>
      <c r="EH138" s="114"/>
      <c r="EI138" s="114"/>
      <c r="EJ138" s="114"/>
      <c r="EK138" s="114"/>
      <c r="EL138" s="114"/>
    </row>
    <row r="139" customFormat="false" ht="12.75" hidden="false" customHeight="false" outlineLevel="0" collapsed="false">
      <c r="A139" s="124"/>
      <c r="B139" s="289" t="s">
        <v>247</v>
      </c>
      <c r="C139" s="290"/>
      <c r="D139" s="271"/>
      <c r="E139" s="7" t="n">
        <f aca="false">Assum!$H$25</f>
        <v>2002</v>
      </c>
      <c r="F139" s="8" t="n">
        <f aca="false">E139+1</f>
        <v>2003</v>
      </c>
      <c r="G139" s="8" t="n">
        <f aca="false">F139+1</f>
        <v>2004</v>
      </c>
      <c r="H139" s="8" t="n">
        <f aca="false">G139+1</f>
        <v>2005</v>
      </c>
      <c r="I139" s="8" t="n">
        <f aca="false">H139+1</f>
        <v>2006</v>
      </c>
      <c r="J139" s="8" t="n">
        <f aca="false">I139+1</f>
        <v>2007</v>
      </c>
      <c r="K139" s="8" t="n">
        <f aca="false">J139+1</f>
        <v>2008</v>
      </c>
      <c r="L139" s="8" t="n">
        <f aca="false">K139+1</f>
        <v>2009</v>
      </c>
      <c r="M139" s="8" t="n">
        <f aca="false">L139+1</f>
        <v>2010</v>
      </c>
      <c r="N139" s="8" t="n">
        <f aca="false">M139+1</f>
        <v>2011</v>
      </c>
      <c r="O139" s="8" t="n">
        <f aca="false">N139+1</f>
        <v>2012</v>
      </c>
      <c r="P139" s="8" t="n">
        <f aca="false">O139+1</f>
        <v>2013</v>
      </c>
      <c r="Q139" s="8" t="n">
        <f aca="false">P139+1</f>
        <v>2014</v>
      </c>
      <c r="R139" s="8" t="n">
        <f aca="false">Q139+1</f>
        <v>2015</v>
      </c>
      <c r="S139" s="8" t="n">
        <f aca="false">R139+1</f>
        <v>2016</v>
      </c>
      <c r="T139" s="8" t="n">
        <f aca="false">S139+1</f>
        <v>2017</v>
      </c>
      <c r="U139" s="8" t="n">
        <f aca="false">T139+1</f>
        <v>2018</v>
      </c>
      <c r="V139" s="8" t="n">
        <f aca="false">U139+1</f>
        <v>2019</v>
      </c>
      <c r="W139" s="8" t="n">
        <f aca="false">V139+1</f>
        <v>2020</v>
      </c>
      <c r="X139" s="8" t="n">
        <f aca="false">W139+1</f>
        <v>2021</v>
      </c>
      <c r="Y139" s="8" t="n">
        <f aca="false">X139+1</f>
        <v>2022</v>
      </c>
      <c r="Z139" s="8" t="n">
        <f aca="false">Y139+1</f>
        <v>2023</v>
      </c>
      <c r="AA139" s="8" t="n">
        <f aca="false">Z139+1</f>
        <v>2024</v>
      </c>
      <c r="AB139" s="8" t="n">
        <f aca="false">AA139+1</f>
        <v>2025</v>
      </c>
      <c r="AC139" s="8" t="n">
        <f aca="false">AB139+1</f>
        <v>2026</v>
      </c>
      <c r="AD139" s="8" t="n">
        <f aca="false">AC139+1</f>
        <v>2027</v>
      </c>
      <c r="AE139" s="8" t="n">
        <f aca="false">AD139+1</f>
        <v>2028</v>
      </c>
      <c r="AF139" s="8" t="n">
        <f aca="false">AE139+1</f>
        <v>2029</v>
      </c>
      <c r="AG139" s="8" t="n">
        <f aca="false">AF139+1</f>
        <v>2030</v>
      </c>
      <c r="AH139" s="9" t="n">
        <f aca="false">AG139+1</f>
        <v>2031</v>
      </c>
      <c r="AI139" s="9" t="n">
        <f aca="false">AH139+1</f>
        <v>2032</v>
      </c>
      <c r="AJ139" s="9" t="n">
        <f aca="false">AI139+1</f>
        <v>2033</v>
      </c>
      <c r="AK139" s="9" t="n">
        <f aca="false">AJ139+1</f>
        <v>2034</v>
      </c>
      <c r="AL139" s="9" t="n">
        <f aca="false">AK139+1</f>
        <v>2035</v>
      </c>
      <c r="AM139" s="114"/>
      <c r="AN139" s="114"/>
      <c r="AO139" s="114"/>
      <c r="AP139" s="114"/>
      <c r="AQ139" s="114"/>
      <c r="AR139" s="114"/>
      <c r="AS139" s="114"/>
      <c r="AT139" s="114"/>
      <c r="AU139" s="114"/>
      <c r="AV139" s="114"/>
      <c r="AW139" s="114"/>
      <c r="AX139" s="114"/>
      <c r="AY139" s="114"/>
      <c r="AZ139" s="114"/>
      <c r="BA139" s="114"/>
      <c r="BB139" s="114"/>
      <c r="BC139" s="114"/>
      <c r="BD139" s="114"/>
      <c r="BE139" s="114"/>
      <c r="BF139" s="114"/>
      <c r="BG139" s="114"/>
      <c r="BH139" s="114"/>
      <c r="BI139" s="114"/>
      <c r="BJ139" s="114"/>
      <c r="BK139" s="114"/>
      <c r="BL139" s="114"/>
      <c r="BM139" s="114"/>
      <c r="BN139" s="114"/>
      <c r="BO139" s="114"/>
      <c r="BP139" s="114"/>
      <c r="BQ139" s="114"/>
      <c r="BR139" s="114"/>
      <c r="BS139" s="114"/>
      <c r="BT139" s="114"/>
      <c r="BU139" s="114"/>
      <c r="BV139" s="114"/>
      <c r="BW139" s="114"/>
      <c r="BX139" s="114"/>
      <c r="BY139" s="114"/>
      <c r="BZ139" s="114"/>
      <c r="CA139" s="114"/>
      <c r="CB139" s="114"/>
      <c r="CC139" s="114"/>
      <c r="CD139" s="114"/>
      <c r="CE139" s="114"/>
      <c r="CF139" s="114"/>
      <c r="CG139" s="114"/>
      <c r="CH139" s="114"/>
      <c r="CI139" s="114"/>
      <c r="CJ139" s="114"/>
      <c r="CK139" s="114"/>
      <c r="CL139" s="114"/>
      <c r="CM139" s="114"/>
      <c r="CN139" s="114"/>
      <c r="CO139" s="114"/>
      <c r="CP139" s="114"/>
      <c r="CQ139" s="114"/>
      <c r="CR139" s="114"/>
      <c r="CS139" s="114"/>
      <c r="CT139" s="114"/>
      <c r="CU139" s="114"/>
      <c r="CV139" s="114"/>
      <c r="CW139" s="114"/>
      <c r="CX139" s="114"/>
      <c r="CY139" s="114"/>
      <c r="CZ139" s="114"/>
      <c r="DA139" s="114"/>
      <c r="DB139" s="114"/>
      <c r="DC139" s="114"/>
      <c r="DD139" s="114"/>
      <c r="DE139" s="114"/>
      <c r="DF139" s="114"/>
      <c r="DG139" s="114"/>
      <c r="DH139" s="114"/>
      <c r="DI139" s="114"/>
      <c r="DJ139" s="114"/>
      <c r="DK139" s="114"/>
      <c r="DL139" s="114"/>
      <c r="DM139" s="114"/>
      <c r="DN139" s="114"/>
      <c r="DO139" s="114"/>
      <c r="DP139" s="114"/>
      <c r="DQ139" s="114"/>
      <c r="DR139" s="114"/>
      <c r="DS139" s="114"/>
      <c r="DT139" s="114"/>
      <c r="DU139" s="114"/>
      <c r="DV139" s="114"/>
      <c r="DW139" s="114"/>
      <c r="DX139" s="114"/>
      <c r="DY139" s="114"/>
      <c r="DZ139" s="114"/>
      <c r="EA139" s="114"/>
      <c r="EB139" s="114"/>
      <c r="EC139" s="114"/>
      <c r="ED139" s="114"/>
      <c r="EE139" s="114"/>
      <c r="EF139" s="114"/>
      <c r="EG139" s="114"/>
      <c r="EH139" s="114"/>
      <c r="EI139" s="114"/>
      <c r="EJ139" s="114"/>
      <c r="EK139" s="114"/>
      <c r="EL139" s="114"/>
    </row>
    <row r="140" customFormat="false" ht="12.75" hidden="false" customHeight="false" outlineLevel="0" collapsed="false">
      <c r="A140" s="124"/>
      <c r="B140" s="124" t="s">
        <v>248</v>
      </c>
      <c r="C140" s="23"/>
      <c r="D140" s="124"/>
      <c r="E140" s="291" t="n">
        <f aca="false">11*(1+H134)</f>
        <v>11.341</v>
      </c>
      <c r="F140" s="291" t="n">
        <f aca="false">E140*(1+HLOOKUP(F$139,INFL,6))</f>
        <v>11.669889</v>
      </c>
      <c r="G140" s="291" t="n">
        <f aca="false">F140*(1+HLOOKUP(G$139,INFL,6))</f>
        <v>12.0024808365</v>
      </c>
      <c r="H140" s="291" t="n">
        <f aca="false">G140*(1+HLOOKUP(H$139,INFL,6))</f>
        <v>12.338550299922</v>
      </c>
      <c r="I140" s="291" t="n">
        <f aca="false">H140*(1+HLOOKUP(I$139,INFL,6))</f>
        <v>12.6741588680799</v>
      </c>
      <c r="J140" s="291" t="n">
        <f aca="false">I140*(1+HLOOKUP(J$139,INFL,6))</f>
        <v>13.0125589098576</v>
      </c>
      <c r="K140" s="291" t="n">
        <f aca="false">J140*(1+HLOOKUP(K$139,INFL,6))</f>
        <v>13.3534879532959</v>
      </c>
      <c r="L140" s="291" t="n">
        <f aca="false">K140*(1+HLOOKUP(L$139,INFL,6))</f>
        <v>13.6980079424909</v>
      </c>
      <c r="M140" s="291" t="n">
        <f aca="false">L140*(1+HLOOKUP(M$139,INFL,6))</f>
        <v>14.0459373442302</v>
      </c>
      <c r="N140" s="291" t="n">
        <f aca="false">M140*(1+HLOOKUP(N$139,INFL,6))</f>
        <v>14.3998949653048</v>
      </c>
      <c r="O140" s="291" t="n">
        <f aca="false">N140*(1+HLOOKUP(O$139,INFL,6))</f>
        <v>14.7598923394374</v>
      </c>
      <c r="P140" s="291" t="n">
        <f aca="false">O140*(1+HLOOKUP(P$139,INFL,6))</f>
        <v>15.1333176156252</v>
      </c>
      <c r="Q140" s="291" t="n">
        <f aca="false">P140*(1+HLOOKUP(Q$139,INFL,6))</f>
        <v>15.5222438783467</v>
      </c>
      <c r="R140" s="291" t="n">
        <f aca="false">Q140*(1+HLOOKUP(R$139,INFL,6))</f>
        <v>15.9273744435716</v>
      </c>
      <c r="S140" s="291" t="n">
        <f aca="false">R140*(1+HLOOKUP(S$139,INFL,6))</f>
        <v>16.3526353412149</v>
      </c>
      <c r="T140" s="291" t="n">
        <f aca="false">S140*(1+HLOOKUP(T$139,INFL,6))</f>
        <v>16.7957917589619</v>
      </c>
      <c r="U140" s="291" t="n">
        <f aca="false">T140*(1+HLOOKUP(U$139,INFL,6))</f>
        <v>17.2559964531574</v>
      </c>
      <c r="V140" s="291" t="n">
        <f aca="false">U140*(1+HLOOKUP(V$139,INFL,6))</f>
        <v>17.7426155531365</v>
      </c>
      <c r="W140" s="291" t="n">
        <f aca="false">V140*(1+HLOOKUP(W$139,INFL,6))</f>
        <v>18.2571514041774</v>
      </c>
      <c r="X140" s="291" t="n">
        <f aca="false">W140*(1+HLOOKUP(X$139,INFL,6))</f>
        <v>18.8139945220048</v>
      </c>
      <c r="Y140" s="291" t="n">
        <f aca="false">X140*(1+HLOOKUP(Y$139,INFL,6))</f>
        <v>19.3991097516392</v>
      </c>
      <c r="Z140" s="291" t="n">
        <f aca="false">Y140*(1+HLOOKUP(Z$139,INFL,6))</f>
        <v>20.0160014417413</v>
      </c>
      <c r="AA140" s="291" t="n">
        <f aca="false">Z140*(1+HLOOKUP(AA$139,INFL,6))</f>
        <v>20.6525102875887</v>
      </c>
      <c r="AB140" s="291" t="n">
        <f aca="false">AA140*(1+HLOOKUP(AB$139,INFL,6))</f>
        <v>21.309260114734</v>
      </c>
      <c r="AC140" s="291" t="n">
        <f aca="false">AB140*(1+HLOOKUP(AC$139,INFL,6))</f>
        <v>21.9868945863825</v>
      </c>
      <c r="AD140" s="291" t="n">
        <f aca="false">AC140*(1+HLOOKUP(AD$139,INFL,6))</f>
        <v>22.6860778342295</v>
      </c>
      <c r="AE140" s="291" t="n">
        <f aca="false">AD140*(1+HLOOKUP(AE$139,INFL,6))</f>
        <v>23.407495109358</v>
      </c>
      <c r="AF140" s="291" t="n">
        <f aca="false">AE140*(1+HLOOKUP(AF$139,INFL,6))</f>
        <v>24.1518534538356</v>
      </c>
      <c r="AG140" s="291" t="n">
        <f aca="false">AF140*(1+HLOOKUP(AG$139,INFL,6))</f>
        <v>24.9198823936676</v>
      </c>
      <c r="AH140" s="291" t="n">
        <f aca="false">AG140*(1+HLOOKUP(AH$139,INFL,6))</f>
        <v>25.7123346537862</v>
      </c>
      <c r="AI140" s="291" t="n">
        <f aca="false">AH140*(1+HLOOKUP(AI$139,INFL,6))</f>
        <v>26.5299868957766</v>
      </c>
      <c r="AJ140" s="291" t="n">
        <f aca="false">AI140*(1+HLOOKUP(AJ$139,INFL,6))</f>
        <v>27.3736404790623</v>
      </c>
      <c r="AK140" s="291" t="n">
        <f aca="false">AJ140*(1+HLOOKUP(AK$139,INFL,6))</f>
        <v>28.2441222462965</v>
      </c>
      <c r="AL140" s="291" t="n">
        <f aca="false">AK140*(1+HLOOKUP(AL$139,INFL,6))</f>
        <v>29.1422853337287</v>
      </c>
      <c r="AM140" s="114"/>
      <c r="AN140" s="114"/>
      <c r="AO140" s="114"/>
      <c r="AP140" s="114"/>
      <c r="AQ140" s="114"/>
      <c r="AR140" s="114"/>
      <c r="AS140" s="114"/>
      <c r="AT140" s="114"/>
      <c r="AU140" s="114"/>
      <c r="AV140" s="114"/>
      <c r="AW140" s="114"/>
      <c r="AX140" s="114"/>
      <c r="AY140" s="114"/>
      <c r="AZ140" s="114"/>
      <c r="BA140" s="114"/>
      <c r="BB140" s="114"/>
      <c r="BC140" s="114"/>
      <c r="BD140" s="114"/>
      <c r="BE140" s="114"/>
      <c r="BF140" s="114"/>
      <c r="BG140" s="114"/>
      <c r="BH140" s="114"/>
      <c r="BI140" s="114"/>
      <c r="BJ140" s="114"/>
      <c r="BK140" s="114"/>
      <c r="BL140" s="114"/>
      <c r="BM140" s="114"/>
      <c r="BN140" s="114"/>
      <c r="BO140" s="114"/>
      <c r="BP140" s="114"/>
      <c r="BQ140" s="114"/>
      <c r="BR140" s="114"/>
      <c r="BS140" s="114"/>
      <c r="BT140" s="114"/>
      <c r="BU140" s="114"/>
      <c r="BV140" s="114"/>
      <c r="BW140" s="114"/>
      <c r="BX140" s="114"/>
      <c r="BY140" s="114"/>
      <c r="BZ140" s="114"/>
      <c r="CA140" s="114"/>
      <c r="CB140" s="114"/>
      <c r="CC140" s="114"/>
      <c r="CD140" s="114"/>
      <c r="CE140" s="114"/>
      <c r="CF140" s="114"/>
      <c r="CG140" s="114"/>
      <c r="CH140" s="114"/>
      <c r="CI140" s="114"/>
      <c r="CJ140" s="114"/>
      <c r="CK140" s="114"/>
      <c r="CL140" s="114"/>
      <c r="CM140" s="114"/>
      <c r="CN140" s="114"/>
      <c r="CO140" s="114"/>
      <c r="CP140" s="114"/>
      <c r="CQ140" s="114"/>
      <c r="CR140" s="114"/>
      <c r="CS140" s="114"/>
      <c r="CT140" s="114"/>
      <c r="CU140" s="114"/>
      <c r="CV140" s="114"/>
      <c r="CW140" s="114"/>
      <c r="CX140" s="114"/>
      <c r="CY140" s="114"/>
      <c r="CZ140" s="114"/>
      <c r="DA140" s="114"/>
      <c r="DB140" s="114"/>
      <c r="DC140" s="114"/>
      <c r="DD140" s="114"/>
      <c r="DE140" s="114"/>
      <c r="DF140" s="114"/>
      <c r="DG140" s="114"/>
      <c r="DH140" s="114"/>
      <c r="DI140" s="114"/>
      <c r="DJ140" s="114"/>
      <c r="DK140" s="114"/>
      <c r="DL140" s="114"/>
      <c r="DM140" s="114"/>
      <c r="DN140" s="114"/>
      <c r="DO140" s="114"/>
      <c r="DP140" s="114"/>
      <c r="DQ140" s="114"/>
      <c r="DR140" s="114"/>
      <c r="DS140" s="114"/>
      <c r="DT140" s="114"/>
      <c r="DU140" s="114"/>
      <c r="DV140" s="114"/>
      <c r="DW140" s="114"/>
      <c r="DX140" s="114"/>
      <c r="DY140" s="114"/>
      <c r="DZ140" s="114"/>
      <c r="EA140" s="114"/>
      <c r="EB140" s="114"/>
      <c r="EC140" s="114"/>
      <c r="ED140" s="114"/>
      <c r="EE140" s="114"/>
      <c r="EF140" s="114"/>
      <c r="EG140" s="114"/>
      <c r="EH140" s="114"/>
      <c r="EI140" s="114"/>
      <c r="EJ140" s="114"/>
      <c r="EK140" s="114"/>
      <c r="EL140" s="114"/>
    </row>
    <row r="141" customFormat="false" ht="12.75" hidden="false" customHeight="false" outlineLevel="0" collapsed="false">
      <c r="A141" s="124"/>
      <c r="B141" s="124" t="s">
        <v>249</v>
      </c>
      <c r="C141" s="23"/>
      <c r="D141" s="124"/>
      <c r="E141" s="291" t="n">
        <v>0</v>
      </c>
      <c r="F141" s="291" t="n">
        <v>0</v>
      </c>
      <c r="G141" s="291" t="n">
        <v>0</v>
      </c>
      <c r="H141" s="291" t="n">
        <v>0</v>
      </c>
      <c r="I141" s="291" t="n">
        <v>0</v>
      </c>
      <c r="J141" s="292" t="n">
        <f aca="false">15</f>
        <v>15</v>
      </c>
      <c r="K141" s="291" t="n">
        <f aca="false">J141*(1+HLOOKUP(K$139,INFL,6))</f>
        <v>15.393</v>
      </c>
      <c r="L141" s="291" t="n">
        <f aca="false">K141*(1+HLOOKUP(L$139,INFL,6))</f>
        <v>15.7901394</v>
      </c>
      <c r="M141" s="291" t="n">
        <f aca="false">L141*(1+HLOOKUP(M$139,INFL,6))</f>
        <v>16.19120894076</v>
      </c>
      <c r="N141" s="291" t="n">
        <f aca="false">M141*(1+HLOOKUP(N$139,INFL,6))</f>
        <v>16.5992274060672</v>
      </c>
      <c r="O141" s="291" t="n">
        <f aca="false">N141*(1+HLOOKUP(O$139,INFL,6))</f>
        <v>17.0142080912188</v>
      </c>
      <c r="P141" s="291" t="n">
        <f aca="false">O141*(1+HLOOKUP(P$139,INFL,6))</f>
        <v>17.4446675559267</v>
      </c>
      <c r="Q141" s="291" t="n">
        <f aca="false">P141*(1+HLOOKUP(Q$139,INFL,6))</f>
        <v>17.892995512114</v>
      </c>
      <c r="R141" s="291" t="n">
        <f aca="false">Q141*(1+HLOOKUP(R$139,INFL,6))</f>
        <v>18.3600026949802</v>
      </c>
      <c r="S141" s="291" t="n">
        <f aca="false">R141*(1+HLOOKUP(S$139,INFL,6))</f>
        <v>18.8502147669361</v>
      </c>
      <c r="T141" s="291" t="n">
        <f aca="false">S141*(1+HLOOKUP(T$139,INFL,6))</f>
        <v>19.3610555871201</v>
      </c>
      <c r="U141" s="291" t="n">
        <f aca="false">T141*(1+HLOOKUP(U$139,INFL,6))</f>
        <v>19.8915485102072</v>
      </c>
      <c r="V141" s="291" t="n">
        <f aca="false">U141*(1+HLOOKUP(V$139,INFL,6))</f>
        <v>20.452490178195</v>
      </c>
      <c r="W141" s="291" t="n">
        <f aca="false">V141*(1+HLOOKUP(W$139,INFL,6))</f>
        <v>21.0456123933627</v>
      </c>
      <c r="X141" s="291" t="n">
        <f aca="false">W141*(1+HLOOKUP(X$139,INFL,6))</f>
        <v>21.6875035713603</v>
      </c>
      <c r="Y141" s="291" t="n">
        <f aca="false">X141*(1+HLOOKUP(Y$139,INFL,6))</f>
        <v>22.3619849324296</v>
      </c>
      <c r="Z141" s="291" t="n">
        <f aca="false">Y141*(1+HLOOKUP(Z$139,INFL,6))</f>
        <v>23.0730960532808</v>
      </c>
      <c r="AA141" s="291" t="n">
        <f aca="false">Z141*(1+HLOOKUP(AA$139,INFL,6))</f>
        <v>23.8068205077751</v>
      </c>
      <c r="AB141" s="291" t="n">
        <f aca="false">AA141*(1+HLOOKUP(AB$139,INFL,6))</f>
        <v>24.5638773999224</v>
      </c>
      <c r="AC141" s="291" t="n">
        <f aca="false">AB141*(1+HLOOKUP(AC$139,INFL,6))</f>
        <v>25.3450087012399</v>
      </c>
      <c r="AD141" s="291" t="n">
        <f aca="false">AC141*(1+HLOOKUP(AD$139,INFL,6))</f>
        <v>26.1509799779394</v>
      </c>
      <c r="AE141" s="291" t="n">
        <f aca="false">AD141*(1+HLOOKUP(AE$139,INFL,6))</f>
        <v>26.9825811412378</v>
      </c>
      <c r="AF141" s="291" t="n">
        <f aca="false">AE141*(1+HLOOKUP(AF$139,INFL,6))</f>
        <v>27.8406272215292</v>
      </c>
      <c r="AG141" s="291" t="n">
        <f aca="false">AF141*(1+HLOOKUP(AG$139,INFL,6))</f>
        <v>28.7259591671738</v>
      </c>
      <c r="AH141" s="291" t="n">
        <f aca="false">AG141*(1+HLOOKUP(AH$139,INFL,6))</f>
        <v>29.63944466869</v>
      </c>
      <c r="AI141" s="291" t="n">
        <f aca="false">AH141*(1+HLOOKUP(AI$139,INFL,6))</f>
        <v>30.5819790091543</v>
      </c>
      <c r="AJ141" s="291" t="n">
        <f aca="false">AI141*(1+HLOOKUP(AJ$139,INFL,6))</f>
        <v>31.5544859416454</v>
      </c>
      <c r="AK141" s="291" t="n">
        <f aca="false">AJ141*(1+HLOOKUP(AK$139,INFL,6))</f>
        <v>32.5579185945897</v>
      </c>
      <c r="AL141" s="291" t="n">
        <f aca="false">AK141*(1+HLOOKUP(AL$139,INFL,6))</f>
        <v>33.5932604058977</v>
      </c>
      <c r="AM141" s="114"/>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4"/>
      <c r="BR141" s="114"/>
      <c r="BS141" s="114"/>
      <c r="BT141" s="114"/>
      <c r="BU141" s="114"/>
      <c r="BV141" s="114"/>
      <c r="BW141" s="114"/>
      <c r="BX141" s="114"/>
      <c r="BY141" s="114"/>
      <c r="BZ141" s="114"/>
      <c r="CA141" s="114"/>
      <c r="CB141" s="114"/>
      <c r="CC141" s="114"/>
      <c r="CD141" s="114"/>
      <c r="CE141" s="114"/>
      <c r="CF141" s="114"/>
      <c r="CG141" s="114"/>
      <c r="CH141" s="114"/>
      <c r="CI141" s="114"/>
      <c r="CJ141" s="114"/>
      <c r="CK141" s="114"/>
      <c r="CL141" s="114"/>
      <c r="CM141" s="114"/>
      <c r="CN141" s="114"/>
      <c r="CO141" s="114"/>
      <c r="CP141" s="114"/>
      <c r="CQ141" s="114"/>
      <c r="CR141" s="114"/>
      <c r="CS141" s="114"/>
      <c r="CT141" s="114"/>
      <c r="CU141" s="114"/>
      <c r="CV141" s="114"/>
      <c r="CW141" s="114"/>
      <c r="CX141" s="114"/>
      <c r="CY141" s="114"/>
      <c r="CZ141" s="114"/>
      <c r="DA141" s="114"/>
      <c r="DB141" s="114"/>
      <c r="DC141" s="114"/>
      <c r="DD141" s="114"/>
      <c r="DE141" s="114"/>
      <c r="DF141" s="114"/>
      <c r="DG141" s="114"/>
      <c r="DH141" s="114"/>
      <c r="DI141" s="114"/>
      <c r="DJ141" s="114"/>
      <c r="DK141" s="114"/>
      <c r="DL141" s="114"/>
      <c r="DM141" s="114"/>
      <c r="DN141" s="114"/>
      <c r="DO141" s="114"/>
      <c r="DP141" s="114"/>
      <c r="DQ141" s="114"/>
      <c r="DR141" s="114"/>
      <c r="DS141" s="114"/>
      <c r="DT141" s="114"/>
      <c r="DU141" s="114"/>
      <c r="DV141" s="114"/>
      <c r="DW141" s="114"/>
      <c r="DX141" s="114"/>
      <c r="DY141" s="114"/>
      <c r="DZ141" s="114"/>
      <c r="EA141" s="114"/>
      <c r="EB141" s="114"/>
      <c r="EC141" s="114"/>
      <c r="ED141" s="114"/>
      <c r="EE141" s="114"/>
      <c r="EF141" s="114"/>
      <c r="EG141" s="114"/>
      <c r="EH141" s="114"/>
      <c r="EI141" s="114"/>
      <c r="EJ141" s="114"/>
      <c r="EK141" s="114"/>
      <c r="EL141" s="114"/>
    </row>
    <row r="142" customFormat="false" ht="12.75" hidden="false" customHeight="false" outlineLevel="0" collapsed="false">
      <c r="A142" s="124"/>
      <c r="B142" s="124"/>
      <c r="C142" s="23"/>
      <c r="D142" s="124"/>
      <c r="E142" s="293"/>
      <c r="F142" s="293"/>
      <c r="G142" s="293"/>
      <c r="H142" s="293"/>
      <c r="I142" s="293"/>
      <c r="J142" s="293"/>
      <c r="K142" s="293"/>
      <c r="L142" s="293"/>
      <c r="M142" s="293"/>
      <c r="N142" s="293"/>
      <c r="O142" s="294"/>
      <c r="P142" s="293"/>
      <c r="Q142" s="293"/>
      <c r="R142" s="293"/>
      <c r="S142" s="293"/>
      <c r="T142" s="293"/>
      <c r="U142" s="293"/>
      <c r="V142" s="293"/>
      <c r="W142" s="293"/>
      <c r="X142" s="293"/>
      <c r="Y142" s="293"/>
      <c r="Z142" s="293"/>
      <c r="AA142" s="293"/>
      <c r="AB142" s="293"/>
      <c r="AC142" s="293"/>
      <c r="AD142" s="293"/>
      <c r="AE142" s="293"/>
      <c r="AF142" s="293"/>
      <c r="AG142" s="293"/>
      <c r="AH142" s="293"/>
      <c r="AI142" s="293"/>
      <c r="AJ142" s="293"/>
      <c r="AK142" s="293"/>
      <c r="AL142" s="293"/>
      <c r="AM142" s="114"/>
      <c r="AN142" s="114"/>
      <c r="AO142" s="114"/>
      <c r="AP142" s="114"/>
      <c r="AQ142" s="114"/>
      <c r="AR142" s="114"/>
      <c r="AS142" s="114"/>
      <c r="AT142" s="114"/>
      <c r="AU142" s="114"/>
      <c r="AV142" s="114"/>
      <c r="AW142" s="114"/>
      <c r="AX142" s="114"/>
      <c r="AY142" s="114"/>
      <c r="AZ142" s="114"/>
      <c r="BA142" s="114"/>
      <c r="BB142" s="114"/>
      <c r="BC142" s="114"/>
      <c r="BD142" s="114"/>
      <c r="BE142" s="114"/>
      <c r="BF142" s="114"/>
      <c r="BG142" s="114"/>
      <c r="BH142" s="114"/>
      <c r="BI142" s="114"/>
      <c r="BJ142" s="114"/>
      <c r="BK142" s="114"/>
      <c r="BL142" s="114"/>
      <c r="BM142" s="114"/>
      <c r="BN142" s="114"/>
      <c r="BO142" s="114"/>
      <c r="BP142" s="114"/>
      <c r="BQ142" s="114"/>
      <c r="BR142" s="114"/>
      <c r="BS142" s="114"/>
      <c r="BT142" s="114"/>
      <c r="BU142" s="114"/>
      <c r="BV142" s="114"/>
      <c r="BW142" s="114"/>
      <c r="BX142" s="114"/>
      <c r="BY142" s="114"/>
      <c r="BZ142" s="114"/>
      <c r="CA142" s="114"/>
      <c r="CB142" s="114"/>
      <c r="CC142" s="114"/>
      <c r="CD142" s="114"/>
      <c r="CE142" s="114"/>
      <c r="CF142" s="114"/>
      <c r="CG142" s="114"/>
      <c r="CH142" s="114"/>
      <c r="CI142" s="114"/>
      <c r="CJ142" s="114"/>
      <c r="CK142" s="114"/>
      <c r="CL142" s="114"/>
      <c r="CM142" s="114"/>
      <c r="CN142" s="114"/>
      <c r="CO142" s="114"/>
      <c r="CP142" s="114"/>
      <c r="CQ142" s="114"/>
      <c r="CR142" s="114"/>
      <c r="CS142" s="114"/>
      <c r="CT142" s="114"/>
      <c r="CU142" s="114"/>
      <c r="CV142" s="114"/>
      <c r="CW142" s="114"/>
      <c r="CX142" s="114"/>
      <c r="CY142" s="114"/>
      <c r="CZ142" s="114"/>
      <c r="DA142" s="114"/>
      <c r="DB142" s="114"/>
      <c r="DC142" s="114"/>
      <c r="DD142" s="114"/>
      <c r="DE142" s="114"/>
      <c r="DF142" s="114"/>
      <c r="DG142" s="114"/>
      <c r="DH142" s="114"/>
      <c r="DI142" s="114"/>
      <c r="DJ142" s="114"/>
      <c r="DK142" s="114"/>
      <c r="DL142" s="114"/>
      <c r="DM142" s="114"/>
      <c r="DN142" s="114"/>
      <c r="DO142" s="114"/>
      <c r="DP142" s="114"/>
      <c r="DQ142" s="114"/>
      <c r="DR142" s="114"/>
      <c r="DS142" s="114"/>
      <c r="DT142" s="114"/>
      <c r="DU142" s="114"/>
      <c r="DV142" s="114"/>
      <c r="DW142" s="114"/>
      <c r="DX142" s="114"/>
      <c r="DY142" s="114"/>
      <c r="DZ142" s="114"/>
      <c r="EA142" s="114"/>
      <c r="EB142" s="114"/>
      <c r="EC142" s="114"/>
      <c r="ED142" s="114"/>
      <c r="EE142" s="114"/>
      <c r="EF142" s="114"/>
      <c r="EG142" s="114"/>
      <c r="EH142" s="114"/>
      <c r="EI142" s="114"/>
      <c r="EJ142" s="114"/>
      <c r="EK142" s="114"/>
      <c r="EL142" s="114"/>
    </row>
    <row r="143" customFormat="false" ht="12.75" hidden="false" customHeight="false" outlineLevel="0" collapsed="false">
      <c r="A143" s="124"/>
      <c r="B143" s="124"/>
      <c r="C143" s="23"/>
      <c r="D143" s="124"/>
      <c r="E143" s="111"/>
      <c r="F143" s="111"/>
      <c r="G143" s="111"/>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4"/>
      <c r="AL143" s="114"/>
      <c r="AM143" s="114"/>
      <c r="AN143" s="114"/>
      <c r="AO143" s="114"/>
      <c r="AP143" s="114"/>
      <c r="AQ143" s="114"/>
      <c r="AR143" s="114"/>
      <c r="AS143" s="114"/>
      <c r="AT143" s="114"/>
      <c r="AU143" s="114"/>
      <c r="AV143" s="114"/>
      <c r="AW143" s="114"/>
      <c r="AX143" s="114"/>
      <c r="AY143" s="114"/>
      <c r="AZ143" s="114"/>
      <c r="BA143" s="114"/>
      <c r="BB143" s="114"/>
      <c r="BC143" s="114"/>
      <c r="BD143" s="114"/>
      <c r="BE143" s="114"/>
      <c r="BF143" s="114"/>
      <c r="BG143" s="114"/>
      <c r="BH143" s="114"/>
      <c r="BI143" s="114"/>
      <c r="BJ143" s="114"/>
      <c r="BK143" s="114"/>
      <c r="BL143" s="114"/>
      <c r="BM143" s="114"/>
      <c r="BN143" s="114"/>
      <c r="BO143" s="114"/>
      <c r="BP143" s="114"/>
      <c r="BQ143" s="114"/>
      <c r="BR143" s="114"/>
      <c r="BS143" s="114"/>
      <c r="BT143" s="114"/>
      <c r="BU143" s="114"/>
      <c r="BV143" s="114"/>
      <c r="BW143" s="114"/>
      <c r="BX143" s="114"/>
      <c r="BY143" s="114"/>
      <c r="BZ143" s="114"/>
      <c r="CA143" s="114"/>
      <c r="CB143" s="114"/>
      <c r="CC143" s="114"/>
      <c r="CD143" s="114"/>
      <c r="CE143" s="114"/>
      <c r="CF143" s="114"/>
      <c r="CG143" s="114"/>
      <c r="CH143" s="114"/>
      <c r="CI143" s="114"/>
      <c r="CJ143" s="114"/>
      <c r="CK143" s="114"/>
      <c r="CL143" s="114"/>
      <c r="CM143" s="114"/>
      <c r="CN143" s="114"/>
      <c r="CO143" s="114"/>
      <c r="CP143" s="114"/>
      <c r="CQ143" s="114"/>
      <c r="CR143" s="114"/>
      <c r="CS143" s="114"/>
      <c r="CT143" s="114"/>
      <c r="CU143" s="114"/>
      <c r="CV143" s="114"/>
      <c r="CW143" s="114"/>
      <c r="CX143" s="114"/>
      <c r="CY143" s="114"/>
      <c r="CZ143" s="114"/>
      <c r="DA143" s="114"/>
      <c r="DB143" s="114"/>
      <c r="DC143" s="114"/>
      <c r="DD143" s="114"/>
      <c r="DE143" s="114"/>
      <c r="DF143" s="114"/>
      <c r="DG143" s="114"/>
      <c r="DH143" s="114"/>
      <c r="DI143" s="114"/>
      <c r="DJ143" s="114"/>
      <c r="DK143" s="114"/>
      <c r="DL143" s="114"/>
      <c r="DM143" s="114"/>
      <c r="DN143" s="114"/>
      <c r="DO143" s="114"/>
      <c r="DP143" s="114"/>
      <c r="DQ143" s="114"/>
      <c r="DR143" s="114"/>
      <c r="DS143" s="114"/>
      <c r="DT143" s="114"/>
      <c r="DU143" s="114"/>
      <c r="DV143" s="114"/>
      <c r="DW143" s="114"/>
      <c r="DX143" s="114"/>
      <c r="DY143" s="114"/>
      <c r="DZ143" s="114"/>
      <c r="EA143" s="114"/>
      <c r="EB143" s="114"/>
      <c r="EC143" s="114"/>
      <c r="ED143" s="114"/>
      <c r="EE143" s="114"/>
      <c r="EF143" s="114"/>
      <c r="EG143" s="114"/>
      <c r="EH143" s="114"/>
      <c r="EI143" s="114"/>
      <c r="EJ143" s="114"/>
      <c r="EK143" s="114"/>
      <c r="EL143" s="114"/>
    </row>
    <row r="144" customFormat="false" ht="12.75" hidden="false" customHeight="false" outlineLevel="0" collapsed="false">
      <c r="A144" s="124"/>
      <c r="B144" s="295" t="s">
        <v>250</v>
      </c>
      <c r="C144" s="52"/>
      <c r="D144" s="295"/>
      <c r="E144" s="296" t="n">
        <v>8000</v>
      </c>
      <c r="F144" s="111" t="s">
        <v>154</v>
      </c>
      <c r="G144" s="111"/>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4"/>
      <c r="AL144" s="114"/>
      <c r="AM144" s="114"/>
      <c r="AN144" s="114"/>
      <c r="AO144" s="114"/>
      <c r="AP144" s="114"/>
      <c r="AQ144" s="114"/>
      <c r="AR144" s="114"/>
      <c r="AS144" s="114"/>
      <c r="AT144" s="114"/>
      <c r="AU144" s="114"/>
      <c r="AV144" s="114"/>
      <c r="AW144" s="114"/>
      <c r="AX144" s="114"/>
      <c r="AY144" s="114"/>
      <c r="AZ144" s="114"/>
      <c r="BA144" s="114"/>
      <c r="BB144" s="114"/>
      <c r="BC144" s="114"/>
      <c r="BD144" s="114"/>
      <c r="BE144" s="114"/>
      <c r="BF144" s="114"/>
      <c r="BG144" s="114"/>
      <c r="BH144" s="114"/>
      <c r="BI144" s="114"/>
      <c r="BJ144" s="114"/>
      <c r="BK144" s="114"/>
      <c r="BL144" s="114"/>
      <c r="BM144" s="114"/>
      <c r="BN144" s="114"/>
      <c r="BO144" s="114"/>
      <c r="BP144" s="114"/>
      <c r="BQ144" s="114"/>
      <c r="BR144" s="114"/>
      <c r="BS144" s="114"/>
      <c r="BT144" s="114"/>
      <c r="BU144" s="114"/>
      <c r="BV144" s="114"/>
      <c r="BW144" s="114"/>
      <c r="BX144" s="114"/>
      <c r="BY144" s="114"/>
      <c r="BZ144" s="114"/>
      <c r="CA144" s="114"/>
      <c r="CB144" s="114"/>
      <c r="CC144" s="114"/>
      <c r="CD144" s="114"/>
      <c r="CE144" s="114"/>
      <c r="CF144" s="114"/>
      <c r="CG144" s="114"/>
      <c r="CH144" s="114"/>
      <c r="CI144" s="114"/>
      <c r="CJ144" s="114"/>
      <c r="CK144" s="114"/>
      <c r="CL144" s="114"/>
      <c r="CM144" s="114"/>
      <c r="CN144" s="114"/>
      <c r="CO144" s="114"/>
      <c r="CP144" s="114"/>
      <c r="CQ144" s="114"/>
      <c r="CR144" s="114"/>
      <c r="CS144" s="114"/>
      <c r="CT144" s="114"/>
      <c r="CU144" s="114"/>
      <c r="CV144" s="114"/>
      <c r="CW144" s="114"/>
      <c r="CX144" s="114"/>
      <c r="CY144" s="114"/>
      <c r="CZ144" s="114"/>
      <c r="DA144" s="114"/>
      <c r="DB144" s="114"/>
      <c r="DC144" s="114"/>
      <c r="DD144" s="114"/>
      <c r="DE144" s="114"/>
      <c r="DF144" s="114"/>
      <c r="DG144" s="114"/>
      <c r="DH144" s="114"/>
      <c r="DI144" s="114"/>
      <c r="DJ144" s="114"/>
      <c r="DK144" s="114"/>
      <c r="DL144" s="114"/>
      <c r="DM144" s="114"/>
      <c r="DN144" s="114"/>
      <c r="DO144" s="114"/>
      <c r="DP144" s="114"/>
      <c r="DQ144" s="114"/>
      <c r="DR144" s="114"/>
      <c r="DS144" s="114"/>
      <c r="DT144" s="114"/>
      <c r="DU144" s="114"/>
      <c r="DV144" s="114"/>
      <c r="DW144" s="114"/>
      <c r="DX144" s="114"/>
      <c r="DY144" s="114"/>
      <c r="DZ144" s="114"/>
      <c r="EA144" s="114"/>
      <c r="EB144" s="114"/>
      <c r="EC144" s="114"/>
      <c r="ED144" s="114"/>
      <c r="EE144" s="114"/>
      <c r="EF144" s="114"/>
      <c r="EG144" s="114"/>
      <c r="EH144" s="114"/>
      <c r="EI144" s="114"/>
      <c r="EJ144" s="114"/>
      <c r="EK144" s="114"/>
      <c r="EL144" s="114"/>
    </row>
    <row r="145" customFormat="false" ht="12.75" hidden="false" customHeight="false" outlineLevel="0" collapsed="false">
      <c r="A145" s="124"/>
      <c r="B145" s="124"/>
      <c r="C145" s="23"/>
      <c r="D145" s="124"/>
      <c r="E145" s="59"/>
      <c r="F145" s="111"/>
      <c r="G145" s="111"/>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4"/>
      <c r="AL145" s="114"/>
      <c r="AM145" s="114"/>
      <c r="AN145" s="114"/>
      <c r="AO145" s="114"/>
      <c r="AP145" s="114"/>
      <c r="AQ145" s="114"/>
      <c r="AR145" s="114"/>
      <c r="AS145" s="114"/>
      <c r="AT145" s="114"/>
      <c r="AU145" s="114"/>
      <c r="AV145" s="114"/>
      <c r="AW145" s="114"/>
      <c r="AX145" s="114"/>
      <c r="AY145" s="114"/>
      <c r="AZ145" s="114"/>
      <c r="BA145" s="114"/>
      <c r="BB145" s="114"/>
      <c r="BC145" s="114"/>
      <c r="BD145" s="114"/>
      <c r="BE145" s="114"/>
      <c r="BF145" s="114"/>
      <c r="BG145" s="114"/>
      <c r="BH145" s="114"/>
      <c r="BI145" s="114"/>
      <c r="BJ145" s="114"/>
      <c r="BK145" s="114"/>
      <c r="BL145" s="114"/>
      <c r="BM145" s="114"/>
      <c r="BN145" s="114"/>
      <c r="BO145" s="114"/>
      <c r="BP145" s="114"/>
      <c r="BQ145" s="114"/>
      <c r="BR145" s="114"/>
      <c r="BS145" s="114"/>
      <c r="BT145" s="114"/>
      <c r="BU145" s="114"/>
      <c r="BV145" s="114"/>
      <c r="BW145" s="114"/>
      <c r="BX145" s="114"/>
      <c r="BY145" s="114"/>
      <c r="BZ145" s="114"/>
      <c r="CA145" s="114"/>
      <c r="CB145" s="114"/>
      <c r="CC145" s="114"/>
      <c r="CD145" s="114"/>
      <c r="CE145" s="114"/>
      <c r="CF145" s="114"/>
      <c r="CG145" s="114"/>
      <c r="CH145" s="114"/>
      <c r="CI145" s="114"/>
      <c r="CJ145" s="114"/>
      <c r="CK145" s="114"/>
      <c r="CL145" s="114"/>
      <c r="CM145" s="114"/>
      <c r="CN145" s="114"/>
      <c r="CO145" s="114"/>
      <c r="CP145" s="114"/>
      <c r="CQ145" s="114"/>
      <c r="CR145" s="114"/>
      <c r="CS145" s="114"/>
      <c r="CT145" s="114"/>
      <c r="CU145" s="114"/>
      <c r="CV145" s="114"/>
      <c r="CW145" s="114"/>
      <c r="CX145" s="114"/>
      <c r="CY145" s="114"/>
      <c r="CZ145" s="114"/>
      <c r="DA145" s="114"/>
      <c r="DB145" s="114"/>
      <c r="DC145" s="114"/>
      <c r="DD145" s="114"/>
      <c r="DE145" s="114"/>
      <c r="DF145" s="114"/>
      <c r="DG145" s="114"/>
      <c r="DH145" s="114"/>
      <c r="DI145" s="114"/>
      <c r="DJ145" s="114"/>
      <c r="DK145" s="114"/>
      <c r="DL145" s="114"/>
      <c r="DM145" s="114"/>
      <c r="DN145" s="114"/>
      <c r="DO145" s="114"/>
      <c r="DP145" s="114"/>
      <c r="DQ145" s="114"/>
      <c r="DR145" s="114"/>
      <c r="DS145" s="114"/>
      <c r="DT145" s="114"/>
      <c r="DU145" s="114"/>
      <c r="DV145" s="114"/>
      <c r="DW145" s="114"/>
      <c r="DX145" s="114"/>
      <c r="DY145" s="114"/>
      <c r="DZ145" s="114"/>
      <c r="EA145" s="114"/>
      <c r="EB145" s="114"/>
      <c r="EC145" s="114"/>
      <c r="ED145" s="114"/>
      <c r="EE145" s="114"/>
      <c r="EF145" s="114"/>
      <c r="EG145" s="114"/>
      <c r="EH145" s="114"/>
      <c r="EI145" s="114"/>
      <c r="EJ145" s="114"/>
      <c r="EK145" s="114"/>
      <c r="EL145" s="114"/>
    </row>
    <row r="146" customFormat="false" ht="12.75" hidden="false" customHeight="false" outlineLevel="0" collapsed="false">
      <c r="A146" s="124"/>
      <c r="B146" s="289" t="s">
        <v>251</v>
      </c>
      <c r="C146" s="290"/>
      <c r="D146" s="124"/>
      <c r="E146" s="252" t="s">
        <v>252</v>
      </c>
      <c r="F146" s="176" t="s">
        <v>253</v>
      </c>
      <c r="G146" s="111"/>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4"/>
      <c r="AL146" s="114"/>
      <c r="AM146" s="114"/>
      <c r="AN146" s="114"/>
      <c r="AO146" s="114"/>
      <c r="AP146" s="114"/>
      <c r="AQ146" s="114"/>
      <c r="AR146" s="114"/>
      <c r="AS146" s="114"/>
      <c r="AT146" s="114"/>
      <c r="AU146" s="114"/>
      <c r="AV146" s="114"/>
      <c r="AW146" s="114"/>
      <c r="AX146" s="114"/>
      <c r="AY146" s="114"/>
      <c r="AZ146" s="114"/>
      <c r="BA146" s="114"/>
      <c r="BB146" s="114"/>
      <c r="BC146" s="114"/>
      <c r="BD146" s="114"/>
      <c r="BE146" s="114"/>
      <c r="BF146" s="114"/>
      <c r="BG146" s="114"/>
      <c r="BH146" s="114"/>
      <c r="BI146" s="114"/>
      <c r="BJ146" s="114"/>
      <c r="BK146" s="114"/>
      <c r="BL146" s="114"/>
      <c r="BM146" s="114"/>
      <c r="BN146" s="114"/>
      <c r="BO146" s="114"/>
      <c r="BP146" s="114"/>
      <c r="BQ146" s="114"/>
      <c r="BR146" s="114"/>
      <c r="BS146" s="114"/>
      <c r="BT146" s="114"/>
      <c r="BU146" s="114"/>
      <c r="BV146" s="114"/>
      <c r="BW146" s="114"/>
      <c r="BX146" s="114"/>
      <c r="BY146" s="114"/>
      <c r="BZ146" s="114"/>
      <c r="CA146" s="114"/>
      <c r="CB146" s="114"/>
      <c r="CC146" s="114"/>
      <c r="CD146" s="114"/>
      <c r="CE146" s="114"/>
      <c r="CF146" s="114"/>
      <c r="CG146" s="114"/>
      <c r="CH146" s="114"/>
      <c r="CI146" s="114"/>
      <c r="CJ146" s="114"/>
      <c r="CK146" s="114"/>
      <c r="CL146" s="114"/>
      <c r="CM146" s="114"/>
      <c r="CN146" s="114"/>
      <c r="CO146" s="114"/>
      <c r="CP146" s="114"/>
      <c r="CQ146" s="114"/>
      <c r="CR146" s="114"/>
      <c r="CS146" s="114"/>
      <c r="CT146" s="114"/>
      <c r="CU146" s="114"/>
      <c r="CV146" s="114"/>
      <c r="CW146" s="114"/>
      <c r="CX146" s="114"/>
      <c r="CY146" s="114"/>
      <c r="CZ146" s="114"/>
      <c r="DA146" s="114"/>
      <c r="DB146" s="114"/>
      <c r="DC146" s="114"/>
      <c r="DD146" s="114"/>
      <c r="DE146" s="114"/>
      <c r="DF146" s="114"/>
      <c r="DG146" s="114"/>
      <c r="DH146" s="114"/>
      <c r="DI146" s="114"/>
      <c r="DJ146" s="114"/>
      <c r="DK146" s="114"/>
      <c r="DL146" s="114"/>
      <c r="DM146" s="114"/>
      <c r="DN146" s="114"/>
      <c r="DO146" s="114"/>
      <c r="DP146" s="114"/>
      <c r="DQ146" s="114"/>
      <c r="DR146" s="114"/>
      <c r="DS146" s="114"/>
      <c r="DT146" s="114"/>
      <c r="DU146" s="114"/>
      <c r="DV146" s="114"/>
      <c r="DW146" s="114"/>
      <c r="DX146" s="114"/>
      <c r="DY146" s="114"/>
      <c r="DZ146" s="114"/>
      <c r="EA146" s="114"/>
      <c r="EB146" s="114"/>
      <c r="EC146" s="114"/>
      <c r="ED146" s="114"/>
      <c r="EE146" s="114"/>
      <c r="EF146" s="114"/>
      <c r="EG146" s="114"/>
      <c r="EH146" s="114"/>
      <c r="EI146" s="114"/>
      <c r="EJ146" s="114"/>
      <c r="EK146" s="114"/>
      <c r="EL146" s="114"/>
    </row>
    <row r="147" customFormat="false" ht="12.75" hidden="false" customHeight="false" outlineLevel="0" collapsed="false">
      <c r="A147" s="124"/>
      <c r="B147" s="124" t="s">
        <v>254</v>
      </c>
      <c r="C147" s="23"/>
      <c r="D147" s="124"/>
      <c r="E147" s="56" t="n">
        <v>0</v>
      </c>
      <c r="F147" s="109" t="n">
        <v>200</v>
      </c>
      <c r="G147" s="114" t="s">
        <v>255</v>
      </c>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4"/>
      <c r="AL147" s="114"/>
      <c r="AM147" s="114"/>
      <c r="AN147" s="114"/>
      <c r="AO147" s="114"/>
      <c r="AP147" s="114"/>
      <c r="AQ147" s="114"/>
      <c r="AR147" s="114"/>
      <c r="AS147" s="114"/>
      <c r="AT147" s="114"/>
      <c r="AU147" s="114"/>
      <c r="AV147" s="114"/>
      <c r="AW147" s="114"/>
      <c r="AX147" s="114"/>
      <c r="AY147" s="114"/>
      <c r="AZ147" s="114"/>
      <c r="BA147" s="114"/>
      <c r="BB147" s="114"/>
      <c r="BC147" s="114"/>
      <c r="BD147" s="114"/>
      <c r="BE147" s="114"/>
      <c r="BF147" s="114"/>
      <c r="BG147" s="114"/>
      <c r="BH147" s="114"/>
      <c r="BI147" s="114"/>
      <c r="BJ147" s="114"/>
      <c r="BK147" s="114"/>
      <c r="BL147" s="114"/>
      <c r="BM147" s="114"/>
      <c r="BN147" s="114"/>
      <c r="BO147" s="114"/>
      <c r="BP147" s="114"/>
      <c r="BQ147" s="114"/>
      <c r="BR147" s="114"/>
      <c r="BS147" s="114"/>
      <c r="BT147" s="114"/>
      <c r="BU147" s="114"/>
      <c r="BV147" s="114"/>
      <c r="BW147" s="114"/>
      <c r="BX147" s="114"/>
      <c r="BY147" s="114"/>
      <c r="BZ147" s="114"/>
      <c r="CA147" s="114"/>
      <c r="CB147" s="114"/>
      <c r="CC147" s="114"/>
      <c r="CD147" s="114"/>
      <c r="CE147" s="114"/>
      <c r="CF147" s="114"/>
      <c r="CG147" s="114"/>
      <c r="CH147" s="114"/>
      <c r="CI147" s="114"/>
      <c r="CJ147" s="114"/>
      <c r="CK147" s="114"/>
      <c r="CL147" s="114"/>
      <c r="CM147" s="114"/>
      <c r="CN147" s="114"/>
      <c r="CO147" s="114"/>
      <c r="CP147" s="114"/>
      <c r="CQ147" s="114"/>
      <c r="CR147" s="114"/>
      <c r="CS147" s="114"/>
      <c r="CT147" s="114"/>
      <c r="CU147" s="114"/>
      <c r="CV147" s="114"/>
      <c r="CW147" s="114"/>
      <c r="CX147" s="114"/>
      <c r="CY147" s="114"/>
      <c r="CZ147" s="114"/>
      <c r="DA147" s="114"/>
      <c r="DB147" s="114"/>
      <c r="DC147" s="114"/>
      <c r="DD147" s="114"/>
      <c r="DE147" s="114"/>
      <c r="DF147" s="114"/>
      <c r="DG147" s="114"/>
      <c r="DH147" s="114"/>
      <c r="DI147" s="114"/>
      <c r="DJ147" s="114"/>
      <c r="DK147" s="114"/>
      <c r="DL147" s="114"/>
      <c r="DM147" s="114"/>
      <c r="DN147" s="114"/>
      <c r="DO147" s="114"/>
      <c r="DP147" s="114"/>
      <c r="DQ147" s="114"/>
      <c r="DR147" s="114"/>
      <c r="DS147" s="114"/>
      <c r="DT147" s="114"/>
      <c r="DU147" s="114"/>
      <c r="DV147" s="114"/>
      <c r="DW147" s="114"/>
      <c r="DX147" s="114"/>
      <c r="DY147" s="114"/>
      <c r="DZ147" s="114"/>
      <c r="EA147" s="114"/>
      <c r="EB147" s="114"/>
      <c r="EC147" s="114"/>
      <c r="ED147" s="114"/>
      <c r="EE147" s="114"/>
      <c r="EF147" s="114"/>
      <c r="EG147" s="114"/>
      <c r="EH147" s="114"/>
      <c r="EI147" s="114"/>
      <c r="EJ147" s="114"/>
      <c r="EK147" s="114"/>
      <c r="EL147" s="114"/>
    </row>
    <row r="148" customFormat="false" ht="12.75" hidden="false" customHeight="false" outlineLevel="0" collapsed="false">
      <c r="A148" s="124"/>
      <c r="B148" s="124"/>
      <c r="C148" s="23"/>
      <c r="D148" s="124"/>
      <c r="E148" s="59"/>
      <c r="F148" s="111"/>
      <c r="G148" s="111"/>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4"/>
      <c r="AL148" s="114"/>
      <c r="AM148" s="114"/>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4"/>
      <c r="BR148" s="114"/>
      <c r="BS148" s="114"/>
      <c r="BT148" s="114"/>
      <c r="BU148" s="114"/>
      <c r="BV148" s="114"/>
      <c r="BW148" s="114"/>
      <c r="BX148" s="114"/>
      <c r="BY148" s="114"/>
      <c r="BZ148" s="114"/>
      <c r="CA148" s="114"/>
      <c r="CB148" s="114"/>
      <c r="CC148" s="114"/>
      <c r="CD148" s="114"/>
      <c r="CE148" s="114"/>
      <c r="CF148" s="114"/>
      <c r="CG148" s="114"/>
      <c r="CH148" s="114"/>
      <c r="CI148" s="114"/>
      <c r="CJ148" s="114"/>
      <c r="CK148" s="114"/>
      <c r="CL148" s="114"/>
      <c r="CM148" s="114"/>
      <c r="CN148" s="114"/>
      <c r="CO148" s="114"/>
      <c r="CP148" s="114"/>
      <c r="CQ148" s="114"/>
      <c r="CR148" s="114"/>
      <c r="CS148" s="114"/>
      <c r="CT148" s="114"/>
      <c r="CU148" s="114"/>
      <c r="CV148" s="114"/>
      <c r="CW148" s="114"/>
      <c r="CX148" s="114"/>
      <c r="CY148" s="114"/>
      <c r="CZ148" s="114"/>
      <c r="DA148" s="114"/>
      <c r="DB148" s="114"/>
      <c r="DC148" s="114"/>
      <c r="DD148" s="114"/>
      <c r="DE148" s="114"/>
      <c r="DF148" s="114"/>
      <c r="DG148" s="114"/>
      <c r="DH148" s="114"/>
      <c r="DI148" s="114"/>
      <c r="DJ148" s="114"/>
      <c r="DK148" s="114"/>
      <c r="DL148" s="114"/>
      <c r="DM148" s="114"/>
      <c r="DN148" s="114"/>
      <c r="DO148" s="114"/>
      <c r="DP148" s="114"/>
      <c r="DQ148" s="114"/>
      <c r="DR148" s="114"/>
      <c r="DS148" s="114"/>
      <c r="DT148" s="114"/>
      <c r="DU148" s="114"/>
      <c r="DV148" s="114"/>
      <c r="DW148" s="114"/>
      <c r="DX148" s="114"/>
      <c r="DY148" s="114"/>
      <c r="DZ148" s="114"/>
      <c r="EA148" s="114"/>
      <c r="EB148" s="114"/>
      <c r="EC148" s="114"/>
      <c r="ED148" s="114"/>
      <c r="EE148" s="114"/>
      <c r="EF148" s="114"/>
      <c r="EG148" s="114"/>
      <c r="EH148" s="114"/>
      <c r="EI148" s="114"/>
      <c r="EJ148" s="114"/>
      <c r="EK148" s="114"/>
      <c r="EL148" s="114"/>
    </row>
    <row r="149" customFormat="false" ht="12.75" hidden="false" customHeight="false" outlineLevel="0" collapsed="false">
      <c r="A149" s="124"/>
      <c r="B149" s="297" t="s">
        <v>256</v>
      </c>
      <c r="C149" s="298"/>
      <c r="D149" s="124"/>
      <c r="E149" s="59"/>
      <c r="F149" s="111"/>
      <c r="G149" s="111"/>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4"/>
      <c r="AL149" s="114"/>
      <c r="AM149" s="114"/>
      <c r="AN149" s="114"/>
      <c r="AO149" s="114"/>
      <c r="AP149" s="114"/>
      <c r="AQ149" s="114"/>
      <c r="AR149" s="114"/>
      <c r="AS149" s="114"/>
      <c r="AT149" s="114"/>
      <c r="AU149" s="114"/>
      <c r="AV149" s="114"/>
      <c r="AW149" s="114"/>
      <c r="AX149" s="114"/>
      <c r="AY149" s="114"/>
      <c r="AZ149" s="114"/>
      <c r="BA149" s="114"/>
      <c r="BB149" s="114"/>
      <c r="BC149" s="114"/>
      <c r="BD149" s="114"/>
      <c r="BE149" s="114"/>
      <c r="BF149" s="114"/>
      <c r="BG149" s="114"/>
      <c r="BH149" s="114"/>
      <c r="BI149" s="114"/>
      <c r="BJ149" s="114"/>
      <c r="BK149" s="114"/>
      <c r="BL149" s="114"/>
      <c r="BM149" s="114"/>
      <c r="BN149" s="114"/>
      <c r="BO149" s="114"/>
      <c r="BP149" s="114"/>
      <c r="BQ149" s="114"/>
      <c r="BR149" s="114"/>
      <c r="BS149" s="114"/>
      <c r="BT149" s="114"/>
      <c r="BU149" s="114"/>
      <c r="BV149" s="114"/>
      <c r="BW149" s="114"/>
      <c r="BX149" s="114"/>
      <c r="BY149" s="114"/>
      <c r="BZ149" s="114"/>
      <c r="CA149" s="114"/>
      <c r="CB149" s="114"/>
      <c r="CC149" s="114"/>
      <c r="CD149" s="114"/>
      <c r="CE149" s="114"/>
      <c r="CF149" s="114"/>
      <c r="CG149" s="114"/>
      <c r="CH149" s="114"/>
      <c r="CI149" s="114"/>
      <c r="CJ149" s="114"/>
      <c r="CK149" s="114"/>
      <c r="CL149" s="114"/>
      <c r="CM149" s="114"/>
      <c r="CN149" s="114"/>
      <c r="CO149" s="114"/>
      <c r="CP149" s="114"/>
      <c r="CQ149" s="114"/>
      <c r="CR149" s="114"/>
      <c r="CS149" s="114"/>
      <c r="CT149" s="114"/>
      <c r="CU149" s="114"/>
      <c r="CV149" s="114"/>
      <c r="CW149" s="114"/>
      <c r="CX149" s="114"/>
      <c r="CY149" s="114"/>
      <c r="CZ149" s="114"/>
      <c r="DA149" s="114"/>
      <c r="DB149" s="114"/>
      <c r="DC149" s="114"/>
      <c r="DD149" s="114"/>
      <c r="DE149" s="114"/>
      <c r="DF149" s="114"/>
      <c r="DG149" s="114"/>
      <c r="DH149" s="114"/>
      <c r="DI149" s="114"/>
      <c r="DJ149" s="114"/>
      <c r="DK149" s="114"/>
      <c r="DL149" s="114"/>
      <c r="DM149" s="114"/>
      <c r="DN149" s="114"/>
      <c r="DO149" s="114"/>
      <c r="DP149" s="114"/>
      <c r="DQ149" s="114"/>
      <c r="DR149" s="114"/>
      <c r="DS149" s="114"/>
      <c r="DT149" s="114"/>
      <c r="DU149" s="114"/>
      <c r="DV149" s="114"/>
      <c r="DW149" s="114"/>
      <c r="DX149" s="114"/>
      <c r="DY149" s="114"/>
      <c r="DZ149" s="114"/>
      <c r="EA149" s="114"/>
      <c r="EB149" s="114"/>
      <c r="EC149" s="114"/>
      <c r="ED149" s="114"/>
      <c r="EE149" s="114"/>
      <c r="EF149" s="114"/>
      <c r="EG149" s="114"/>
      <c r="EH149" s="114"/>
      <c r="EI149" s="114"/>
      <c r="EJ149" s="114"/>
      <c r="EK149" s="114"/>
      <c r="EL149" s="114"/>
    </row>
    <row r="150" customFormat="false" ht="12.75" hidden="false" customHeight="false" outlineLevel="0" collapsed="false">
      <c r="A150" s="124"/>
      <c r="B150" s="124" t="s">
        <v>257</v>
      </c>
      <c r="C150" s="299" t="s">
        <v>258</v>
      </c>
      <c r="D150" s="124"/>
      <c r="E150" s="260" t="n">
        <v>0</v>
      </c>
      <c r="F150" s="260" t="n">
        <f aca="false">E150</f>
        <v>0</v>
      </c>
      <c r="G150" s="260" t="n">
        <f aca="false">F150</f>
        <v>0</v>
      </c>
      <c r="H150" s="260" t="n">
        <f aca="false">G150</f>
        <v>0</v>
      </c>
      <c r="I150" s="260" t="n">
        <f aca="false">H150</f>
        <v>0</v>
      </c>
      <c r="J150" s="260" t="n">
        <f aca="false">I150</f>
        <v>0</v>
      </c>
      <c r="K150" s="260" t="n">
        <f aca="false">J150</f>
        <v>0</v>
      </c>
      <c r="L150" s="260" t="n">
        <f aca="false">K150</f>
        <v>0</v>
      </c>
      <c r="M150" s="260" t="n">
        <f aca="false">L150</f>
        <v>0</v>
      </c>
      <c r="N150" s="260" t="n">
        <f aca="false">M150</f>
        <v>0</v>
      </c>
      <c r="O150" s="260" t="n">
        <f aca="false">N150</f>
        <v>0</v>
      </c>
      <c r="P150" s="260" t="n">
        <f aca="false">O150</f>
        <v>0</v>
      </c>
      <c r="Q150" s="260" t="n">
        <f aca="false">P150</f>
        <v>0</v>
      </c>
      <c r="R150" s="260" t="n">
        <f aca="false">Q150</f>
        <v>0</v>
      </c>
      <c r="S150" s="260" t="n">
        <f aca="false">R150</f>
        <v>0</v>
      </c>
      <c r="T150" s="260" t="n">
        <f aca="false">S150</f>
        <v>0</v>
      </c>
      <c r="U150" s="260" t="n">
        <f aca="false">T150</f>
        <v>0</v>
      </c>
      <c r="V150" s="260" t="n">
        <f aca="false">U150</f>
        <v>0</v>
      </c>
      <c r="W150" s="260" t="n">
        <f aca="false">V150</f>
        <v>0</v>
      </c>
      <c r="X150" s="260" t="n">
        <f aca="false">W150</f>
        <v>0</v>
      </c>
      <c r="Y150" s="260" t="n">
        <f aca="false">X150</f>
        <v>0</v>
      </c>
      <c r="Z150" s="260" t="n">
        <f aca="false">Y150</f>
        <v>0</v>
      </c>
      <c r="AA150" s="260" t="n">
        <f aca="false">Z150</f>
        <v>0</v>
      </c>
      <c r="AB150" s="260" t="n">
        <f aca="false">AA150</f>
        <v>0</v>
      </c>
      <c r="AC150" s="260" t="n">
        <f aca="false">AB150</f>
        <v>0</v>
      </c>
      <c r="AD150" s="260" t="n">
        <f aca="false">AC150</f>
        <v>0</v>
      </c>
      <c r="AE150" s="260" t="n">
        <f aca="false">AD150</f>
        <v>0</v>
      </c>
      <c r="AF150" s="260" t="n">
        <f aca="false">AE150</f>
        <v>0</v>
      </c>
      <c r="AG150" s="260" t="n">
        <f aca="false">AF150</f>
        <v>0</v>
      </c>
      <c r="AH150" s="260" t="n">
        <f aca="false">AG150</f>
        <v>0</v>
      </c>
      <c r="AI150" s="260" t="n">
        <f aca="false">AH150</f>
        <v>0</v>
      </c>
      <c r="AJ150" s="260" t="n">
        <f aca="false">AI150</f>
        <v>0</v>
      </c>
      <c r="AK150" s="260" t="n">
        <f aca="false">AJ150</f>
        <v>0</v>
      </c>
      <c r="AL150" s="260" t="n">
        <f aca="false">AK150</f>
        <v>0</v>
      </c>
      <c r="AM150" s="114"/>
      <c r="AN150" s="114"/>
      <c r="AO150" s="114"/>
      <c r="AP150" s="114"/>
      <c r="AQ150" s="114"/>
      <c r="AR150" s="114"/>
      <c r="AS150" s="114"/>
      <c r="AT150" s="114"/>
      <c r="AU150" s="114"/>
      <c r="AV150" s="114"/>
      <c r="AW150" s="114"/>
      <c r="AX150" s="114"/>
      <c r="AY150" s="114"/>
      <c r="AZ150" s="114"/>
      <c r="BA150" s="114"/>
      <c r="BB150" s="114"/>
      <c r="BC150" s="114"/>
      <c r="BD150" s="114"/>
      <c r="BE150" s="114"/>
      <c r="BF150" s="114"/>
      <c r="BG150" s="114"/>
      <c r="BH150" s="114"/>
      <c r="BI150" s="114"/>
      <c r="BJ150" s="114"/>
      <c r="BK150" s="114"/>
      <c r="BL150" s="114"/>
      <c r="BM150" s="114"/>
      <c r="BN150" s="114"/>
      <c r="BO150" s="114"/>
      <c r="BP150" s="114"/>
      <c r="BQ150" s="114"/>
      <c r="BR150" s="114"/>
      <c r="BS150" s="114"/>
      <c r="BT150" s="114"/>
      <c r="BU150" s="114"/>
      <c r="BV150" s="114"/>
      <c r="BW150" s="114"/>
      <c r="BX150" s="114"/>
      <c r="BY150" s="114"/>
      <c r="BZ150" s="114"/>
      <c r="CA150" s="114"/>
      <c r="CB150" s="114"/>
      <c r="CC150" s="114"/>
      <c r="CD150" s="114"/>
      <c r="CE150" s="114"/>
      <c r="CF150" s="114"/>
      <c r="CG150" s="114"/>
      <c r="CH150" s="114"/>
      <c r="CI150" s="114"/>
      <c r="CJ150" s="114"/>
      <c r="CK150" s="114"/>
      <c r="CL150" s="114"/>
      <c r="CM150" s="114"/>
      <c r="CN150" s="114"/>
      <c r="CO150" s="114"/>
      <c r="CP150" s="114"/>
      <c r="CQ150" s="114"/>
      <c r="CR150" s="114"/>
      <c r="CS150" s="114"/>
      <c r="CT150" s="114"/>
      <c r="CU150" s="114"/>
      <c r="CV150" s="114"/>
      <c r="CW150" s="114"/>
      <c r="CX150" s="114"/>
      <c r="CY150" s="114"/>
      <c r="CZ150" s="114"/>
      <c r="DA150" s="114"/>
      <c r="DB150" s="114"/>
      <c r="DC150" s="114"/>
      <c r="DD150" s="114"/>
      <c r="DE150" s="114"/>
      <c r="DF150" s="114"/>
      <c r="DG150" s="114"/>
      <c r="DH150" s="114"/>
      <c r="DI150" s="114"/>
      <c r="DJ150" s="114"/>
      <c r="DK150" s="114"/>
      <c r="DL150" s="114"/>
      <c r="DM150" s="114"/>
      <c r="DN150" s="114"/>
      <c r="DO150" s="114"/>
      <c r="DP150" s="114"/>
      <c r="DQ150" s="114"/>
      <c r="DR150" s="114"/>
      <c r="DS150" s="114"/>
      <c r="DT150" s="114"/>
      <c r="DU150" s="114"/>
      <c r="DV150" s="114"/>
      <c r="DW150" s="114"/>
      <c r="DX150" s="114"/>
      <c r="DY150" s="114"/>
      <c r="DZ150" s="114"/>
      <c r="EA150" s="114"/>
      <c r="EB150" s="114"/>
      <c r="EC150" s="114"/>
      <c r="ED150" s="114"/>
      <c r="EE150" s="114"/>
      <c r="EF150" s="114"/>
      <c r="EG150" s="114"/>
      <c r="EH150" s="114"/>
      <c r="EI150" s="114"/>
      <c r="EJ150" s="114"/>
      <c r="EK150" s="114"/>
      <c r="EL150" s="114"/>
    </row>
    <row r="151" customFormat="false" ht="12.75" hidden="false" customHeight="false" outlineLevel="0" collapsed="false">
      <c r="A151" s="300"/>
      <c r="B151" s="3" t="s">
        <v>259</v>
      </c>
      <c r="D151" s="3"/>
      <c r="E151" s="3"/>
      <c r="F151" s="3"/>
      <c r="G151" s="22"/>
      <c r="H151" s="24"/>
      <c r="I151" s="24"/>
      <c r="J151" s="24"/>
      <c r="K151" s="24"/>
      <c r="L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c r="BK151" s="24"/>
      <c r="BL151" s="24"/>
      <c r="BM151" s="24"/>
      <c r="BN151" s="24"/>
      <c r="BO151" s="24"/>
      <c r="BP151" s="24"/>
      <c r="BQ151" s="24"/>
      <c r="BR151" s="24"/>
      <c r="BS151" s="24"/>
      <c r="BT151" s="24"/>
      <c r="BU151" s="24"/>
      <c r="BV151" s="24"/>
      <c r="BW151" s="24"/>
      <c r="BX151" s="24"/>
      <c r="BY151" s="24"/>
      <c r="BZ151" s="24"/>
      <c r="CA151" s="24"/>
      <c r="CB151" s="24"/>
      <c r="CC151" s="24"/>
      <c r="CD151" s="24"/>
      <c r="CE151" s="24"/>
      <c r="CF151" s="24"/>
      <c r="CG151" s="24"/>
      <c r="CH151" s="24"/>
      <c r="CI151" s="24"/>
      <c r="CJ151" s="24"/>
      <c r="CK151" s="24"/>
      <c r="CL151" s="24"/>
      <c r="CM151" s="24"/>
      <c r="CN151" s="24"/>
      <c r="CO151" s="24"/>
      <c r="CP151" s="24"/>
      <c r="CQ151" s="24"/>
      <c r="CR151" s="24"/>
      <c r="CS151" s="24"/>
      <c r="CT151" s="24"/>
      <c r="CU151" s="24"/>
      <c r="CV151" s="24"/>
      <c r="CW151" s="24"/>
      <c r="CX151" s="24"/>
      <c r="CY151" s="24"/>
      <c r="CZ151" s="24"/>
      <c r="DA151" s="24"/>
      <c r="DB151" s="24"/>
      <c r="DC151" s="24"/>
      <c r="DD151" s="24"/>
      <c r="DE151" s="24"/>
      <c r="DF151" s="24"/>
      <c r="DG151" s="24"/>
      <c r="DH151" s="24"/>
      <c r="DI151" s="24"/>
      <c r="DJ151" s="24"/>
      <c r="DK151" s="24"/>
      <c r="DL151" s="24"/>
      <c r="DM151" s="24"/>
      <c r="DN151" s="24"/>
      <c r="DO151" s="24"/>
      <c r="DP151" s="24"/>
      <c r="DQ151" s="24"/>
      <c r="DR151" s="24"/>
      <c r="DS151" s="24"/>
      <c r="DT151" s="24"/>
      <c r="DU151" s="24"/>
      <c r="DV151" s="24"/>
      <c r="DW151" s="24"/>
      <c r="DX151" s="24"/>
      <c r="DY151" s="24"/>
      <c r="DZ151" s="24"/>
      <c r="EA151" s="24"/>
      <c r="EB151" s="24"/>
      <c r="EC151" s="24"/>
      <c r="ED151" s="24"/>
      <c r="EE151" s="24"/>
      <c r="EF151" s="24"/>
      <c r="EG151" s="24"/>
      <c r="EH151" s="24"/>
      <c r="EI151" s="24"/>
      <c r="EJ151" s="24"/>
      <c r="EK151" s="24"/>
      <c r="EL151" s="24"/>
      <c r="EM151" s="3"/>
      <c r="EN151" s="3"/>
      <c r="EO151" s="3"/>
      <c r="EP151" s="3"/>
      <c r="EQ151" s="3"/>
      <c r="ER151" s="3"/>
      <c r="ES151" s="3"/>
      <c r="ET151" s="3"/>
      <c r="EU151" s="3"/>
      <c r="EV151" s="3"/>
      <c r="EW151" s="3"/>
      <c r="EX151" s="3"/>
      <c r="EY151" s="3"/>
      <c r="EZ151" s="3"/>
      <c r="FA151" s="3"/>
      <c r="FB151" s="3"/>
      <c r="FC151" s="3"/>
      <c r="FD151" s="3"/>
      <c r="FE151" s="3"/>
      <c r="FF151" s="3"/>
      <c r="FG151" s="3"/>
      <c r="FH151" s="3"/>
      <c r="FI151" s="3"/>
      <c r="FJ151" s="3"/>
      <c r="FK151" s="3"/>
      <c r="FL151" s="3"/>
      <c r="FM151" s="3"/>
      <c r="FN151" s="3"/>
      <c r="FO151" s="3"/>
      <c r="FP151" s="3"/>
      <c r="FQ151" s="3"/>
      <c r="FR151" s="3"/>
      <c r="FS151" s="3"/>
      <c r="FT151" s="3"/>
      <c r="FU151" s="3"/>
      <c r="FV151" s="3"/>
      <c r="FW151" s="3"/>
      <c r="FX151" s="3"/>
      <c r="FY151" s="3"/>
      <c r="FZ151" s="3"/>
      <c r="GA151" s="3"/>
      <c r="GB151" s="3"/>
      <c r="GC151" s="3"/>
      <c r="GD151" s="3"/>
      <c r="GE151" s="3"/>
      <c r="GF151" s="3"/>
      <c r="GG151" s="3"/>
      <c r="GH151" s="3"/>
      <c r="GI151" s="3"/>
      <c r="GJ151" s="3"/>
      <c r="GK151" s="3"/>
      <c r="GL151" s="3"/>
      <c r="GM151" s="3"/>
      <c r="GN151" s="3"/>
      <c r="GO151" s="3"/>
      <c r="GP151" s="3"/>
      <c r="GQ151" s="3"/>
      <c r="GR151" s="3"/>
      <c r="GS151" s="3"/>
      <c r="GT151" s="3"/>
      <c r="GU151" s="3"/>
      <c r="GV151" s="3"/>
      <c r="GW151" s="3"/>
      <c r="GX151" s="3"/>
      <c r="GY151" s="3"/>
      <c r="GZ151" s="3"/>
      <c r="HA151" s="3"/>
      <c r="HB151" s="3"/>
      <c r="HC151" s="3"/>
      <c r="HD151" s="3"/>
      <c r="HE151" s="3"/>
      <c r="HF151" s="3"/>
      <c r="HG151" s="3"/>
      <c r="HH151" s="3"/>
      <c r="HI151" s="3"/>
      <c r="HJ151" s="3"/>
      <c r="HK151" s="3"/>
      <c r="HL151" s="3"/>
      <c r="HM151" s="3"/>
      <c r="HN151" s="3"/>
      <c r="HO151" s="3"/>
      <c r="HP151" s="3"/>
      <c r="HQ151" s="3"/>
      <c r="HR151" s="3"/>
      <c r="HS151" s="3"/>
      <c r="HT151" s="3"/>
      <c r="HU151" s="3"/>
      <c r="HV151" s="3"/>
      <c r="HW151" s="3"/>
      <c r="HX151" s="3"/>
      <c r="HY151" s="3"/>
      <c r="HZ151" s="3"/>
      <c r="IA151" s="3"/>
      <c r="IB151" s="3"/>
      <c r="IC151" s="3"/>
      <c r="ID151" s="3"/>
      <c r="IE151" s="3"/>
      <c r="IF151" s="3"/>
      <c r="IG151" s="3"/>
      <c r="IH151" s="3"/>
      <c r="II151" s="3"/>
      <c r="IJ151" s="3"/>
      <c r="IK151" s="3"/>
      <c r="IL151" s="3"/>
      <c r="IM151" s="3"/>
      <c r="IN151" s="3"/>
      <c r="IO151" s="3"/>
      <c r="IP151" s="3"/>
      <c r="IQ151" s="3"/>
      <c r="IR151" s="3"/>
      <c r="IS151" s="3"/>
      <c r="IT151" s="3"/>
      <c r="IU151" s="3"/>
      <c r="IV151" s="3"/>
      <c r="IW151" s="3"/>
    </row>
    <row r="152" customFormat="false" ht="12.75" hidden="false" customHeight="false" outlineLevel="0" collapsed="false">
      <c r="A152" s="300"/>
      <c r="B152" s="3"/>
      <c r="C152" s="3" t="s">
        <v>260</v>
      </c>
      <c r="D152" s="3" t="s">
        <v>261</v>
      </c>
      <c r="E152" s="3"/>
      <c r="F152" s="3"/>
      <c r="G152" s="22"/>
      <c r="H152" s="24"/>
      <c r="I152" s="24"/>
      <c r="J152" s="24"/>
      <c r="K152" s="24"/>
      <c r="L152" s="24"/>
      <c r="M152" s="24"/>
      <c r="N152" s="24"/>
      <c r="O152" s="24"/>
      <c r="P152" s="24"/>
      <c r="Q152" s="24"/>
      <c r="R152" s="24"/>
      <c r="S152" s="24"/>
      <c r="T152" s="24"/>
      <c r="U152" s="24"/>
      <c r="V152" s="24"/>
      <c r="W152" s="24"/>
      <c r="X152" s="24"/>
      <c r="Y152" s="24"/>
      <c r="Z152" s="24"/>
      <c r="AA152" s="24"/>
      <c r="AB152" s="24"/>
      <c r="AC152" s="24"/>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4"/>
      <c r="BW152" s="24"/>
      <c r="BX152" s="24"/>
      <c r="BY152" s="24"/>
      <c r="BZ152" s="24"/>
      <c r="CA152" s="24"/>
      <c r="CB152" s="24"/>
      <c r="CC152" s="24"/>
      <c r="CD152" s="24"/>
      <c r="CE152" s="24"/>
      <c r="CF152" s="24"/>
      <c r="CG152" s="24"/>
      <c r="CH152" s="24"/>
      <c r="CI152" s="24"/>
      <c r="CJ152" s="24"/>
      <c r="CK152" s="24"/>
      <c r="CL152" s="24"/>
      <c r="CM152" s="24"/>
      <c r="CN152" s="24"/>
      <c r="CO152" s="24"/>
      <c r="CP152" s="24"/>
      <c r="CQ152" s="24"/>
      <c r="CR152" s="24"/>
      <c r="CS152" s="24"/>
      <c r="CT152" s="24"/>
      <c r="CU152" s="24"/>
      <c r="CV152" s="24"/>
      <c r="CW152" s="24"/>
      <c r="CX152" s="24"/>
      <c r="CY152" s="24"/>
      <c r="CZ152" s="24"/>
      <c r="DA152" s="24"/>
      <c r="DB152" s="24"/>
      <c r="DC152" s="24"/>
      <c r="DD152" s="24"/>
      <c r="DE152" s="24"/>
      <c r="DF152" s="24"/>
      <c r="DG152" s="24"/>
      <c r="DH152" s="24"/>
      <c r="DI152" s="24"/>
      <c r="DJ152" s="24"/>
      <c r="DK152" s="24"/>
      <c r="DL152" s="24"/>
      <c r="DM152" s="24"/>
      <c r="DN152" s="24"/>
      <c r="DO152" s="24"/>
      <c r="DP152" s="24"/>
      <c r="DQ152" s="24"/>
      <c r="DR152" s="24"/>
      <c r="DS152" s="24"/>
      <c r="DT152" s="24"/>
      <c r="DU152" s="24"/>
      <c r="DV152" s="24"/>
      <c r="DW152" s="24"/>
      <c r="DX152" s="24"/>
      <c r="DY152" s="24"/>
      <c r="DZ152" s="24"/>
      <c r="EA152" s="24"/>
      <c r="EB152" s="24"/>
      <c r="EC152" s="24"/>
      <c r="ED152" s="24"/>
      <c r="EE152" s="24"/>
      <c r="EF152" s="24"/>
      <c r="EG152" s="24"/>
      <c r="EH152" s="24"/>
      <c r="EI152" s="24"/>
      <c r="EJ152" s="24"/>
      <c r="EK152" s="24"/>
      <c r="EL152" s="24"/>
      <c r="EM152" s="3"/>
      <c r="EN152" s="3"/>
      <c r="EO152" s="3"/>
      <c r="EP152" s="3"/>
      <c r="EQ152" s="3"/>
      <c r="ER152" s="3"/>
      <c r="ES152" s="3"/>
      <c r="ET152" s="3"/>
      <c r="EU152" s="3"/>
      <c r="EV152" s="3"/>
      <c r="EW152" s="3"/>
      <c r="EX152" s="3"/>
      <c r="EY152" s="3"/>
      <c r="EZ152" s="3"/>
      <c r="FA152" s="3"/>
      <c r="FB152" s="3"/>
      <c r="FC152" s="3"/>
      <c r="FD152" s="3"/>
      <c r="FE152" s="3"/>
      <c r="FF152" s="3"/>
      <c r="FG152" s="3"/>
      <c r="FH152" s="3"/>
      <c r="FI152" s="3"/>
      <c r="FJ152" s="3"/>
      <c r="FK152" s="3"/>
      <c r="FL152" s="3"/>
      <c r="FM152" s="3"/>
      <c r="FN152" s="3"/>
      <c r="FO152" s="3"/>
      <c r="FP152" s="3"/>
      <c r="FQ152" s="3"/>
      <c r="FR152" s="3"/>
      <c r="FS152" s="3"/>
      <c r="FT152" s="3"/>
      <c r="FU152" s="3"/>
      <c r="FV152" s="3"/>
      <c r="FW152" s="3"/>
      <c r="FX152" s="3"/>
      <c r="FY152" s="3"/>
      <c r="FZ152" s="3"/>
      <c r="GA152" s="3"/>
      <c r="GB152" s="3"/>
      <c r="GC152" s="3"/>
      <c r="GD152" s="3"/>
      <c r="GE152" s="3"/>
      <c r="GF152" s="3"/>
      <c r="GG152" s="3"/>
      <c r="GH152" s="3"/>
      <c r="GI152" s="3"/>
      <c r="GJ152" s="3"/>
      <c r="GK152" s="3"/>
      <c r="GL152" s="3"/>
      <c r="GM152" s="3"/>
      <c r="GN152" s="3"/>
      <c r="GO152" s="3"/>
      <c r="GP152" s="3"/>
      <c r="GQ152" s="3"/>
      <c r="GR152" s="3"/>
      <c r="GS152" s="3"/>
      <c r="GT152" s="3"/>
      <c r="GU152" s="3"/>
      <c r="GV152" s="3"/>
      <c r="GW152" s="3"/>
      <c r="GX152" s="3"/>
      <c r="GY152" s="3"/>
      <c r="GZ152" s="3"/>
      <c r="HA152" s="3"/>
      <c r="HB152" s="3"/>
      <c r="HC152" s="3"/>
      <c r="HD152" s="3"/>
      <c r="HE152" s="3"/>
      <c r="HF152" s="3"/>
      <c r="HG152" s="3"/>
      <c r="HH152" s="3"/>
      <c r="HI152" s="3"/>
      <c r="HJ152" s="3"/>
      <c r="HK152" s="3"/>
      <c r="HL152" s="3"/>
      <c r="HM152" s="3"/>
      <c r="HN152" s="3"/>
      <c r="HO152" s="3"/>
      <c r="HP152" s="3"/>
      <c r="HQ152" s="3"/>
      <c r="HR152" s="3"/>
      <c r="HS152" s="3"/>
      <c r="HT152" s="3"/>
      <c r="HU152" s="3"/>
      <c r="HV152" s="3"/>
      <c r="HW152" s="3"/>
      <c r="HX152" s="3"/>
      <c r="HY152" s="3"/>
      <c r="HZ152" s="3"/>
      <c r="IA152" s="3"/>
      <c r="IB152" s="3"/>
      <c r="IC152" s="3"/>
      <c r="ID152" s="3"/>
      <c r="IE152" s="3"/>
      <c r="IF152" s="3"/>
      <c r="IG152" s="3"/>
      <c r="IH152" s="3"/>
      <c r="II152" s="3"/>
      <c r="IJ152" s="3"/>
      <c r="IK152" s="3"/>
      <c r="IL152" s="3"/>
      <c r="IM152" s="3"/>
      <c r="IN152" s="3"/>
      <c r="IO152" s="3"/>
      <c r="IP152" s="3"/>
      <c r="IQ152" s="3"/>
      <c r="IR152" s="3"/>
      <c r="IS152" s="3"/>
      <c r="IT152" s="3"/>
      <c r="IU152" s="3"/>
      <c r="IV152" s="3"/>
      <c r="IW152" s="3"/>
    </row>
    <row r="153" customFormat="false" ht="12.75" hidden="false" customHeight="false" outlineLevel="0" collapsed="false">
      <c r="A153" s="23"/>
      <c r="B153" s="52" t="s">
        <v>262</v>
      </c>
      <c r="C153" s="56" t="n">
        <v>0.04</v>
      </c>
      <c r="D153" s="56" t="n">
        <v>0.32</v>
      </c>
      <c r="E153" s="56" t="n">
        <v>1</v>
      </c>
      <c r="F153" s="56" t="n">
        <f aca="false">IF(+E153*(1-$C$153)&lt;$D$153,$D$153,E153*(1-$C$153))</f>
        <v>0.96</v>
      </c>
      <c r="G153" s="56" t="n">
        <f aca="false">IF(+F153*(1-$C$153)&lt;$D$153,$D$153,F153*(1-$C$153))</f>
        <v>0.9216</v>
      </c>
      <c r="H153" s="56" t="n">
        <f aca="false">IF(+G153*(1-$C$153)&lt;$D$153,$D$153,G153*(1-$C$153))</f>
        <v>0.884736</v>
      </c>
      <c r="I153" s="56" t="n">
        <f aca="false">IF(+H153*(1-$C$153)&lt;$D$153,$D$153,H153*(1-$C$153))</f>
        <v>0.84934656</v>
      </c>
      <c r="J153" s="56" t="n">
        <f aca="false">IF(+I153*(1-$C$153)&lt;$D$153,$D$153,I153*(1-$C$153))</f>
        <v>0.8153726976</v>
      </c>
      <c r="K153" s="56" t="n">
        <f aca="false">IF(+J153*(1-$C$153)&lt;$D$153,$D$153,J153*(1-$C$153))</f>
        <v>0.782757789696</v>
      </c>
      <c r="L153" s="56" t="n">
        <f aca="false">IF(+K153*(1-$C$153)&lt;$D$153,$D$153,K153*(1-$C$153))</f>
        <v>0.75144747810816</v>
      </c>
      <c r="M153" s="56" t="n">
        <f aca="false">IF(+L153*(1-$C$153)&lt;$D$153,$D$153,L153*(1-$C$153))</f>
        <v>0.721389578983834</v>
      </c>
      <c r="N153" s="56" t="n">
        <f aca="false">IF(+M153*(1-$C$153)&lt;$D$153,$D$153,M153*(1-$C$153))</f>
        <v>0.69253399582448</v>
      </c>
      <c r="O153" s="56" t="n">
        <f aca="false">IF(+N153*(1-$C$153)&lt;$D$153,$D$153,N153*(1-$C$153))</f>
        <v>0.664832635991501</v>
      </c>
      <c r="P153" s="56" t="n">
        <f aca="false">IF(+O153*(1-$C$153)&lt;$D$153,$D$153,O153*(1-$C$153))</f>
        <v>0.638239330551841</v>
      </c>
      <c r="Q153" s="56" t="n">
        <f aca="false">IF(+P153*(1-$C$153)&lt;$D$153,$D$153,P153*(1-$C$153))</f>
        <v>0.612709757329767</v>
      </c>
      <c r="R153" s="56" t="n">
        <f aca="false">IF(+Q153*(1-$C$153)&lt;$D$153,$D$153,Q153*(1-$C$153))</f>
        <v>0.588201367036576</v>
      </c>
      <c r="S153" s="56" t="n">
        <f aca="false">IF(+R153*(1-$C$153)&lt;$D$153,$D$153,R153*(1-$C$153))</f>
        <v>0.564673312355113</v>
      </c>
      <c r="T153" s="56" t="n">
        <f aca="false">IF(+S153*(1-$C$153)&lt;$D$153,$D$153,S153*(1-$C$153))</f>
        <v>0.542086379860909</v>
      </c>
      <c r="U153" s="56" t="n">
        <f aca="false">IF(+T153*(1-$C$153)&lt;$D$153,$D$153,T153*(1-$C$153))</f>
        <v>0.520402924666472</v>
      </c>
      <c r="V153" s="56" t="n">
        <f aca="false">IF(+U153*(1-$C$153)&lt;$D$153,$D$153,U153*(1-$C$153))</f>
        <v>0.499586807679814</v>
      </c>
      <c r="W153" s="56" t="n">
        <f aca="false">IF(+V153*(1-$C$153)&lt;$D$153,$D$153,V153*(1-$C$153))</f>
        <v>0.479603335372621</v>
      </c>
      <c r="X153" s="56" t="n">
        <f aca="false">IF(+W153*(1-$C$153)&lt;$D$153,$D$153,W153*(1-$C$153))</f>
        <v>0.460419201957716</v>
      </c>
      <c r="Y153" s="56" t="n">
        <f aca="false">IF(+X153*(1-$C$153)&lt;$D$153,$D$153,X153*(1-$C$153))</f>
        <v>0.442002433879407</v>
      </c>
      <c r="Z153" s="56" t="n">
        <f aca="false">IF(+Y153*(1-$C$153)&lt;$D$153,$D$153,Y153*(1-$C$153))</f>
        <v>0.424322336524231</v>
      </c>
      <c r="AA153" s="56" t="n">
        <f aca="false">IF(+Z153*(1-$C$153)&lt;$D$153,$D$153,Z153*(1-$C$153))</f>
        <v>0.407349443063262</v>
      </c>
      <c r="AB153" s="56" t="n">
        <f aca="false">IF(+AA153*(1-$C$153)&lt;$D$153,$D$153,AA153*(1-$C$153))</f>
        <v>0.391055465340731</v>
      </c>
      <c r="AC153" s="56" t="n">
        <f aca="false">IF(+AB153*(1-$C$153)&lt;$D$153,$D$153,AB153*(1-$C$153))</f>
        <v>0.375413246727102</v>
      </c>
      <c r="AD153" s="56" t="n">
        <f aca="false">IF(+AC153*(1-$C$153)&lt;$D$153,$D$153,AC153*(1-$C$153))</f>
        <v>0.360396716858018</v>
      </c>
      <c r="AE153" s="56" t="n">
        <f aca="false">IF(+AD153*(1-$C$153)&lt;$D$153,$D$153,AD153*(1-$C$153))</f>
        <v>0.345980848183697</v>
      </c>
      <c r="AF153" s="56" t="n">
        <f aca="false">IF(+AE153*(1-$C$153)&lt;$D$153,$D$153,AE153*(1-$C$153))</f>
        <v>0.332141614256349</v>
      </c>
      <c r="AG153" s="56" t="n">
        <f aca="false">IF(+AF153*(1-$C$153)&lt;$D$153,$D$153,AF153*(1-$C$153))</f>
        <v>0.32</v>
      </c>
      <c r="AH153" s="56" t="n">
        <f aca="false">IF(+AG153*(1-$C$153)&lt;$D$153,$D$153,AG153*(1-$C$153))</f>
        <v>0.32</v>
      </c>
      <c r="AI153" s="56" t="n">
        <f aca="false">IF(+AH153*(1-$C$153)&lt;$D$153,$D$153,AH153*(1-$C$153))</f>
        <v>0.32</v>
      </c>
      <c r="AJ153" s="56" t="n">
        <f aca="false">IF(+AI153*(1-$C$153)&lt;$D$153,$D$153,AI153*(1-$C$153))</f>
        <v>0.32</v>
      </c>
      <c r="AK153" s="3"/>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4"/>
      <c r="BW153" s="24"/>
      <c r="BX153" s="24"/>
      <c r="BY153" s="24"/>
      <c r="BZ153" s="24"/>
      <c r="CA153" s="24"/>
      <c r="CB153" s="24"/>
      <c r="CC153" s="24"/>
      <c r="CD153" s="24"/>
      <c r="CE153" s="24"/>
      <c r="CF153" s="24"/>
      <c r="CG153" s="24"/>
      <c r="CH153" s="24"/>
      <c r="CI153" s="24"/>
      <c r="CJ153" s="24"/>
      <c r="CK153" s="24"/>
      <c r="CL153" s="24"/>
      <c r="CM153" s="24"/>
      <c r="CN153" s="24"/>
      <c r="CO153" s="24"/>
      <c r="CP153" s="24"/>
      <c r="CQ153" s="24"/>
      <c r="CR153" s="24"/>
      <c r="CS153" s="24"/>
      <c r="CT153" s="24"/>
      <c r="CU153" s="24"/>
      <c r="CV153" s="24"/>
      <c r="CW153" s="24"/>
      <c r="CX153" s="24"/>
      <c r="CY153" s="24"/>
      <c r="CZ153" s="24"/>
      <c r="DA153" s="24"/>
      <c r="DB153" s="24"/>
      <c r="DC153" s="24"/>
      <c r="DD153" s="24"/>
      <c r="DE153" s="24"/>
      <c r="DF153" s="24"/>
      <c r="DG153" s="24"/>
      <c r="DH153" s="24"/>
      <c r="DI153" s="24"/>
      <c r="DJ153" s="24"/>
      <c r="DK153" s="24"/>
      <c r="DL153" s="24"/>
      <c r="DM153" s="24"/>
      <c r="DN153" s="24"/>
      <c r="DO153" s="24"/>
      <c r="DP153" s="24"/>
      <c r="DQ153" s="24"/>
      <c r="DR153" s="24"/>
      <c r="DS153" s="24"/>
      <c r="DT153" s="24"/>
      <c r="DU153" s="24"/>
      <c r="DV153" s="24"/>
      <c r="DW153" s="24"/>
      <c r="DX153" s="24"/>
      <c r="DY153" s="24"/>
      <c r="DZ153" s="24"/>
      <c r="EA153" s="24"/>
      <c r="EB153" s="24"/>
      <c r="EC153" s="24"/>
      <c r="ED153" s="24"/>
      <c r="EE153" s="24"/>
      <c r="EF153" s="24"/>
      <c r="EG153" s="24"/>
      <c r="EH153" s="24"/>
      <c r="EI153" s="24"/>
      <c r="EJ153" s="24"/>
      <c r="EK153" s="24"/>
      <c r="EL153" s="24"/>
      <c r="EM153" s="3"/>
      <c r="EN153" s="3"/>
      <c r="EO153" s="3"/>
      <c r="EP153" s="3"/>
      <c r="EQ153" s="3"/>
      <c r="ER153" s="3"/>
      <c r="ES153" s="3"/>
      <c r="ET153" s="3"/>
      <c r="EU153" s="3"/>
      <c r="EV153" s="3"/>
      <c r="EW153" s="3"/>
      <c r="EX153" s="3"/>
      <c r="EY153" s="3"/>
      <c r="EZ153" s="3"/>
      <c r="FA153" s="3"/>
      <c r="FB153" s="3"/>
      <c r="FC153" s="3"/>
      <c r="FD153" s="3"/>
      <c r="FE153" s="3"/>
      <c r="FF153" s="3"/>
      <c r="FG153" s="3"/>
      <c r="FH153" s="3"/>
      <c r="FI153" s="3"/>
      <c r="FJ153" s="3"/>
      <c r="FK153" s="3"/>
      <c r="FL153" s="3"/>
      <c r="FM153" s="3"/>
      <c r="FN153" s="3"/>
      <c r="FO153" s="3"/>
      <c r="FP153" s="3"/>
      <c r="FQ153" s="3"/>
      <c r="FR153" s="3"/>
      <c r="FS153" s="3"/>
      <c r="FT153" s="3"/>
      <c r="FU153" s="3"/>
      <c r="FV153" s="3"/>
      <c r="FW153" s="3"/>
      <c r="FX153" s="3"/>
      <c r="FY153" s="3"/>
      <c r="FZ153" s="3"/>
      <c r="GA153" s="3"/>
      <c r="GB153" s="3"/>
      <c r="GC153" s="3"/>
      <c r="GD153" s="3"/>
      <c r="GE153" s="3"/>
      <c r="GF153" s="3"/>
      <c r="GG153" s="3"/>
      <c r="GH153" s="3"/>
      <c r="GI153" s="3"/>
      <c r="GJ153" s="3"/>
      <c r="GK153" s="3"/>
      <c r="GL153" s="3"/>
      <c r="GM153" s="3"/>
      <c r="GN153" s="3"/>
      <c r="GO153" s="3"/>
      <c r="GP153" s="3"/>
      <c r="GQ153" s="3"/>
      <c r="GR153" s="3"/>
      <c r="GS153" s="3"/>
      <c r="GT153" s="3"/>
      <c r="GU153" s="3"/>
      <c r="GV153" s="3"/>
      <c r="GW153" s="3"/>
      <c r="GX153" s="3"/>
      <c r="GY153" s="3"/>
      <c r="GZ153" s="3"/>
      <c r="HA153" s="3"/>
      <c r="HB153" s="3"/>
      <c r="HC153" s="3"/>
      <c r="HD153" s="3"/>
      <c r="HE153" s="3"/>
      <c r="HF153" s="3"/>
      <c r="HG153" s="3"/>
      <c r="HH153" s="3"/>
      <c r="HI153" s="3"/>
      <c r="HJ153" s="3"/>
      <c r="HK153" s="3"/>
      <c r="HL153" s="3"/>
      <c r="HM153" s="3"/>
      <c r="HN153" s="3"/>
      <c r="HO153" s="3"/>
      <c r="HP153" s="3"/>
      <c r="HQ153" s="3"/>
      <c r="HR153" s="3"/>
      <c r="HS153" s="3"/>
      <c r="HT153" s="3"/>
      <c r="HU153" s="3"/>
      <c r="HV153" s="3"/>
      <c r="HW153" s="3"/>
      <c r="HX153" s="3"/>
      <c r="HY153" s="3"/>
      <c r="HZ153" s="3"/>
      <c r="IA153" s="3"/>
      <c r="IB153" s="3"/>
      <c r="IC153" s="3"/>
      <c r="ID153" s="3"/>
      <c r="IE153" s="3"/>
      <c r="IF153" s="3"/>
      <c r="IG153" s="3"/>
      <c r="IH153" s="3"/>
      <c r="II153" s="3"/>
      <c r="IJ153" s="3"/>
      <c r="IK153" s="3"/>
      <c r="IL153" s="3"/>
      <c r="IM153" s="3"/>
      <c r="IN153" s="3"/>
      <c r="IO153" s="3"/>
      <c r="IP153" s="3"/>
      <c r="IQ153" s="3"/>
      <c r="IR153" s="3"/>
      <c r="IS153" s="3"/>
      <c r="IT153" s="3"/>
      <c r="IU153" s="3"/>
      <c r="IV153" s="3"/>
      <c r="IW153" s="3"/>
    </row>
    <row r="154" customFormat="false" ht="12.75" hidden="false" customHeight="false" outlineLevel="0" collapsed="false">
      <c r="A154" s="23"/>
      <c r="B154" s="52" t="s">
        <v>263</v>
      </c>
      <c r="C154" s="52"/>
      <c r="D154" s="52"/>
      <c r="E154" s="56" t="n">
        <v>0.0125</v>
      </c>
      <c r="F154" s="22" t="s">
        <v>264</v>
      </c>
      <c r="G154" s="22"/>
      <c r="H154" s="24"/>
      <c r="I154" s="24"/>
      <c r="J154" s="24"/>
      <c r="K154" s="24"/>
      <c r="L154" s="24"/>
      <c r="M154" s="24"/>
      <c r="N154" s="24"/>
      <c r="O154" s="24"/>
      <c r="P154" s="24"/>
      <c r="Q154" s="24"/>
      <c r="R154" s="24"/>
      <c r="S154" s="24"/>
      <c r="T154" s="24"/>
      <c r="U154" s="24"/>
      <c r="V154" s="24"/>
      <c r="W154" s="24"/>
      <c r="X154" s="24"/>
      <c r="Y154" s="24"/>
      <c r="Z154" s="24"/>
      <c r="AA154" s="24"/>
      <c r="AB154" s="24"/>
      <c r="AC154" s="24"/>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4"/>
      <c r="BY154" s="24"/>
      <c r="BZ154" s="24"/>
      <c r="CA154" s="24"/>
      <c r="CB154" s="24"/>
      <c r="CC154" s="24"/>
      <c r="CD154" s="24"/>
      <c r="CE154" s="24"/>
      <c r="CF154" s="24"/>
      <c r="CG154" s="24"/>
      <c r="CH154" s="24"/>
      <c r="CI154" s="24"/>
      <c r="CJ154" s="24"/>
      <c r="CK154" s="24"/>
      <c r="CL154" s="24"/>
      <c r="CM154" s="24"/>
      <c r="CN154" s="24"/>
      <c r="CO154" s="24"/>
      <c r="CP154" s="24"/>
      <c r="CQ154" s="24"/>
      <c r="CR154" s="24"/>
      <c r="CS154" s="24"/>
      <c r="CT154" s="24"/>
      <c r="CU154" s="24"/>
      <c r="CV154" s="24"/>
      <c r="CW154" s="24"/>
      <c r="CX154" s="24"/>
      <c r="CY154" s="24"/>
      <c r="CZ154" s="24"/>
      <c r="DA154" s="24"/>
      <c r="DB154" s="24"/>
      <c r="DC154" s="24"/>
      <c r="DD154" s="24"/>
      <c r="DE154" s="24"/>
      <c r="DF154" s="24"/>
      <c r="DG154" s="24"/>
      <c r="DH154" s="24"/>
      <c r="DI154" s="24"/>
      <c r="DJ154" s="24"/>
      <c r="DK154" s="24"/>
      <c r="DL154" s="24"/>
      <c r="DM154" s="24"/>
      <c r="DN154" s="24"/>
      <c r="DO154" s="24"/>
      <c r="DP154" s="24"/>
      <c r="DQ154" s="24"/>
      <c r="DR154" s="24"/>
      <c r="DS154" s="24"/>
      <c r="DT154" s="24"/>
      <c r="DU154" s="24"/>
      <c r="DV154" s="24"/>
      <c r="DW154" s="24"/>
      <c r="DX154" s="24"/>
      <c r="DY154" s="24"/>
      <c r="DZ154" s="24"/>
      <c r="EA154" s="24"/>
      <c r="EB154" s="24"/>
      <c r="EC154" s="24"/>
      <c r="ED154" s="24"/>
      <c r="EE154" s="24"/>
      <c r="EF154" s="24"/>
      <c r="EG154" s="24"/>
      <c r="EH154" s="24"/>
      <c r="EI154" s="24"/>
      <c r="EJ154" s="24"/>
      <c r="EK154" s="24"/>
      <c r="EL154" s="24"/>
      <c r="EM154" s="3"/>
      <c r="EN154" s="3"/>
      <c r="EO154" s="3"/>
      <c r="EP154" s="3"/>
      <c r="EQ154" s="3"/>
      <c r="ER154" s="3"/>
      <c r="ES154" s="3"/>
      <c r="ET154" s="3"/>
      <c r="EU154" s="3"/>
      <c r="EV154" s="3"/>
      <c r="EW154" s="3"/>
      <c r="EX154" s="3"/>
      <c r="EY154" s="3"/>
      <c r="EZ154" s="3"/>
      <c r="FA154" s="3"/>
      <c r="FB154" s="3"/>
      <c r="FC154" s="3"/>
      <c r="FD154" s="3"/>
      <c r="FE154" s="3"/>
      <c r="FF154" s="3"/>
      <c r="FG154" s="3"/>
      <c r="FH154" s="3"/>
      <c r="FI154" s="3"/>
      <c r="FJ154" s="3"/>
      <c r="FK154" s="3"/>
      <c r="FL154" s="3"/>
      <c r="FM154" s="3"/>
      <c r="FN154" s="3"/>
      <c r="FO154" s="3"/>
      <c r="FP154" s="3"/>
      <c r="FQ154" s="3"/>
      <c r="FR154" s="3"/>
      <c r="FS154" s="3"/>
      <c r="FT154" s="3"/>
      <c r="FU154" s="3"/>
      <c r="FV154" s="3"/>
      <c r="FW154" s="3"/>
      <c r="FX154" s="3"/>
      <c r="FY154" s="3"/>
      <c r="FZ154" s="3"/>
      <c r="GA154" s="3"/>
      <c r="GB154" s="3"/>
      <c r="GC154" s="3"/>
      <c r="GD154" s="3"/>
      <c r="GE154" s="3"/>
      <c r="GF154" s="3"/>
      <c r="GG154" s="3"/>
      <c r="GH154" s="3"/>
      <c r="GI154" s="3"/>
      <c r="GJ154" s="3"/>
      <c r="GK154" s="3"/>
      <c r="GL154" s="3"/>
      <c r="GM154" s="3"/>
      <c r="GN154" s="3"/>
      <c r="GO154" s="3"/>
      <c r="GP154" s="3"/>
      <c r="GQ154" s="3"/>
      <c r="GR154" s="3"/>
      <c r="GS154" s="3"/>
      <c r="GT154" s="3"/>
      <c r="GU154" s="3"/>
      <c r="GV154" s="3"/>
      <c r="GW154" s="3"/>
      <c r="GX154" s="3"/>
      <c r="GY154" s="3"/>
      <c r="GZ154" s="3"/>
      <c r="HA154" s="3"/>
      <c r="HB154" s="3"/>
      <c r="HC154" s="3"/>
      <c r="HD154" s="3"/>
      <c r="HE154" s="3"/>
      <c r="HF154" s="3"/>
      <c r="HG154" s="3"/>
      <c r="HH154" s="3"/>
      <c r="HI154" s="3"/>
      <c r="HJ154" s="3"/>
      <c r="HK154" s="3"/>
      <c r="HL154" s="3"/>
      <c r="HM154" s="3"/>
      <c r="HN154" s="3"/>
      <c r="HO154" s="3"/>
      <c r="HP154" s="3"/>
      <c r="HQ154" s="3"/>
      <c r="HR154" s="3"/>
      <c r="HS154" s="3"/>
      <c r="HT154" s="3"/>
      <c r="HU154" s="3"/>
      <c r="HV154" s="3"/>
      <c r="HW154" s="3"/>
      <c r="HX154" s="3"/>
      <c r="HY154" s="3"/>
      <c r="HZ154" s="3"/>
      <c r="IA154" s="3"/>
      <c r="IB154" s="3"/>
      <c r="IC154" s="3"/>
      <c r="ID154" s="3"/>
      <c r="IE154" s="3"/>
      <c r="IF154" s="3"/>
      <c r="IG154" s="3"/>
      <c r="IH154" s="3"/>
      <c r="II154" s="3"/>
      <c r="IJ154" s="3"/>
      <c r="IK154" s="3"/>
      <c r="IL154" s="3"/>
      <c r="IM154" s="3"/>
      <c r="IN154" s="3"/>
      <c r="IO154" s="3"/>
      <c r="IP154" s="3"/>
      <c r="IQ154" s="3"/>
      <c r="IR154" s="3"/>
      <c r="IS154" s="3"/>
      <c r="IT154" s="3"/>
      <c r="IU154" s="3"/>
      <c r="IV154" s="3"/>
      <c r="IW154" s="3"/>
    </row>
    <row r="155" customFormat="false" ht="12.75" hidden="false" customHeight="false" outlineLevel="0" collapsed="false">
      <c r="A155" s="23"/>
      <c r="B155" s="52" t="s">
        <v>265</v>
      </c>
      <c r="C155" s="52"/>
      <c r="D155" s="52"/>
      <c r="E155" s="109" t="n">
        <f aca="false">E159</f>
        <v>34500</v>
      </c>
      <c r="F155" s="58" t="s">
        <v>266</v>
      </c>
      <c r="G155" s="22"/>
      <c r="H155" s="22"/>
      <c r="I155" s="22"/>
      <c r="J155" s="22"/>
      <c r="K155" s="24"/>
      <c r="L155" s="24"/>
      <c r="M155" s="24"/>
      <c r="N155" s="24"/>
      <c r="O155" s="24"/>
      <c r="P155" s="24"/>
      <c r="Q155" s="24"/>
      <c r="R155" s="24"/>
      <c r="S155" s="24"/>
      <c r="T155" s="24"/>
      <c r="U155" s="24"/>
      <c r="V155" s="24"/>
      <c r="W155" s="24"/>
      <c r="X155" s="24"/>
      <c r="Y155" s="24"/>
      <c r="Z155" s="24"/>
      <c r="AA155" s="24"/>
      <c r="AB155" s="24"/>
      <c r="AC155" s="24"/>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4"/>
      <c r="BW155" s="24"/>
      <c r="BX155" s="24"/>
      <c r="BY155" s="24"/>
      <c r="BZ155" s="24"/>
      <c r="CA155" s="24"/>
      <c r="CB155" s="24"/>
      <c r="CC155" s="24"/>
      <c r="CD155" s="24"/>
      <c r="CE155" s="24"/>
      <c r="CF155" s="24"/>
      <c r="CG155" s="24"/>
      <c r="CH155" s="24"/>
      <c r="CI155" s="24"/>
      <c r="CJ155" s="24"/>
      <c r="CK155" s="24"/>
      <c r="CL155" s="24"/>
      <c r="CM155" s="24"/>
      <c r="CN155" s="24"/>
      <c r="CO155" s="24"/>
      <c r="CP155" s="24"/>
      <c r="CQ155" s="24"/>
      <c r="CR155" s="24"/>
      <c r="CS155" s="24"/>
      <c r="CT155" s="24"/>
      <c r="CU155" s="24"/>
      <c r="CV155" s="24"/>
      <c r="CW155" s="24"/>
      <c r="CX155" s="24"/>
      <c r="CY155" s="24"/>
      <c r="CZ155" s="24"/>
      <c r="DA155" s="24"/>
      <c r="DB155" s="24"/>
      <c r="DC155" s="24"/>
      <c r="DD155" s="24"/>
      <c r="DE155" s="24"/>
      <c r="DF155" s="24"/>
      <c r="DG155" s="24"/>
      <c r="DH155" s="24"/>
      <c r="DI155" s="24"/>
      <c r="DJ155" s="24"/>
      <c r="DK155" s="24"/>
      <c r="DL155" s="24"/>
      <c r="DM155" s="24"/>
      <c r="DN155" s="24"/>
      <c r="DO155" s="24"/>
      <c r="DP155" s="24"/>
      <c r="DQ155" s="24"/>
      <c r="DR155" s="24"/>
      <c r="DS155" s="24"/>
      <c r="DT155" s="24"/>
      <c r="DU155" s="24"/>
      <c r="DV155" s="24"/>
      <c r="DW155" s="24"/>
      <c r="DX155" s="24"/>
      <c r="DY155" s="24"/>
      <c r="DZ155" s="24"/>
      <c r="EA155" s="24"/>
      <c r="EB155" s="24"/>
      <c r="EC155" s="24"/>
      <c r="ED155" s="24"/>
      <c r="EE155" s="24"/>
      <c r="EF155" s="24"/>
      <c r="EG155" s="24"/>
      <c r="EH155" s="24"/>
      <c r="EI155" s="24"/>
      <c r="EJ155" s="24"/>
      <c r="EK155" s="24"/>
      <c r="EL155" s="24"/>
      <c r="EM155" s="3"/>
      <c r="EN155" s="3"/>
      <c r="EO155" s="3"/>
      <c r="EP155" s="3"/>
      <c r="EQ155" s="3"/>
      <c r="ER155" s="3"/>
      <c r="ES155" s="3"/>
      <c r="ET155" s="3"/>
      <c r="EU155" s="3"/>
      <c r="EV155" s="3"/>
      <c r="EW155" s="3"/>
      <c r="EX155" s="3"/>
      <c r="EY155" s="3"/>
      <c r="EZ155" s="3"/>
      <c r="FA155" s="3"/>
      <c r="FB155" s="3"/>
      <c r="FC155" s="3"/>
      <c r="FD155" s="3"/>
      <c r="FE155" s="3"/>
      <c r="FF155" s="3"/>
      <c r="FG155" s="3"/>
      <c r="FH155" s="3"/>
      <c r="FI155" s="3"/>
      <c r="FJ155" s="3"/>
      <c r="FK155" s="3"/>
      <c r="FL155" s="3"/>
      <c r="FM155" s="3"/>
      <c r="FN155" s="3"/>
      <c r="FO155" s="3"/>
      <c r="FP155" s="3"/>
      <c r="FQ155" s="3"/>
      <c r="FR155" s="3"/>
      <c r="FS155" s="3"/>
      <c r="FT155" s="3"/>
      <c r="FU155" s="3"/>
      <c r="FV155" s="3"/>
      <c r="FW155" s="3"/>
      <c r="FX155" s="3"/>
      <c r="FY155" s="3"/>
      <c r="FZ155" s="3"/>
      <c r="GA155" s="3"/>
      <c r="GB155" s="3"/>
      <c r="GC155" s="3"/>
      <c r="GD155" s="3"/>
      <c r="GE155" s="3"/>
      <c r="GF155" s="3"/>
      <c r="GG155" s="3"/>
      <c r="GH155" s="3"/>
      <c r="GI155" s="3"/>
      <c r="GJ155" s="3"/>
      <c r="GK155" s="3"/>
      <c r="GL155" s="3"/>
      <c r="GM155" s="3"/>
      <c r="GN155" s="3"/>
      <c r="GO155" s="3"/>
      <c r="GP155" s="3"/>
      <c r="GQ155" s="3"/>
      <c r="GR155" s="3"/>
      <c r="GS155" s="3"/>
      <c r="GT155" s="3"/>
      <c r="GU155" s="3"/>
      <c r="GV155" s="3"/>
      <c r="GW155" s="3"/>
      <c r="GX155" s="3"/>
      <c r="GY155" s="3"/>
      <c r="GZ155" s="3"/>
      <c r="HA155" s="3"/>
      <c r="HB155" s="3"/>
      <c r="HC155" s="3"/>
      <c r="HD155" s="3"/>
      <c r="HE155" s="3"/>
      <c r="HF155" s="3"/>
      <c r="HG155" s="3"/>
      <c r="HH155" s="3"/>
      <c r="HI155" s="3"/>
      <c r="HJ155" s="3"/>
      <c r="HK155" s="3"/>
      <c r="HL155" s="3"/>
      <c r="HM155" s="3"/>
      <c r="HN155" s="3"/>
      <c r="HO155" s="3"/>
      <c r="HP155" s="3"/>
      <c r="HQ155" s="3"/>
      <c r="HR155" s="3"/>
      <c r="HS155" s="3"/>
      <c r="HT155" s="3"/>
      <c r="HU155" s="3"/>
      <c r="HV155" s="3"/>
      <c r="HW155" s="3"/>
      <c r="HX155" s="3"/>
      <c r="HY155" s="3"/>
      <c r="HZ155" s="3"/>
      <c r="IA155" s="3"/>
      <c r="IB155" s="3"/>
      <c r="IC155" s="3"/>
      <c r="ID155" s="3"/>
      <c r="IE155" s="3"/>
      <c r="IF155" s="3"/>
      <c r="IG155" s="3"/>
      <c r="IH155" s="3"/>
      <c r="II155" s="3"/>
      <c r="IJ155" s="3"/>
      <c r="IK155" s="3"/>
      <c r="IL155" s="3"/>
      <c r="IM155" s="3"/>
      <c r="IN155" s="3"/>
      <c r="IO155" s="3"/>
      <c r="IP155" s="3"/>
      <c r="IQ155" s="3"/>
      <c r="IR155" s="3"/>
      <c r="IS155" s="3"/>
      <c r="IT155" s="3"/>
      <c r="IU155" s="3"/>
      <c r="IV155" s="3"/>
      <c r="IW155" s="3"/>
    </row>
    <row r="157" customFormat="false" ht="12.75" hidden="false" customHeight="false" outlineLevel="0" collapsed="false">
      <c r="A157" s="124"/>
      <c r="B157" s="289" t="s">
        <v>267</v>
      </c>
      <c r="C157" s="290"/>
      <c r="D157" s="271"/>
      <c r="E157" s="289"/>
      <c r="F157" s="124"/>
      <c r="G157" s="12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c r="AN157" s="114"/>
      <c r="AO157" s="114"/>
      <c r="AP157" s="114"/>
      <c r="AQ157" s="114"/>
      <c r="AR157" s="114"/>
      <c r="AS157" s="114"/>
      <c r="AT157" s="114"/>
      <c r="AU157" s="114"/>
      <c r="AV157" s="114"/>
      <c r="AW157" s="114"/>
      <c r="AX157" s="114"/>
      <c r="AY157" s="114"/>
      <c r="AZ157" s="114"/>
      <c r="BA157" s="114"/>
      <c r="BB157" s="114"/>
      <c r="BC157" s="114"/>
      <c r="BD157" s="114"/>
      <c r="BE157" s="114"/>
      <c r="BF157" s="114"/>
      <c r="BG157" s="114"/>
      <c r="BH157" s="114"/>
      <c r="BI157" s="114"/>
      <c r="BJ157" s="114"/>
      <c r="BK157" s="114"/>
      <c r="BL157" s="114"/>
      <c r="BM157" s="114"/>
      <c r="BN157" s="114"/>
      <c r="BO157" s="114"/>
      <c r="BP157" s="114"/>
      <c r="BQ157" s="114"/>
      <c r="BR157" s="114"/>
      <c r="BS157" s="114"/>
      <c r="BT157" s="114"/>
      <c r="BU157" s="114"/>
      <c r="BV157" s="114"/>
      <c r="BW157" s="114"/>
      <c r="BX157" s="114"/>
      <c r="BY157" s="114"/>
      <c r="BZ157" s="114"/>
      <c r="CA157" s="114"/>
      <c r="CB157" s="114"/>
      <c r="CC157" s="114"/>
      <c r="CD157" s="114"/>
      <c r="CE157" s="114"/>
      <c r="CF157" s="114"/>
      <c r="CG157" s="114"/>
      <c r="CH157" s="114"/>
      <c r="CI157" s="114"/>
      <c r="CJ157" s="114"/>
      <c r="CK157" s="114"/>
      <c r="CL157" s="114"/>
      <c r="CM157" s="114"/>
      <c r="CN157" s="114"/>
      <c r="CO157" s="114"/>
      <c r="CP157" s="114"/>
      <c r="CQ157" s="114"/>
      <c r="CR157" s="114"/>
      <c r="CS157" s="114"/>
      <c r="CT157" s="114"/>
      <c r="CU157" s="114"/>
      <c r="CV157" s="114"/>
      <c r="CW157" s="114"/>
      <c r="CX157" s="114"/>
      <c r="CY157" s="114"/>
      <c r="CZ157" s="114"/>
      <c r="DA157" s="114"/>
      <c r="DB157" s="114"/>
      <c r="DC157" s="114"/>
      <c r="DD157" s="114"/>
      <c r="DE157" s="114"/>
      <c r="DF157" s="114"/>
      <c r="DG157" s="114"/>
      <c r="DH157" s="114"/>
      <c r="DI157" s="114"/>
      <c r="DJ157" s="114"/>
      <c r="DK157" s="114"/>
      <c r="DL157" s="114"/>
      <c r="DM157" s="114"/>
      <c r="DN157" s="114"/>
      <c r="DO157" s="114"/>
      <c r="DP157" s="114"/>
      <c r="DQ157" s="114"/>
      <c r="DR157" s="114"/>
      <c r="DS157" s="114"/>
      <c r="DT157" s="114"/>
      <c r="DU157" s="114"/>
      <c r="DV157" s="114"/>
      <c r="DW157" s="114"/>
      <c r="DX157" s="114"/>
      <c r="DY157" s="114"/>
      <c r="DZ157" s="114"/>
      <c r="EA157" s="114"/>
      <c r="EB157" s="114"/>
      <c r="EC157" s="114"/>
      <c r="ED157" s="114"/>
      <c r="EE157" s="114"/>
      <c r="EF157" s="114"/>
      <c r="EG157" s="114"/>
      <c r="EH157" s="114"/>
      <c r="EI157" s="114"/>
      <c r="EJ157" s="114"/>
      <c r="EK157" s="114"/>
      <c r="EL157" s="114"/>
    </row>
    <row r="158" customFormat="false" ht="12.75" hidden="false" customHeight="false" outlineLevel="0" collapsed="false">
      <c r="A158" s="124"/>
      <c r="B158" s="228" t="s">
        <v>268</v>
      </c>
      <c r="C158" s="290"/>
      <c r="D158" s="271"/>
      <c r="E158" s="301" t="n">
        <v>1000</v>
      </c>
      <c r="F158" s="124" t="s">
        <v>269</v>
      </c>
      <c r="G158" s="12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4"/>
      <c r="AO158" s="114"/>
      <c r="AP158" s="114"/>
      <c r="AQ158" s="114"/>
      <c r="AR158" s="114"/>
      <c r="AS158" s="114"/>
      <c r="AT158" s="114"/>
      <c r="AU158" s="114"/>
      <c r="AV158" s="114"/>
      <c r="AW158" s="114"/>
      <c r="AX158" s="114"/>
      <c r="AY158" s="114"/>
      <c r="AZ158" s="114"/>
      <c r="BA158" s="114"/>
      <c r="BB158" s="114"/>
      <c r="BC158" s="114"/>
      <c r="BD158" s="114"/>
      <c r="BE158" s="114"/>
      <c r="BF158" s="114"/>
      <c r="BG158" s="114"/>
      <c r="BH158" s="114"/>
      <c r="BI158" s="114"/>
      <c r="BJ158" s="114"/>
      <c r="BK158" s="114"/>
      <c r="BL158" s="114"/>
      <c r="BM158" s="114"/>
      <c r="BN158" s="114"/>
      <c r="BO158" s="114"/>
      <c r="BP158" s="114"/>
      <c r="BQ158" s="114"/>
      <c r="BR158" s="114"/>
      <c r="BS158" s="114"/>
      <c r="BT158" s="114"/>
      <c r="BU158" s="114"/>
      <c r="BV158" s="114"/>
      <c r="BW158" s="114"/>
      <c r="BX158" s="114"/>
      <c r="BY158" s="114"/>
      <c r="BZ158" s="114"/>
      <c r="CA158" s="114"/>
      <c r="CB158" s="114"/>
      <c r="CC158" s="114"/>
      <c r="CD158" s="114"/>
      <c r="CE158" s="114"/>
      <c r="CF158" s="114"/>
      <c r="CG158" s="114"/>
      <c r="CH158" s="114"/>
      <c r="CI158" s="114"/>
      <c r="CJ158" s="114"/>
      <c r="CK158" s="114"/>
      <c r="CL158" s="114"/>
      <c r="CM158" s="114"/>
      <c r="CN158" s="114"/>
      <c r="CO158" s="114"/>
      <c r="CP158" s="114"/>
      <c r="CQ158" s="114"/>
      <c r="CR158" s="114"/>
      <c r="CS158" s="114"/>
      <c r="CT158" s="114"/>
      <c r="CU158" s="114"/>
      <c r="CV158" s="114"/>
      <c r="CW158" s="114"/>
      <c r="CX158" s="114"/>
      <c r="CY158" s="114"/>
      <c r="CZ158" s="114"/>
      <c r="DA158" s="114"/>
      <c r="DB158" s="114"/>
      <c r="DC158" s="114"/>
      <c r="DD158" s="114"/>
      <c r="DE158" s="114"/>
      <c r="DF158" s="114"/>
      <c r="DG158" s="114"/>
      <c r="DH158" s="114"/>
      <c r="DI158" s="114"/>
      <c r="DJ158" s="114"/>
      <c r="DK158" s="114"/>
      <c r="DL158" s="114"/>
      <c r="DM158" s="114"/>
      <c r="DN158" s="114"/>
      <c r="DO158" s="114"/>
      <c r="DP158" s="114"/>
      <c r="DQ158" s="114"/>
      <c r="DR158" s="114"/>
      <c r="DS158" s="114"/>
      <c r="DT158" s="114"/>
      <c r="DU158" s="114"/>
      <c r="DV158" s="114"/>
      <c r="DW158" s="114"/>
      <c r="DX158" s="114"/>
      <c r="DY158" s="114"/>
      <c r="DZ158" s="114"/>
      <c r="EA158" s="114"/>
      <c r="EB158" s="114"/>
      <c r="EC158" s="114"/>
      <c r="ED158" s="114"/>
      <c r="EE158" s="114"/>
      <c r="EF158" s="114"/>
      <c r="EG158" s="114"/>
      <c r="EH158" s="114"/>
      <c r="EI158" s="114"/>
      <c r="EJ158" s="114"/>
      <c r="EK158" s="114"/>
      <c r="EL158" s="114"/>
    </row>
    <row r="159" customFormat="false" ht="12.75" hidden="false" customHeight="false" outlineLevel="0" collapsed="false">
      <c r="A159" s="124"/>
      <c r="B159" s="111" t="s">
        <v>270</v>
      </c>
      <c r="C159" s="1"/>
      <c r="D159" s="271"/>
      <c r="E159" s="59" t="n">
        <f aca="false">E158*F31*F21</f>
        <v>34500</v>
      </c>
      <c r="F159" s="111" t="s">
        <v>271</v>
      </c>
      <c r="G159" s="12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4"/>
      <c r="AL159" s="114"/>
      <c r="AM159" s="114"/>
      <c r="AN159" s="114"/>
      <c r="AO159" s="114"/>
      <c r="AP159" s="114"/>
      <c r="AQ159" s="114"/>
      <c r="AR159" s="114"/>
      <c r="AS159" s="114"/>
      <c r="AT159" s="114"/>
      <c r="AU159" s="114"/>
      <c r="AV159" s="114"/>
      <c r="AW159" s="114"/>
      <c r="AX159" s="114"/>
      <c r="AY159" s="114"/>
      <c r="AZ159" s="114"/>
      <c r="BA159" s="114"/>
      <c r="BB159" s="114"/>
      <c r="BC159" s="114"/>
      <c r="BD159" s="114"/>
      <c r="BE159" s="114"/>
      <c r="BF159" s="114"/>
      <c r="BG159" s="114"/>
      <c r="BH159" s="114"/>
      <c r="BI159" s="114"/>
      <c r="BJ159" s="114"/>
      <c r="BK159" s="114"/>
      <c r="BL159" s="114"/>
      <c r="BM159" s="114"/>
      <c r="BN159" s="114"/>
      <c r="BO159" s="114"/>
      <c r="BP159" s="114"/>
      <c r="BQ159" s="114"/>
      <c r="BR159" s="114"/>
      <c r="BS159" s="114"/>
      <c r="BT159" s="114"/>
      <c r="BU159" s="114"/>
      <c r="BV159" s="114"/>
      <c r="BW159" s="114"/>
      <c r="BX159" s="114"/>
      <c r="BY159" s="114"/>
      <c r="BZ159" s="114"/>
      <c r="CA159" s="114"/>
      <c r="CB159" s="114"/>
      <c r="CC159" s="114"/>
      <c r="CD159" s="114"/>
      <c r="CE159" s="114"/>
      <c r="CF159" s="114"/>
      <c r="CG159" s="114"/>
      <c r="CH159" s="114"/>
      <c r="CI159" s="114"/>
      <c r="CJ159" s="114"/>
      <c r="CK159" s="114"/>
      <c r="CL159" s="114"/>
      <c r="CM159" s="114"/>
      <c r="CN159" s="114"/>
      <c r="CO159" s="114"/>
      <c r="CP159" s="114"/>
      <c r="CQ159" s="114"/>
      <c r="CR159" s="114"/>
      <c r="CS159" s="114"/>
      <c r="CT159" s="114"/>
      <c r="CU159" s="114"/>
      <c r="CV159" s="114"/>
      <c r="CW159" s="114"/>
      <c r="CX159" s="114"/>
      <c r="CY159" s="114"/>
      <c r="CZ159" s="114"/>
      <c r="DA159" s="114"/>
      <c r="DB159" s="114"/>
      <c r="DC159" s="114"/>
      <c r="DD159" s="114"/>
      <c r="DE159" s="114"/>
      <c r="DF159" s="114"/>
      <c r="DG159" s="114"/>
      <c r="DH159" s="114"/>
      <c r="DI159" s="114"/>
      <c r="DJ159" s="114"/>
      <c r="DK159" s="114"/>
      <c r="DL159" s="114"/>
      <c r="DM159" s="114"/>
      <c r="DN159" s="114"/>
      <c r="DO159" s="114"/>
      <c r="DP159" s="114"/>
      <c r="DQ159" s="114"/>
      <c r="DR159" s="114"/>
      <c r="DS159" s="114"/>
      <c r="DT159" s="114"/>
      <c r="DU159" s="114"/>
      <c r="DV159" s="114"/>
      <c r="DW159" s="114"/>
      <c r="DX159" s="114"/>
      <c r="DY159" s="114"/>
      <c r="DZ159" s="114"/>
      <c r="EA159" s="114"/>
      <c r="EB159" s="114"/>
      <c r="EC159" s="114"/>
      <c r="ED159" s="114"/>
      <c r="EE159" s="114"/>
      <c r="EF159" s="114"/>
      <c r="EG159" s="114"/>
      <c r="EH159" s="114"/>
      <c r="EI159" s="114"/>
      <c r="EJ159" s="114"/>
      <c r="EK159" s="114"/>
      <c r="EL159" s="114"/>
    </row>
    <row r="160" customFormat="false" ht="12.75" hidden="false" customHeight="false" outlineLevel="0" collapsed="false">
      <c r="A160" s="124"/>
      <c r="B160" s="124" t="s">
        <v>272</v>
      </c>
      <c r="C160" s="23"/>
      <c r="D160" s="124"/>
      <c r="E160" s="100" t="n">
        <f aca="false">CashFlow!F13+CashFlow!F66</f>
        <v>6122.35680955307</v>
      </c>
      <c r="F160" s="111" t="s">
        <v>273</v>
      </c>
      <c r="G160" s="12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4"/>
      <c r="AM160" s="114"/>
      <c r="AN160" s="114"/>
      <c r="AO160" s="114"/>
      <c r="AP160" s="114"/>
      <c r="AQ160" s="114"/>
      <c r="AR160" s="114"/>
      <c r="AS160" s="114"/>
      <c r="AT160" s="114"/>
      <c r="AU160" s="114"/>
      <c r="AV160" s="114"/>
      <c r="AW160" s="114"/>
      <c r="AX160" s="114"/>
      <c r="AY160" s="114"/>
      <c r="AZ160" s="114"/>
      <c r="BA160" s="114"/>
      <c r="BB160" s="114"/>
      <c r="BC160" s="114"/>
      <c r="BD160" s="114"/>
      <c r="BE160" s="114"/>
      <c r="BF160" s="114"/>
      <c r="BG160" s="114"/>
      <c r="BH160" s="114"/>
      <c r="BI160" s="114"/>
      <c r="BJ160" s="114"/>
      <c r="BK160" s="114"/>
      <c r="BL160" s="114"/>
      <c r="BM160" s="114"/>
      <c r="BN160" s="114"/>
      <c r="BO160" s="114"/>
      <c r="BP160" s="114"/>
      <c r="BQ160" s="114"/>
      <c r="BR160" s="114"/>
      <c r="BS160" s="114"/>
      <c r="BT160" s="114"/>
      <c r="BU160" s="114"/>
      <c r="BV160" s="114"/>
      <c r="BW160" s="114"/>
      <c r="BX160" s="114"/>
      <c r="BY160" s="114"/>
      <c r="BZ160" s="114"/>
      <c r="CA160" s="114"/>
      <c r="CB160" s="114"/>
      <c r="CC160" s="114"/>
      <c r="CD160" s="114"/>
      <c r="CE160" s="114"/>
      <c r="CF160" s="114"/>
      <c r="CG160" s="114"/>
      <c r="CH160" s="114"/>
      <c r="CI160" s="114"/>
      <c r="CJ160" s="114"/>
      <c r="CK160" s="114"/>
      <c r="CL160" s="114"/>
      <c r="CM160" s="114"/>
      <c r="CN160" s="114"/>
      <c r="CO160" s="114"/>
      <c r="CP160" s="114"/>
      <c r="CQ160" s="114"/>
      <c r="CR160" s="114"/>
      <c r="CS160" s="114"/>
      <c r="CT160" s="114"/>
      <c r="CU160" s="114"/>
      <c r="CV160" s="114"/>
      <c r="CW160" s="114"/>
      <c r="CX160" s="114"/>
      <c r="CY160" s="114"/>
      <c r="CZ160" s="114"/>
      <c r="DA160" s="114"/>
      <c r="DB160" s="114"/>
      <c r="DC160" s="114"/>
      <c r="DD160" s="114"/>
      <c r="DE160" s="114"/>
      <c r="DF160" s="114"/>
      <c r="DG160" s="114"/>
      <c r="DH160" s="114"/>
      <c r="DI160" s="114"/>
      <c r="DJ160" s="114"/>
      <c r="DK160" s="114"/>
      <c r="DL160" s="114"/>
      <c r="DM160" s="114"/>
      <c r="DN160" s="114"/>
      <c r="DO160" s="114"/>
      <c r="DP160" s="114"/>
      <c r="DQ160" s="114"/>
      <c r="DR160" s="114"/>
      <c r="DS160" s="114"/>
      <c r="DT160" s="114"/>
      <c r="DU160" s="114"/>
      <c r="DV160" s="114"/>
      <c r="DW160" s="114"/>
      <c r="DX160" s="114"/>
      <c r="DY160" s="114"/>
      <c r="DZ160" s="114"/>
      <c r="EA160" s="114"/>
      <c r="EB160" s="114"/>
      <c r="EC160" s="114"/>
      <c r="ED160" s="114"/>
      <c r="EE160" s="114"/>
      <c r="EF160" s="114"/>
      <c r="EG160" s="114"/>
      <c r="EH160" s="114"/>
      <c r="EI160" s="114"/>
      <c r="EJ160" s="114"/>
      <c r="EK160" s="114"/>
      <c r="EL160" s="114"/>
    </row>
    <row r="161" customFormat="false" ht="12.75" hidden="false" customHeight="false" outlineLevel="0" collapsed="false">
      <c r="A161" s="124"/>
      <c r="B161" s="111"/>
      <c r="C161" s="22"/>
      <c r="D161" s="124"/>
      <c r="F161" s="111"/>
      <c r="G161" s="111"/>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114"/>
      <c r="BI161" s="114"/>
      <c r="BJ161" s="114"/>
      <c r="BK161" s="114"/>
      <c r="BL161" s="114"/>
      <c r="BM161" s="114"/>
      <c r="BN161" s="114"/>
      <c r="BO161" s="114"/>
      <c r="BP161" s="114"/>
      <c r="BQ161" s="114"/>
      <c r="BR161" s="114"/>
      <c r="BS161" s="114"/>
      <c r="BT161" s="114"/>
      <c r="BU161" s="114"/>
      <c r="BV161" s="114"/>
      <c r="BW161" s="114"/>
      <c r="BX161" s="114"/>
      <c r="BY161" s="114"/>
      <c r="BZ161" s="114"/>
      <c r="CA161" s="114"/>
      <c r="CB161" s="114"/>
      <c r="CC161" s="114"/>
      <c r="CD161" s="114"/>
      <c r="CE161" s="114"/>
      <c r="CF161" s="114"/>
      <c r="CG161" s="114"/>
      <c r="CH161" s="114"/>
      <c r="CI161" s="114"/>
      <c r="CJ161" s="114"/>
      <c r="CK161" s="114"/>
      <c r="CL161" s="114"/>
      <c r="CM161" s="114"/>
      <c r="CN161" s="114"/>
      <c r="CO161" s="114"/>
      <c r="CP161" s="114"/>
      <c r="CQ161" s="114"/>
      <c r="CR161" s="114"/>
      <c r="CS161" s="114"/>
      <c r="CT161" s="114"/>
      <c r="CU161" s="114"/>
      <c r="CV161" s="114"/>
      <c r="CW161" s="114"/>
      <c r="CX161" s="114"/>
      <c r="CY161" s="114"/>
      <c r="CZ161" s="114"/>
      <c r="DA161" s="114"/>
      <c r="DB161" s="114"/>
      <c r="DC161" s="114"/>
      <c r="DD161" s="114"/>
      <c r="DE161" s="114"/>
      <c r="DF161" s="114"/>
      <c r="DG161" s="114"/>
      <c r="DH161" s="114"/>
      <c r="DI161" s="114"/>
      <c r="DJ161" s="114"/>
      <c r="DK161" s="114"/>
      <c r="DL161" s="114"/>
      <c r="DM161" s="114"/>
      <c r="DN161" s="114"/>
      <c r="DO161" s="114"/>
      <c r="DP161" s="114"/>
      <c r="DQ161" s="114"/>
      <c r="DR161" s="114"/>
      <c r="DS161" s="114"/>
      <c r="DT161" s="114"/>
      <c r="DU161" s="114"/>
      <c r="DV161" s="114"/>
      <c r="DW161" s="114"/>
      <c r="DX161" s="114"/>
      <c r="DY161" s="114"/>
      <c r="DZ161" s="114"/>
      <c r="EA161" s="114"/>
      <c r="EB161" s="114"/>
      <c r="EC161" s="114"/>
      <c r="ED161" s="114"/>
      <c r="EE161" s="114"/>
      <c r="EF161" s="114"/>
      <c r="EG161" s="114"/>
      <c r="EH161" s="114"/>
      <c r="EI161" s="114"/>
      <c r="EJ161" s="114"/>
      <c r="EK161" s="114"/>
      <c r="EL161" s="114"/>
    </row>
    <row r="162" customFormat="false" ht="12.75" hidden="false" customHeight="false" outlineLevel="0" collapsed="false">
      <c r="A162" s="124"/>
      <c r="B162" s="289" t="s">
        <v>274</v>
      </c>
      <c r="C162" s="290"/>
      <c r="D162" s="111"/>
      <c r="E162" s="176" t="s">
        <v>155</v>
      </c>
      <c r="F162" s="176" t="s">
        <v>275</v>
      </c>
      <c r="G162" s="111"/>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4"/>
      <c r="AL162" s="114"/>
      <c r="AM162" s="114"/>
      <c r="AN162" s="114"/>
      <c r="AO162" s="114"/>
      <c r="AP162" s="114"/>
      <c r="AQ162" s="114"/>
      <c r="AR162" s="114"/>
      <c r="AS162" s="114"/>
      <c r="AT162" s="114"/>
      <c r="AU162" s="114"/>
      <c r="AV162" s="114"/>
      <c r="AW162" s="114"/>
      <c r="AX162" s="114"/>
      <c r="AY162" s="114"/>
      <c r="AZ162" s="114"/>
      <c r="BA162" s="114"/>
      <c r="BB162" s="114"/>
      <c r="BC162" s="114"/>
      <c r="BD162" s="114"/>
      <c r="BE162" s="114"/>
      <c r="BF162" s="114"/>
      <c r="BG162" s="114"/>
      <c r="BH162" s="114"/>
      <c r="BI162" s="114"/>
      <c r="BJ162" s="114"/>
      <c r="BK162" s="114"/>
      <c r="BL162" s="114"/>
      <c r="BM162" s="114"/>
      <c r="BN162" s="114"/>
      <c r="BO162" s="114"/>
      <c r="BP162" s="114"/>
      <c r="BQ162" s="114"/>
      <c r="BR162" s="114"/>
      <c r="BS162" s="114"/>
      <c r="BT162" s="114"/>
      <c r="BU162" s="114"/>
      <c r="BV162" s="114"/>
      <c r="BW162" s="114"/>
      <c r="BX162" s="114"/>
      <c r="BY162" s="114"/>
      <c r="BZ162" s="114"/>
      <c r="CA162" s="114"/>
      <c r="CB162" s="114"/>
      <c r="CC162" s="114"/>
      <c r="CD162" s="114"/>
      <c r="CE162" s="114"/>
      <c r="CF162" s="114"/>
      <c r="CG162" s="114"/>
      <c r="CH162" s="114"/>
      <c r="CI162" s="114"/>
      <c r="CJ162" s="114"/>
      <c r="CK162" s="114"/>
      <c r="CL162" s="114"/>
      <c r="CM162" s="114"/>
      <c r="CN162" s="114"/>
      <c r="CO162" s="114"/>
      <c r="CP162" s="114"/>
      <c r="CQ162" s="114"/>
      <c r="CR162" s="114"/>
      <c r="CS162" s="114"/>
      <c r="CT162" s="114"/>
      <c r="CU162" s="114"/>
      <c r="CV162" s="114"/>
      <c r="CW162" s="114"/>
      <c r="CX162" s="114"/>
      <c r="CY162" s="114"/>
      <c r="CZ162" s="114"/>
      <c r="DA162" s="114"/>
      <c r="DB162" s="114"/>
      <c r="DC162" s="114"/>
      <c r="DD162" s="114"/>
      <c r="DE162" s="114"/>
      <c r="DF162" s="114"/>
      <c r="DG162" s="114"/>
      <c r="DH162" s="114"/>
      <c r="DI162" s="114"/>
      <c r="DJ162" s="114"/>
      <c r="DK162" s="114"/>
      <c r="DL162" s="114"/>
      <c r="DM162" s="114"/>
      <c r="DN162" s="114"/>
      <c r="DO162" s="114"/>
      <c r="DP162" s="114"/>
      <c r="DQ162" s="114"/>
      <c r="DR162" s="114"/>
      <c r="DS162" s="114"/>
      <c r="DT162" s="114"/>
      <c r="DU162" s="114"/>
      <c r="DV162" s="114"/>
      <c r="DW162" s="114"/>
      <c r="DX162" s="114"/>
      <c r="DY162" s="114"/>
      <c r="DZ162" s="114"/>
      <c r="EA162" s="114"/>
      <c r="EB162" s="114"/>
      <c r="EC162" s="114"/>
      <c r="ED162" s="114"/>
      <c r="EE162" s="114"/>
      <c r="EF162" s="114"/>
      <c r="EG162" s="114"/>
      <c r="EH162" s="114"/>
      <c r="EI162" s="114"/>
      <c r="EJ162" s="114"/>
      <c r="EK162" s="114"/>
      <c r="EL162" s="114"/>
    </row>
    <row r="163" customFormat="false" ht="12.75" hidden="false" customHeight="false" outlineLevel="0" collapsed="false">
      <c r="A163" s="124"/>
      <c r="B163" s="111" t="s">
        <v>276</v>
      </c>
      <c r="C163" s="22"/>
      <c r="D163" s="112"/>
      <c r="E163" s="47" t="n">
        <f aca="false">(+$E$159+E160)*F163/100</f>
        <v>20.3111784047765</v>
      </c>
      <c r="F163" s="302" t="n">
        <v>0.05</v>
      </c>
      <c r="G163" s="111" t="s">
        <v>179</v>
      </c>
      <c r="H163" s="114" t="s">
        <v>154</v>
      </c>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4"/>
      <c r="AL163" s="114"/>
      <c r="AM163" s="114"/>
      <c r="AN163" s="114"/>
      <c r="AO163" s="114"/>
      <c r="AP163" s="114"/>
      <c r="AQ163" s="114"/>
      <c r="AR163" s="114"/>
      <c r="AS163" s="114"/>
      <c r="AT163" s="114"/>
      <c r="AU163" s="114"/>
      <c r="AV163" s="114"/>
      <c r="AW163" s="114"/>
      <c r="AX163" s="114"/>
      <c r="AY163" s="114"/>
      <c r="AZ163" s="114"/>
      <c r="BA163" s="114"/>
      <c r="BB163" s="114"/>
      <c r="BC163" s="114"/>
      <c r="BD163" s="114"/>
      <c r="BE163" s="114"/>
      <c r="BF163" s="114"/>
      <c r="BG163" s="114"/>
      <c r="BH163" s="114"/>
      <c r="BI163" s="114"/>
      <c r="BJ163" s="114"/>
      <c r="BK163" s="114"/>
      <c r="BL163" s="114"/>
      <c r="BM163" s="114"/>
      <c r="BN163" s="114"/>
      <c r="BO163" s="114"/>
      <c r="BP163" s="114"/>
      <c r="BQ163" s="114"/>
      <c r="BR163" s="114"/>
      <c r="BS163" s="114"/>
      <c r="BT163" s="114"/>
      <c r="BU163" s="114"/>
      <c r="BV163" s="114"/>
      <c r="BW163" s="114"/>
      <c r="BX163" s="114"/>
      <c r="BY163" s="114"/>
      <c r="BZ163" s="114"/>
      <c r="CA163" s="114"/>
      <c r="CB163" s="114"/>
      <c r="CC163" s="114"/>
      <c r="CD163" s="114"/>
      <c r="CE163" s="114"/>
      <c r="CF163" s="114"/>
      <c r="CG163" s="114"/>
      <c r="CH163" s="114"/>
      <c r="CI163" s="114"/>
      <c r="CJ163" s="114"/>
      <c r="CK163" s="114"/>
      <c r="CL163" s="114"/>
      <c r="CM163" s="114"/>
      <c r="CN163" s="114"/>
      <c r="CO163" s="114"/>
      <c r="CP163" s="114"/>
      <c r="CQ163" s="114"/>
      <c r="CR163" s="114"/>
      <c r="CS163" s="114"/>
      <c r="CT163" s="114"/>
      <c r="CU163" s="114"/>
      <c r="CV163" s="114"/>
      <c r="CW163" s="114"/>
      <c r="CX163" s="114"/>
      <c r="CY163" s="114"/>
      <c r="CZ163" s="114"/>
      <c r="DA163" s="114"/>
      <c r="DB163" s="114"/>
      <c r="DC163" s="114"/>
      <c r="DD163" s="114"/>
      <c r="DE163" s="114"/>
      <c r="DF163" s="114"/>
      <c r="DG163" s="114"/>
      <c r="DH163" s="114"/>
      <c r="DI163" s="114"/>
      <c r="DJ163" s="114"/>
      <c r="DK163" s="114"/>
      <c r="DL163" s="114"/>
      <c r="DM163" s="114"/>
      <c r="DN163" s="114"/>
      <c r="DO163" s="114"/>
      <c r="DP163" s="114"/>
      <c r="DQ163" s="114"/>
      <c r="DR163" s="114"/>
      <c r="DS163" s="114"/>
      <c r="DT163" s="114"/>
      <c r="DU163" s="114"/>
      <c r="DV163" s="114"/>
      <c r="DW163" s="114"/>
      <c r="DX163" s="114"/>
      <c r="DY163" s="114"/>
      <c r="DZ163" s="114"/>
      <c r="EA163" s="114"/>
      <c r="EB163" s="114"/>
      <c r="EC163" s="114"/>
      <c r="ED163" s="114"/>
      <c r="EE163" s="114"/>
      <c r="EF163" s="114"/>
      <c r="EG163" s="114"/>
      <c r="EH163" s="114"/>
      <c r="EI163" s="114"/>
      <c r="EJ163" s="114"/>
      <c r="EK163" s="114"/>
      <c r="EL163" s="114"/>
    </row>
    <row r="164" customFormat="false" ht="12.75" hidden="false" customHeight="false" outlineLevel="0" collapsed="false">
      <c r="A164" s="124"/>
      <c r="B164" s="111" t="s">
        <v>277</v>
      </c>
      <c r="C164" s="22"/>
      <c r="D164" s="112"/>
      <c r="E164" s="47" t="n">
        <f aca="false">$E$159*F164/100</f>
        <v>48.3</v>
      </c>
      <c r="F164" s="302" t="n">
        <v>0.14</v>
      </c>
      <c r="G164" s="111" t="s">
        <v>160</v>
      </c>
      <c r="H164" s="114" t="s">
        <v>154</v>
      </c>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4"/>
      <c r="AL164" s="114"/>
      <c r="AM164" s="114"/>
      <c r="AN164" s="114"/>
      <c r="AO164" s="114"/>
      <c r="AP164" s="114"/>
      <c r="AQ164" s="114"/>
      <c r="AR164" s="114"/>
      <c r="AS164" s="114"/>
      <c r="AT164" s="114"/>
      <c r="AU164" s="114"/>
      <c r="AV164" s="114"/>
      <c r="AW164" s="114"/>
      <c r="AX164" s="114"/>
      <c r="AY164" s="114"/>
      <c r="AZ164" s="114"/>
      <c r="BA164" s="114"/>
      <c r="BB164" s="114"/>
      <c r="BC164" s="114"/>
      <c r="BD164" s="114"/>
      <c r="BE164" s="114"/>
      <c r="BF164" s="114"/>
      <c r="BG164" s="114"/>
      <c r="BH164" s="114"/>
      <c r="BI164" s="114"/>
      <c r="BJ164" s="114"/>
      <c r="BK164" s="114"/>
      <c r="BL164" s="114"/>
      <c r="BM164" s="114"/>
      <c r="BN164" s="114"/>
      <c r="BO164" s="114"/>
      <c r="BP164" s="114"/>
      <c r="BQ164" s="114"/>
      <c r="BR164" s="114"/>
      <c r="BS164" s="114"/>
      <c r="BT164" s="114"/>
      <c r="BU164" s="114"/>
      <c r="BV164" s="114"/>
      <c r="BW164" s="114"/>
      <c r="BX164" s="114"/>
      <c r="BY164" s="114"/>
      <c r="BZ164" s="114"/>
      <c r="CA164" s="114"/>
      <c r="CB164" s="114"/>
      <c r="CC164" s="114"/>
      <c r="CD164" s="114"/>
      <c r="CE164" s="114"/>
      <c r="CF164" s="114"/>
      <c r="CG164" s="114"/>
      <c r="CH164" s="114"/>
      <c r="CI164" s="114"/>
      <c r="CJ164" s="114"/>
      <c r="CK164" s="114"/>
      <c r="CL164" s="114"/>
      <c r="CM164" s="114"/>
      <c r="CN164" s="114"/>
      <c r="CO164" s="114"/>
      <c r="CP164" s="114"/>
      <c r="CQ164" s="114"/>
      <c r="CR164" s="114"/>
      <c r="CS164" s="114"/>
      <c r="CT164" s="114"/>
      <c r="CU164" s="114"/>
      <c r="CV164" s="114"/>
      <c r="CW164" s="114"/>
      <c r="CX164" s="114"/>
      <c r="CY164" s="114"/>
      <c r="CZ164" s="114"/>
      <c r="DA164" s="114"/>
      <c r="DB164" s="114"/>
      <c r="DC164" s="114"/>
      <c r="DD164" s="114"/>
      <c r="DE164" s="114"/>
      <c r="DF164" s="114"/>
      <c r="DG164" s="114"/>
      <c r="DH164" s="114"/>
      <c r="DI164" s="114"/>
      <c r="DJ164" s="114"/>
      <c r="DK164" s="114"/>
      <c r="DL164" s="114"/>
      <c r="DM164" s="114"/>
      <c r="DN164" s="114"/>
      <c r="DO164" s="114"/>
      <c r="DP164" s="114"/>
      <c r="DQ164" s="114"/>
      <c r="DR164" s="114"/>
      <c r="DS164" s="114"/>
      <c r="DT164" s="114"/>
      <c r="DU164" s="114"/>
      <c r="DV164" s="114"/>
      <c r="DW164" s="114"/>
      <c r="DX164" s="114"/>
      <c r="DY164" s="114"/>
      <c r="DZ164" s="114"/>
      <c r="EA164" s="114"/>
      <c r="EB164" s="114"/>
      <c r="EC164" s="114"/>
      <c r="ED164" s="114"/>
      <c r="EE164" s="114"/>
      <c r="EF164" s="114"/>
      <c r="EG164" s="114"/>
      <c r="EH164" s="114"/>
      <c r="EI164" s="114"/>
      <c r="EJ164" s="114"/>
      <c r="EK164" s="114"/>
      <c r="EL164" s="114"/>
    </row>
    <row r="165" customFormat="false" ht="12.75" hidden="false" customHeight="false" outlineLevel="0" collapsed="false">
      <c r="A165" s="124"/>
      <c r="B165" s="111" t="s">
        <v>278</v>
      </c>
      <c r="C165" s="22"/>
      <c r="D165" s="112"/>
      <c r="E165" s="47" t="n">
        <f aca="false">E160*F165/100</f>
        <v>2.44894272382123</v>
      </c>
      <c r="F165" s="302" t="n">
        <v>0.04</v>
      </c>
      <c r="G165" s="111" t="s">
        <v>160</v>
      </c>
      <c r="H165" s="114" t="s">
        <v>154</v>
      </c>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4"/>
      <c r="AL165" s="114"/>
      <c r="AM165" s="114"/>
      <c r="AN165" s="114"/>
      <c r="AO165" s="114"/>
      <c r="AP165" s="114"/>
      <c r="AQ165" s="114"/>
      <c r="AR165" s="114"/>
      <c r="AS165" s="114"/>
      <c r="AT165" s="114"/>
      <c r="AU165" s="114"/>
      <c r="AV165" s="114"/>
      <c r="AW165" s="114"/>
      <c r="AX165" s="114"/>
      <c r="AY165" s="114"/>
      <c r="AZ165" s="114"/>
      <c r="BA165" s="114"/>
      <c r="BB165" s="114"/>
      <c r="BC165" s="114"/>
      <c r="BD165" s="114"/>
      <c r="BE165" s="114"/>
      <c r="BF165" s="114"/>
      <c r="BG165" s="114"/>
      <c r="BH165" s="114"/>
      <c r="BI165" s="114"/>
      <c r="BJ165" s="114"/>
      <c r="BK165" s="114"/>
      <c r="BL165" s="114"/>
      <c r="BM165" s="114"/>
      <c r="BN165" s="114"/>
      <c r="BO165" s="114"/>
      <c r="BP165" s="114"/>
      <c r="BQ165" s="114"/>
      <c r="BR165" s="114"/>
      <c r="BS165" s="114"/>
      <c r="BT165" s="114"/>
      <c r="BU165" s="114"/>
      <c r="BV165" s="114"/>
      <c r="BW165" s="114"/>
      <c r="BX165" s="114"/>
      <c r="BY165" s="114"/>
      <c r="BZ165" s="114"/>
      <c r="CA165" s="114"/>
      <c r="CB165" s="114"/>
      <c r="CC165" s="114"/>
      <c r="CD165" s="114"/>
      <c r="CE165" s="114"/>
      <c r="CF165" s="114"/>
      <c r="CG165" s="114"/>
      <c r="CH165" s="114"/>
      <c r="CI165" s="114"/>
      <c r="CJ165" s="114"/>
      <c r="CK165" s="114"/>
      <c r="CL165" s="114"/>
      <c r="CM165" s="114"/>
      <c r="CN165" s="114"/>
      <c r="CO165" s="114"/>
      <c r="CP165" s="114"/>
      <c r="CQ165" s="114"/>
      <c r="CR165" s="114"/>
      <c r="CS165" s="114"/>
      <c r="CT165" s="114"/>
      <c r="CU165" s="114"/>
      <c r="CV165" s="114"/>
      <c r="CW165" s="114"/>
      <c r="CX165" s="114"/>
      <c r="CY165" s="114"/>
      <c r="CZ165" s="114"/>
      <c r="DA165" s="114"/>
      <c r="DB165" s="114"/>
      <c r="DC165" s="114"/>
      <c r="DD165" s="114"/>
      <c r="DE165" s="114"/>
      <c r="DF165" s="114"/>
      <c r="DG165" s="114"/>
      <c r="DH165" s="114"/>
      <c r="DI165" s="114"/>
      <c r="DJ165" s="114"/>
      <c r="DK165" s="114"/>
      <c r="DL165" s="114"/>
      <c r="DM165" s="114"/>
      <c r="DN165" s="114"/>
      <c r="DO165" s="114"/>
      <c r="DP165" s="114"/>
      <c r="DQ165" s="114"/>
      <c r="DR165" s="114"/>
      <c r="DS165" s="114"/>
      <c r="DT165" s="114"/>
      <c r="DU165" s="114"/>
      <c r="DV165" s="114"/>
      <c r="DW165" s="114"/>
      <c r="DX165" s="114"/>
      <c r="DY165" s="114"/>
      <c r="DZ165" s="114"/>
      <c r="EA165" s="114"/>
      <c r="EB165" s="114"/>
      <c r="EC165" s="114"/>
      <c r="ED165" s="114"/>
      <c r="EE165" s="114"/>
      <c r="EF165" s="114"/>
      <c r="EG165" s="114"/>
      <c r="EH165" s="114"/>
      <c r="EI165" s="114"/>
      <c r="EJ165" s="114"/>
      <c r="EK165" s="114"/>
      <c r="EL165" s="114"/>
    </row>
    <row r="166" customFormat="false" ht="12.75" hidden="false" customHeight="false" outlineLevel="0" collapsed="false">
      <c r="A166" s="124"/>
      <c r="B166" s="111" t="s">
        <v>180</v>
      </c>
      <c r="C166" s="22"/>
      <c r="D166" s="112"/>
      <c r="E166" s="47" t="n">
        <f aca="false">(+$E$159+E160)*F166/100</f>
        <v>16.2489427238212</v>
      </c>
      <c r="F166" s="302" t="n">
        <v>0.04</v>
      </c>
      <c r="G166" s="111" t="s">
        <v>179</v>
      </c>
      <c r="H166" s="114" t="s">
        <v>154</v>
      </c>
      <c r="I166" s="114"/>
      <c r="J166" s="114"/>
      <c r="K166" s="114"/>
      <c r="L166" s="114"/>
      <c r="M166" s="114"/>
      <c r="N166" s="114"/>
      <c r="O166" s="114"/>
      <c r="P166" s="114"/>
      <c r="Q166" s="114"/>
      <c r="R166" s="114"/>
      <c r="S166" s="114"/>
      <c r="T166" s="114"/>
      <c r="U166" s="114"/>
      <c r="V166" s="114"/>
      <c r="W166" s="114"/>
      <c r="X166" s="114"/>
      <c r="Y166" s="114"/>
      <c r="Z166" s="114"/>
      <c r="AA166" s="114"/>
      <c r="AB166" s="114"/>
      <c r="AC166" s="114"/>
      <c r="AD166" s="114"/>
      <c r="AE166" s="114"/>
      <c r="AF166" s="114"/>
      <c r="AG166" s="114"/>
      <c r="AH166" s="114"/>
      <c r="AI166" s="114"/>
      <c r="AJ166" s="114"/>
      <c r="AK166" s="114"/>
      <c r="AL166" s="114"/>
      <c r="AM166" s="114"/>
      <c r="AN166" s="114"/>
      <c r="AO166" s="114"/>
      <c r="AP166" s="114"/>
      <c r="AQ166" s="114"/>
      <c r="AR166" s="114"/>
      <c r="AS166" s="114"/>
      <c r="AT166" s="114"/>
      <c r="AU166" s="114"/>
      <c r="AV166" s="114"/>
      <c r="AW166" s="114"/>
      <c r="AX166" s="114"/>
      <c r="AY166" s="114"/>
      <c r="AZ166" s="114"/>
      <c r="BA166" s="114"/>
      <c r="BB166" s="114"/>
      <c r="BC166" s="114"/>
      <c r="BD166" s="114"/>
      <c r="BE166" s="114"/>
      <c r="BF166" s="114"/>
      <c r="BG166" s="114"/>
      <c r="BH166" s="114"/>
      <c r="BI166" s="114"/>
      <c r="BJ166" s="114"/>
      <c r="BK166" s="114"/>
      <c r="BL166" s="114"/>
      <c r="BM166" s="114"/>
      <c r="BN166" s="114"/>
      <c r="BO166" s="114"/>
      <c r="BP166" s="114"/>
      <c r="BQ166" s="114"/>
      <c r="BR166" s="114"/>
      <c r="BS166" s="114"/>
      <c r="BT166" s="114"/>
      <c r="BU166" s="114"/>
      <c r="BV166" s="114"/>
      <c r="BW166" s="114"/>
      <c r="BX166" s="114"/>
      <c r="BY166" s="114"/>
      <c r="BZ166" s="114"/>
      <c r="CA166" s="114"/>
      <c r="CB166" s="114"/>
      <c r="CC166" s="114"/>
      <c r="CD166" s="114"/>
      <c r="CE166" s="114"/>
      <c r="CF166" s="114"/>
      <c r="CG166" s="114"/>
      <c r="CH166" s="114"/>
      <c r="CI166" s="114"/>
      <c r="CJ166" s="114"/>
      <c r="CK166" s="114"/>
      <c r="CL166" s="114"/>
      <c r="CM166" s="114"/>
      <c r="CN166" s="114"/>
      <c r="CO166" s="114"/>
      <c r="CP166" s="114"/>
      <c r="CQ166" s="114"/>
      <c r="CR166" s="114"/>
      <c r="CS166" s="114"/>
      <c r="CT166" s="114"/>
      <c r="CU166" s="114"/>
      <c r="CV166" s="114"/>
      <c r="CW166" s="114"/>
      <c r="CX166" s="114"/>
      <c r="CY166" s="114"/>
      <c r="CZ166" s="114"/>
      <c r="DA166" s="114"/>
      <c r="DB166" s="114"/>
      <c r="DC166" s="114"/>
      <c r="DD166" s="114"/>
      <c r="DE166" s="114"/>
      <c r="DF166" s="114"/>
      <c r="DG166" s="114"/>
      <c r="DH166" s="114"/>
      <c r="DI166" s="114"/>
      <c r="DJ166" s="114"/>
      <c r="DK166" s="114"/>
      <c r="DL166" s="114"/>
      <c r="DM166" s="114"/>
      <c r="DN166" s="114"/>
      <c r="DO166" s="114"/>
      <c r="DP166" s="114"/>
      <c r="DQ166" s="114"/>
      <c r="DR166" s="114"/>
      <c r="DS166" s="114"/>
      <c r="DT166" s="114"/>
      <c r="DU166" s="114"/>
      <c r="DV166" s="114"/>
      <c r="DW166" s="114"/>
      <c r="DX166" s="114"/>
      <c r="DY166" s="114"/>
      <c r="DZ166" s="114"/>
      <c r="EA166" s="114"/>
      <c r="EB166" s="114"/>
      <c r="EC166" s="114"/>
      <c r="ED166" s="114"/>
      <c r="EE166" s="114"/>
      <c r="EF166" s="114"/>
      <c r="EG166" s="114"/>
      <c r="EH166" s="114"/>
      <c r="EI166" s="114"/>
      <c r="EJ166" s="114"/>
      <c r="EK166" s="114"/>
      <c r="EL166" s="114"/>
    </row>
    <row r="167" customFormat="false" ht="12.75" hidden="false" customHeight="false" outlineLevel="0" collapsed="false">
      <c r="A167" s="124"/>
      <c r="B167" s="111" t="s">
        <v>176</v>
      </c>
      <c r="C167" s="22"/>
      <c r="D167" s="112"/>
      <c r="E167" s="303" t="n">
        <f aca="false">F167*F30*F21</f>
        <v>1.748</v>
      </c>
      <c r="F167" s="193" t="n">
        <v>0.076</v>
      </c>
      <c r="G167" s="111" t="s">
        <v>279</v>
      </c>
      <c r="H167" s="114" t="s">
        <v>154</v>
      </c>
      <c r="I167" s="114"/>
      <c r="J167" s="114"/>
      <c r="K167" s="114"/>
      <c r="L167" s="114"/>
      <c r="M167" s="114"/>
      <c r="N167" s="114"/>
      <c r="O167" s="114"/>
      <c r="P167" s="114"/>
      <c r="Q167" s="114"/>
      <c r="R167" s="114"/>
      <c r="S167" s="114"/>
      <c r="T167" s="114"/>
      <c r="U167" s="114"/>
      <c r="V167" s="114"/>
      <c r="W167" s="114"/>
      <c r="X167" s="114"/>
      <c r="Y167" s="114"/>
      <c r="Z167" s="114"/>
      <c r="AA167" s="114"/>
      <c r="AB167" s="114"/>
      <c r="AC167" s="114"/>
      <c r="AD167" s="114"/>
      <c r="AE167" s="114"/>
      <c r="AF167" s="114"/>
      <c r="AG167" s="114"/>
      <c r="AH167" s="114"/>
      <c r="AI167" s="114"/>
      <c r="AJ167" s="114"/>
      <c r="AK167" s="114"/>
      <c r="AL167" s="114"/>
      <c r="AM167" s="114"/>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4"/>
      <c r="BR167" s="114"/>
      <c r="BS167" s="114"/>
      <c r="BT167" s="114"/>
      <c r="BU167" s="114"/>
      <c r="BV167" s="114"/>
      <c r="BW167" s="114"/>
      <c r="BX167" s="114"/>
      <c r="BY167" s="114"/>
      <c r="BZ167" s="114"/>
      <c r="CA167" s="114"/>
      <c r="CB167" s="114"/>
      <c r="CC167" s="114"/>
      <c r="CD167" s="114"/>
      <c r="CE167" s="114"/>
      <c r="CF167" s="114"/>
      <c r="CG167" s="114"/>
      <c r="CH167" s="114"/>
      <c r="CI167" s="114"/>
      <c r="CJ167" s="114"/>
      <c r="CK167" s="114"/>
      <c r="CL167" s="114"/>
      <c r="CM167" s="114"/>
      <c r="CN167" s="114"/>
      <c r="CO167" s="114"/>
      <c r="CP167" s="114"/>
      <c r="CQ167" s="114"/>
      <c r="CR167" s="114"/>
      <c r="CS167" s="114"/>
      <c r="CT167" s="114"/>
      <c r="CU167" s="114"/>
      <c r="CV167" s="114"/>
      <c r="CW167" s="114"/>
      <c r="CX167" s="114"/>
      <c r="CY167" s="114"/>
      <c r="CZ167" s="114"/>
      <c r="DA167" s="114"/>
      <c r="DB167" s="114"/>
      <c r="DC167" s="114"/>
      <c r="DD167" s="114"/>
      <c r="DE167" s="114"/>
      <c r="DF167" s="114"/>
      <c r="DG167" s="114"/>
      <c r="DH167" s="114"/>
      <c r="DI167" s="114"/>
      <c r="DJ167" s="114"/>
      <c r="DK167" s="114"/>
      <c r="DL167" s="114"/>
      <c r="DM167" s="114"/>
      <c r="DN167" s="114"/>
      <c r="DO167" s="114"/>
      <c r="DP167" s="114"/>
      <c r="DQ167" s="114"/>
      <c r="DR167" s="114"/>
      <c r="DS167" s="114"/>
      <c r="DT167" s="114"/>
      <c r="DU167" s="114"/>
      <c r="DV167" s="114"/>
      <c r="DW167" s="114"/>
      <c r="DX167" s="114"/>
      <c r="DY167" s="114"/>
      <c r="DZ167" s="114"/>
      <c r="EA167" s="114"/>
      <c r="EB167" s="114"/>
      <c r="EC167" s="114"/>
      <c r="ED167" s="114"/>
      <c r="EE167" s="114"/>
      <c r="EF167" s="114"/>
      <c r="EG167" s="114"/>
      <c r="EH167" s="114"/>
      <c r="EI167" s="114"/>
      <c r="EJ167" s="114"/>
      <c r="EK167" s="114"/>
      <c r="EL167" s="114"/>
    </row>
    <row r="168" customFormat="false" ht="12.75" hidden="false" customHeight="false" outlineLevel="0" collapsed="false">
      <c r="A168" s="124"/>
      <c r="B168" s="112" t="s">
        <v>280</v>
      </c>
      <c r="C168" s="74"/>
      <c r="D168" s="124"/>
      <c r="E168" s="304" t="n">
        <f aca="false">SUM(E163:E167)*0+101.105</f>
        <v>101.105</v>
      </c>
      <c r="F168" s="124" t="s">
        <v>164</v>
      </c>
      <c r="G168" s="124"/>
      <c r="H168" s="124"/>
      <c r="I168" s="114"/>
      <c r="J168" s="114"/>
      <c r="K168" s="114"/>
      <c r="L168" s="114"/>
      <c r="M168" s="114"/>
      <c r="N168" s="114"/>
      <c r="O168" s="114"/>
      <c r="P168" s="114"/>
      <c r="Q168" s="114"/>
      <c r="R168" s="114"/>
      <c r="S168" s="114"/>
      <c r="T168" s="114"/>
      <c r="U168" s="114"/>
      <c r="V168" s="114"/>
      <c r="W168" s="114"/>
      <c r="X168" s="114"/>
      <c r="Y168" s="114"/>
      <c r="Z168" s="114"/>
      <c r="AA168" s="114"/>
      <c r="AB168" s="114"/>
      <c r="AC168" s="114"/>
      <c r="AD168" s="114"/>
      <c r="AE168" s="114"/>
      <c r="AF168" s="114"/>
      <c r="AG168" s="114"/>
      <c r="AH168" s="114"/>
      <c r="AI168" s="114"/>
      <c r="AJ168" s="114"/>
      <c r="AK168" s="114"/>
      <c r="AL168" s="114"/>
      <c r="AM168" s="114"/>
      <c r="AN168" s="114"/>
      <c r="AO168" s="114"/>
      <c r="AP168" s="114"/>
      <c r="AQ168" s="114"/>
      <c r="AR168" s="114"/>
      <c r="AS168" s="114"/>
      <c r="AT168" s="114"/>
      <c r="AU168" s="114"/>
      <c r="AV168" s="114"/>
      <c r="AW168" s="114"/>
      <c r="AX168" s="114"/>
      <c r="AY168" s="114"/>
      <c r="AZ168" s="114"/>
      <c r="BA168" s="114"/>
      <c r="BB168" s="114"/>
      <c r="BC168" s="114"/>
      <c r="BD168" s="114"/>
      <c r="BE168" s="114"/>
      <c r="BF168" s="114"/>
      <c r="BG168" s="114"/>
      <c r="BH168" s="114"/>
      <c r="BI168" s="114"/>
      <c r="BJ168" s="114"/>
      <c r="BK168" s="114"/>
      <c r="BL168" s="114"/>
      <c r="BM168" s="114"/>
      <c r="BN168" s="114"/>
      <c r="BO168" s="114"/>
      <c r="BP168" s="114"/>
      <c r="BQ168" s="114"/>
      <c r="BR168" s="114"/>
      <c r="BS168" s="114"/>
      <c r="BT168" s="114"/>
      <c r="BU168" s="114"/>
      <c r="BV168" s="114"/>
      <c r="BW168" s="114"/>
      <c r="BX168" s="114"/>
      <c r="BY168" s="114"/>
      <c r="BZ168" s="114"/>
      <c r="CA168" s="114"/>
      <c r="CB168" s="114"/>
      <c r="CC168" s="114"/>
      <c r="CD168" s="114"/>
      <c r="CE168" s="114"/>
      <c r="CF168" s="114"/>
      <c r="CG168" s="114"/>
      <c r="CH168" s="114"/>
      <c r="CI168" s="114"/>
      <c r="CJ168" s="114"/>
      <c r="CK168" s="114"/>
      <c r="CL168" s="114"/>
      <c r="CM168" s="114"/>
      <c r="CN168" s="114"/>
      <c r="CO168" s="114"/>
      <c r="CP168" s="114"/>
      <c r="CQ168" s="114"/>
      <c r="CR168" s="114"/>
      <c r="CS168" s="114"/>
      <c r="CT168" s="114"/>
      <c r="CU168" s="114"/>
      <c r="CV168" s="114"/>
      <c r="CW168" s="114"/>
      <c r="CX168" s="114"/>
      <c r="CY168" s="114"/>
      <c r="CZ168" s="114"/>
      <c r="DA168" s="114"/>
      <c r="DB168" s="114"/>
      <c r="DC168" s="114"/>
      <c r="DD168" s="114"/>
      <c r="DE168" s="114"/>
      <c r="DF168" s="114"/>
      <c r="DG168" s="114"/>
      <c r="DH168" s="114"/>
      <c r="DI168" s="114"/>
      <c r="DJ168" s="114"/>
      <c r="DK168" s="114"/>
      <c r="DL168" s="114"/>
      <c r="DM168" s="114"/>
      <c r="DN168" s="114"/>
      <c r="DO168" s="114"/>
      <c r="DP168" s="114"/>
      <c r="DQ168" s="114"/>
      <c r="DR168" s="114"/>
      <c r="DS168" s="114"/>
      <c r="DT168" s="114"/>
      <c r="DU168" s="114"/>
      <c r="DV168" s="114"/>
      <c r="DW168" s="114"/>
      <c r="DX168" s="114"/>
      <c r="DY168" s="114"/>
      <c r="DZ168" s="114"/>
      <c r="EA168" s="114"/>
      <c r="EB168" s="114"/>
      <c r="EC168" s="114"/>
      <c r="ED168" s="114"/>
      <c r="EE168" s="114"/>
      <c r="EF168" s="114"/>
      <c r="EG168" s="114"/>
      <c r="EH168" s="114"/>
      <c r="EI168" s="114"/>
      <c r="EJ168" s="114"/>
      <c r="EK168" s="114"/>
      <c r="EL168" s="114"/>
    </row>
    <row r="169" customFormat="false" ht="12.75" hidden="false" customHeight="false" outlineLevel="0" collapsed="false">
      <c r="A169" s="124"/>
      <c r="B169" s="112"/>
      <c r="C169" s="74"/>
      <c r="D169" s="124"/>
      <c r="E169" s="305"/>
      <c r="F169" s="124"/>
      <c r="G169" s="124"/>
      <c r="H169" s="12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4"/>
      <c r="AY169" s="114"/>
      <c r="AZ169" s="114"/>
      <c r="BA169" s="114"/>
      <c r="BB169" s="114"/>
      <c r="BC169" s="114"/>
      <c r="BD169" s="114"/>
      <c r="BE169" s="114"/>
      <c r="BF169" s="114"/>
      <c r="BG169" s="114"/>
      <c r="BH169" s="114"/>
      <c r="BI169" s="114"/>
      <c r="BJ169" s="114"/>
      <c r="BK169" s="114"/>
      <c r="BL169" s="114"/>
      <c r="BM169" s="114"/>
      <c r="BN169" s="114"/>
      <c r="BO169" s="114"/>
      <c r="BP169" s="114"/>
      <c r="BQ169" s="114"/>
      <c r="BR169" s="114"/>
      <c r="BS169" s="114"/>
      <c r="BT169" s="114"/>
      <c r="BU169" s="114"/>
      <c r="BV169" s="114"/>
      <c r="BW169" s="114"/>
      <c r="BX169" s="114"/>
      <c r="BY169" s="114"/>
      <c r="BZ169" s="114"/>
      <c r="CA169" s="114"/>
      <c r="CB169" s="114"/>
      <c r="CC169" s="114"/>
      <c r="CD169" s="114"/>
      <c r="CE169" s="114"/>
      <c r="CF169" s="114"/>
      <c r="CG169" s="114"/>
      <c r="CH169" s="114"/>
      <c r="CI169" s="114"/>
      <c r="CJ169" s="114"/>
      <c r="CK169" s="114"/>
      <c r="CL169" s="114"/>
      <c r="CM169" s="114"/>
      <c r="CN169" s="114"/>
      <c r="CO169" s="114"/>
      <c r="CP169" s="114"/>
      <c r="CQ169" s="114"/>
      <c r="CR169" s="114"/>
      <c r="CS169" s="114"/>
      <c r="CT169" s="114"/>
      <c r="CU169" s="114"/>
      <c r="CV169" s="114"/>
      <c r="CW169" s="114"/>
      <c r="CX169" s="114"/>
      <c r="CY169" s="114"/>
      <c r="CZ169" s="114"/>
      <c r="DA169" s="114"/>
      <c r="DB169" s="114"/>
      <c r="DC169" s="114"/>
      <c r="DD169" s="114"/>
      <c r="DE169" s="114"/>
      <c r="DF169" s="114"/>
      <c r="DG169" s="114"/>
      <c r="DH169" s="114"/>
      <c r="DI169" s="114"/>
      <c r="DJ169" s="114"/>
      <c r="DK169" s="114"/>
      <c r="DL169" s="114"/>
      <c r="DM169" s="114"/>
      <c r="DN169" s="114"/>
      <c r="DO169" s="114"/>
      <c r="DP169" s="114"/>
      <c r="DQ169" s="114"/>
      <c r="DR169" s="114"/>
      <c r="DS169" s="114"/>
      <c r="DT169" s="114"/>
      <c r="DU169" s="114"/>
      <c r="DV169" s="114"/>
      <c r="DW169" s="114"/>
      <c r="DX169" s="114"/>
      <c r="DY169" s="114"/>
      <c r="DZ169" s="114"/>
      <c r="EA169" s="114"/>
      <c r="EB169" s="114"/>
      <c r="EC169" s="114"/>
      <c r="ED169" s="114"/>
      <c r="EE169" s="114"/>
      <c r="EF169" s="114"/>
      <c r="EG169" s="114"/>
      <c r="EH169" s="114"/>
      <c r="EI169" s="114"/>
      <c r="EJ169" s="114"/>
      <c r="EK169" s="114"/>
      <c r="EL169" s="114"/>
    </row>
    <row r="170" customFormat="false" ht="12.75" hidden="false" customHeight="false" outlineLevel="0" collapsed="false">
      <c r="A170" s="23"/>
      <c r="B170" s="306" t="s">
        <v>281</v>
      </c>
      <c r="C170" s="307"/>
      <c r="D170" s="22"/>
      <c r="E170" s="100"/>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24"/>
      <c r="BW170" s="24"/>
      <c r="BX170" s="24"/>
      <c r="BY170" s="24"/>
      <c r="BZ170" s="24"/>
      <c r="CA170" s="24"/>
      <c r="CB170" s="24"/>
      <c r="CC170" s="24"/>
      <c r="CD170" s="24"/>
      <c r="CE170" s="24"/>
      <c r="CF170" s="24"/>
      <c r="CG170" s="24"/>
      <c r="CH170" s="24"/>
      <c r="CI170" s="24"/>
      <c r="CJ170" s="24"/>
      <c r="CK170" s="24"/>
      <c r="CL170" s="24"/>
      <c r="CM170" s="24"/>
      <c r="CN170" s="24"/>
      <c r="CO170" s="24"/>
      <c r="CP170" s="24"/>
      <c r="CQ170" s="24"/>
      <c r="CR170" s="24"/>
      <c r="CS170" s="24"/>
      <c r="CT170" s="24"/>
      <c r="CU170" s="24"/>
      <c r="CV170" s="24"/>
      <c r="CW170" s="24"/>
      <c r="CX170" s="24"/>
      <c r="CY170" s="24"/>
      <c r="CZ170" s="24"/>
      <c r="DA170" s="24"/>
      <c r="DB170" s="24"/>
      <c r="DC170" s="24"/>
      <c r="DD170" s="24"/>
      <c r="DE170" s="24"/>
      <c r="DF170" s="24"/>
      <c r="DG170" s="24"/>
      <c r="DH170" s="24"/>
      <c r="DI170" s="24"/>
      <c r="DJ170" s="24"/>
      <c r="DK170" s="24"/>
      <c r="DL170" s="24"/>
      <c r="DM170" s="24"/>
      <c r="DN170" s="24"/>
      <c r="DO170" s="24"/>
      <c r="DP170" s="24"/>
      <c r="DQ170" s="24"/>
      <c r="DR170" s="24"/>
      <c r="DS170" s="24"/>
      <c r="DT170" s="24"/>
      <c r="DU170" s="24"/>
      <c r="DV170" s="24"/>
      <c r="DW170" s="24"/>
      <c r="DX170" s="24"/>
      <c r="DY170" s="24"/>
      <c r="DZ170" s="24"/>
      <c r="EA170" s="24"/>
      <c r="EB170" s="24"/>
      <c r="EC170" s="24"/>
      <c r="ED170" s="24"/>
      <c r="EE170" s="24"/>
      <c r="EF170" s="24"/>
      <c r="EG170" s="24"/>
      <c r="EH170" s="24"/>
      <c r="EI170" s="24"/>
      <c r="EJ170" s="24"/>
      <c r="EK170" s="24"/>
      <c r="EL170" s="24"/>
      <c r="EM170" s="3"/>
      <c r="EN170" s="3"/>
      <c r="EO170" s="3"/>
      <c r="EP170" s="3"/>
      <c r="EQ170" s="3"/>
      <c r="ER170" s="3"/>
      <c r="ES170" s="3"/>
      <c r="ET170" s="3"/>
      <c r="EU170" s="3"/>
      <c r="EV170" s="3"/>
      <c r="EW170" s="3"/>
      <c r="EX170" s="3"/>
      <c r="EY170" s="3"/>
      <c r="EZ170" s="3"/>
      <c r="FA170" s="3"/>
      <c r="FB170" s="3"/>
      <c r="FC170" s="3"/>
      <c r="FD170" s="3"/>
      <c r="FE170" s="3"/>
      <c r="FF170" s="3"/>
      <c r="FG170" s="3"/>
      <c r="FH170" s="3"/>
      <c r="FI170" s="3"/>
      <c r="FJ170" s="3"/>
      <c r="FK170" s="3"/>
      <c r="FL170" s="3"/>
      <c r="FM170" s="3"/>
      <c r="FN170" s="3"/>
      <c r="FO170" s="3"/>
      <c r="FP170" s="3"/>
      <c r="FQ170" s="3"/>
      <c r="FR170" s="3"/>
      <c r="FS170" s="3"/>
      <c r="FT170" s="3"/>
      <c r="FU170" s="3"/>
      <c r="FV170" s="3"/>
      <c r="FW170" s="3"/>
      <c r="FX170" s="3"/>
      <c r="FY170" s="3"/>
      <c r="FZ170" s="3"/>
      <c r="GA170" s="3"/>
      <c r="GB170" s="3"/>
      <c r="GC170" s="3"/>
      <c r="GD170" s="3"/>
      <c r="GE170" s="3"/>
      <c r="GF170" s="3"/>
      <c r="GG170" s="3"/>
      <c r="GH170" s="3"/>
      <c r="GI170" s="3"/>
      <c r="GJ170" s="3"/>
      <c r="GK170" s="3"/>
      <c r="GL170" s="3"/>
      <c r="GM170" s="3"/>
      <c r="GN170" s="3"/>
      <c r="GO170" s="3"/>
      <c r="GP170" s="3"/>
      <c r="GQ170" s="3"/>
      <c r="GR170" s="3"/>
      <c r="GS170" s="3"/>
      <c r="GT170" s="3"/>
      <c r="GU170" s="3"/>
      <c r="GV170" s="3"/>
      <c r="GW170" s="3"/>
      <c r="GX170" s="3"/>
      <c r="GY170" s="3"/>
      <c r="GZ170" s="3"/>
      <c r="HA170" s="3"/>
      <c r="HB170" s="3"/>
      <c r="HC170" s="3"/>
      <c r="HD170" s="3"/>
      <c r="HE170" s="3"/>
      <c r="HF170" s="3"/>
      <c r="HG170" s="3"/>
      <c r="HH170" s="3"/>
      <c r="HI170" s="3"/>
      <c r="HJ170" s="3"/>
      <c r="HK170" s="3"/>
      <c r="HL170" s="3"/>
      <c r="HM170" s="3"/>
      <c r="HN170" s="3"/>
      <c r="HO170" s="3"/>
      <c r="HP170" s="3"/>
      <c r="HQ170" s="3"/>
      <c r="HR170" s="3"/>
      <c r="HS170" s="3"/>
      <c r="HT170" s="3"/>
      <c r="HU170" s="3"/>
      <c r="HV170" s="3"/>
      <c r="HW170" s="3"/>
      <c r="HX170" s="3"/>
      <c r="HY170" s="3"/>
      <c r="HZ170" s="3"/>
      <c r="IA170" s="3"/>
      <c r="IB170" s="3"/>
      <c r="IC170" s="3"/>
      <c r="ID170" s="3"/>
      <c r="IE170" s="3"/>
      <c r="IF170" s="3"/>
      <c r="IG170" s="3"/>
      <c r="IH170" s="3"/>
      <c r="II170" s="3"/>
      <c r="IJ170" s="3"/>
      <c r="IK170" s="3"/>
      <c r="IL170" s="3"/>
      <c r="IM170" s="3"/>
      <c r="IN170" s="3"/>
      <c r="IO170" s="3"/>
      <c r="IP170" s="3"/>
      <c r="IQ170" s="3"/>
      <c r="IR170" s="3"/>
      <c r="IS170" s="3"/>
      <c r="IT170" s="3"/>
      <c r="IU170" s="3"/>
      <c r="IV170" s="3"/>
      <c r="IW170" s="3"/>
    </row>
    <row r="171" customFormat="false" ht="12.75" hidden="false" customHeight="false" outlineLevel="0" collapsed="false">
      <c r="A171" s="111"/>
      <c r="B171" s="111" t="s">
        <v>282</v>
      </c>
      <c r="C171" s="22"/>
      <c r="D171" s="111"/>
      <c r="E171" s="296" t="n">
        <v>0</v>
      </c>
      <c r="F171" s="296" t="n">
        <f aca="false">E171-($E$171-$N$171)/9</f>
        <v>0</v>
      </c>
      <c r="G171" s="296" t="n">
        <f aca="false">F171-($E$171-$N$171)/9</f>
        <v>0</v>
      </c>
      <c r="H171" s="296" t="n">
        <f aca="false">G171-($E$171-$N$171)/9</f>
        <v>0</v>
      </c>
      <c r="I171" s="296" t="n">
        <f aca="false">H171-($E$171-$N$171)/9</f>
        <v>0</v>
      </c>
      <c r="J171" s="296" t="n">
        <f aca="false">I171-($E$171-$N$171)/9</f>
        <v>0</v>
      </c>
      <c r="K171" s="296" t="n">
        <f aca="false">J171-($E$171-$N$171)/9</f>
        <v>0</v>
      </c>
      <c r="L171" s="296" t="n">
        <f aca="false">K171-($E$171-$N$171)/9</f>
        <v>0</v>
      </c>
      <c r="M171" s="296" t="n">
        <f aca="false">L171-($E$171-$N$171)/9</f>
        <v>0</v>
      </c>
      <c r="N171" s="296" t="n">
        <v>0</v>
      </c>
      <c r="O171" s="308" t="n">
        <f aca="false">IF(H23&lt;1,N171*(1-H23),0)</f>
        <v>0</v>
      </c>
      <c r="P171" s="309"/>
      <c r="Q171" s="309"/>
      <c r="R171" s="309"/>
      <c r="S171" s="309"/>
      <c r="T171" s="309"/>
      <c r="U171" s="309"/>
      <c r="V171" s="309"/>
      <c r="W171" s="309"/>
      <c r="X171" s="309"/>
      <c r="Y171" s="309"/>
      <c r="Z171" s="309"/>
      <c r="AA171" s="309"/>
      <c r="AB171" s="309"/>
      <c r="AC171" s="309"/>
      <c r="AD171" s="309"/>
      <c r="AE171" s="309"/>
      <c r="AF171" s="309"/>
      <c r="AG171" s="309"/>
      <c r="AH171" s="309"/>
      <c r="AI171" s="309"/>
      <c r="AJ171" s="309"/>
      <c r="AK171" s="309"/>
      <c r="AL171" s="309"/>
      <c r="AM171" s="114"/>
      <c r="AN171" s="114"/>
      <c r="AO171" s="114"/>
      <c r="AP171" s="114"/>
      <c r="AQ171" s="114"/>
      <c r="AR171" s="114"/>
      <c r="AS171" s="114"/>
      <c r="AT171" s="114"/>
      <c r="AU171" s="114"/>
      <c r="AV171" s="114"/>
      <c r="AW171" s="114"/>
      <c r="AX171" s="114"/>
      <c r="AY171" s="114"/>
      <c r="AZ171" s="114"/>
      <c r="BA171" s="114"/>
      <c r="BB171" s="114"/>
      <c r="BC171" s="114"/>
      <c r="BD171" s="114"/>
      <c r="BE171" s="114"/>
      <c r="BF171" s="114"/>
      <c r="BG171" s="114"/>
      <c r="BH171" s="114"/>
      <c r="BI171" s="114"/>
      <c r="BJ171" s="114"/>
      <c r="BK171" s="114"/>
      <c r="BL171" s="114"/>
      <c r="BM171" s="114"/>
      <c r="BN171" s="114"/>
      <c r="BO171" s="114"/>
      <c r="BP171" s="114"/>
      <c r="BQ171" s="114"/>
      <c r="BR171" s="114"/>
      <c r="BS171" s="114"/>
      <c r="BT171" s="114"/>
      <c r="BU171" s="114"/>
      <c r="BV171" s="114"/>
      <c r="BW171" s="114"/>
      <c r="BX171" s="114"/>
      <c r="BY171" s="114"/>
      <c r="BZ171" s="114"/>
      <c r="CA171" s="114"/>
      <c r="CB171" s="114"/>
      <c r="CC171" s="114"/>
      <c r="CD171" s="114"/>
      <c r="CE171" s="114"/>
      <c r="CF171" s="114"/>
      <c r="CG171" s="114"/>
      <c r="CH171" s="114"/>
      <c r="CI171" s="114"/>
      <c r="CJ171" s="114"/>
      <c r="CK171" s="114"/>
      <c r="CL171" s="114"/>
      <c r="CM171" s="114"/>
      <c r="CN171" s="114"/>
      <c r="CO171" s="114"/>
      <c r="CP171" s="114"/>
      <c r="CQ171" s="114"/>
      <c r="CR171" s="114"/>
      <c r="CS171" s="114"/>
      <c r="CT171" s="114"/>
      <c r="CU171" s="114"/>
      <c r="CV171" s="114"/>
      <c r="CW171" s="114"/>
      <c r="CX171" s="114"/>
      <c r="CY171" s="114"/>
      <c r="CZ171" s="114"/>
      <c r="DA171" s="114"/>
      <c r="DB171" s="114"/>
      <c r="DC171" s="114"/>
      <c r="DD171" s="114"/>
      <c r="DE171" s="114"/>
      <c r="DF171" s="114"/>
      <c r="DG171" s="114"/>
      <c r="DH171" s="114"/>
      <c r="DI171" s="114"/>
      <c r="DJ171" s="114"/>
      <c r="DK171" s="114"/>
      <c r="DL171" s="114"/>
      <c r="DM171" s="114"/>
      <c r="DN171" s="114"/>
      <c r="DO171" s="114"/>
      <c r="DP171" s="114"/>
      <c r="DQ171" s="114"/>
      <c r="DR171" s="114"/>
      <c r="DS171" s="114"/>
      <c r="DT171" s="114"/>
      <c r="DU171" s="114"/>
      <c r="DV171" s="114"/>
      <c r="DW171" s="114"/>
      <c r="DX171" s="114"/>
      <c r="DY171" s="114"/>
      <c r="DZ171" s="114"/>
      <c r="EA171" s="114"/>
      <c r="EB171" s="114"/>
      <c r="EC171" s="114"/>
      <c r="ED171" s="114"/>
      <c r="EE171" s="114"/>
      <c r="EF171" s="114"/>
      <c r="EG171" s="114"/>
      <c r="EH171" s="114"/>
      <c r="EI171" s="114"/>
      <c r="EJ171" s="114"/>
      <c r="EK171" s="114"/>
      <c r="EL171" s="114"/>
    </row>
    <row r="172" customFormat="false" ht="12.75" hidden="false" customHeight="false" outlineLevel="0" collapsed="false">
      <c r="A172" s="124"/>
      <c r="B172" s="111" t="s">
        <v>283</v>
      </c>
      <c r="C172" s="22"/>
      <c r="D172" s="111"/>
      <c r="E172" s="296" t="n">
        <v>15</v>
      </c>
      <c r="F172" s="296" t="n">
        <v>15</v>
      </c>
      <c r="G172" s="296" t="n">
        <v>15</v>
      </c>
      <c r="H172" s="296" t="n">
        <v>15</v>
      </c>
      <c r="I172" s="296" t="n">
        <v>15</v>
      </c>
      <c r="J172" s="296" t="n">
        <v>0</v>
      </c>
      <c r="K172" s="296" t="n">
        <f aca="false">J172*(1+HLOOKUP(K$139,INFL,6))</f>
        <v>0</v>
      </c>
      <c r="L172" s="296" t="n">
        <f aca="false">K172*(1+HLOOKUP(L$139,INFL,6))</f>
        <v>0</v>
      </c>
      <c r="M172" s="296" t="n">
        <f aca="false">L172*(1+HLOOKUP(M$139,INFL,6))</f>
        <v>0</v>
      </c>
      <c r="N172" s="296" t="n">
        <f aca="false">M172*(1+HLOOKUP(N$139,INFL,6))</f>
        <v>0</v>
      </c>
      <c r="O172" s="308" t="n">
        <f aca="false">IF(H23&lt;1,N172*(1+HLOOKUP(O$139,INFL,6))*(1-H23),0)</f>
        <v>0</v>
      </c>
      <c r="P172" s="296" t="n">
        <v>0</v>
      </c>
      <c r="Q172" s="296" t="n">
        <f aca="false">P172</f>
        <v>0</v>
      </c>
      <c r="R172" s="296" t="n">
        <f aca="false">Q172</f>
        <v>0</v>
      </c>
      <c r="S172" s="296" t="n">
        <f aca="false">R172</f>
        <v>0</v>
      </c>
      <c r="T172" s="296" t="n">
        <f aca="false">S172</f>
        <v>0</v>
      </c>
      <c r="U172" s="296" t="n">
        <f aca="false">T172</f>
        <v>0</v>
      </c>
      <c r="V172" s="296" t="n">
        <f aca="false">U172</f>
        <v>0</v>
      </c>
      <c r="W172" s="296" t="n">
        <f aca="false">V172</f>
        <v>0</v>
      </c>
      <c r="X172" s="296" t="n">
        <f aca="false">W172</f>
        <v>0</v>
      </c>
      <c r="Y172" s="296" t="n">
        <f aca="false">X172</f>
        <v>0</v>
      </c>
      <c r="Z172" s="296" t="n">
        <f aca="false">Y172</f>
        <v>0</v>
      </c>
      <c r="AA172" s="296" t="n">
        <f aca="false">Z172</f>
        <v>0</v>
      </c>
      <c r="AB172" s="296" t="n">
        <f aca="false">AA172</f>
        <v>0</v>
      </c>
      <c r="AC172" s="296" t="n">
        <f aca="false">AB172</f>
        <v>0</v>
      </c>
      <c r="AD172" s="296" t="n">
        <f aca="false">AC172</f>
        <v>0</v>
      </c>
      <c r="AE172" s="296" t="n">
        <f aca="false">AD172</f>
        <v>0</v>
      </c>
      <c r="AF172" s="296" t="n">
        <f aca="false">AE172</f>
        <v>0</v>
      </c>
      <c r="AG172" s="296" t="n">
        <f aca="false">AF172</f>
        <v>0</v>
      </c>
      <c r="AH172" s="296" t="n">
        <f aca="false">AG172</f>
        <v>0</v>
      </c>
      <c r="AI172" s="296" t="n">
        <f aca="false">AH172</f>
        <v>0</v>
      </c>
      <c r="AJ172" s="296" t="n">
        <f aca="false">AI172</f>
        <v>0</v>
      </c>
      <c r="AK172" s="296" t="n">
        <f aca="false">AJ172</f>
        <v>0</v>
      </c>
      <c r="AL172" s="296" t="n">
        <f aca="false">AK172</f>
        <v>0</v>
      </c>
      <c r="AM172" s="114"/>
      <c r="AN172" s="114"/>
      <c r="AO172" s="114"/>
      <c r="AP172" s="114"/>
      <c r="AQ172" s="114"/>
      <c r="AR172" s="114"/>
      <c r="AS172" s="114"/>
      <c r="AT172" s="114"/>
      <c r="AU172" s="114"/>
      <c r="AV172" s="114"/>
      <c r="AW172" s="114"/>
      <c r="AX172" s="114"/>
      <c r="AY172" s="114"/>
      <c r="AZ172" s="114"/>
      <c r="BA172" s="114"/>
      <c r="BB172" s="114"/>
      <c r="BC172" s="114"/>
      <c r="BD172" s="114"/>
      <c r="BE172" s="114"/>
      <c r="BF172" s="114"/>
      <c r="BG172" s="114"/>
      <c r="BH172" s="114"/>
      <c r="BI172" s="114"/>
      <c r="BJ172" s="114"/>
      <c r="BK172" s="114"/>
      <c r="BL172" s="114"/>
      <c r="BM172" s="114"/>
      <c r="BN172" s="114"/>
      <c r="BO172" s="114"/>
      <c r="BP172" s="114"/>
      <c r="BQ172" s="114"/>
      <c r="BR172" s="114"/>
      <c r="BS172" s="114"/>
      <c r="BT172" s="114"/>
      <c r="BU172" s="114"/>
      <c r="BV172" s="114"/>
      <c r="BW172" s="114"/>
      <c r="BX172" s="114"/>
      <c r="BY172" s="114"/>
      <c r="BZ172" s="114"/>
      <c r="CA172" s="114"/>
      <c r="CB172" s="114"/>
      <c r="CC172" s="114"/>
      <c r="CD172" s="114"/>
      <c r="CE172" s="114"/>
      <c r="CF172" s="114"/>
      <c r="CG172" s="114"/>
      <c r="CH172" s="114"/>
      <c r="CI172" s="114"/>
      <c r="CJ172" s="114"/>
      <c r="CK172" s="114"/>
      <c r="CL172" s="114"/>
      <c r="CM172" s="114"/>
      <c r="CN172" s="114"/>
      <c r="CO172" s="114"/>
      <c r="CP172" s="114"/>
      <c r="CQ172" s="114"/>
      <c r="CR172" s="114"/>
      <c r="CS172" s="114"/>
      <c r="CT172" s="114"/>
      <c r="CU172" s="114"/>
      <c r="CV172" s="114"/>
      <c r="CW172" s="114"/>
      <c r="CX172" s="114"/>
      <c r="CY172" s="114"/>
      <c r="CZ172" s="114"/>
      <c r="DA172" s="114"/>
      <c r="DB172" s="114"/>
      <c r="DC172" s="114"/>
      <c r="DD172" s="114"/>
      <c r="DE172" s="114"/>
      <c r="DF172" s="114"/>
      <c r="DG172" s="114"/>
      <c r="DH172" s="114"/>
      <c r="DI172" s="114"/>
      <c r="DJ172" s="114"/>
      <c r="DK172" s="114"/>
      <c r="DL172" s="114"/>
      <c r="DM172" s="114"/>
      <c r="DN172" s="114"/>
      <c r="DO172" s="114"/>
      <c r="DP172" s="114"/>
      <c r="DQ172" s="114"/>
      <c r="DR172" s="114"/>
      <c r="DS172" s="114"/>
      <c r="DT172" s="114"/>
      <c r="DU172" s="114"/>
      <c r="DV172" s="114"/>
      <c r="DW172" s="114"/>
      <c r="DX172" s="114"/>
      <c r="DY172" s="114"/>
      <c r="DZ172" s="114"/>
      <c r="EA172" s="114"/>
      <c r="EB172" s="114"/>
      <c r="EC172" s="114"/>
      <c r="ED172" s="114"/>
      <c r="EE172" s="114"/>
      <c r="EF172" s="114"/>
      <c r="EG172" s="114"/>
      <c r="EH172" s="114"/>
      <c r="EI172" s="114"/>
      <c r="EJ172" s="114"/>
      <c r="EK172" s="114"/>
      <c r="EL172" s="114"/>
    </row>
    <row r="173" customFormat="false" ht="12.75" hidden="false" customHeight="false" outlineLevel="0" collapsed="false">
      <c r="A173" s="124"/>
      <c r="B173" s="111" t="s">
        <v>284</v>
      </c>
      <c r="C173" s="22"/>
      <c r="D173" s="111"/>
      <c r="E173" s="310" t="n">
        <f aca="false">E172+E171</f>
        <v>15</v>
      </c>
      <c r="F173" s="310" t="n">
        <f aca="false">F172+F171</f>
        <v>15</v>
      </c>
      <c r="G173" s="310" t="n">
        <f aca="false">G172+G171</f>
        <v>15</v>
      </c>
      <c r="H173" s="310" t="n">
        <f aca="false">H172+H171</f>
        <v>15</v>
      </c>
      <c r="I173" s="310" t="n">
        <f aca="false">I172+I171</f>
        <v>15</v>
      </c>
      <c r="J173" s="310" t="n">
        <f aca="false">J172+J171</f>
        <v>0</v>
      </c>
      <c r="K173" s="310" t="n">
        <f aca="false">K172+K171</f>
        <v>0</v>
      </c>
      <c r="L173" s="310" t="n">
        <f aca="false">L172+L171</f>
        <v>0</v>
      </c>
      <c r="M173" s="310" t="n">
        <f aca="false">M172+M171</f>
        <v>0</v>
      </c>
      <c r="N173" s="310" t="n">
        <f aca="false">N172+N171</f>
        <v>0</v>
      </c>
      <c r="O173" s="310" t="n">
        <f aca="false">O172+O171</f>
        <v>0</v>
      </c>
      <c r="P173" s="310" t="n">
        <f aca="false">P172+P171</f>
        <v>0</v>
      </c>
      <c r="Q173" s="310" t="n">
        <f aca="false">Q172+Q171</f>
        <v>0</v>
      </c>
      <c r="R173" s="310" t="n">
        <f aca="false">R172+R171</f>
        <v>0</v>
      </c>
      <c r="S173" s="310" t="n">
        <f aca="false">S172+S171</f>
        <v>0</v>
      </c>
      <c r="T173" s="310" t="n">
        <f aca="false">T172+T171</f>
        <v>0</v>
      </c>
      <c r="U173" s="310" t="n">
        <f aca="false">U172+U171</f>
        <v>0</v>
      </c>
      <c r="V173" s="310" t="n">
        <f aca="false">V172+V171</f>
        <v>0</v>
      </c>
      <c r="W173" s="310" t="n">
        <f aca="false">W172+W171</f>
        <v>0</v>
      </c>
      <c r="X173" s="310" t="n">
        <f aca="false">X172+X171</f>
        <v>0</v>
      </c>
      <c r="Y173" s="310" t="n">
        <f aca="false">Y172+Y171</f>
        <v>0</v>
      </c>
      <c r="Z173" s="310" t="n">
        <f aca="false">Z172+Z171</f>
        <v>0</v>
      </c>
      <c r="AA173" s="310" t="n">
        <f aca="false">AA172+AA171</f>
        <v>0</v>
      </c>
      <c r="AB173" s="310" t="n">
        <f aca="false">AB172+AB171</f>
        <v>0</v>
      </c>
      <c r="AC173" s="310" t="n">
        <f aca="false">AC172+AC171</f>
        <v>0</v>
      </c>
      <c r="AD173" s="310" t="n">
        <f aca="false">AD172+AD171</f>
        <v>0</v>
      </c>
      <c r="AE173" s="310" t="n">
        <f aca="false">AE172+AE171</f>
        <v>0</v>
      </c>
      <c r="AF173" s="310" t="n">
        <f aca="false">AF172+AF171</f>
        <v>0</v>
      </c>
      <c r="AG173" s="310" t="n">
        <f aca="false">AG172+AG171</f>
        <v>0</v>
      </c>
      <c r="AH173" s="310" t="n">
        <f aca="false">AH172+AH171</f>
        <v>0</v>
      </c>
      <c r="AI173" s="310" t="n">
        <f aca="false">AI172+AI171</f>
        <v>0</v>
      </c>
      <c r="AJ173" s="310" t="n">
        <f aca="false">AJ172+AJ171</f>
        <v>0</v>
      </c>
      <c r="AK173" s="310" t="n">
        <f aca="false">AK172+AK171</f>
        <v>0</v>
      </c>
      <c r="AL173" s="310" t="n">
        <f aca="false">AL172+AL171</f>
        <v>0</v>
      </c>
      <c r="AM173" s="311"/>
      <c r="AN173" s="311"/>
      <c r="AO173" s="311"/>
      <c r="AP173" s="311"/>
      <c r="AQ173" s="311"/>
      <c r="AR173" s="311"/>
      <c r="AS173" s="311"/>
      <c r="AT173" s="114"/>
      <c r="AU173" s="114"/>
      <c r="AV173" s="114"/>
      <c r="AW173" s="114"/>
      <c r="AX173" s="114"/>
      <c r="AY173" s="114"/>
      <c r="AZ173" s="114"/>
      <c r="BA173" s="114"/>
      <c r="BB173" s="114"/>
      <c r="BC173" s="114"/>
      <c r="BD173" s="114"/>
      <c r="BE173" s="114"/>
      <c r="BF173" s="114"/>
      <c r="BG173" s="114"/>
      <c r="BH173" s="114"/>
      <c r="BI173" s="114"/>
      <c r="BJ173" s="114"/>
      <c r="BK173" s="114"/>
      <c r="BL173" s="114"/>
      <c r="BM173" s="114"/>
      <c r="BN173" s="114"/>
      <c r="BO173" s="114"/>
      <c r="BP173" s="114"/>
      <c r="BQ173" s="114"/>
      <c r="BR173" s="114"/>
      <c r="BS173" s="114"/>
      <c r="BT173" s="114"/>
      <c r="BU173" s="114"/>
      <c r="BV173" s="114"/>
      <c r="BW173" s="114"/>
      <c r="BX173" s="114"/>
      <c r="BY173" s="114"/>
      <c r="BZ173" s="114"/>
      <c r="CA173" s="114"/>
      <c r="CB173" s="114"/>
      <c r="CC173" s="114"/>
      <c r="CD173" s="114"/>
      <c r="CE173" s="114"/>
      <c r="CF173" s="114"/>
      <c r="CG173" s="114"/>
      <c r="CH173" s="114"/>
      <c r="CI173" s="114"/>
      <c r="CJ173" s="114"/>
      <c r="CK173" s="114"/>
      <c r="CL173" s="114"/>
      <c r="CM173" s="114"/>
      <c r="CN173" s="114"/>
      <c r="CO173" s="114"/>
      <c r="CP173" s="114"/>
      <c r="CQ173" s="114"/>
      <c r="CR173" s="114"/>
      <c r="CS173" s="114"/>
      <c r="CT173" s="114"/>
      <c r="CU173" s="114"/>
      <c r="CV173" s="114"/>
      <c r="CW173" s="114"/>
      <c r="CX173" s="114"/>
      <c r="CY173" s="114"/>
      <c r="CZ173" s="114"/>
      <c r="DA173" s="114"/>
      <c r="DB173" s="114"/>
      <c r="DC173" s="114"/>
      <c r="DD173" s="114"/>
      <c r="DE173" s="114"/>
      <c r="DF173" s="114"/>
      <c r="DG173" s="114"/>
      <c r="DH173" s="114"/>
      <c r="DI173" s="114"/>
      <c r="DJ173" s="114"/>
      <c r="DK173" s="114"/>
      <c r="DL173" s="114"/>
      <c r="DM173" s="114"/>
      <c r="DN173" s="114"/>
      <c r="DO173" s="114"/>
      <c r="DP173" s="114"/>
      <c r="DQ173" s="114"/>
      <c r="DR173" s="114"/>
      <c r="DS173" s="114"/>
      <c r="DT173" s="114"/>
      <c r="DU173" s="114"/>
      <c r="DV173" s="114"/>
      <c r="DW173" s="114"/>
      <c r="DX173" s="114"/>
      <c r="DY173" s="114"/>
      <c r="DZ173" s="114"/>
      <c r="EA173" s="114"/>
      <c r="EB173" s="114"/>
      <c r="EC173" s="114"/>
      <c r="ED173" s="114"/>
      <c r="EE173" s="114"/>
      <c r="EF173" s="114"/>
      <c r="EG173" s="114"/>
      <c r="EH173" s="114"/>
      <c r="EI173" s="114"/>
      <c r="EJ173" s="114"/>
      <c r="EK173" s="114"/>
      <c r="EL173" s="114"/>
    </row>
    <row r="174" customFormat="false" ht="12.75" hidden="false" customHeight="false" outlineLevel="0" collapsed="false">
      <c r="A174" s="23"/>
      <c r="B174" s="3" t="s">
        <v>285</v>
      </c>
      <c r="D174" s="312" t="n">
        <v>0.13</v>
      </c>
      <c r="E174" s="313" t="n">
        <f aca="false">NPV(D174,E192:AI192)</f>
        <v>1213.44478523223</v>
      </c>
      <c r="F174" s="100"/>
      <c r="G174" s="100"/>
      <c r="H174" s="100"/>
      <c r="I174" s="100"/>
      <c r="J174" s="100"/>
      <c r="K174" s="100"/>
      <c r="L174" s="100"/>
      <c r="M174" s="100"/>
      <c r="N174" s="100"/>
      <c r="O174" s="100"/>
      <c r="P174" s="100"/>
      <c r="Q174" s="100"/>
      <c r="R174" s="100"/>
      <c r="S174" s="100"/>
      <c r="T174" s="100"/>
      <c r="U174" s="100"/>
      <c r="V174" s="100"/>
      <c r="W174" s="100"/>
      <c r="X174" s="100"/>
      <c r="Y174" s="100"/>
      <c r="Z174" s="100"/>
      <c r="AA174" s="100"/>
      <c r="AB174" s="100"/>
      <c r="AC174" s="100"/>
      <c r="AD174" s="100"/>
      <c r="AE174" s="100"/>
      <c r="AF174" s="100"/>
      <c r="AG174" s="100"/>
      <c r="AH174" s="100"/>
      <c r="AI174" s="100"/>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c r="CE174" s="24"/>
      <c r="CF174" s="24"/>
      <c r="CG174" s="24"/>
      <c r="CH174" s="24"/>
      <c r="CI174" s="24"/>
      <c r="CJ174" s="24"/>
      <c r="CK174" s="24"/>
      <c r="CL174" s="24"/>
      <c r="CM174" s="24"/>
      <c r="CN174" s="24"/>
      <c r="CO174" s="24"/>
      <c r="CP174" s="24"/>
      <c r="CQ174" s="24"/>
      <c r="CR174" s="24"/>
      <c r="CS174" s="24"/>
      <c r="CT174" s="24"/>
      <c r="CU174" s="24"/>
      <c r="CV174" s="24"/>
      <c r="CW174" s="24"/>
      <c r="CX174" s="24"/>
      <c r="CY174" s="24"/>
      <c r="CZ174" s="24"/>
      <c r="DA174" s="24"/>
      <c r="DB174" s="24"/>
      <c r="DC174" s="24"/>
      <c r="DD174" s="24"/>
      <c r="DE174" s="24"/>
      <c r="DF174" s="24"/>
      <c r="DG174" s="24"/>
      <c r="DH174" s="24"/>
      <c r="DI174" s="24"/>
      <c r="DJ174" s="24"/>
      <c r="DK174" s="24"/>
      <c r="DL174" s="24"/>
      <c r="DM174" s="24"/>
      <c r="DN174" s="24"/>
      <c r="DO174" s="24"/>
      <c r="DP174" s="24"/>
      <c r="DQ174" s="24"/>
      <c r="DR174" s="24"/>
      <c r="DS174" s="24"/>
      <c r="DT174" s="24"/>
      <c r="DU174" s="24"/>
      <c r="DV174" s="24"/>
      <c r="DW174" s="24"/>
      <c r="DX174" s="24"/>
      <c r="DY174" s="24"/>
      <c r="DZ174" s="24"/>
      <c r="EA174" s="24"/>
      <c r="EB174" s="24"/>
      <c r="EC174" s="24"/>
      <c r="ED174" s="24"/>
      <c r="EE174" s="24"/>
      <c r="EF174" s="24"/>
      <c r="EG174" s="24"/>
      <c r="EH174" s="24"/>
      <c r="EI174" s="24"/>
      <c r="EJ174" s="24"/>
      <c r="EK174" s="24"/>
      <c r="EL174" s="24"/>
      <c r="EM174" s="3"/>
      <c r="EN174" s="3"/>
      <c r="EO174" s="3"/>
      <c r="EP174" s="3"/>
      <c r="EQ174" s="3"/>
      <c r="ER174" s="3"/>
      <c r="ES174" s="3"/>
      <c r="ET174" s="3"/>
      <c r="EU174" s="3"/>
      <c r="EV174" s="3"/>
      <c r="EW174" s="3"/>
      <c r="EX174" s="3"/>
      <c r="EY174" s="3"/>
      <c r="EZ174" s="3"/>
      <c r="FA174" s="3"/>
      <c r="FB174" s="3"/>
      <c r="FC174" s="3"/>
      <c r="FD174" s="3"/>
      <c r="FE174" s="3"/>
      <c r="FF174" s="3"/>
      <c r="FG174" s="3"/>
      <c r="FH174" s="3"/>
      <c r="FI174" s="3"/>
      <c r="FJ174" s="3"/>
      <c r="FK174" s="3"/>
      <c r="FL174" s="3"/>
      <c r="FM174" s="3"/>
      <c r="FN174" s="3"/>
      <c r="FO174" s="3"/>
      <c r="FP174" s="3"/>
      <c r="FQ174" s="3"/>
      <c r="FR174" s="3"/>
      <c r="FS174" s="3"/>
      <c r="FT174" s="3"/>
      <c r="FU174" s="3"/>
      <c r="FV174" s="3"/>
      <c r="FW174" s="3"/>
      <c r="FX174" s="3"/>
      <c r="FY174" s="3"/>
      <c r="FZ174" s="3"/>
      <c r="GA174" s="3"/>
      <c r="GB174" s="3"/>
      <c r="GC174" s="3"/>
      <c r="GD174" s="3"/>
      <c r="GE174" s="3"/>
      <c r="GF174" s="3"/>
      <c r="GG174" s="3"/>
      <c r="GH174" s="3"/>
      <c r="GI174" s="3"/>
      <c r="GJ174" s="3"/>
      <c r="GK174" s="3"/>
      <c r="GL174" s="3"/>
      <c r="GM174" s="3"/>
      <c r="GN174" s="3"/>
      <c r="GO174" s="3"/>
      <c r="GP174" s="3"/>
      <c r="GQ174" s="3"/>
      <c r="GR174" s="3"/>
      <c r="GS174" s="3"/>
      <c r="GT174" s="3"/>
      <c r="GU174" s="3"/>
      <c r="GV174" s="3"/>
      <c r="GW174" s="3"/>
      <c r="GX174" s="3"/>
      <c r="GY174" s="3"/>
      <c r="GZ174" s="3"/>
      <c r="HA174" s="3"/>
      <c r="HB174" s="3"/>
      <c r="HC174" s="3"/>
      <c r="HD174" s="3"/>
      <c r="HE174" s="3"/>
      <c r="HF174" s="3"/>
      <c r="HG174" s="3"/>
      <c r="HH174" s="3"/>
      <c r="HI174" s="3"/>
      <c r="HJ174" s="3"/>
      <c r="HK174" s="3"/>
      <c r="HL174" s="3"/>
      <c r="HM174" s="3"/>
      <c r="HN174" s="3"/>
      <c r="HO174" s="3"/>
      <c r="HP174" s="3"/>
      <c r="HQ174" s="3"/>
      <c r="HR174" s="3"/>
      <c r="HS174" s="3"/>
      <c r="HT174" s="3"/>
      <c r="HU174" s="3"/>
      <c r="HV174" s="3"/>
      <c r="HW174" s="3"/>
      <c r="HX174" s="3"/>
      <c r="HY174" s="3"/>
      <c r="HZ174" s="3"/>
      <c r="IA174" s="3"/>
      <c r="IB174" s="3"/>
      <c r="IC174" s="3"/>
      <c r="ID174" s="3"/>
      <c r="IE174" s="3"/>
      <c r="IF174" s="3"/>
      <c r="IG174" s="3"/>
      <c r="IH174" s="3"/>
      <c r="II174" s="3"/>
      <c r="IJ174" s="3"/>
      <c r="IK174" s="3"/>
      <c r="IL174" s="3"/>
      <c r="IM174" s="3"/>
      <c r="IN174" s="3"/>
      <c r="IO174" s="3"/>
      <c r="IP174" s="3"/>
      <c r="IQ174" s="3"/>
      <c r="IR174" s="3"/>
      <c r="IS174" s="3"/>
      <c r="IT174" s="3"/>
      <c r="IU174" s="3"/>
      <c r="IV174" s="3"/>
      <c r="IW174" s="3"/>
    </row>
    <row r="175" customFormat="false" ht="12.75" hidden="false" customHeight="false" outlineLevel="0" collapsed="false">
      <c r="A175" s="124"/>
      <c r="B175" s="3" t="s">
        <v>286</v>
      </c>
      <c r="C175" s="74"/>
      <c r="D175" s="314" t="n">
        <v>1</v>
      </c>
      <c r="E175" s="315"/>
      <c r="F175" s="124"/>
      <c r="G175" s="124"/>
      <c r="H175" s="12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4"/>
      <c r="AL175" s="114"/>
      <c r="AM175" s="114"/>
      <c r="AN175" s="114"/>
      <c r="AO175" s="114"/>
      <c r="AP175" s="114"/>
      <c r="AQ175" s="114"/>
      <c r="AR175" s="114"/>
      <c r="AS175" s="114"/>
      <c r="AT175" s="114"/>
      <c r="AU175" s="114"/>
      <c r="AV175" s="114"/>
      <c r="AW175" s="114"/>
      <c r="AX175" s="114"/>
      <c r="AY175" s="114"/>
      <c r="AZ175" s="114"/>
      <c r="BA175" s="114"/>
      <c r="BB175" s="114"/>
      <c r="BC175" s="114"/>
      <c r="BD175" s="114"/>
      <c r="BE175" s="114"/>
      <c r="BF175" s="114"/>
      <c r="BG175" s="114"/>
      <c r="BH175" s="114"/>
      <c r="BI175" s="114"/>
      <c r="BJ175" s="114"/>
      <c r="BK175" s="114"/>
      <c r="BL175" s="114"/>
      <c r="BM175" s="114"/>
      <c r="BN175" s="114"/>
      <c r="BO175" s="114"/>
      <c r="BP175" s="114"/>
      <c r="BQ175" s="114"/>
      <c r="BR175" s="114"/>
      <c r="BS175" s="114"/>
      <c r="BT175" s="114"/>
      <c r="BU175" s="114"/>
      <c r="BV175" s="114"/>
      <c r="BW175" s="114"/>
      <c r="BX175" s="114"/>
      <c r="BY175" s="114"/>
      <c r="BZ175" s="114"/>
      <c r="CA175" s="114"/>
      <c r="CB175" s="114"/>
      <c r="CC175" s="114"/>
      <c r="CD175" s="114"/>
      <c r="CE175" s="114"/>
      <c r="CF175" s="114"/>
      <c r="CG175" s="114"/>
      <c r="CH175" s="114"/>
      <c r="CI175" s="114"/>
      <c r="CJ175" s="114"/>
      <c r="CK175" s="114"/>
      <c r="CL175" s="114"/>
      <c r="CM175" s="114"/>
      <c r="CN175" s="114"/>
      <c r="CO175" s="114"/>
      <c r="CP175" s="114"/>
      <c r="CQ175" s="114"/>
      <c r="CR175" s="114"/>
      <c r="CS175" s="114"/>
      <c r="CT175" s="114"/>
      <c r="CU175" s="114"/>
      <c r="CV175" s="114"/>
      <c r="CW175" s="114"/>
      <c r="CX175" s="114"/>
      <c r="CY175" s="114"/>
      <c r="CZ175" s="114"/>
      <c r="DA175" s="114"/>
      <c r="DB175" s="114"/>
      <c r="DC175" s="114"/>
      <c r="DD175" s="114"/>
      <c r="DE175" s="114"/>
      <c r="DF175" s="114"/>
      <c r="DG175" s="114"/>
      <c r="DH175" s="114"/>
      <c r="DI175" s="114"/>
      <c r="DJ175" s="114"/>
      <c r="DK175" s="114"/>
      <c r="DL175" s="114"/>
      <c r="DM175" s="114"/>
      <c r="DN175" s="114"/>
      <c r="DO175" s="114"/>
      <c r="DP175" s="114"/>
      <c r="DQ175" s="114"/>
      <c r="DR175" s="114"/>
      <c r="DS175" s="114"/>
      <c r="DT175" s="114"/>
      <c r="DU175" s="114"/>
      <c r="DV175" s="114"/>
      <c r="DW175" s="114"/>
      <c r="DX175" s="114"/>
      <c r="DY175" s="114"/>
      <c r="DZ175" s="114"/>
      <c r="EA175" s="114"/>
      <c r="EB175" s="114"/>
      <c r="EC175" s="114"/>
      <c r="ED175" s="114"/>
      <c r="EE175" s="114"/>
      <c r="EF175" s="114"/>
      <c r="EG175" s="114"/>
      <c r="EH175" s="114"/>
      <c r="EI175" s="114"/>
      <c r="EJ175" s="114"/>
      <c r="EK175" s="114"/>
      <c r="EL175" s="114"/>
    </row>
    <row r="176" customFormat="false" ht="12.75" hidden="false" customHeight="false" outlineLevel="0" collapsed="false">
      <c r="A176" s="124"/>
      <c r="B176" s="3"/>
      <c r="C176" s="74"/>
      <c r="D176" s="124"/>
      <c r="E176" s="305"/>
      <c r="F176" s="124"/>
      <c r="G176" s="124"/>
      <c r="H176" s="12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4"/>
      <c r="AL176" s="114"/>
      <c r="AM176" s="114"/>
      <c r="AN176" s="114"/>
      <c r="AO176" s="114"/>
      <c r="AP176" s="114"/>
      <c r="AQ176" s="114"/>
      <c r="AR176" s="114"/>
      <c r="AS176" s="114"/>
      <c r="AT176" s="114"/>
      <c r="AU176" s="114"/>
      <c r="AV176" s="114"/>
      <c r="AW176" s="114"/>
      <c r="AX176" s="114"/>
      <c r="AY176" s="114"/>
      <c r="AZ176" s="114"/>
      <c r="BA176" s="114"/>
      <c r="BB176" s="114"/>
      <c r="BC176" s="114"/>
      <c r="BD176" s="114"/>
      <c r="BE176" s="114"/>
      <c r="BF176" s="114"/>
      <c r="BG176" s="114"/>
      <c r="BH176" s="114"/>
      <c r="BI176" s="114"/>
      <c r="BJ176" s="114"/>
      <c r="BK176" s="114"/>
      <c r="BL176" s="114"/>
      <c r="BM176" s="114"/>
      <c r="BN176" s="114"/>
      <c r="BO176" s="114"/>
      <c r="BP176" s="114"/>
      <c r="BQ176" s="114"/>
      <c r="BR176" s="114"/>
      <c r="BS176" s="114"/>
      <c r="BT176" s="114"/>
      <c r="BU176" s="114"/>
      <c r="BV176" s="114"/>
      <c r="BW176" s="114"/>
      <c r="BX176" s="114"/>
      <c r="BY176" s="114"/>
      <c r="BZ176" s="114"/>
      <c r="CA176" s="114"/>
      <c r="CB176" s="114"/>
      <c r="CC176" s="114"/>
      <c r="CD176" s="114"/>
      <c r="CE176" s="114"/>
      <c r="CF176" s="114"/>
      <c r="CG176" s="114"/>
      <c r="CH176" s="114"/>
      <c r="CI176" s="114"/>
      <c r="CJ176" s="114"/>
      <c r="CK176" s="114"/>
      <c r="CL176" s="114"/>
      <c r="CM176" s="114"/>
      <c r="CN176" s="114"/>
      <c r="CO176" s="114"/>
      <c r="CP176" s="114"/>
      <c r="CQ176" s="114"/>
      <c r="CR176" s="114"/>
      <c r="CS176" s="114"/>
      <c r="CT176" s="114"/>
      <c r="CU176" s="114"/>
      <c r="CV176" s="114"/>
      <c r="CW176" s="114"/>
      <c r="CX176" s="114"/>
      <c r="CY176" s="114"/>
      <c r="CZ176" s="114"/>
      <c r="DA176" s="114"/>
      <c r="DB176" s="114"/>
      <c r="DC176" s="114"/>
      <c r="DD176" s="114"/>
      <c r="DE176" s="114"/>
      <c r="DF176" s="114"/>
      <c r="DG176" s="114"/>
      <c r="DH176" s="114"/>
      <c r="DI176" s="114"/>
      <c r="DJ176" s="114"/>
      <c r="DK176" s="114"/>
      <c r="DL176" s="114"/>
      <c r="DM176" s="114"/>
      <c r="DN176" s="114"/>
      <c r="DO176" s="114"/>
      <c r="DP176" s="114"/>
      <c r="DQ176" s="114"/>
      <c r="DR176" s="114"/>
      <c r="DS176" s="114"/>
      <c r="DT176" s="114"/>
      <c r="DU176" s="114"/>
      <c r="DV176" s="114"/>
      <c r="DW176" s="114"/>
      <c r="DX176" s="114"/>
      <c r="DY176" s="114"/>
      <c r="DZ176" s="114"/>
      <c r="EA176" s="114"/>
      <c r="EB176" s="114"/>
      <c r="EC176" s="114"/>
      <c r="ED176" s="114"/>
      <c r="EE176" s="114"/>
      <c r="EF176" s="114"/>
      <c r="EG176" s="114"/>
      <c r="EH176" s="114"/>
      <c r="EI176" s="114"/>
      <c r="EJ176" s="114"/>
      <c r="EK176" s="114"/>
      <c r="EL176" s="114"/>
    </row>
    <row r="177" customFormat="false" ht="12.75" hidden="false" customHeight="false" outlineLevel="0" collapsed="false">
      <c r="A177" s="124"/>
      <c r="B177" s="3"/>
      <c r="C177" s="22"/>
      <c r="D177" s="111"/>
      <c r="E177" s="4" t="n">
        <v>1</v>
      </c>
      <c r="F177" s="5" t="n">
        <v>2</v>
      </c>
      <c r="G177" s="5" t="n">
        <v>3</v>
      </c>
      <c r="H177" s="5" t="n">
        <v>4</v>
      </c>
      <c r="I177" s="5" t="n">
        <v>5</v>
      </c>
      <c r="J177" s="5" t="n">
        <v>6</v>
      </c>
      <c r="K177" s="5" t="n">
        <v>7</v>
      </c>
      <c r="L177" s="5" t="n">
        <v>8</v>
      </c>
      <c r="M177" s="5" t="n">
        <v>9</v>
      </c>
      <c r="N177" s="5" t="n">
        <v>10</v>
      </c>
      <c r="O177" s="5" t="n">
        <v>11</v>
      </c>
      <c r="P177" s="5" t="n">
        <v>12</v>
      </c>
      <c r="Q177" s="5" t="n">
        <v>13</v>
      </c>
      <c r="R177" s="5" t="n">
        <v>14</v>
      </c>
      <c r="S177" s="5" t="n">
        <v>15</v>
      </c>
      <c r="T177" s="5" t="n">
        <v>16</v>
      </c>
      <c r="U177" s="5" t="n">
        <v>17</v>
      </c>
      <c r="V177" s="5" t="n">
        <v>18</v>
      </c>
      <c r="W177" s="5" t="n">
        <v>19</v>
      </c>
      <c r="X177" s="5" t="n">
        <v>20</v>
      </c>
      <c r="Y177" s="5" t="n">
        <v>21</v>
      </c>
      <c r="Z177" s="5" t="n">
        <v>22</v>
      </c>
      <c r="AA177" s="5" t="n">
        <v>23</v>
      </c>
      <c r="AB177" s="5" t="n">
        <v>24</v>
      </c>
      <c r="AC177" s="5" t="n">
        <v>25</v>
      </c>
      <c r="AD177" s="5" t="n">
        <v>26</v>
      </c>
      <c r="AE177" s="5" t="n">
        <v>27</v>
      </c>
      <c r="AF177" s="5" t="n">
        <v>28</v>
      </c>
      <c r="AG177" s="5" t="n">
        <v>29</v>
      </c>
      <c r="AH177" s="6" t="n">
        <v>30</v>
      </c>
      <c r="AI177" s="6" t="n">
        <v>31</v>
      </c>
      <c r="AJ177" s="114"/>
      <c r="AK177" s="114"/>
      <c r="AL177" s="114"/>
      <c r="AM177" s="114"/>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4"/>
      <c r="BR177" s="114"/>
      <c r="BS177" s="114"/>
      <c r="BT177" s="114"/>
      <c r="BU177" s="114"/>
      <c r="BV177" s="114"/>
      <c r="BW177" s="114"/>
      <c r="BX177" s="114"/>
      <c r="BY177" s="114"/>
      <c r="BZ177" s="114"/>
      <c r="CA177" s="114"/>
      <c r="CB177" s="114"/>
      <c r="CC177" s="114"/>
      <c r="CD177" s="114"/>
      <c r="CE177" s="114"/>
      <c r="CF177" s="114"/>
      <c r="CG177" s="114"/>
      <c r="CH177" s="114"/>
      <c r="CI177" s="114"/>
      <c r="CJ177" s="114"/>
      <c r="CK177" s="114"/>
      <c r="CL177" s="114"/>
      <c r="CM177" s="114"/>
      <c r="CN177" s="114"/>
      <c r="CO177" s="114"/>
      <c r="CP177" s="114"/>
      <c r="CQ177" s="114"/>
      <c r="CR177" s="114"/>
      <c r="CS177" s="114"/>
      <c r="CT177" s="114"/>
      <c r="CU177" s="114"/>
      <c r="CV177" s="114"/>
      <c r="CW177" s="114"/>
      <c r="CX177" s="114"/>
      <c r="CY177" s="114"/>
      <c r="CZ177" s="114"/>
      <c r="DA177" s="114"/>
      <c r="DB177" s="114"/>
      <c r="DC177" s="114"/>
      <c r="DD177" s="114"/>
      <c r="DE177" s="114"/>
      <c r="DF177" s="114"/>
      <c r="DG177" s="114"/>
      <c r="DH177" s="114"/>
      <c r="DI177" s="114"/>
      <c r="DJ177" s="114"/>
      <c r="DK177" s="114"/>
      <c r="DL177" s="114"/>
      <c r="DM177" s="114"/>
      <c r="DN177" s="114"/>
      <c r="DO177" s="114"/>
      <c r="DP177" s="114"/>
      <c r="DQ177" s="114"/>
      <c r="DR177" s="114"/>
      <c r="DS177" s="114"/>
      <c r="DT177" s="114"/>
      <c r="DU177" s="114"/>
      <c r="DV177" s="114"/>
      <c r="DW177" s="114"/>
      <c r="DX177" s="114"/>
      <c r="DY177" s="114"/>
      <c r="DZ177" s="114"/>
      <c r="EA177" s="114"/>
      <c r="EB177" s="114"/>
      <c r="EC177" s="114"/>
      <c r="ED177" s="114"/>
      <c r="EE177" s="114"/>
      <c r="EF177" s="114"/>
      <c r="EG177" s="114"/>
      <c r="EH177" s="114"/>
      <c r="EI177" s="114"/>
      <c r="EJ177" s="114"/>
      <c r="EK177" s="114"/>
      <c r="EL177" s="114"/>
    </row>
    <row r="178" customFormat="false" ht="12.75" hidden="false" customHeight="false" outlineLevel="0" collapsed="false">
      <c r="A178" s="23"/>
      <c r="B178" s="181" t="s">
        <v>287</v>
      </c>
      <c r="D178" s="22"/>
      <c r="E178" s="7" t="n">
        <f aca="false">Assum!$H$25</f>
        <v>2002</v>
      </c>
      <c r="F178" s="8" t="n">
        <f aca="false">E178+1</f>
        <v>2003</v>
      </c>
      <c r="G178" s="8" t="n">
        <f aca="false">F178+1</f>
        <v>2004</v>
      </c>
      <c r="H178" s="8" t="n">
        <f aca="false">G178+1</f>
        <v>2005</v>
      </c>
      <c r="I178" s="8" t="n">
        <f aca="false">H178+1</f>
        <v>2006</v>
      </c>
      <c r="J178" s="8" t="n">
        <f aca="false">I178+1</f>
        <v>2007</v>
      </c>
      <c r="K178" s="8" t="n">
        <f aca="false">J178+1</f>
        <v>2008</v>
      </c>
      <c r="L178" s="8" t="n">
        <f aca="false">K178+1</f>
        <v>2009</v>
      </c>
      <c r="M178" s="8" t="n">
        <f aca="false">L178+1</f>
        <v>2010</v>
      </c>
      <c r="N178" s="8" t="n">
        <f aca="false">M178+1</f>
        <v>2011</v>
      </c>
      <c r="O178" s="8" t="n">
        <f aca="false">N178+1</f>
        <v>2012</v>
      </c>
      <c r="P178" s="8" t="n">
        <f aca="false">O178+1</f>
        <v>2013</v>
      </c>
      <c r="Q178" s="8" t="n">
        <f aca="false">P178+1</f>
        <v>2014</v>
      </c>
      <c r="R178" s="8" t="n">
        <f aca="false">Q178+1</f>
        <v>2015</v>
      </c>
      <c r="S178" s="8" t="n">
        <f aca="false">R178+1</f>
        <v>2016</v>
      </c>
      <c r="T178" s="8" t="n">
        <f aca="false">S178+1</f>
        <v>2017</v>
      </c>
      <c r="U178" s="8" t="n">
        <f aca="false">T178+1</f>
        <v>2018</v>
      </c>
      <c r="V178" s="8" t="n">
        <f aca="false">U178+1</f>
        <v>2019</v>
      </c>
      <c r="W178" s="8" t="n">
        <f aca="false">V178+1</f>
        <v>2020</v>
      </c>
      <c r="X178" s="8" t="n">
        <f aca="false">W178+1</f>
        <v>2021</v>
      </c>
      <c r="Y178" s="8" t="n">
        <f aca="false">X178+1</f>
        <v>2022</v>
      </c>
      <c r="Z178" s="8" t="n">
        <f aca="false">Y178+1</f>
        <v>2023</v>
      </c>
      <c r="AA178" s="8" t="n">
        <f aca="false">Z178+1</f>
        <v>2024</v>
      </c>
      <c r="AB178" s="8" t="n">
        <f aca="false">AA178+1</f>
        <v>2025</v>
      </c>
      <c r="AC178" s="8" t="n">
        <f aca="false">AB178+1</f>
        <v>2026</v>
      </c>
      <c r="AD178" s="8" t="n">
        <f aca="false">AC178+1</f>
        <v>2027</v>
      </c>
      <c r="AE178" s="8" t="n">
        <f aca="false">AD178+1</f>
        <v>2028</v>
      </c>
      <c r="AF178" s="8" t="n">
        <f aca="false">AE178+1</f>
        <v>2029</v>
      </c>
      <c r="AG178" s="8" t="n">
        <f aca="false">AF178+1</f>
        <v>2030</v>
      </c>
      <c r="AH178" s="9" t="n">
        <f aca="false">AG178+1</f>
        <v>2031</v>
      </c>
      <c r="AI178" s="9" t="n">
        <f aca="false">AH178+1</f>
        <v>2032</v>
      </c>
      <c r="AJ178" s="316"/>
      <c r="AK178" s="316"/>
      <c r="AL178" s="316"/>
      <c r="AM178" s="316"/>
      <c r="AN178" s="316"/>
      <c r="AO178" s="316"/>
      <c r="AP178" s="316"/>
      <c r="AQ178" s="316"/>
      <c r="AR178" s="316"/>
      <c r="AS178" s="316"/>
      <c r="AT178" s="316"/>
      <c r="AU178" s="316"/>
      <c r="AV178" s="316"/>
      <c r="AW178" s="316"/>
      <c r="AX178" s="316"/>
      <c r="AY178" s="316"/>
      <c r="AZ178" s="316"/>
      <c r="BA178" s="316"/>
      <c r="BB178" s="316"/>
      <c r="BC178" s="316"/>
      <c r="BD178" s="316"/>
      <c r="BE178" s="24"/>
      <c r="BF178" s="24"/>
      <c r="BG178" s="24"/>
      <c r="BH178" s="24"/>
      <c r="BI178" s="24"/>
      <c r="BJ178" s="24"/>
      <c r="BK178" s="24"/>
      <c r="BL178" s="24"/>
      <c r="BM178" s="24"/>
      <c r="BN178" s="24"/>
      <c r="BO178" s="24"/>
      <c r="BP178" s="24"/>
      <c r="BQ178" s="24"/>
      <c r="BR178" s="24"/>
      <c r="BS178" s="24"/>
      <c r="BT178" s="24"/>
      <c r="BU178" s="24"/>
      <c r="BV178" s="24"/>
      <c r="BW178" s="24"/>
      <c r="BX178" s="24"/>
      <c r="BY178" s="24"/>
      <c r="BZ178" s="24"/>
      <c r="CA178" s="24"/>
      <c r="CB178" s="24"/>
      <c r="CC178" s="24"/>
      <c r="CD178" s="24"/>
      <c r="CE178" s="24"/>
      <c r="CF178" s="24"/>
      <c r="CG178" s="24"/>
      <c r="CH178" s="24"/>
      <c r="CI178" s="24"/>
      <c r="CJ178" s="24"/>
      <c r="CK178" s="24"/>
      <c r="CL178" s="24"/>
      <c r="CM178" s="24"/>
      <c r="CN178" s="24"/>
      <c r="CO178" s="24"/>
      <c r="CP178" s="24"/>
      <c r="CQ178" s="24"/>
      <c r="CR178" s="24"/>
      <c r="CS178" s="24"/>
      <c r="CT178" s="24"/>
      <c r="CU178" s="24"/>
      <c r="CV178" s="24"/>
      <c r="CW178" s="24"/>
      <c r="CX178" s="24"/>
      <c r="CY178" s="24"/>
      <c r="CZ178" s="24"/>
      <c r="DA178" s="24"/>
      <c r="DB178" s="24"/>
      <c r="DC178" s="24"/>
      <c r="DD178" s="24"/>
      <c r="DE178" s="24"/>
      <c r="DF178" s="24"/>
      <c r="DG178" s="24"/>
      <c r="DH178" s="24"/>
      <c r="DI178" s="24"/>
      <c r="DJ178" s="24"/>
      <c r="DK178" s="24"/>
      <c r="DL178" s="24"/>
      <c r="DM178" s="24"/>
      <c r="DN178" s="24"/>
      <c r="DO178" s="24"/>
      <c r="DP178" s="24"/>
      <c r="DQ178" s="24"/>
      <c r="DR178" s="24"/>
      <c r="DS178" s="24"/>
      <c r="DT178" s="24"/>
      <c r="DU178" s="24"/>
      <c r="DV178" s="24"/>
      <c r="DW178" s="24"/>
      <c r="DX178" s="24"/>
      <c r="DY178" s="24"/>
      <c r="DZ178" s="24"/>
      <c r="EA178" s="24"/>
      <c r="EB178" s="24"/>
      <c r="EC178" s="24"/>
      <c r="ED178" s="24"/>
      <c r="EE178" s="24"/>
      <c r="EF178" s="24"/>
      <c r="EG178" s="24"/>
      <c r="EH178" s="24"/>
      <c r="EI178" s="24"/>
      <c r="EJ178" s="24"/>
      <c r="EK178" s="24"/>
      <c r="EL178" s="24"/>
      <c r="EM178" s="3"/>
      <c r="EN178" s="3"/>
      <c r="EO178" s="3"/>
      <c r="EP178" s="3"/>
      <c r="EQ178" s="3"/>
      <c r="ER178" s="3"/>
      <c r="ES178" s="3"/>
      <c r="ET178" s="3"/>
      <c r="EU178" s="3"/>
      <c r="EV178" s="3"/>
      <c r="EW178" s="3"/>
      <c r="EX178" s="3"/>
      <c r="EY178" s="3"/>
      <c r="EZ178" s="3"/>
      <c r="FA178" s="3"/>
      <c r="FB178" s="3"/>
      <c r="FC178" s="3"/>
      <c r="FD178" s="3"/>
      <c r="FE178" s="3"/>
      <c r="FF178" s="3"/>
      <c r="FG178" s="3"/>
      <c r="FH178" s="3"/>
      <c r="FI178" s="3"/>
      <c r="FJ178" s="3"/>
      <c r="FK178" s="3"/>
      <c r="FL178" s="3"/>
      <c r="FM178" s="3"/>
      <c r="FN178" s="3"/>
      <c r="FO178" s="3"/>
      <c r="FP178" s="3"/>
      <c r="FQ178" s="3"/>
      <c r="FR178" s="3"/>
      <c r="FS178" s="3"/>
      <c r="FT178" s="3"/>
      <c r="FU178" s="3"/>
      <c r="FV178" s="3"/>
      <c r="FW178" s="3"/>
      <c r="FX178" s="3"/>
      <c r="FY178" s="3"/>
      <c r="FZ178" s="3"/>
      <c r="GA178" s="3"/>
      <c r="GB178" s="3"/>
      <c r="GC178" s="3"/>
      <c r="GD178" s="3"/>
      <c r="GE178" s="3"/>
      <c r="GF178" s="3"/>
      <c r="GG178" s="3"/>
      <c r="GH178" s="3"/>
      <c r="GI178" s="3"/>
      <c r="GJ178" s="3"/>
      <c r="GK178" s="3"/>
      <c r="GL178" s="3"/>
      <c r="GM178" s="3"/>
      <c r="GN178" s="3"/>
      <c r="GO178" s="3"/>
      <c r="GP178" s="3"/>
      <c r="GQ178" s="3"/>
      <c r="GR178" s="3"/>
      <c r="GS178" s="3"/>
      <c r="GT178" s="3"/>
      <c r="GU178" s="3"/>
      <c r="GV178" s="3"/>
      <c r="GW178" s="3"/>
      <c r="GX178" s="3"/>
      <c r="GY178" s="3"/>
      <c r="GZ178" s="3"/>
      <c r="HA178" s="3"/>
      <c r="HB178" s="3"/>
      <c r="HC178" s="3"/>
      <c r="HD178" s="3"/>
      <c r="HE178" s="3"/>
      <c r="HF178" s="3"/>
      <c r="HG178" s="3"/>
      <c r="HH178" s="3"/>
      <c r="HI178" s="3"/>
      <c r="HJ178" s="3"/>
      <c r="HK178" s="3"/>
      <c r="HL178" s="3"/>
      <c r="HM178" s="3"/>
      <c r="HN178" s="3"/>
      <c r="HO178" s="3"/>
      <c r="HP178" s="3"/>
      <c r="HQ178" s="3"/>
      <c r="HR178" s="3"/>
      <c r="HS178" s="3"/>
      <c r="HT178" s="3"/>
      <c r="HU178" s="3"/>
      <c r="HV178" s="3"/>
      <c r="HW178" s="3"/>
      <c r="HX178" s="3"/>
      <c r="HY178" s="3"/>
      <c r="HZ178" s="3"/>
      <c r="IA178" s="3"/>
      <c r="IB178" s="3"/>
      <c r="IC178" s="3"/>
      <c r="ID178" s="3"/>
      <c r="IE178" s="3"/>
      <c r="IF178" s="3"/>
      <c r="IG178" s="3"/>
      <c r="IH178" s="3"/>
      <c r="II178" s="3"/>
      <c r="IJ178" s="3"/>
      <c r="IK178" s="3"/>
      <c r="IL178" s="3"/>
      <c r="IM178" s="3"/>
      <c r="IN178" s="3"/>
      <c r="IO178" s="3"/>
      <c r="IP178" s="3"/>
      <c r="IQ178" s="3"/>
      <c r="IR178" s="3"/>
      <c r="IS178" s="3"/>
      <c r="IT178" s="3"/>
      <c r="IU178" s="3"/>
      <c r="IV178" s="3"/>
      <c r="IW178" s="3"/>
    </row>
    <row r="179" customFormat="false" ht="12.75" hidden="false" customHeight="false" outlineLevel="0" collapsed="false">
      <c r="A179" s="100"/>
      <c r="B179" s="317" t="s">
        <v>288</v>
      </c>
      <c r="C179" s="0"/>
      <c r="D179" s="100"/>
      <c r="E179" s="100" t="n">
        <f aca="false">E140*$F$30</f>
        <v>260.843</v>
      </c>
      <c r="F179" s="100" t="n">
        <f aca="false">F140*$F$30</f>
        <v>268.407447</v>
      </c>
      <c r="G179" s="100" t="n">
        <f aca="false">G140*$F$30</f>
        <v>276.0570592395</v>
      </c>
      <c r="H179" s="100" t="n">
        <f aca="false">H140*$F$30</f>
        <v>283.786656898206</v>
      </c>
      <c r="I179" s="100" t="n">
        <f aca="false">I140*$F$30</f>
        <v>291.505653965837</v>
      </c>
      <c r="J179" s="100" t="n">
        <f aca="false">J140*$F$30</f>
        <v>299.288854926725</v>
      </c>
      <c r="K179" s="100" t="n">
        <f aca="false">K140*$F$30</f>
        <v>307.130222925805</v>
      </c>
      <c r="L179" s="100" t="n">
        <f aca="false">L140*$F$30</f>
        <v>315.054182677291</v>
      </c>
      <c r="M179" s="100" t="n">
        <f aca="false">M140*$F$30</f>
        <v>323.056558917294</v>
      </c>
      <c r="N179" s="100" t="n">
        <f aca="false">N140*$F$30</f>
        <v>331.19758420201</v>
      </c>
      <c r="O179" s="100" t="n">
        <f aca="false">O140*$F$30</f>
        <v>339.47752380706</v>
      </c>
      <c r="P179" s="100" t="n">
        <f aca="false">P140*$F$30</f>
        <v>348.066305159379</v>
      </c>
      <c r="Q179" s="100" t="n">
        <f aca="false">Q140*$F$30</f>
        <v>357.011609201975</v>
      </c>
      <c r="R179" s="100" t="n">
        <f aca="false">R140*$F$30</f>
        <v>366.329612202146</v>
      </c>
      <c r="S179" s="100" t="n">
        <f aca="false">S140*$F$30</f>
        <v>376.110612847944</v>
      </c>
      <c r="T179" s="100" t="n">
        <f aca="false">T140*$F$30</f>
        <v>386.303210456123</v>
      </c>
      <c r="U179" s="100" t="n">
        <f aca="false">U140*$F$30</f>
        <v>396.887918422621</v>
      </c>
      <c r="V179" s="100" t="n">
        <f aca="false">V140*$F$30</f>
        <v>408.080157722139</v>
      </c>
      <c r="W179" s="100" t="n">
        <f aca="false">W140*$F$30</f>
        <v>419.914482296081</v>
      </c>
      <c r="X179" s="100" t="n">
        <f aca="false">X140*$F$30</f>
        <v>432.721874006111</v>
      </c>
      <c r="Y179" s="100" t="n">
        <f aca="false">Y140*$F$30</f>
        <v>446.179524287701</v>
      </c>
      <c r="Z179" s="100" t="n">
        <f aca="false">Z140*$F$30</f>
        <v>460.36803316005</v>
      </c>
      <c r="AA179" s="100" t="n">
        <f aca="false">AA140*$F$30</f>
        <v>475.007736614539</v>
      </c>
      <c r="AB179" s="100" t="n">
        <f aca="false">AB140*$F$30</f>
        <v>490.112982638882</v>
      </c>
      <c r="AC179" s="100" t="n">
        <f aca="false">AC140*$F$30</f>
        <v>505.698575486798</v>
      </c>
      <c r="AD179" s="100" t="n">
        <f aca="false">AD140*$F$30</f>
        <v>521.779790187278</v>
      </c>
      <c r="AE179" s="100" t="n">
        <f aca="false">AE140*$F$30</f>
        <v>538.372387515234</v>
      </c>
      <c r="AF179" s="100" t="n">
        <f aca="false">AF140*$F$30</f>
        <v>555.492629438218</v>
      </c>
      <c r="AG179" s="100" t="n">
        <f aca="false">AG140*$F$30</f>
        <v>573.157295054354</v>
      </c>
      <c r="AH179" s="100" t="n">
        <f aca="false">AH140*$F$30</f>
        <v>591.383697037082</v>
      </c>
      <c r="AI179" s="100" t="n">
        <f aca="false">AI140*$F$30</f>
        <v>610.189698602861</v>
      </c>
      <c r="AJ179" s="100"/>
      <c r="AK179" s="100"/>
      <c r="AL179" s="100"/>
      <c r="AM179" s="100"/>
      <c r="AN179" s="100"/>
      <c r="AO179" s="100"/>
      <c r="AP179" s="100"/>
      <c r="AQ179" s="100"/>
      <c r="AR179" s="100"/>
      <c r="AS179" s="100"/>
      <c r="AT179" s="100"/>
      <c r="AU179" s="100"/>
      <c r="AV179" s="100"/>
      <c r="AW179" s="100"/>
      <c r="AX179" s="100"/>
      <c r="AY179" s="100"/>
      <c r="AZ179" s="100"/>
      <c r="BA179" s="100"/>
      <c r="BB179" s="100"/>
      <c r="BC179" s="100"/>
      <c r="BD179" s="100"/>
      <c r="BE179" s="100"/>
      <c r="BF179" s="100"/>
      <c r="BG179" s="100"/>
      <c r="BH179" s="100"/>
      <c r="BI179" s="100"/>
      <c r="BJ179" s="100"/>
      <c r="BK179" s="100"/>
      <c r="BL179" s="100"/>
      <c r="BM179" s="100"/>
      <c r="BN179" s="100"/>
      <c r="BO179" s="100"/>
      <c r="BP179" s="100"/>
      <c r="BQ179" s="100"/>
      <c r="BR179" s="100"/>
      <c r="BS179" s="100"/>
      <c r="BT179" s="100"/>
      <c r="BU179" s="100"/>
      <c r="BV179" s="100"/>
      <c r="BW179" s="100"/>
      <c r="BX179" s="100"/>
      <c r="BY179" s="100"/>
      <c r="BZ179" s="100"/>
      <c r="CA179" s="100"/>
      <c r="CB179" s="100"/>
      <c r="CC179" s="100"/>
      <c r="CD179" s="100"/>
      <c r="CE179" s="100"/>
      <c r="CF179" s="100"/>
      <c r="CG179" s="100"/>
      <c r="CH179" s="100"/>
      <c r="CI179" s="100"/>
      <c r="CJ179" s="100"/>
      <c r="CK179" s="100"/>
      <c r="CL179" s="100"/>
      <c r="CM179" s="100"/>
      <c r="CN179" s="100"/>
      <c r="CO179" s="100"/>
      <c r="CP179" s="100"/>
      <c r="CQ179" s="100"/>
      <c r="CR179" s="100"/>
      <c r="CS179" s="100"/>
      <c r="CT179" s="100"/>
      <c r="CU179" s="100"/>
      <c r="CV179" s="100"/>
      <c r="CW179" s="100"/>
      <c r="CX179" s="100"/>
      <c r="CY179" s="100"/>
      <c r="CZ179" s="100"/>
      <c r="DA179" s="100"/>
      <c r="DB179" s="100"/>
      <c r="DC179" s="100"/>
      <c r="DD179" s="100"/>
      <c r="DE179" s="100"/>
      <c r="DF179" s="100"/>
      <c r="DG179" s="100"/>
      <c r="DH179" s="100"/>
      <c r="DI179" s="100"/>
      <c r="DJ179" s="100"/>
      <c r="DK179" s="100"/>
      <c r="DL179" s="100"/>
      <c r="DM179" s="100"/>
      <c r="DN179" s="100"/>
      <c r="DO179" s="100"/>
      <c r="DP179" s="100"/>
      <c r="DQ179" s="100"/>
      <c r="DR179" s="100"/>
      <c r="DS179" s="100"/>
      <c r="DT179" s="100"/>
      <c r="DU179" s="100"/>
      <c r="DV179" s="100"/>
      <c r="DW179" s="100"/>
      <c r="DX179" s="100"/>
      <c r="DY179" s="100"/>
      <c r="DZ179" s="100"/>
      <c r="EA179" s="100"/>
      <c r="EB179" s="100"/>
      <c r="EC179" s="100"/>
      <c r="ED179" s="100"/>
      <c r="EE179" s="100"/>
      <c r="EF179" s="100"/>
      <c r="EG179" s="100"/>
      <c r="EH179" s="100"/>
      <c r="EI179" s="100"/>
      <c r="EJ179" s="100"/>
      <c r="EK179" s="100"/>
      <c r="EL179" s="100"/>
      <c r="EM179" s="100"/>
      <c r="EN179" s="100"/>
      <c r="EO179" s="100"/>
      <c r="EP179" s="100"/>
      <c r="EQ179" s="100"/>
      <c r="ER179" s="100"/>
      <c r="ES179" s="100"/>
      <c r="ET179" s="100"/>
      <c r="EU179" s="100"/>
      <c r="EV179" s="100"/>
      <c r="EW179" s="100"/>
      <c r="EX179" s="100"/>
      <c r="EY179" s="100"/>
      <c r="EZ179" s="100"/>
      <c r="FA179" s="100"/>
      <c r="FB179" s="100"/>
      <c r="FC179" s="100"/>
      <c r="FD179" s="100"/>
      <c r="FE179" s="100"/>
      <c r="FF179" s="100"/>
      <c r="FG179" s="100"/>
      <c r="FH179" s="100"/>
      <c r="FI179" s="100"/>
      <c r="FJ179" s="100"/>
      <c r="FK179" s="100"/>
      <c r="FL179" s="100"/>
      <c r="FM179" s="100"/>
      <c r="FN179" s="100"/>
      <c r="FO179" s="100"/>
      <c r="FP179" s="100"/>
      <c r="FQ179" s="100"/>
      <c r="FR179" s="100"/>
      <c r="FS179" s="100"/>
      <c r="FT179" s="100"/>
      <c r="FU179" s="100"/>
      <c r="FV179" s="100"/>
      <c r="FW179" s="100"/>
      <c r="FX179" s="100"/>
      <c r="FY179" s="100"/>
      <c r="FZ179" s="100"/>
      <c r="GA179" s="100"/>
      <c r="GB179" s="100"/>
      <c r="GC179" s="100"/>
      <c r="GD179" s="100"/>
      <c r="GE179" s="100"/>
      <c r="GF179" s="100"/>
      <c r="GG179" s="100"/>
      <c r="GH179" s="100"/>
      <c r="GI179" s="100"/>
      <c r="GJ179" s="100"/>
      <c r="GK179" s="100"/>
      <c r="GL179" s="100"/>
      <c r="GM179" s="100"/>
      <c r="GN179" s="100"/>
      <c r="GO179" s="100"/>
      <c r="GP179" s="100"/>
      <c r="GQ179" s="100"/>
      <c r="GR179" s="100"/>
      <c r="GS179" s="100"/>
      <c r="GT179" s="100"/>
      <c r="GU179" s="100"/>
      <c r="GV179" s="100"/>
      <c r="GW179" s="100"/>
      <c r="GX179" s="100"/>
      <c r="GY179" s="100"/>
      <c r="GZ179" s="100"/>
      <c r="HA179" s="100"/>
      <c r="HB179" s="100"/>
      <c r="HC179" s="100"/>
      <c r="HD179" s="100"/>
      <c r="HE179" s="100"/>
      <c r="HF179" s="100"/>
      <c r="HG179" s="100"/>
      <c r="HH179" s="100"/>
      <c r="HI179" s="100"/>
      <c r="HJ179" s="100"/>
      <c r="HK179" s="100"/>
      <c r="HL179" s="100"/>
      <c r="HM179" s="100"/>
      <c r="HN179" s="100"/>
      <c r="HO179" s="100"/>
      <c r="HP179" s="100"/>
      <c r="HQ179" s="100"/>
      <c r="HR179" s="100"/>
      <c r="HS179" s="100"/>
      <c r="HT179" s="100"/>
      <c r="HU179" s="100"/>
      <c r="HV179" s="100"/>
      <c r="HW179" s="100"/>
      <c r="HX179" s="100"/>
      <c r="HY179" s="100"/>
      <c r="HZ179" s="100"/>
      <c r="IA179" s="100"/>
      <c r="IB179" s="100"/>
      <c r="IC179" s="100"/>
      <c r="ID179" s="100"/>
      <c r="IE179" s="100"/>
      <c r="IF179" s="100"/>
      <c r="IG179" s="100"/>
      <c r="IH179" s="100"/>
      <c r="II179" s="100"/>
      <c r="IJ179" s="100"/>
      <c r="IK179" s="100"/>
      <c r="IL179" s="100"/>
      <c r="IM179" s="100"/>
      <c r="IN179" s="100"/>
      <c r="IO179" s="100"/>
      <c r="IP179" s="100"/>
      <c r="IQ179" s="100"/>
      <c r="IR179" s="100"/>
      <c r="IS179" s="100"/>
      <c r="IT179" s="100"/>
      <c r="IU179" s="100"/>
      <c r="IV179" s="100"/>
      <c r="IW179" s="100"/>
    </row>
    <row r="180" customFormat="false" ht="12.75" hidden="false" customHeight="false" outlineLevel="0" collapsed="false">
      <c r="A180" s="100"/>
      <c r="B180" s="317" t="s">
        <v>289</v>
      </c>
      <c r="C180" s="0"/>
      <c r="D180" s="100"/>
      <c r="E180" s="100" t="n">
        <f aca="false">E141*$F$30</f>
        <v>0</v>
      </c>
      <c r="F180" s="100" t="n">
        <f aca="false">F141*$F$30</f>
        <v>0</v>
      </c>
      <c r="G180" s="100" t="n">
        <f aca="false">G141*$F$30</f>
        <v>0</v>
      </c>
      <c r="H180" s="100" t="n">
        <f aca="false">H141*$F$30</f>
        <v>0</v>
      </c>
      <c r="I180" s="100" t="n">
        <f aca="false">I141*$F$30</f>
        <v>0</v>
      </c>
      <c r="J180" s="100" t="n">
        <f aca="false">J141*$F$30</f>
        <v>345</v>
      </c>
      <c r="K180" s="100" t="n">
        <f aca="false">K141*$F$30</f>
        <v>354.039</v>
      </c>
      <c r="L180" s="100" t="n">
        <f aca="false">L141*$F$30</f>
        <v>363.1732062</v>
      </c>
      <c r="M180" s="100" t="n">
        <f aca="false">M141*$F$30</f>
        <v>372.39780563748</v>
      </c>
      <c r="N180" s="100" t="n">
        <f aca="false">N141*$F$30</f>
        <v>381.782230339545</v>
      </c>
      <c r="O180" s="100" t="n">
        <f aca="false">O141*$F$30</f>
        <v>391.326786098033</v>
      </c>
      <c r="P180" s="100" t="n">
        <f aca="false">P141*$F$30</f>
        <v>401.227353786313</v>
      </c>
      <c r="Q180" s="100" t="n">
        <f aca="false">Q141*$F$30</f>
        <v>411.538896778622</v>
      </c>
      <c r="R180" s="100" t="n">
        <f aca="false">R141*$F$30</f>
        <v>422.280061984544</v>
      </c>
      <c r="S180" s="100" t="n">
        <f aca="false">S141*$F$30</f>
        <v>433.554939639531</v>
      </c>
      <c r="T180" s="100" t="n">
        <f aca="false">T141*$F$30</f>
        <v>445.304278503762</v>
      </c>
      <c r="U180" s="100" t="n">
        <f aca="false">U141*$F$30</f>
        <v>457.505615734765</v>
      </c>
      <c r="V180" s="100" t="n">
        <f aca="false">V141*$F$30</f>
        <v>470.407274098486</v>
      </c>
      <c r="W180" s="100" t="n">
        <f aca="false">W141*$F$30</f>
        <v>484.049085047342</v>
      </c>
      <c r="X180" s="100" t="n">
        <f aca="false">X141*$F$30</f>
        <v>498.812582141286</v>
      </c>
      <c r="Y180" s="100" t="n">
        <f aca="false">Y141*$F$30</f>
        <v>514.32565344588</v>
      </c>
      <c r="Z180" s="100" t="n">
        <f aca="false">Z141*$F$30</f>
        <v>530.681209225459</v>
      </c>
      <c r="AA180" s="100" t="n">
        <f aca="false">AA141*$F$30</f>
        <v>547.556871678828</v>
      </c>
      <c r="AB180" s="100" t="n">
        <f aca="false">AB141*$F$30</f>
        <v>564.969180198215</v>
      </c>
      <c r="AC180" s="100" t="n">
        <f aca="false">AC141*$F$30</f>
        <v>582.935200128518</v>
      </c>
      <c r="AD180" s="100" t="n">
        <f aca="false">AD141*$F$30</f>
        <v>601.472539492605</v>
      </c>
      <c r="AE180" s="100" t="n">
        <f aca="false">AE141*$F$30</f>
        <v>620.59936624847</v>
      </c>
      <c r="AF180" s="100" t="n">
        <f aca="false">AF141*$F$30</f>
        <v>640.334426095172</v>
      </c>
      <c r="AG180" s="100" t="n">
        <f aca="false">AG141*$F$30</f>
        <v>660.697060844998</v>
      </c>
      <c r="AH180" s="100" t="n">
        <f aca="false">AH141*$F$30</f>
        <v>681.707227379869</v>
      </c>
      <c r="AI180" s="100" t="n">
        <f aca="false">AI141*$F$30</f>
        <v>703.385517210549</v>
      </c>
      <c r="AJ180" s="100"/>
      <c r="AK180" s="100"/>
      <c r="AL180" s="100"/>
      <c r="AM180" s="100"/>
      <c r="AN180" s="100"/>
      <c r="AO180" s="100"/>
      <c r="AP180" s="100"/>
      <c r="AQ180" s="100"/>
      <c r="AR180" s="100"/>
      <c r="AS180" s="100"/>
      <c r="AT180" s="100"/>
      <c r="AU180" s="100"/>
      <c r="AV180" s="100"/>
      <c r="AW180" s="100"/>
      <c r="AX180" s="100"/>
      <c r="AY180" s="100"/>
      <c r="AZ180" s="100"/>
      <c r="BA180" s="100"/>
      <c r="BB180" s="100"/>
      <c r="BC180" s="100"/>
      <c r="BD180" s="100"/>
      <c r="BE180" s="100"/>
      <c r="BF180" s="100"/>
      <c r="BG180" s="100"/>
      <c r="BH180" s="100"/>
      <c r="BI180" s="100"/>
      <c r="BJ180" s="100"/>
      <c r="BK180" s="100"/>
      <c r="BL180" s="100"/>
      <c r="BM180" s="100"/>
      <c r="BN180" s="100"/>
      <c r="BO180" s="100"/>
      <c r="BP180" s="100"/>
      <c r="BQ180" s="100"/>
      <c r="BR180" s="100"/>
      <c r="BS180" s="100"/>
      <c r="BT180" s="100"/>
      <c r="BU180" s="100"/>
      <c r="BV180" s="100"/>
      <c r="BW180" s="100"/>
      <c r="BX180" s="100"/>
      <c r="BY180" s="100"/>
      <c r="BZ180" s="100"/>
      <c r="CA180" s="100"/>
      <c r="CB180" s="100"/>
      <c r="CC180" s="100"/>
      <c r="CD180" s="100"/>
      <c r="CE180" s="100"/>
      <c r="CF180" s="100"/>
      <c r="CG180" s="100"/>
      <c r="CH180" s="100"/>
      <c r="CI180" s="100"/>
      <c r="CJ180" s="100"/>
      <c r="CK180" s="100"/>
      <c r="CL180" s="100"/>
      <c r="CM180" s="100"/>
      <c r="CN180" s="100"/>
      <c r="CO180" s="100"/>
      <c r="CP180" s="100"/>
      <c r="CQ180" s="100"/>
      <c r="CR180" s="100"/>
      <c r="CS180" s="100"/>
      <c r="CT180" s="100"/>
      <c r="CU180" s="100"/>
      <c r="CV180" s="100"/>
      <c r="CW180" s="100"/>
      <c r="CX180" s="100"/>
      <c r="CY180" s="100"/>
      <c r="CZ180" s="100"/>
      <c r="DA180" s="100"/>
      <c r="DB180" s="100"/>
      <c r="DC180" s="100"/>
      <c r="DD180" s="100"/>
      <c r="DE180" s="100"/>
      <c r="DF180" s="100"/>
      <c r="DG180" s="100"/>
      <c r="DH180" s="100"/>
      <c r="DI180" s="100"/>
      <c r="DJ180" s="100"/>
      <c r="DK180" s="100"/>
      <c r="DL180" s="100"/>
      <c r="DM180" s="100"/>
      <c r="DN180" s="100"/>
      <c r="DO180" s="100"/>
      <c r="DP180" s="100"/>
      <c r="DQ180" s="100"/>
      <c r="DR180" s="100"/>
      <c r="DS180" s="100"/>
      <c r="DT180" s="100"/>
      <c r="DU180" s="100"/>
      <c r="DV180" s="100"/>
      <c r="DW180" s="100"/>
      <c r="DX180" s="100"/>
      <c r="DY180" s="100"/>
      <c r="DZ180" s="100"/>
      <c r="EA180" s="100"/>
      <c r="EB180" s="100"/>
      <c r="EC180" s="100"/>
      <c r="ED180" s="100"/>
      <c r="EE180" s="100"/>
      <c r="EF180" s="100"/>
      <c r="EG180" s="100"/>
      <c r="EH180" s="100"/>
      <c r="EI180" s="100"/>
      <c r="EJ180" s="100"/>
      <c r="EK180" s="100"/>
      <c r="EL180" s="100"/>
      <c r="EM180" s="100"/>
      <c r="EN180" s="100"/>
      <c r="EO180" s="100"/>
      <c r="EP180" s="100"/>
      <c r="EQ180" s="100"/>
      <c r="ER180" s="100"/>
      <c r="ES180" s="100"/>
      <c r="ET180" s="100"/>
      <c r="EU180" s="100"/>
      <c r="EV180" s="100"/>
      <c r="EW180" s="100"/>
      <c r="EX180" s="100"/>
      <c r="EY180" s="100"/>
      <c r="EZ180" s="100"/>
      <c r="FA180" s="100"/>
      <c r="FB180" s="100"/>
      <c r="FC180" s="100"/>
      <c r="FD180" s="100"/>
      <c r="FE180" s="100"/>
      <c r="FF180" s="100"/>
      <c r="FG180" s="100"/>
      <c r="FH180" s="100"/>
      <c r="FI180" s="100"/>
      <c r="FJ180" s="100"/>
      <c r="FK180" s="100"/>
      <c r="FL180" s="100"/>
      <c r="FM180" s="100"/>
      <c r="FN180" s="100"/>
      <c r="FO180" s="100"/>
      <c r="FP180" s="100"/>
      <c r="FQ180" s="100"/>
      <c r="FR180" s="100"/>
      <c r="FS180" s="100"/>
      <c r="FT180" s="100"/>
      <c r="FU180" s="100"/>
      <c r="FV180" s="100"/>
      <c r="FW180" s="100"/>
      <c r="FX180" s="100"/>
      <c r="FY180" s="100"/>
      <c r="FZ180" s="100"/>
      <c r="GA180" s="100"/>
      <c r="GB180" s="100"/>
      <c r="GC180" s="100"/>
      <c r="GD180" s="100"/>
      <c r="GE180" s="100"/>
      <c r="GF180" s="100"/>
      <c r="GG180" s="100"/>
      <c r="GH180" s="100"/>
      <c r="GI180" s="100"/>
      <c r="GJ180" s="100"/>
      <c r="GK180" s="100"/>
      <c r="GL180" s="100"/>
      <c r="GM180" s="100"/>
      <c r="GN180" s="100"/>
      <c r="GO180" s="100"/>
      <c r="GP180" s="100"/>
      <c r="GQ180" s="100"/>
      <c r="GR180" s="100"/>
      <c r="GS180" s="100"/>
      <c r="GT180" s="100"/>
      <c r="GU180" s="100"/>
      <c r="GV180" s="100"/>
      <c r="GW180" s="100"/>
      <c r="GX180" s="100"/>
      <c r="GY180" s="100"/>
      <c r="GZ180" s="100"/>
      <c r="HA180" s="100"/>
      <c r="HB180" s="100"/>
      <c r="HC180" s="100"/>
      <c r="HD180" s="100"/>
      <c r="HE180" s="100"/>
      <c r="HF180" s="100"/>
      <c r="HG180" s="100"/>
      <c r="HH180" s="100"/>
      <c r="HI180" s="100"/>
      <c r="HJ180" s="100"/>
      <c r="HK180" s="100"/>
      <c r="HL180" s="100"/>
      <c r="HM180" s="100"/>
      <c r="HN180" s="100"/>
      <c r="HO180" s="100"/>
      <c r="HP180" s="100"/>
      <c r="HQ180" s="100"/>
      <c r="HR180" s="100"/>
      <c r="HS180" s="100"/>
      <c r="HT180" s="100"/>
      <c r="HU180" s="100"/>
      <c r="HV180" s="100"/>
      <c r="HW180" s="100"/>
      <c r="HX180" s="100"/>
      <c r="HY180" s="100"/>
      <c r="HZ180" s="100"/>
      <c r="IA180" s="100"/>
      <c r="IB180" s="100"/>
      <c r="IC180" s="100"/>
      <c r="ID180" s="100"/>
      <c r="IE180" s="100"/>
      <c r="IF180" s="100"/>
      <c r="IG180" s="100"/>
      <c r="IH180" s="100"/>
      <c r="II180" s="100"/>
      <c r="IJ180" s="100"/>
      <c r="IK180" s="100"/>
      <c r="IL180" s="100"/>
      <c r="IM180" s="100"/>
      <c r="IN180" s="100"/>
      <c r="IO180" s="100"/>
      <c r="IP180" s="100"/>
      <c r="IQ180" s="100"/>
      <c r="IR180" s="100"/>
      <c r="IS180" s="100"/>
      <c r="IT180" s="100"/>
      <c r="IU180" s="100"/>
      <c r="IV180" s="100"/>
      <c r="IW180" s="100"/>
    </row>
    <row r="181" customFormat="false" ht="12.75" hidden="false" customHeight="false" outlineLevel="0" collapsed="false">
      <c r="A181" s="100"/>
      <c r="B181" s="317" t="s">
        <v>290</v>
      </c>
      <c r="C181" s="0"/>
      <c r="D181" s="100"/>
      <c r="E181" s="100" t="n">
        <f aca="false">$E$144/1000*$F$30*E114</f>
        <v>5.3544</v>
      </c>
      <c r="F181" s="100" t="n">
        <f aca="false">$E$144/1000*$F$30*F114</f>
        <v>5.3544</v>
      </c>
      <c r="G181" s="100" t="n">
        <f aca="false">$E$144/1000*$F$30*G114</f>
        <v>5.3544</v>
      </c>
      <c r="H181" s="100" t="n">
        <f aca="false">$E$144/1000*$F$30*H114</f>
        <v>5.3544</v>
      </c>
      <c r="I181" s="100" t="n">
        <f aca="false">$E$144/1000*$F$30*I114</f>
        <v>5.3544</v>
      </c>
      <c r="J181" s="100" t="n">
        <f aca="false">$E$144/1000*$F$30*J114</f>
        <v>5.3544</v>
      </c>
      <c r="K181" s="100" t="n">
        <f aca="false">$E$144/1000*$F$30*K114</f>
        <v>5.3544</v>
      </c>
      <c r="L181" s="100" t="n">
        <f aca="false">$E$144/1000*$F$30*L114</f>
        <v>5.3544</v>
      </c>
      <c r="M181" s="100" t="n">
        <f aca="false">$E$144/1000*$F$30*M114</f>
        <v>5.3544</v>
      </c>
      <c r="N181" s="100" t="n">
        <f aca="false">$E$144/1000*$F$30*N114</f>
        <v>5.3544</v>
      </c>
      <c r="O181" s="100" t="n">
        <f aca="false">$E$144/1000*$F$30*O114</f>
        <v>5.3544</v>
      </c>
      <c r="P181" s="100" t="n">
        <f aca="false">$E$144/1000*$F$30*P114</f>
        <v>5.3544</v>
      </c>
      <c r="Q181" s="100" t="n">
        <f aca="false">$E$144/1000*$F$30*Q114</f>
        <v>5.3544</v>
      </c>
      <c r="R181" s="100" t="n">
        <f aca="false">$E$144/1000*$F$30*R114</f>
        <v>5.3544</v>
      </c>
      <c r="S181" s="100" t="n">
        <f aca="false">$E$144/1000*$F$30*S114</f>
        <v>5.3544</v>
      </c>
      <c r="T181" s="100" t="n">
        <f aca="false">$E$144/1000*$F$30*T114</f>
        <v>5.3544</v>
      </c>
      <c r="U181" s="100" t="n">
        <f aca="false">$E$144/1000*$F$30*U114</f>
        <v>5.3544</v>
      </c>
      <c r="V181" s="100" t="n">
        <f aca="false">$E$144/1000*$F$30*V114</f>
        <v>5.3544</v>
      </c>
      <c r="W181" s="100" t="n">
        <f aca="false">$E$144/1000*$F$30*W114</f>
        <v>5.3544</v>
      </c>
      <c r="X181" s="100" t="n">
        <f aca="false">$E$144/1000*$F$30*X114</f>
        <v>5.3544</v>
      </c>
      <c r="Y181" s="100" t="n">
        <f aca="false">$E$144/1000*$F$30*Y114</f>
        <v>5.3544</v>
      </c>
      <c r="Z181" s="100" t="n">
        <f aca="false">$E$144/1000*$F$30*Z114</f>
        <v>5.3544</v>
      </c>
      <c r="AA181" s="100" t="n">
        <f aca="false">$E$144/1000*$F$30*AA114</f>
        <v>5.3544</v>
      </c>
      <c r="AB181" s="100" t="n">
        <f aca="false">$E$144/1000*$F$30*AB114</f>
        <v>5.3544</v>
      </c>
      <c r="AC181" s="100" t="n">
        <f aca="false">$E$144/1000*$F$30*AC114</f>
        <v>5.3544</v>
      </c>
      <c r="AD181" s="100" t="n">
        <f aca="false">$E$144/1000*$F$30*AD114</f>
        <v>5.3544</v>
      </c>
      <c r="AE181" s="100" t="n">
        <f aca="false">$E$144/1000*$F$30*AE114</f>
        <v>5.3544</v>
      </c>
      <c r="AF181" s="100" t="n">
        <f aca="false">$E$144/1000*$F$30*AF114</f>
        <v>5.3544</v>
      </c>
      <c r="AG181" s="100" t="n">
        <f aca="false">$E$144/1000*$F$30*AG114</f>
        <v>5.3544</v>
      </c>
      <c r="AH181" s="100" t="n">
        <f aca="false">$E$144/1000*$F$30*AH114</f>
        <v>5.3544</v>
      </c>
      <c r="AI181" s="100" t="n">
        <f aca="false">$E$144/1000*$F$30*AI114</f>
        <v>5.3544</v>
      </c>
      <c r="AJ181" s="100"/>
      <c r="AK181" s="100"/>
      <c r="AL181" s="100"/>
      <c r="AM181" s="100"/>
      <c r="AN181" s="100"/>
      <c r="AO181" s="100"/>
      <c r="AP181" s="100"/>
      <c r="AQ181" s="100"/>
      <c r="AR181" s="100"/>
      <c r="AS181" s="100"/>
      <c r="AT181" s="100"/>
      <c r="AU181" s="100"/>
      <c r="AV181" s="100"/>
      <c r="AW181" s="100"/>
      <c r="AX181" s="100"/>
      <c r="AY181" s="100"/>
      <c r="AZ181" s="100"/>
      <c r="BA181" s="100"/>
      <c r="BB181" s="100"/>
      <c r="BC181" s="100"/>
      <c r="BD181" s="100"/>
      <c r="BE181" s="100"/>
      <c r="BF181" s="100"/>
      <c r="BG181" s="100"/>
      <c r="BH181" s="100"/>
      <c r="BI181" s="100"/>
      <c r="BJ181" s="100"/>
      <c r="BK181" s="100"/>
      <c r="BL181" s="100"/>
      <c r="BM181" s="100"/>
      <c r="BN181" s="100"/>
      <c r="BO181" s="100"/>
      <c r="BP181" s="100"/>
      <c r="BQ181" s="100"/>
      <c r="BR181" s="100"/>
      <c r="BS181" s="100"/>
      <c r="BT181" s="100"/>
      <c r="BU181" s="100"/>
      <c r="BV181" s="100"/>
      <c r="BW181" s="100"/>
      <c r="BX181" s="100"/>
      <c r="BY181" s="100"/>
      <c r="BZ181" s="100"/>
      <c r="CA181" s="100"/>
      <c r="CB181" s="100"/>
      <c r="CC181" s="100"/>
      <c r="CD181" s="100"/>
      <c r="CE181" s="100"/>
      <c r="CF181" s="100"/>
      <c r="CG181" s="100"/>
      <c r="CH181" s="100"/>
      <c r="CI181" s="100"/>
      <c r="CJ181" s="100"/>
      <c r="CK181" s="100"/>
      <c r="CL181" s="100"/>
      <c r="CM181" s="100"/>
      <c r="CN181" s="100"/>
      <c r="CO181" s="100"/>
      <c r="CP181" s="100"/>
      <c r="CQ181" s="100"/>
      <c r="CR181" s="100"/>
      <c r="CS181" s="100"/>
      <c r="CT181" s="100"/>
      <c r="CU181" s="100"/>
      <c r="CV181" s="100"/>
      <c r="CW181" s="100"/>
      <c r="CX181" s="100"/>
      <c r="CY181" s="100"/>
      <c r="CZ181" s="100"/>
      <c r="DA181" s="100"/>
      <c r="DB181" s="100"/>
      <c r="DC181" s="100"/>
      <c r="DD181" s="100"/>
      <c r="DE181" s="100"/>
      <c r="DF181" s="100"/>
      <c r="DG181" s="100"/>
      <c r="DH181" s="100"/>
      <c r="DI181" s="100"/>
      <c r="DJ181" s="100"/>
      <c r="DK181" s="100"/>
      <c r="DL181" s="100"/>
      <c r="DM181" s="100"/>
      <c r="DN181" s="100"/>
      <c r="DO181" s="100"/>
      <c r="DP181" s="100"/>
      <c r="DQ181" s="100"/>
      <c r="DR181" s="100"/>
      <c r="DS181" s="100"/>
      <c r="DT181" s="100"/>
      <c r="DU181" s="100"/>
      <c r="DV181" s="100"/>
      <c r="DW181" s="100"/>
      <c r="DX181" s="100"/>
      <c r="DY181" s="100"/>
      <c r="DZ181" s="100"/>
      <c r="EA181" s="100"/>
      <c r="EB181" s="100"/>
      <c r="EC181" s="100"/>
      <c r="ED181" s="100"/>
      <c r="EE181" s="100"/>
      <c r="EF181" s="100"/>
      <c r="EG181" s="100"/>
      <c r="EH181" s="100"/>
      <c r="EI181" s="100"/>
      <c r="EJ181" s="100"/>
      <c r="EK181" s="100"/>
      <c r="EL181" s="100"/>
      <c r="EM181" s="100"/>
      <c r="EN181" s="100"/>
      <c r="EO181" s="100"/>
      <c r="EP181" s="100"/>
      <c r="EQ181" s="100"/>
      <c r="ER181" s="100"/>
      <c r="ES181" s="100"/>
      <c r="ET181" s="100"/>
      <c r="EU181" s="100"/>
      <c r="EV181" s="100"/>
      <c r="EW181" s="100"/>
      <c r="EX181" s="100"/>
      <c r="EY181" s="100"/>
      <c r="EZ181" s="100"/>
      <c r="FA181" s="100"/>
      <c r="FB181" s="100"/>
      <c r="FC181" s="100"/>
      <c r="FD181" s="100"/>
      <c r="FE181" s="100"/>
      <c r="FF181" s="100"/>
      <c r="FG181" s="100"/>
      <c r="FH181" s="100"/>
      <c r="FI181" s="100"/>
      <c r="FJ181" s="100"/>
      <c r="FK181" s="100"/>
      <c r="FL181" s="100"/>
      <c r="FM181" s="100"/>
      <c r="FN181" s="100"/>
      <c r="FO181" s="100"/>
      <c r="FP181" s="100"/>
      <c r="FQ181" s="100"/>
      <c r="FR181" s="100"/>
      <c r="FS181" s="100"/>
      <c r="FT181" s="100"/>
      <c r="FU181" s="100"/>
      <c r="FV181" s="100"/>
      <c r="FW181" s="100"/>
      <c r="FX181" s="100"/>
      <c r="FY181" s="100"/>
      <c r="FZ181" s="100"/>
      <c r="GA181" s="100"/>
      <c r="GB181" s="100"/>
      <c r="GC181" s="100"/>
      <c r="GD181" s="100"/>
      <c r="GE181" s="100"/>
      <c r="GF181" s="100"/>
      <c r="GG181" s="100"/>
      <c r="GH181" s="100"/>
      <c r="GI181" s="100"/>
      <c r="GJ181" s="100"/>
      <c r="GK181" s="100"/>
      <c r="GL181" s="100"/>
      <c r="GM181" s="100"/>
      <c r="GN181" s="100"/>
      <c r="GO181" s="100"/>
      <c r="GP181" s="100"/>
      <c r="GQ181" s="100"/>
      <c r="GR181" s="100"/>
      <c r="GS181" s="100"/>
      <c r="GT181" s="100"/>
      <c r="GU181" s="100"/>
      <c r="GV181" s="100"/>
      <c r="GW181" s="100"/>
      <c r="GX181" s="100"/>
      <c r="GY181" s="100"/>
      <c r="GZ181" s="100"/>
      <c r="HA181" s="100"/>
      <c r="HB181" s="100"/>
      <c r="HC181" s="100"/>
      <c r="HD181" s="100"/>
      <c r="HE181" s="100"/>
      <c r="HF181" s="100"/>
      <c r="HG181" s="100"/>
      <c r="HH181" s="100"/>
      <c r="HI181" s="100"/>
      <c r="HJ181" s="100"/>
      <c r="HK181" s="100"/>
      <c r="HL181" s="100"/>
      <c r="HM181" s="100"/>
      <c r="HN181" s="100"/>
      <c r="HO181" s="100"/>
      <c r="HP181" s="100"/>
      <c r="HQ181" s="100"/>
      <c r="HR181" s="100"/>
      <c r="HS181" s="100"/>
      <c r="HT181" s="100"/>
      <c r="HU181" s="100"/>
      <c r="HV181" s="100"/>
      <c r="HW181" s="100"/>
      <c r="HX181" s="100"/>
      <c r="HY181" s="100"/>
      <c r="HZ181" s="100"/>
      <c r="IA181" s="100"/>
      <c r="IB181" s="100"/>
      <c r="IC181" s="100"/>
      <c r="ID181" s="100"/>
      <c r="IE181" s="100"/>
      <c r="IF181" s="100"/>
      <c r="IG181" s="100"/>
      <c r="IH181" s="100"/>
      <c r="II181" s="100"/>
      <c r="IJ181" s="100"/>
      <c r="IK181" s="100"/>
      <c r="IL181" s="100"/>
      <c r="IM181" s="100"/>
      <c r="IN181" s="100"/>
      <c r="IO181" s="100"/>
      <c r="IP181" s="100"/>
      <c r="IQ181" s="100"/>
      <c r="IR181" s="100"/>
      <c r="IS181" s="100"/>
      <c r="IT181" s="100"/>
      <c r="IU181" s="100"/>
      <c r="IV181" s="100"/>
      <c r="IW181" s="100"/>
    </row>
    <row r="182" customFormat="false" ht="12.75" hidden="false" customHeight="false" outlineLevel="0" collapsed="false">
      <c r="A182" s="100"/>
      <c r="B182" s="317" t="s">
        <v>291</v>
      </c>
      <c r="C182" s="0"/>
      <c r="D182" s="100"/>
      <c r="E182" s="100" t="n">
        <f aca="false">$E$147*CashFlow!E13</f>
        <v>0</v>
      </c>
      <c r="F182" s="100" t="n">
        <f aca="false">$E$147*CashFlow!F13</f>
        <v>0</v>
      </c>
      <c r="G182" s="100" t="n">
        <f aca="false">$E$147*CashFlow!G13</f>
        <v>0</v>
      </c>
      <c r="H182" s="100" t="n">
        <f aca="false">$E$147*CashFlow!H13</f>
        <v>0</v>
      </c>
      <c r="I182" s="100" t="n">
        <f aca="false">$E$147*CashFlow!I13</f>
        <v>0</v>
      </c>
      <c r="J182" s="100" t="n">
        <f aca="false">$E$147*CashFlow!J13</f>
        <v>0</v>
      </c>
      <c r="K182" s="100" t="n">
        <f aca="false">$E$147*CashFlow!K13</f>
        <v>0</v>
      </c>
      <c r="L182" s="100" t="n">
        <f aca="false">$E$147*CashFlow!L13</f>
        <v>0</v>
      </c>
      <c r="M182" s="100" t="n">
        <f aca="false">$E$147*CashFlow!M13</f>
        <v>0</v>
      </c>
      <c r="N182" s="100" t="n">
        <f aca="false">$E$147*CashFlow!N13</f>
        <v>0</v>
      </c>
      <c r="O182" s="100" t="n">
        <f aca="false">$E$147*CashFlow!O13</f>
        <v>0</v>
      </c>
      <c r="P182" s="100" t="n">
        <f aca="false">$E$147*CashFlow!P13</f>
        <v>0</v>
      </c>
      <c r="Q182" s="100" t="n">
        <f aca="false">$E$147*CashFlow!Q13</f>
        <v>0</v>
      </c>
      <c r="R182" s="100" t="n">
        <f aca="false">$E$147*CashFlow!R13</f>
        <v>0</v>
      </c>
      <c r="S182" s="100" t="n">
        <f aca="false">$E$147*CashFlow!S13</f>
        <v>0</v>
      </c>
      <c r="T182" s="100" t="n">
        <f aca="false">$E$147*CashFlow!T13</f>
        <v>0</v>
      </c>
      <c r="U182" s="100" t="n">
        <f aca="false">$E$147*CashFlow!U13</f>
        <v>0</v>
      </c>
      <c r="V182" s="100" t="n">
        <f aca="false">$E$147*CashFlow!V13</f>
        <v>0</v>
      </c>
      <c r="W182" s="100" t="n">
        <f aca="false">$E$147*CashFlow!W13</f>
        <v>0</v>
      </c>
      <c r="X182" s="100" t="n">
        <f aca="false">$E$147*CashFlow!X13</f>
        <v>0</v>
      </c>
      <c r="Y182" s="100" t="n">
        <f aca="false">$E$147*CashFlow!Y13</f>
        <v>0</v>
      </c>
      <c r="Z182" s="100" t="n">
        <f aca="false">$E$147*CashFlow!Z13</f>
        <v>0</v>
      </c>
      <c r="AA182" s="100" t="n">
        <f aca="false">$E$147*CashFlow!AA13</f>
        <v>0</v>
      </c>
      <c r="AB182" s="100" t="n">
        <f aca="false">$E$147*CashFlow!AB13</f>
        <v>0</v>
      </c>
      <c r="AC182" s="100" t="n">
        <f aca="false">$E$147*CashFlow!AC13</f>
        <v>0</v>
      </c>
      <c r="AD182" s="100" t="n">
        <f aca="false">$E$147*CashFlow!AD13</f>
        <v>0</v>
      </c>
      <c r="AE182" s="100" t="n">
        <f aca="false">$E$147*CashFlow!AE13</f>
        <v>0</v>
      </c>
      <c r="AF182" s="100" t="n">
        <f aca="false">$E$147*CashFlow!AF13</f>
        <v>0</v>
      </c>
      <c r="AG182" s="100" t="n">
        <f aca="false">$E$147*CashFlow!AG13</f>
        <v>0</v>
      </c>
      <c r="AH182" s="100" t="n">
        <f aca="false">$E$147*CashFlow!AH13</f>
        <v>0</v>
      </c>
      <c r="AI182" s="100" t="n">
        <f aca="false">$E$147*CashFlow!AI13</f>
        <v>0</v>
      </c>
      <c r="AJ182" s="100"/>
      <c r="AK182" s="100"/>
      <c r="AL182" s="100"/>
      <c r="AM182" s="100"/>
      <c r="AN182" s="100"/>
      <c r="AO182" s="100"/>
      <c r="AP182" s="100"/>
      <c r="AQ182" s="100"/>
      <c r="AR182" s="100"/>
      <c r="AS182" s="100"/>
      <c r="AT182" s="100"/>
      <c r="AU182" s="100"/>
      <c r="AV182" s="100"/>
      <c r="AW182" s="100"/>
      <c r="AX182" s="100"/>
      <c r="AY182" s="100"/>
      <c r="AZ182" s="100"/>
      <c r="BA182" s="100"/>
      <c r="BB182" s="100"/>
      <c r="BC182" s="100"/>
      <c r="BD182" s="100"/>
      <c r="BE182" s="100"/>
      <c r="BF182" s="100"/>
      <c r="BG182" s="100"/>
      <c r="BH182" s="100"/>
      <c r="BI182" s="100"/>
      <c r="BJ182" s="100"/>
      <c r="BK182" s="100"/>
      <c r="BL182" s="100"/>
      <c r="BM182" s="100"/>
      <c r="BN182" s="100"/>
      <c r="BO182" s="100"/>
      <c r="BP182" s="100"/>
      <c r="BQ182" s="100"/>
      <c r="BR182" s="100"/>
      <c r="BS182" s="100"/>
      <c r="BT182" s="100"/>
      <c r="BU182" s="100"/>
      <c r="BV182" s="100"/>
      <c r="BW182" s="100"/>
      <c r="BX182" s="100"/>
      <c r="BY182" s="100"/>
      <c r="BZ182" s="100"/>
      <c r="CA182" s="100"/>
      <c r="CB182" s="100"/>
      <c r="CC182" s="100"/>
      <c r="CD182" s="100"/>
      <c r="CE182" s="100"/>
      <c r="CF182" s="100"/>
      <c r="CG182" s="100"/>
      <c r="CH182" s="100"/>
      <c r="CI182" s="100"/>
      <c r="CJ182" s="100"/>
      <c r="CK182" s="100"/>
      <c r="CL182" s="100"/>
      <c r="CM182" s="100"/>
      <c r="CN182" s="100"/>
      <c r="CO182" s="100"/>
      <c r="CP182" s="100"/>
      <c r="CQ182" s="100"/>
      <c r="CR182" s="100"/>
      <c r="CS182" s="100"/>
      <c r="CT182" s="100"/>
      <c r="CU182" s="100"/>
      <c r="CV182" s="100"/>
      <c r="CW182" s="100"/>
      <c r="CX182" s="100"/>
      <c r="CY182" s="100"/>
      <c r="CZ182" s="100"/>
      <c r="DA182" s="100"/>
      <c r="DB182" s="100"/>
      <c r="DC182" s="100"/>
      <c r="DD182" s="100"/>
      <c r="DE182" s="100"/>
      <c r="DF182" s="100"/>
      <c r="DG182" s="100"/>
      <c r="DH182" s="100"/>
      <c r="DI182" s="100"/>
      <c r="DJ182" s="100"/>
      <c r="DK182" s="100"/>
      <c r="DL182" s="100"/>
      <c r="DM182" s="100"/>
      <c r="DN182" s="100"/>
      <c r="DO182" s="100"/>
      <c r="DP182" s="100"/>
      <c r="DQ182" s="100"/>
      <c r="DR182" s="100"/>
      <c r="DS182" s="100"/>
      <c r="DT182" s="100"/>
      <c r="DU182" s="100"/>
      <c r="DV182" s="100"/>
      <c r="DW182" s="100"/>
      <c r="DX182" s="100"/>
      <c r="DY182" s="100"/>
      <c r="DZ182" s="100"/>
      <c r="EA182" s="100"/>
      <c r="EB182" s="100"/>
      <c r="EC182" s="100"/>
      <c r="ED182" s="100"/>
      <c r="EE182" s="100"/>
      <c r="EF182" s="100"/>
      <c r="EG182" s="100"/>
      <c r="EH182" s="100"/>
      <c r="EI182" s="100"/>
      <c r="EJ182" s="100"/>
      <c r="EK182" s="100"/>
      <c r="EL182" s="100"/>
      <c r="EM182" s="100"/>
      <c r="EN182" s="100"/>
      <c r="EO182" s="100"/>
      <c r="EP182" s="100"/>
      <c r="EQ182" s="100"/>
      <c r="ER182" s="100"/>
      <c r="ES182" s="100"/>
      <c r="ET182" s="100"/>
      <c r="EU182" s="100"/>
      <c r="EV182" s="100"/>
      <c r="EW182" s="100"/>
      <c r="EX182" s="100"/>
      <c r="EY182" s="100"/>
      <c r="EZ182" s="100"/>
      <c r="FA182" s="100"/>
      <c r="FB182" s="100"/>
      <c r="FC182" s="100"/>
      <c r="FD182" s="100"/>
      <c r="FE182" s="100"/>
      <c r="FF182" s="100"/>
      <c r="FG182" s="100"/>
      <c r="FH182" s="100"/>
      <c r="FI182" s="100"/>
      <c r="FJ182" s="100"/>
      <c r="FK182" s="100"/>
      <c r="FL182" s="100"/>
      <c r="FM182" s="100"/>
      <c r="FN182" s="100"/>
      <c r="FO182" s="100"/>
      <c r="FP182" s="100"/>
      <c r="FQ182" s="100"/>
      <c r="FR182" s="100"/>
      <c r="FS182" s="100"/>
      <c r="FT182" s="100"/>
      <c r="FU182" s="100"/>
      <c r="FV182" s="100"/>
      <c r="FW182" s="100"/>
      <c r="FX182" s="100"/>
      <c r="FY182" s="100"/>
      <c r="FZ182" s="100"/>
      <c r="GA182" s="100"/>
      <c r="GB182" s="100"/>
      <c r="GC182" s="100"/>
      <c r="GD182" s="100"/>
      <c r="GE182" s="100"/>
      <c r="GF182" s="100"/>
      <c r="GG182" s="100"/>
      <c r="GH182" s="100"/>
      <c r="GI182" s="100"/>
      <c r="GJ182" s="100"/>
      <c r="GK182" s="100"/>
      <c r="GL182" s="100"/>
      <c r="GM182" s="100"/>
      <c r="GN182" s="100"/>
      <c r="GO182" s="100"/>
      <c r="GP182" s="100"/>
      <c r="GQ182" s="100"/>
      <c r="GR182" s="100"/>
      <c r="GS182" s="100"/>
      <c r="GT182" s="100"/>
      <c r="GU182" s="100"/>
      <c r="GV182" s="100"/>
      <c r="GW182" s="100"/>
      <c r="GX182" s="100"/>
      <c r="GY182" s="100"/>
      <c r="GZ182" s="100"/>
      <c r="HA182" s="100"/>
      <c r="HB182" s="100"/>
      <c r="HC182" s="100"/>
      <c r="HD182" s="100"/>
      <c r="HE182" s="100"/>
      <c r="HF182" s="100"/>
      <c r="HG182" s="100"/>
      <c r="HH182" s="100"/>
      <c r="HI182" s="100"/>
      <c r="HJ182" s="100"/>
      <c r="HK182" s="100"/>
      <c r="HL182" s="100"/>
      <c r="HM182" s="100"/>
      <c r="HN182" s="100"/>
      <c r="HO182" s="100"/>
      <c r="HP182" s="100"/>
      <c r="HQ182" s="100"/>
      <c r="HR182" s="100"/>
      <c r="HS182" s="100"/>
      <c r="HT182" s="100"/>
      <c r="HU182" s="100"/>
      <c r="HV182" s="100"/>
      <c r="HW182" s="100"/>
      <c r="HX182" s="100"/>
      <c r="HY182" s="100"/>
      <c r="HZ182" s="100"/>
      <c r="IA182" s="100"/>
      <c r="IB182" s="100"/>
      <c r="IC182" s="100"/>
      <c r="ID182" s="100"/>
      <c r="IE182" s="100"/>
      <c r="IF182" s="100"/>
      <c r="IG182" s="100"/>
      <c r="IH182" s="100"/>
      <c r="II182" s="100"/>
      <c r="IJ182" s="100"/>
      <c r="IK182" s="100"/>
      <c r="IL182" s="100"/>
      <c r="IM182" s="100"/>
      <c r="IN182" s="100"/>
      <c r="IO182" s="100"/>
      <c r="IP182" s="100"/>
      <c r="IQ182" s="100"/>
      <c r="IR182" s="100"/>
      <c r="IS182" s="100"/>
      <c r="IT182" s="100"/>
      <c r="IU182" s="100"/>
      <c r="IV182" s="100"/>
      <c r="IW182" s="100"/>
    </row>
    <row r="183" customFormat="false" ht="12.75" hidden="false" customHeight="false" outlineLevel="0" collapsed="false">
      <c r="A183" s="100"/>
      <c r="B183" s="317" t="s">
        <v>292</v>
      </c>
      <c r="C183" s="0"/>
      <c r="D183" s="100"/>
      <c r="E183" s="100" t="n">
        <f aca="false">F147</f>
        <v>200</v>
      </c>
      <c r="F183" s="100" t="n">
        <f aca="false">E183*(1+HLOOKUP(E178,INFL,7))</f>
        <v>204.6</v>
      </c>
      <c r="G183" s="100" t="n">
        <f aca="false">F183*(1+HLOOKUP(F178,INFL,7))</f>
        <v>209.1012</v>
      </c>
      <c r="H183" s="100" t="n">
        <f aca="false">G183*(1+HLOOKUP(G178,INFL,7))</f>
        <v>213.5968758</v>
      </c>
      <c r="I183" s="100" t="n">
        <f aca="false">H183*(1+HLOOKUP(H178,INFL,7))</f>
        <v>218.0824101918</v>
      </c>
      <c r="J183" s="100" t="n">
        <f aca="false">I183*(1+HLOOKUP(I178,INFL,7))</f>
        <v>222.487674877674</v>
      </c>
      <c r="K183" s="100" t="n">
        <f aca="false">J183*(1+HLOOKUP(J178,INFL,7))</f>
        <v>226.870682072765</v>
      </c>
      <c r="L183" s="100" t="n">
        <f aca="false">K183*(1+HLOOKUP(K178,INFL,7))</f>
        <v>231.226599168562</v>
      </c>
      <c r="M183" s="100" t="n">
        <f aca="false">L183*(1+HLOOKUP(L178,INFL,7))</f>
        <v>235.573659232931</v>
      </c>
      <c r="N183" s="100" t="n">
        <f aca="false">M183*(1+HLOOKUP(M178,INFL,7))</f>
        <v>239.908214562817</v>
      </c>
      <c r="O183" s="100" t="n">
        <f aca="false">N183*(1+HLOOKUP(N178,INFL,7))</f>
        <v>244.27454406786</v>
      </c>
      <c r="P183" s="100" t="n">
        <f aca="false">O183*(1+HLOOKUP(O178,INFL,7))</f>
        <v>248.671485861081</v>
      </c>
      <c r="Q183" s="100" t="n">
        <f aca="false">P183*(1+HLOOKUP(P178,INFL,7))</f>
        <v>253.222174052339</v>
      </c>
      <c r="R183" s="100" t="n">
        <f aca="false">Q183*(1+HLOOKUP(Q178,INFL,7))</f>
        <v>257.957428707118</v>
      </c>
      <c r="S183" s="100" t="n">
        <f aca="false">R183*(1+HLOOKUP(R178,INFL,7))</f>
        <v>262.884415595424</v>
      </c>
      <c r="T183" s="100" t="n">
        <f aca="false">S183*(1+HLOOKUP(S178,INFL,7))</f>
        <v>268.063238582654</v>
      </c>
      <c r="U183" s="100" t="n">
        <f aca="false">T183*(1+HLOOKUP(T178,INFL,7))</f>
        <v>273.451309678165</v>
      </c>
      <c r="V183" s="100" t="n">
        <f aca="false">U183*(1+HLOOKUP(U178,INFL,7))</f>
        <v>279.0297163956</v>
      </c>
      <c r="W183" s="100" t="n">
        <f aca="false">V183*(1+HLOOKUP(V178,INFL,7))</f>
        <v>284.945146383186</v>
      </c>
      <c r="X183" s="100" t="n">
        <f aca="false">W183*(1+HLOOKUP(W178,INFL,7))</f>
        <v>291.213939603616</v>
      </c>
      <c r="Y183" s="100" t="n">
        <f aca="false">X183*(1+HLOOKUP(X178,INFL,7))</f>
        <v>298.057467184301</v>
      </c>
      <c r="Z183" s="100" t="n">
        <f aca="false">Y183*(1+HLOOKUP(Y178,INFL,7))</f>
        <v>305.240652143443</v>
      </c>
      <c r="AA183" s="100" t="n">
        <f aca="false">Z183*(1+HLOOKUP(Z178,INFL,7))</f>
        <v>312.8106203166</v>
      </c>
      <c r="AB183" s="100" t="n">
        <f aca="false">AA183*(1+HLOOKUP(AA178,INFL,7))</f>
        <v>320.568323700452</v>
      </c>
      <c r="AC183" s="100" t="n">
        <f aca="false">AB183*(1+HLOOKUP(AB178,INFL,7))</f>
        <v>328.518418128223</v>
      </c>
      <c r="AD183" s="100" t="n">
        <f aca="false">AC183*(1+HLOOKUP(AC178,INFL,7))</f>
        <v>336.665674897803</v>
      </c>
      <c r="AE183" s="100" t="n">
        <f aca="false">AD183*(1+HLOOKUP(AD178,INFL,7))</f>
        <v>345.014983635269</v>
      </c>
      <c r="AF183" s="100" t="n">
        <f aca="false">AE183*(1+HLOOKUP(AE178,INFL,7))</f>
        <v>353.571355229423</v>
      </c>
      <c r="AG183" s="100" t="n">
        <f aca="false">AF183*(1+HLOOKUP(AF178,INFL,7))</f>
        <v>362.339924839113</v>
      </c>
      <c r="AH183" s="100" t="n">
        <f aca="false">AG183*(1+HLOOKUP(AG178,INFL,7))</f>
        <v>371.325954975123</v>
      </c>
      <c r="AI183" s="100" t="n">
        <f aca="false">AH183*(1+HLOOKUP(AH178,INFL,7))</f>
        <v>380.534838658506</v>
      </c>
      <c r="AJ183" s="100"/>
      <c r="AK183" s="100"/>
      <c r="AL183" s="100"/>
      <c r="AM183" s="100"/>
      <c r="AN183" s="100"/>
      <c r="AO183" s="100"/>
      <c r="AP183" s="100"/>
      <c r="AQ183" s="100"/>
      <c r="AR183" s="100"/>
      <c r="AS183" s="100"/>
      <c r="AT183" s="100"/>
      <c r="AU183" s="100"/>
      <c r="AV183" s="100"/>
      <c r="AW183" s="100"/>
      <c r="AX183" s="100"/>
      <c r="AY183" s="100"/>
      <c r="AZ183" s="100"/>
      <c r="BA183" s="100"/>
      <c r="BB183" s="100"/>
      <c r="BC183" s="100"/>
      <c r="BD183" s="100"/>
      <c r="BE183" s="100"/>
      <c r="BF183" s="100"/>
      <c r="BG183" s="100"/>
      <c r="BH183" s="100"/>
      <c r="BI183" s="100"/>
      <c r="BJ183" s="100"/>
      <c r="BK183" s="100"/>
      <c r="BL183" s="100"/>
      <c r="BM183" s="100"/>
      <c r="BN183" s="100"/>
      <c r="BO183" s="100"/>
      <c r="BP183" s="100"/>
      <c r="BQ183" s="100"/>
      <c r="BR183" s="100"/>
      <c r="BS183" s="100"/>
      <c r="BT183" s="100"/>
      <c r="BU183" s="100"/>
      <c r="BV183" s="100"/>
      <c r="BW183" s="100"/>
      <c r="BX183" s="100"/>
      <c r="BY183" s="100"/>
      <c r="BZ183" s="100"/>
      <c r="CA183" s="100"/>
      <c r="CB183" s="100"/>
      <c r="CC183" s="100"/>
      <c r="CD183" s="100"/>
      <c r="CE183" s="100"/>
      <c r="CF183" s="100"/>
      <c r="CG183" s="100"/>
      <c r="CH183" s="100"/>
      <c r="CI183" s="100"/>
      <c r="CJ183" s="100"/>
      <c r="CK183" s="100"/>
      <c r="CL183" s="100"/>
      <c r="CM183" s="100"/>
      <c r="CN183" s="100"/>
      <c r="CO183" s="100"/>
      <c r="CP183" s="100"/>
      <c r="CQ183" s="100"/>
      <c r="CR183" s="100"/>
      <c r="CS183" s="100"/>
      <c r="CT183" s="100"/>
      <c r="CU183" s="100"/>
      <c r="CV183" s="100"/>
      <c r="CW183" s="100"/>
      <c r="CX183" s="100"/>
      <c r="CY183" s="100"/>
      <c r="CZ183" s="100"/>
      <c r="DA183" s="100"/>
      <c r="DB183" s="100"/>
      <c r="DC183" s="100"/>
      <c r="DD183" s="100"/>
      <c r="DE183" s="100"/>
      <c r="DF183" s="100"/>
      <c r="DG183" s="100"/>
      <c r="DH183" s="100"/>
      <c r="DI183" s="100"/>
      <c r="DJ183" s="100"/>
      <c r="DK183" s="100"/>
      <c r="DL183" s="100"/>
      <c r="DM183" s="100"/>
      <c r="DN183" s="100"/>
      <c r="DO183" s="100"/>
      <c r="DP183" s="100"/>
      <c r="DQ183" s="100"/>
      <c r="DR183" s="100"/>
      <c r="DS183" s="100"/>
      <c r="DT183" s="100"/>
      <c r="DU183" s="100"/>
      <c r="DV183" s="100"/>
      <c r="DW183" s="100"/>
      <c r="DX183" s="100"/>
      <c r="DY183" s="100"/>
      <c r="DZ183" s="100"/>
      <c r="EA183" s="100"/>
      <c r="EB183" s="100"/>
      <c r="EC183" s="100"/>
      <c r="ED183" s="100"/>
      <c r="EE183" s="100"/>
      <c r="EF183" s="100"/>
      <c r="EG183" s="100"/>
      <c r="EH183" s="100"/>
      <c r="EI183" s="100"/>
      <c r="EJ183" s="100"/>
      <c r="EK183" s="100"/>
      <c r="EL183" s="100"/>
      <c r="EM183" s="100"/>
      <c r="EN183" s="100"/>
      <c r="EO183" s="100"/>
      <c r="EP183" s="100"/>
      <c r="EQ183" s="100"/>
      <c r="ER183" s="100"/>
      <c r="ES183" s="100"/>
      <c r="ET183" s="100"/>
      <c r="EU183" s="100"/>
      <c r="EV183" s="100"/>
      <c r="EW183" s="100"/>
      <c r="EX183" s="100"/>
      <c r="EY183" s="100"/>
      <c r="EZ183" s="100"/>
      <c r="FA183" s="100"/>
      <c r="FB183" s="100"/>
      <c r="FC183" s="100"/>
      <c r="FD183" s="100"/>
      <c r="FE183" s="100"/>
      <c r="FF183" s="100"/>
      <c r="FG183" s="100"/>
      <c r="FH183" s="100"/>
      <c r="FI183" s="100"/>
      <c r="FJ183" s="100"/>
      <c r="FK183" s="100"/>
      <c r="FL183" s="100"/>
      <c r="FM183" s="100"/>
      <c r="FN183" s="100"/>
      <c r="FO183" s="100"/>
      <c r="FP183" s="100"/>
      <c r="FQ183" s="100"/>
      <c r="FR183" s="100"/>
      <c r="FS183" s="100"/>
      <c r="FT183" s="100"/>
      <c r="FU183" s="100"/>
      <c r="FV183" s="100"/>
      <c r="FW183" s="100"/>
      <c r="FX183" s="100"/>
      <c r="FY183" s="100"/>
      <c r="FZ183" s="100"/>
      <c r="GA183" s="100"/>
      <c r="GB183" s="100"/>
      <c r="GC183" s="100"/>
      <c r="GD183" s="100"/>
      <c r="GE183" s="100"/>
      <c r="GF183" s="100"/>
      <c r="GG183" s="100"/>
      <c r="GH183" s="100"/>
      <c r="GI183" s="100"/>
      <c r="GJ183" s="100"/>
      <c r="GK183" s="100"/>
      <c r="GL183" s="100"/>
      <c r="GM183" s="100"/>
      <c r="GN183" s="100"/>
      <c r="GO183" s="100"/>
      <c r="GP183" s="100"/>
      <c r="GQ183" s="100"/>
      <c r="GR183" s="100"/>
      <c r="GS183" s="100"/>
      <c r="GT183" s="100"/>
      <c r="GU183" s="100"/>
      <c r="GV183" s="100"/>
      <c r="GW183" s="100"/>
      <c r="GX183" s="100"/>
      <c r="GY183" s="100"/>
      <c r="GZ183" s="100"/>
      <c r="HA183" s="100"/>
      <c r="HB183" s="100"/>
      <c r="HC183" s="100"/>
      <c r="HD183" s="100"/>
      <c r="HE183" s="100"/>
      <c r="HF183" s="100"/>
      <c r="HG183" s="100"/>
      <c r="HH183" s="100"/>
      <c r="HI183" s="100"/>
      <c r="HJ183" s="100"/>
      <c r="HK183" s="100"/>
      <c r="HL183" s="100"/>
      <c r="HM183" s="100"/>
      <c r="HN183" s="100"/>
      <c r="HO183" s="100"/>
      <c r="HP183" s="100"/>
      <c r="HQ183" s="100"/>
      <c r="HR183" s="100"/>
      <c r="HS183" s="100"/>
      <c r="HT183" s="100"/>
      <c r="HU183" s="100"/>
      <c r="HV183" s="100"/>
      <c r="HW183" s="100"/>
      <c r="HX183" s="100"/>
      <c r="HY183" s="100"/>
      <c r="HZ183" s="100"/>
      <c r="IA183" s="100"/>
      <c r="IB183" s="100"/>
      <c r="IC183" s="100"/>
      <c r="ID183" s="100"/>
      <c r="IE183" s="100"/>
      <c r="IF183" s="100"/>
      <c r="IG183" s="100"/>
      <c r="IH183" s="100"/>
      <c r="II183" s="100"/>
      <c r="IJ183" s="100"/>
      <c r="IK183" s="100"/>
      <c r="IL183" s="100"/>
      <c r="IM183" s="100"/>
      <c r="IN183" s="100"/>
      <c r="IO183" s="100"/>
      <c r="IP183" s="100"/>
      <c r="IQ183" s="100"/>
      <c r="IR183" s="100"/>
      <c r="IS183" s="100"/>
      <c r="IT183" s="100"/>
      <c r="IU183" s="100"/>
      <c r="IV183" s="100"/>
      <c r="IW183" s="100"/>
    </row>
    <row r="184" customFormat="false" ht="12.75" hidden="false" customHeight="false" outlineLevel="0" collapsed="false">
      <c r="A184" s="100"/>
      <c r="B184" s="317" t="s">
        <v>293</v>
      </c>
      <c r="C184" s="0"/>
      <c r="D184" s="100"/>
      <c r="E184" s="100" t="n">
        <f aca="false">$E$154*$E$155*E153</f>
        <v>431.25</v>
      </c>
      <c r="F184" s="100" t="n">
        <f aca="false">$E$154*$E$155*F153</f>
        <v>414</v>
      </c>
      <c r="G184" s="100" t="n">
        <f aca="false">$E$154*$E$155*G153</f>
        <v>397.44</v>
      </c>
      <c r="H184" s="100" t="n">
        <f aca="false">$E$154*$E$155*H153</f>
        <v>381.5424</v>
      </c>
      <c r="I184" s="100" t="n">
        <f aca="false">$E$154*$E$155*I153</f>
        <v>366.280704</v>
      </c>
      <c r="J184" s="100" t="n">
        <f aca="false">$E$154*$E$155*J153</f>
        <v>351.62947584</v>
      </c>
      <c r="K184" s="100" t="n">
        <f aca="false">$E$154*$E$155*K153</f>
        <v>337.5642968064</v>
      </c>
      <c r="L184" s="100" t="n">
        <f aca="false">$E$154*$E$155*L153</f>
        <v>324.061724934144</v>
      </c>
      <c r="M184" s="100" t="n">
        <f aca="false">$E$154*$E$155*M153</f>
        <v>311.099255936778</v>
      </c>
      <c r="N184" s="100" t="n">
        <f aca="false">$E$154*$E$155*N153</f>
        <v>298.655285699307</v>
      </c>
      <c r="O184" s="100" t="n">
        <f aca="false">$E$154*$E$155*O153</f>
        <v>286.709074271335</v>
      </c>
      <c r="P184" s="100" t="n">
        <f aca="false">$E$154*$E$155*P153</f>
        <v>275.240711300481</v>
      </c>
      <c r="Q184" s="100" t="n">
        <f aca="false">$E$154*$E$155*Q153</f>
        <v>264.231082848462</v>
      </c>
      <c r="R184" s="100" t="n">
        <f aca="false">$E$154*$E$155*R153</f>
        <v>253.661839534524</v>
      </c>
      <c r="S184" s="100" t="n">
        <f aca="false">$E$154*$E$155*S153</f>
        <v>243.515365953143</v>
      </c>
      <c r="T184" s="100" t="n">
        <f aca="false">$E$154*$E$155*T153</f>
        <v>233.774751315017</v>
      </c>
      <c r="U184" s="100" t="n">
        <f aca="false">$E$154*$E$155*U153</f>
        <v>224.423761262416</v>
      </c>
      <c r="V184" s="100" t="n">
        <f aca="false">$E$154*$E$155*V153</f>
        <v>215.44681081192</v>
      </c>
      <c r="W184" s="100" t="n">
        <f aca="false">$E$154*$E$155*W153</f>
        <v>206.828938379443</v>
      </c>
      <c r="X184" s="100" t="n">
        <f aca="false">$E$154*$E$155*X153</f>
        <v>198.555780844265</v>
      </c>
      <c r="Y184" s="100" t="n">
        <f aca="false">$E$154*$E$155*Y153</f>
        <v>190.613549610494</v>
      </c>
      <c r="Z184" s="100" t="n">
        <f aca="false">$E$154*$E$155*Z153</f>
        <v>182.989007626075</v>
      </c>
      <c r="AA184" s="100" t="n">
        <f aca="false">$E$154*$E$155*AA153</f>
        <v>175.669447321032</v>
      </c>
      <c r="AB184" s="100" t="n">
        <f aca="false">$E$154*$E$155*AB153</f>
        <v>168.64266942819</v>
      </c>
      <c r="AC184" s="100" t="n">
        <f aca="false">$E$154*$E$155*AC153</f>
        <v>161.896962651063</v>
      </c>
      <c r="AD184" s="100" t="n">
        <f aca="false">$E$154*$E$155*AD153</f>
        <v>155.42108414502</v>
      </c>
      <c r="AE184" s="100" t="n">
        <f aca="false">$E$154*$E$155*AE153</f>
        <v>149.204240779219</v>
      </c>
      <c r="AF184" s="100" t="n">
        <f aca="false">$E$154*$E$155*AF153</f>
        <v>143.236071148051</v>
      </c>
      <c r="AG184" s="100" t="n">
        <f aca="false">$E$154*$E$155*AG153</f>
        <v>138</v>
      </c>
      <c r="AH184" s="100" t="n">
        <f aca="false">$E$154*$E$155*AH153</f>
        <v>138</v>
      </c>
      <c r="AI184" s="100" t="n">
        <f aca="false">$E$154*$E$155*AI153</f>
        <v>138</v>
      </c>
      <c r="AJ184" s="100"/>
      <c r="AK184" s="100"/>
      <c r="AL184" s="100"/>
      <c r="AM184" s="100"/>
      <c r="AN184" s="100"/>
      <c r="AO184" s="100"/>
      <c r="AP184" s="100"/>
      <c r="AQ184" s="100"/>
      <c r="AR184" s="100"/>
      <c r="AS184" s="100"/>
      <c r="AT184" s="100"/>
      <c r="AU184" s="100"/>
      <c r="AV184" s="100"/>
      <c r="AW184" s="100"/>
      <c r="AX184" s="100"/>
      <c r="AY184" s="100"/>
      <c r="AZ184" s="100"/>
      <c r="BA184" s="100"/>
      <c r="BB184" s="100"/>
      <c r="BC184" s="100"/>
      <c r="BD184" s="100"/>
      <c r="BE184" s="100"/>
      <c r="BF184" s="100"/>
      <c r="BG184" s="100"/>
      <c r="BH184" s="100"/>
      <c r="BI184" s="100"/>
      <c r="BJ184" s="100"/>
      <c r="BK184" s="100"/>
      <c r="BL184" s="100"/>
      <c r="BM184" s="100"/>
      <c r="BN184" s="100"/>
      <c r="BO184" s="100"/>
      <c r="BP184" s="100"/>
      <c r="BQ184" s="100"/>
      <c r="BR184" s="100"/>
      <c r="BS184" s="100"/>
      <c r="BT184" s="100"/>
      <c r="BU184" s="100"/>
      <c r="BV184" s="100"/>
      <c r="BW184" s="100"/>
      <c r="BX184" s="100"/>
      <c r="BY184" s="100"/>
      <c r="BZ184" s="100"/>
      <c r="CA184" s="100"/>
      <c r="CB184" s="100"/>
      <c r="CC184" s="100"/>
      <c r="CD184" s="100"/>
      <c r="CE184" s="100"/>
      <c r="CF184" s="100"/>
      <c r="CG184" s="100"/>
      <c r="CH184" s="100"/>
      <c r="CI184" s="100"/>
      <c r="CJ184" s="100"/>
      <c r="CK184" s="100"/>
      <c r="CL184" s="100"/>
      <c r="CM184" s="100"/>
      <c r="CN184" s="100"/>
      <c r="CO184" s="100"/>
      <c r="CP184" s="100"/>
      <c r="CQ184" s="100"/>
      <c r="CR184" s="100"/>
      <c r="CS184" s="100"/>
      <c r="CT184" s="100"/>
      <c r="CU184" s="100"/>
      <c r="CV184" s="100"/>
      <c r="CW184" s="100"/>
      <c r="CX184" s="100"/>
      <c r="CY184" s="100"/>
      <c r="CZ184" s="100"/>
      <c r="DA184" s="100"/>
      <c r="DB184" s="100"/>
      <c r="DC184" s="100"/>
      <c r="DD184" s="100"/>
      <c r="DE184" s="100"/>
      <c r="DF184" s="100"/>
      <c r="DG184" s="100"/>
      <c r="DH184" s="100"/>
      <c r="DI184" s="100"/>
      <c r="DJ184" s="100"/>
      <c r="DK184" s="100"/>
      <c r="DL184" s="100"/>
      <c r="DM184" s="100"/>
      <c r="DN184" s="100"/>
      <c r="DO184" s="100"/>
      <c r="DP184" s="100"/>
      <c r="DQ184" s="100"/>
      <c r="DR184" s="100"/>
      <c r="DS184" s="100"/>
      <c r="DT184" s="100"/>
      <c r="DU184" s="100"/>
      <c r="DV184" s="100"/>
      <c r="DW184" s="100"/>
      <c r="DX184" s="100"/>
      <c r="DY184" s="100"/>
      <c r="DZ184" s="100"/>
      <c r="EA184" s="100"/>
      <c r="EB184" s="100"/>
      <c r="EC184" s="100"/>
      <c r="ED184" s="100"/>
      <c r="EE184" s="100"/>
      <c r="EF184" s="100"/>
      <c r="EG184" s="100"/>
      <c r="EH184" s="100"/>
      <c r="EI184" s="100"/>
      <c r="EJ184" s="100"/>
      <c r="EK184" s="100"/>
      <c r="EL184" s="100"/>
      <c r="EM184" s="100"/>
      <c r="EN184" s="100"/>
      <c r="EO184" s="100"/>
      <c r="EP184" s="100"/>
      <c r="EQ184" s="100"/>
      <c r="ER184" s="100"/>
      <c r="ES184" s="100"/>
      <c r="ET184" s="100"/>
      <c r="EU184" s="100"/>
      <c r="EV184" s="100"/>
      <c r="EW184" s="100"/>
      <c r="EX184" s="100"/>
      <c r="EY184" s="100"/>
      <c r="EZ184" s="100"/>
      <c r="FA184" s="100"/>
      <c r="FB184" s="100"/>
      <c r="FC184" s="100"/>
      <c r="FD184" s="100"/>
      <c r="FE184" s="100"/>
      <c r="FF184" s="100"/>
      <c r="FG184" s="100"/>
      <c r="FH184" s="100"/>
      <c r="FI184" s="100"/>
      <c r="FJ184" s="100"/>
      <c r="FK184" s="100"/>
      <c r="FL184" s="100"/>
      <c r="FM184" s="100"/>
      <c r="FN184" s="100"/>
      <c r="FO184" s="100"/>
      <c r="FP184" s="100"/>
      <c r="FQ184" s="100"/>
      <c r="FR184" s="100"/>
      <c r="FS184" s="100"/>
      <c r="FT184" s="100"/>
      <c r="FU184" s="100"/>
      <c r="FV184" s="100"/>
      <c r="FW184" s="100"/>
      <c r="FX184" s="100"/>
      <c r="FY184" s="100"/>
      <c r="FZ184" s="100"/>
      <c r="GA184" s="100"/>
      <c r="GB184" s="100"/>
      <c r="GC184" s="100"/>
      <c r="GD184" s="100"/>
      <c r="GE184" s="100"/>
      <c r="GF184" s="100"/>
      <c r="GG184" s="100"/>
      <c r="GH184" s="100"/>
      <c r="GI184" s="100"/>
      <c r="GJ184" s="100"/>
      <c r="GK184" s="100"/>
      <c r="GL184" s="100"/>
      <c r="GM184" s="100"/>
      <c r="GN184" s="100"/>
      <c r="GO184" s="100"/>
      <c r="GP184" s="100"/>
      <c r="GQ184" s="100"/>
      <c r="GR184" s="100"/>
      <c r="GS184" s="100"/>
      <c r="GT184" s="100"/>
      <c r="GU184" s="100"/>
      <c r="GV184" s="100"/>
      <c r="GW184" s="100"/>
      <c r="GX184" s="100"/>
      <c r="GY184" s="100"/>
      <c r="GZ184" s="100"/>
      <c r="HA184" s="100"/>
      <c r="HB184" s="100"/>
      <c r="HC184" s="100"/>
      <c r="HD184" s="100"/>
      <c r="HE184" s="100"/>
      <c r="HF184" s="100"/>
      <c r="HG184" s="100"/>
      <c r="HH184" s="100"/>
      <c r="HI184" s="100"/>
      <c r="HJ184" s="100"/>
      <c r="HK184" s="100"/>
      <c r="HL184" s="100"/>
      <c r="HM184" s="100"/>
      <c r="HN184" s="100"/>
      <c r="HO184" s="100"/>
      <c r="HP184" s="100"/>
      <c r="HQ184" s="100"/>
      <c r="HR184" s="100"/>
      <c r="HS184" s="100"/>
      <c r="HT184" s="100"/>
      <c r="HU184" s="100"/>
      <c r="HV184" s="100"/>
      <c r="HW184" s="100"/>
      <c r="HX184" s="100"/>
      <c r="HY184" s="100"/>
      <c r="HZ184" s="100"/>
      <c r="IA184" s="100"/>
      <c r="IB184" s="100"/>
      <c r="IC184" s="100"/>
      <c r="ID184" s="100"/>
      <c r="IE184" s="100"/>
      <c r="IF184" s="100"/>
      <c r="IG184" s="100"/>
      <c r="IH184" s="100"/>
      <c r="II184" s="100"/>
      <c r="IJ184" s="100"/>
      <c r="IK184" s="100"/>
      <c r="IL184" s="100"/>
      <c r="IM184" s="100"/>
      <c r="IN184" s="100"/>
      <c r="IO184" s="100"/>
      <c r="IP184" s="100"/>
      <c r="IQ184" s="100"/>
      <c r="IR184" s="100"/>
      <c r="IS184" s="100"/>
      <c r="IT184" s="100"/>
      <c r="IU184" s="100"/>
      <c r="IV184" s="100"/>
      <c r="IW184" s="100"/>
    </row>
    <row r="185" customFormat="false" ht="12.75" hidden="false" customHeight="false" outlineLevel="0" collapsed="false">
      <c r="A185" s="100"/>
      <c r="B185" s="317" t="s">
        <v>294</v>
      </c>
      <c r="C185" s="0"/>
      <c r="D185" s="100"/>
      <c r="E185" s="100" t="n">
        <f aca="false">E168</f>
        <v>101.105</v>
      </c>
      <c r="F185" s="100" t="n">
        <f aca="false">E168*(1+HLOOKUP(E178,INFL,6))</f>
        <v>104.13815</v>
      </c>
      <c r="G185" s="100" t="n">
        <f aca="false">F185*(1+HLOOKUP(F178,INFL,6))</f>
        <v>107.15815635</v>
      </c>
      <c r="H185" s="100" t="n">
        <f aca="false">G185*(1+HLOOKUP(G178,INFL,6))</f>
        <v>110.212163805975</v>
      </c>
      <c r="I185" s="100" t="n">
        <f aca="false">H185*(1+HLOOKUP(H178,INFL,6))</f>
        <v>113.298104392542</v>
      </c>
      <c r="J185" s="100" t="n">
        <f aca="false">I185*(1+HLOOKUP(I178,INFL,6))</f>
        <v>116.379812832019</v>
      </c>
      <c r="K185" s="100" t="n">
        <f aca="false">J185*(1+HLOOKUP(J178,INFL,6))</f>
        <v>119.487153834634</v>
      </c>
      <c r="L185" s="100" t="n">
        <f aca="false">K185*(1+HLOOKUP(K178,INFL,6))</f>
        <v>122.617717265102</v>
      </c>
      <c r="M185" s="100" t="n">
        <f aca="false">L185*(1+HLOOKUP(L178,INFL,6))</f>
        <v>125.781254370541</v>
      </c>
      <c r="N185" s="100" t="n">
        <f aca="false">M185*(1+HLOOKUP(M178,INFL,6))</f>
        <v>128.976098231553</v>
      </c>
      <c r="O185" s="100" t="n">
        <f aca="false">N185*(1+HLOOKUP(N178,INFL,6))</f>
        <v>132.226295906988</v>
      </c>
      <c r="P185" s="100" t="n">
        <f aca="false">O185*(1+HLOOKUP(O178,INFL,6))</f>
        <v>135.531953304663</v>
      </c>
      <c r="Q185" s="100" t="n">
        <f aca="false">P185*(1+HLOOKUP(P178,INFL,6))</f>
        <v>138.960911723271</v>
      </c>
      <c r="R185" s="100" t="n">
        <f aca="false">Q185*(1+HLOOKUP(Q178,INFL,6))</f>
        <v>142.532207154559</v>
      </c>
      <c r="S185" s="100" t="n">
        <f aca="false">R185*(1+HLOOKUP(R178,INFL,6))</f>
        <v>146.252297761293</v>
      </c>
      <c r="T185" s="100" t="n">
        <f aca="false">S185*(1+HLOOKUP(S178,INFL,6))</f>
        <v>150.15723411152</v>
      </c>
      <c r="U185" s="100" t="n">
        <f aca="false">T185*(1+HLOOKUP(T178,INFL,6))</f>
        <v>154.226495155942</v>
      </c>
      <c r="V185" s="100" t="n">
        <f aca="false">U185*(1+HLOOKUP(U178,INFL,6))</f>
        <v>158.452301123215</v>
      </c>
      <c r="W185" s="100" t="n">
        <f aca="false">V185*(1+HLOOKUP(V178,INFL,6))</f>
        <v>162.920656014889</v>
      </c>
      <c r="X185" s="100" t="n">
        <f aca="false">W185*(1+HLOOKUP(W178,INFL,6))</f>
        <v>167.645355039321</v>
      </c>
      <c r="Y185" s="100" t="n">
        <f aca="false">X185*(1+HLOOKUP(X178,INFL,6))</f>
        <v>172.75853836802</v>
      </c>
      <c r="Z185" s="100" t="n">
        <f aca="false">Y185*(1+HLOOKUP(Y178,INFL,6))</f>
        <v>178.131328911266</v>
      </c>
      <c r="AA185" s="100" t="n">
        <f aca="false">Z185*(1+HLOOKUP(Z178,INFL,6))</f>
        <v>183.795905170644</v>
      </c>
      <c r="AB185" s="100" t="n">
        <f aca="false">AA185*(1+HLOOKUP(AA178,INFL,6))</f>
        <v>189.64061495507</v>
      </c>
      <c r="AC185" s="100" t="n">
        <f aca="false">AB185*(1+HLOOKUP(AB178,INFL,6))</f>
        <v>195.671186510642</v>
      </c>
      <c r="AD185" s="100" t="n">
        <f aca="false">AC185*(1+HLOOKUP(AC178,INFL,6))</f>
        <v>201.89353024168</v>
      </c>
      <c r="AE185" s="100" t="n">
        <f aca="false">AD185*(1+HLOOKUP(AD178,INFL,6))</f>
        <v>208.313744503366</v>
      </c>
      <c r="AF185" s="100" t="n">
        <f aca="false">AE185*(1+HLOOKUP(AE178,INFL,6))</f>
        <v>214.938121578573</v>
      </c>
      <c r="AG185" s="100" t="n">
        <f aca="false">AF185*(1+HLOOKUP(AF178,INFL,6))</f>
        <v>221.773153844771</v>
      </c>
      <c r="AH185" s="100" t="n">
        <f aca="false">AG185*(1+HLOOKUP(AG178,INFL,6))</f>
        <v>228.825540137035</v>
      </c>
      <c r="AI185" s="100" t="n">
        <f aca="false">AH185*(1+HLOOKUP(AH178,INFL,6))</f>
        <v>236.102192313393</v>
      </c>
      <c r="AJ185" s="100"/>
      <c r="AK185" s="100"/>
      <c r="AL185" s="100"/>
      <c r="AM185" s="100"/>
      <c r="AN185" s="100"/>
      <c r="AO185" s="100"/>
      <c r="AP185" s="100"/>
      <c r="AQ185" s="100"/>
      <c r="AR185" s="100"/>
      <c r="AS185" s="100"/>
      <c r="AT185" s="100"/>
      <c r="AU185" s="100"/>
      <c r="AV185" s="100"/>
      <c r="AW185" s="100"/>
      <c r="AX185" s="100"/>
      <c r="AY185" s="100"/>
      <c r="AZ185" s="100"/>
      <c r="BA185" s="100"/>
      <c r="BB185" s="100"/>
      <c r="BC185" s="100"/>
      <c r="BD185" s="100"/>
      <c r="BE185" s="100"/>
      <c r="BF185" s="100"/>
      <c r="BG185" s="100"/>
      <c r="BH185" s="100"/>
      <c r="BI185" s="100"/>
      <c r="BJ185" s="100"/>
      <c r="BK185" s="100"/>
      <c r="BL185" s="100"/>
      <c r="BM185" s="100"/>
      <c r="BN185" s="100"/>
      <c r="BO185" s="100"/>
      <c r="BP185" s="100"/>
      <c r="BQ185" s="100"/>
      <c r="BR185" s="100"/>
      <c r="BS185" s="100"/>
      <c r="BT185" s="100"/>
      <c r="BU185" s="100"/>
      <c r="BV185" s="100"/>
      <c r="BW185" s="100"/>
      <c r="BX185" s="100"/>
      <c r="BY185" s="100"/>
      <c r="BZ185" s="100"/>
      <c r="CA185" s="100"/>
      <c r="CB185" s="100"/>
      <c r="CC185" s="100"/>
      <c r="CD185" s="100"/>
      <c r="CE185" s="100"/>
      <c r="CF185" s="100"/>
      <c r="CG185" s="100"/>
      <c r="CH185" s="100"/>
      <c r="CI185" s="100"/>
      <c r="CJ185" s="100"/>
      <c r="CK185" s="100"/>
      <c r="CL185" s="100"/>
      <c r="CM185" s="100"/>
      <c r="CN185" s="100"/>
      <c r="CO185" s="100"/>
      <c r="CP185" s="100"/>
      <c r="CQ185" s="100"/>
      <c r="CR185" s="100"/>
      <c r="CS185" s="100"/>
      <c r="CT185" s="100"/>
      <c r="CU185" s="100"/>
      <c r="CV185" s="100"/>
      <c r="CW185" s="100"/>
      <c r="CX185" s="100"/>
      <c r="CY185" s="100"/>
      <c r="CZ185" s="100"/>
      <c r="DA185" s="100"/>
      <c r="DB185" s="100"/>
      <c r="DC185" s="100"/>
      <c r="DD185" s="100"/>
      <c r="DE185" s="100"/>
      <c r="DF185" s="100"/>
      <c r="DG185" s="100"/>
      <c r="DH185" s="100"/>
      <c r="DI185" s="100"/>
      <c r="DJ185" s="100"/>
      <c r="DK185" s="100"/>
      <c r="DL185" s="100"/>
      <c r="DM185" s="100"/>
      <c r="DN185" s="100"/>
      <c r="DO185" s="100"/>
      <c r="DP185" s="100"/>
      <c r="DQ185" s="100"/>
      <c r="DR185" s="100"/>
      <c r="DS185" s="100"/>
      <c r="DT185" s="100"/>
      <c r="DU185" s="100"/>
      <c r="DV185" s="100"/>
      <c r="DW185" s="100"/>
      <c r="DX185" s="100"/>
      <c r="DY185" s="100"/>
      <c r="DZ185" s="100"/>
      <c r="EA185" s="100"/>
      <c r="EB185" s="100"/>
      <c r="EC185" s="100"/>
      <c r="ED185" s="100"/>
      <c r="EE185" s="100"/>
      <c r="EF185" s="100"/>
      <c r="EG185" s="100"/>
      <c r="EH185" s="100"/>
      <c r="EI185" s="100"/>
      <c r="EJ185" s="100"/>
      <c r="EK185" s="100"/>
      <c r="EL185" s="100"/>
      <c r="EM185" s="100"/>
      <c r="EN185" s="100"/>
      <c r="EO185" s="100"/>
      <c r="EP185" s="100"/>
      <c r="EQ185" s="100"/>
      <c r="ER185" s="100"/>
      <c r="ES185" s="100"/>
      <c r="ET185" s="100"/>
      <c r="EU185" s="100"/>
      <c r="EV185" s="100"/>
      <c r="EW185" s="100"/>
      <c r="EX185" s="100"/>
      <c r="EY185" s="100"/>
      <c r="EZ185" s="100"/>
      <c r="FA185" s="100"/>
      <c r="FB185" s="100"/>
      <c r="FC185" s="100"/>
      <c r="FD185" s="100"/>
      <c r="FE185" s="100"/>
      <c r="FF185" s="100"/>
      <c r="FG185" s="100"/>
      <c r="FH185" s="100"/>
      <c r="FI185" s="100"/>
      <c r="FJ185" s="100"/>
      <c r="FK185" s="100"/>
      <c r="FL185" s="100"/>
      <c r="FM185" s="100"/>
      <c r="FN185" s="100"/>
      <c r="FO185" s="100"/>
      <c r="FP185" s="100"/>
      <c r="FQ185" s="100"/>
      <c r="FR185" s="100"/>
      <c r="FS185" s="100"/>
      <c r="FT185" s="100"/>
      <c r="FU185" s="100"/>
      <c r="FV185" s="100"/>
      <c r="FW185" s="100"/>
      <c r="FX185" s="100"/>
      <c r="FY185" s="100"/>
      <c r="FZ185" s="100"/>
      <c r="GA185" s="100"/>
      <c r="GB185" s="100"/>
      <c r="GC185" s="100"/>
      <c r="GD185" s="100"/>
      <c r="GE185" s="100"/>
      <c r="GF185" s="100"/>
      <c r="GG185" s="100"/>
      <c r="GH185" s="100"/>
      <c r="GI185" s="100"/>
      <c r="GJ185" s="100"/>
      <c r="GK185" s="100"/>
      <c r="GL185" s="100"/>
      <c r="GM185" s="100"/>
      <c r="GN185" s="100"/>
      <c r="GO185" s="100"/>
      <c r="GP185" s="100"/>
      <c r="GQ185" s="100"/>
      <c r="GR185" s="100"/>
      <c r="GS185" s="100"/>
      <c r="GT185" s="100"/>
      <c r="GU185" s="100"/>
      <c r="GV185" s="100"/>
      <c r="GW185" s="100"/>
      <c r="GX185" s="100"/>
      <c r="GY185" s="100"/>
      <c r="GZ185" s="100"/>
      <c r="HA185" s="100"/>
      <c r="HB185" s="100"/>
      <c r="HC185" s="100"/>
      <c r="HD185" s="100"/>
      <c r="HE185" s="100"/>
      <c r="HF185" s="100"/>
      <c r="HG185" s="100"/>
      <c r="HH185" s="100"/>
      <c r="HI185" s="100"/>
      <c r="HJ185" s="100"/>
      <c r="HK185" s="100"/>
      <c r="HL185" s="100"/>
      <c r="HM185" s="100"/>
      <c r="HN185" s="100"/>
      <c r="HO185" s="100"/>
      <c r="HP185" s="100"/>
      <c r="HQ185" s="100"/>
      <c r="HR185" s="100"/>
      <c r="HS185" s="100"/>
      <c r="HT185" s="100"/>
      <c r="HU185" s="100"/>
      <c r="HV185" s="100"/>
      <c r="HW185" s="100"/>
      <c r="HX185" s="100"/>
      <c r="HY185" s="100"/>
      <c r="HZ185" s="100"/>
      <c r="IA185" s="100"/>
      <c r="IB185" s="100"/>
      <c r="IC185" s="100"/>
      <c r="ID185" s="100"/>
      <c r="IE185" s="100"/>
      <c r="IF185" s="100"/>
      <c r="IG185" s="100"/>
      <c r="IH185" s="100"/>
      <c r="II185" s="100"/>
      <c r="IJ185" s="100"/>
      <c r="IK185" s="100"/>
      <c r="IL185" s="100"/>
      <c r="IM185" s="100"/>
      <c r="IN185" s="100"/>
      <c r="IO185" s="100"/>
      <c r="IP185" s="100"/>
      <c r="IQ185" s="100"/>
      <c r="IR185" s="100"/>
      <c r="IS185" s="100"/>
      <c r="IT185" s="100"/>
      <c r="IU185" s="100"/>
      <c r="IV185" s="100"/>
      <c r="IW185" s="100"/>
    </row>
    <row r="186" customFormat="false" ht="12.75" hidden="false" customHeight="false" outlineLevel="0" collapsed="false">
      <c r="A186" s="100"/>
      <c r="B186" s="317" t="s">
        <v>295</v>
      </c>
      <c r="C186" s="270" t="s">
        <v>296</v>
      </c>
      <c r="D186" s="100"/>
      <c r="E186" s="301" t="n">
        <v>35</v>
      </c>
      <c r="F186" s="100" t="n">
        <f aca="false">E186*(1+HLOOKUP(E178,INFL,6))</f>
        <v>36.05</v>
      </c>
      <c r="G186" s="100" t="n">
        <f aca="false">F186*(1+HLOOKUP(F178,INFL,6))</f>
        <v>37.09545</v>
      </c>
      <c r="H186" s="100" t="n">
        <f aca="false">G186*(1+HLOOKUP(G178,INFL,6))</f>
        <v>38.152670325</v>
      </c>
      <c r="I186" s="100" t="n">
        <f aca="false">H186*(1+HLOOKUP(H178,INFL,6))</f>
        <v>39.2209450941</v>
      </c>
      <c r="J186" s="100" t="n">
        <f aca="false">I186*(1+HLOOKUP(I178,INFL,6))</f>
        <v>40.2877548006595</v>
      </c>
      <c r="K186" s="100" t="n">
        <f aca="false">J186*(1+HLOOKUP(J178,INFL,6))</f>
        <v>41.3634378538371</v>
      </c>
      <c r="L186" s="100" t="n">
        <f aca="false">K186*(1+HLOOKUP(K178,INFL,6))</f>
        <v>42.4471599256077</v>
      </c>
      <c r="M186" s="100" t="n">
        <f aca="false">L186*(1+HLOOKUP(L178,INFL,6))</f>
        <v>43.5422966516883</v>
      </c>
      <c r="N186" s="100" t="n">
        <f aca="false">M186*(1+HLOOKUP(M178,INFL,6))</f>
        <v>44.6482709866412</v>
      </c>
      <c r="O186" s="100" t="n">
        <f aca="false">N186*(1+HLOOKUP(N178,INFL,6))</f>
        <v>45.7734074155046</v>
      </c>
      <c r="P186" s="100" t="n">
        <f aca="false">O186*(1+HLOOKUP(O178,INFL,6))</f>
        <v>46.9177426008922</v>
      </c>
      <c r="Q186" s="100" t="n">
        <f aca="false">P186*(1+HLOOKUP(P178,INFL,6))</f>
        <v>48.1047614886948</v>
      </c>
      <c r="R186" s="100" t="n">
        <f aca="false">Q186*(1+HLOOKUP(Q178,INFL,6))</f>
        <v>49.3410538589542</v>
      </c>
      <c r="S186" s="100" t="n">
        <f aca="false">R186*(1+HLOOKUP(R178,INFL,6))</f>
        <v>50.6288553646729</v>
      </c>
      <c r="T186" s="100" t="n">
        <f aca="false">S186*(1+HLOOKUP(S178,INFL,6))</f>
        <v>51.9806458029097</v>
      </c>
      <c r="U186" s="100" t="n">
        <f aca="false">T186*(1+HLOOKUP(T178,INFL,6))</f>
        <v>53.3893213041685</v>
      </c>
      <c r="V186" s="100" t="n">
        <f aca="false">U186*(1+HLOOKUP(U178,INFL,6))</f>
        <v>54.8521887079028</v>
      </c>
      <c r="W186" s="100" t="n">
        <f aca="false">V186*(1+HLOOKUP(V178,INFL,6))</f>
        <v>56.3990204294656</v>
      </c>
      <c r="X186" s="100" t="n">
        <f aca="false">W186*(1+HLOOKUP(W178,INFL,6))</f>
        <v>58.0345920219201</v>
      </c>
      <c r="Y186" s="100" t="n">
        <f aca="false">X186*(1+HLOOKUP(X178,INFL,6))</f>
        <v>59.8046470785887</v>
      </c>
      <c r="Z186" s="100" t="n">
        <f aca="false">Y186*(1+HLOOKUP(Y178,INFL,6))</f>
        <v>61.6645716027328</v>
      </c>
      <c r="AA186" s="100" t="n">
        <f aca="false">Z186*(1+HLOOKUP(Z178,INFL,6))</f>
        <v>63.6255049796997</v>
      </c>
      <c r="AB186" s="100" t="n">
        <f aca="false">AA186*(1+HLOOKUP(AA178,INFL,6))</f>
        <v>65.6487960380541</v>
      </c>
      <c r="AC186" s="100" t="n">
        <f aca="false">AB186*(1+HLOOKUP(AB178,INFL,6))</f>
        <v>67.7364277520643</v>
      </c>
      <c r="AD186" s="100" t="n">
        <f aca="false">AC186*(1+HLOOKUP(AC178,INFL,6))</f>
        <v>69.8904461545799</v>
      </c>
      <c r="AE186" s="100" t="n">
        <f aca="false">AD186*(1+HLOOKUP(AD178,INFL,6))</f>
        <v>72.1129623422956</v>
      </c>
      <c r="AF186" s="100" t="n">
        <f aca="false">AE186*(1+HLOOKUP(AE178,INFL,6))</f>
        <v>74.4061545447806</v>
      </c>
      <c r="AG186" s="100" t="n">
        <f aca="false">AF186*(1+HLOOKUP(AF178,INFL,6))</f>
        <v>76.7722702593046</v>
      </c>
      <c r="AH186" s="100" t="n">
        <f aca="false">AG186*(1+HLOOKUP(AG178,INFL,6))</f>
        <v>79.2136284535505</v>
      </c>
      <c r="AI186" s="100" t="n">
        <f aca="false">AH186*(1+HLOOKUP(AH178,INFL,6))</f>
        <v>81.7326218383734</v>
      </c>
      <c r="AJ186" s="100"/>
      <c r="AK186" s="100"/>
      <c r="AL186" s="100"/>
      <c r="AM186" s="100"/>
      <c r="AN186" s="100"/>
      <c r="AO186" s="100"/>
      <c r="AP186" s="100"/>
      <c r="AQ186" s="100"/>
      <c r="AR186" s="100"/>
      <c r="AS186" s="100"/>
      <c r="AT186" s="100"/>
      <c r="AU186" s="100"/>
      <c r="AV186" s="100"/>
      <c r="AW186" s="100"/>
      <c r="AX186" s="100"/>
      <c r="AY186" s="100"/>
      <c r="AZ186" s="100"/>
      <c r="BA186" s="100"/>
      <c r="BB186" s="100"/>
      <c r="BC186" s="100"/>
      <c r="BD186" s="100"/>
      <c r="BE186" s="100"/>
      <c r="BF186" s="100"/>
      <c r="BG186" s="100"/>
      <c r="BH186" s="100"/>
      <c r="BI186" s="100"/>
      <c r="BJ186" s="100"/>
      <c r="BK186" s="100"/>
      <c r="BL186" s="100"/>
      <c r="BM186" s="100"/>
      <c r="BN186" s="100"/>
      <c r="BO186" s="100"/>
      <c r="BP186" s="100"/>
      <c r="BQ186" s="100"/>
      <c r="BR186" s="100"/>
      <c r="BS186" s="100"/>
      <c r="BT186" s="100"/>
      <c r="BU186" s="100"/>
      <c r="BV186" s="100"/>
      <c r="BW186" s="100"/>
      <c r="BX186" s="100"/>
      <c r="BY186" s="100"/>
      <c r="BZ186" s="100"/>
      <c r="CA186" s="100"/>
      <c r="CB186" s="100"/>
      <c r="CC186" s="100"/>
      <c r="CD186" s="100"/>
      <c r="CE186" s="100"/>
      <c r="CF186" s="100"/>
      <c r="CG186" s="100"/>
      <c r="CH186" s="100"/>
      <c r="CI186" s="100"/>
      <c r="CJ186" s="100"/>
      <c r="CK186" s="100"/>
      <c r="CL186" s="100"/>
      <c r="CM186" s="100"/>
      <c r="CN186" s="100"/>
      <c r="CO186" s="100"/>
      <c r="CP186" s="100"/>
      <c r="CQ186" s="100"/>
      <c r="CR186" s="100"/>
      <c r="CS186" s="100"/>
      <c r="CT186" s="100"/>
      <c r="CU186" s="100"/>
      <c r="CV186" s="100"/>
      <c r="CW186" s="100"/>
      <c r="CX186" s="100"/>
      <c r="CY186" s="100"/>
      <c r="CZ186" s="100"/>
      <c r="DA186" s="100"/>
      <c r="DB186" s="100"/>
      <c r="DC186" s="100"/>
      <c r="DD186" s="100"/>
      <c r="DE186" s="100"/>
      <c r="DF186" s="100"/>
      <c r="DG186" s="100"/>
      <c r="DH186" s="100"/>
      <c r="DI186" s="100"/>
      <c r="DJ186" s="100"/>
      <c r="DK186" s="100"/>
      <c r="DL186" s="100"/>
      <c r="DM186" s="100"/>
      <c r="DN186" s="100"/>
      <c r="DO186" s="100"/>
      <c r="DP186" s="100"/>
      <c r="DQ186" s="100"/>
      <c r="DR186" s="100"/>
      <c r="DS186" s="100"/>
      <c r="DT186" s="100"/>
      <c r="DU186" s="100"/>
      <c r="DV186" s="100"/>
      <c r="DW186" s="100"/>
      <c r="DX186" s="100"/>
      <c r="DY186" s="100"/>
      <c r="DZ186" s="100"/>
      <c r="EA186" s="100"/>
      <c r="EB186" s="100"/>
      <c r="EC186" s="100"/>
      <c r="ED186" s="100"/>
      <c r="EE186" s="100"/>
      <c r="EF186" s="100"/>
      <c r="EG186" s="100"/>
      <c r="EH186" s="100"/>
      <c r="EI186" s="100"/>
      <c r="EJ186" s="100"/>
      <c r="EK186" s="100"/>
      <c r="EL186" s="100"/>
      <c r="EM186" s="100"/>
      <c r="EN186" s="100"/>
      <c r="EO186" s="100"/>
      <c r="EP186" s="100"/>
      <c r="EQ186" s="100"/>
      <c r="ER186" s="100"/>
      <c r="ES186" s="100"/>
      <c r="ET186" s="100"/>
      <c r="EU186" s="100"/>
      <c r="EV186" s="100"/>
      <c r="EW186" s="100"/>
      <c r="EX186" s="100"/>
      <c r="EY186" s="100"/>
      <c r="EZ186" s="100"/>
      <c r="FA186" s="100"/>
      <c r="FB186" s="100"/>
      <c r="FC186" s="100"/>
      <c r="FD186" s="100"/>
      <c r="FE186" s="100"/>
      <c r="FF186" s="100"/>
      <c r="FG186" s="100"/>
      <c r="FH186" s="100"/>
      <c r="FI186" s="100"/>
      <c r="FJ186" s="100"/>
      <c r="FK186" s="100"/>
      <c r="FL186" s="100"/>
      <c r="FM186" s="100"/>
      <c r="FN186" s="100"/>
      <c r="FO186" s="100"/>
      <c r="FP186" s="100"/>
      <c r="FQ186" s="100"/>
      <c r="FR186" s="100"/>
      <c r="FS186" s="100"/>
      <c r="FT186" s="100"/>
      <c r="FU186" s="100"/>
      <c r="FV186" s="100"/>
      <c r="FW186" s="100"/>
      <c r="FX186" s="100"/>
      <c r="FY186" s="100"/>
      <c r="FZ186" s="100"/>
      <c r="GA186" s="100"/>
      <c r="GB186" s="100"/>
      <c r="GC186" s="100"/>
      <c r="GD186" s="100"/>
      <c r="GE186" s="100"/>
      <c r="GF186" s="100"/>
      <c r="GG186" s="100"/>
      <c r="GH186" s="100"/>
      <c r="GI186" s="100"/>
      <c r="GJ186" s="100"/>
      <c r="GK186" s="100"/>
      <c r="GL186" s="100"/>
      <c r="GM186" s="100"/>
      <c r="GN186" s="100"/>
      <c r="GO186" s="100"/>
      <c r="GP186" s="100"/>
      <c r="GQ186" s="100"/>
      <c r="GR186" s="100"/>
      <c r="GS186" s="100"/>
      <c r="GT186" s="100"/>
      <c r="GU186" s="100"/>
      <c r="GV186" s="100"/>
      <c r="GW186" s="100"/>
      <c r="GX186" s="100"/>
      <c r="GY186" s="100"/>
      <c r="GZ186" s="100"/>
      <c r="HA186" s="100"/>
      <c r="HB186" s="100"/>
      <c r="HC186" s="100"/>
      <c r="HD186" s="100"/>
      <c r="HE186" s="100"/>
      <c r="HF186" s="100"/>
      <c r="HG186" s="100"/>
      <c r="HH186" s="100"/>
      <c r="HI186" s="100"/>
      <c r="HJ186" s="100"/>
      <c r="HK186" s="100"/>
      <c r="HL186" s="100"/>
      <c r="HM186" s="100"/>
      <c r="HN186" s="100"/>
      <c r="HO186" s="100"/>
      <c r="HP186" s="100"/>
      <c r="HQ186" s="100"/>
      <c r="HR186" s="100"/>
      <c r="HS186" s="100"/>
      <c r="HT186" s="100"/>
      <c r="HU186" s="100"/>
      <c r="HV186" s="100"/>
      <c r="HW186" s="100"/>
      <c r="HX186" s="100"/>
      <c r="HY186" s="100"/>
      <c r="HZ186" s="100"/>
      <c r="IA186" s="100"/>
      <c r="IB186" s="100"/>
      <c r="IC186" s="100"/>
      <c r="ID186" s="100"/>
      <c r="IE186" s="100"/>
      <c r="IF186" s="100"/>
      <c r="IG186" s="100"/>
      <c r="IH186" s="100"/>
      <c r="II186" s="100"/>
      <c r="IJ186" s="100"/>
      <c r="IK186" s="100"/>
      <c r="IL186" s="100"/>
      <c r="IM186" s="100"/>
      <c r="IN186" s="100"/>
      <c r="IO186" s="100"/>
      <c r="IP186" s="100"/>
      <c r="IQ186" s="100"/>
      <c r="IR186" s="100"/>
      <c r="IS186" s="100"/>
      <c r="IT186" s="100"/>
      <c r="IU186" s="100"/>
      <c r="IV186" s="100"/>
      <c r="IW186" s="100"/>
    </row>
    <row r="187" customFormat="false" ht="12.75" hidden="false" customHeight="false" outlineLevel="0" collapsed="false">
      <c r="A187" s="100"/>
      <c r="B187" s="317" t="s">
        <v>297</v>
      </c>
      <c r="C187" s="0"/>
      <c r="D187" s="100"/>
      <c r="E187" s="301" t="n">
        <v>35</v>
      </c>
      <c r="F187" s="100" t="n">
        <f aca="false">IF(F177&lt;=$E$238,E187*(1+HLOOKUP(E178,INFL,6)),0)</f>
        <v>36.05</v>
      </c>
      <c r="G187" s="100" t="n">
        <f aca="false">IF(G177&lt;=$E$238,F187*(1+HLOOKUP(F178,INFL,6)),0)</f>
        <v>37.09545</v>
      </c>
      <c r="H187" s="100" t="n">
        <f aca="false">IF(H177&lt;=$E$238,G187*(1+HLOOKUP(G178,INFL,6)),0)</f>
        <v>38.152670325</v>
      </c>
      <c r="I187" s="100" t="n">
        <f aca="false">IF(I177&lt;=$E$238,H187*(1+HLOOKUP(H178,INFL,6)),0)</f>
        <v>39.2209450941</v>
      </c>
      <c r="J187" s="100" t="n">
        <f aca="false">IF(J177&lt;=$E$238,I187*(1+HLOOKUP(I178,INFL,6)),0)</f>
        <v>40.2877548006595</v>
      </c>
      <c r="K187" s="100" t="n">
        <f aca="false">IF(K177&lt;=$E$238,J187*(1+HLOOKUP(J178,INFL,6)),0)</f>
        <v>41.3634378538371</v>
      </c>
      <c r="L187" s="100" t="n">
        <f aca="false">IF(L177&lt;=$E$238,K187*(1+HLOOKUP(K178,INFL,6)),0)</f>
        <v>42.4471599256077</v>
      </c>
      <c r="M187" s="100" t="n">
        <f aca="false">IF(M177&lt;=$E$238,L187*(1+HLOOKUP(L178,INFL,6)),0)</f>
        <v>43.5422966516883</v>
      </c>
      <c r="N187" s="100" t="n">
        <f aca="false">IF(N177&lt;=$E$238,M187*(1+HLOOKUP(M178,INFL,6)),0)</f>
        <v>44.6482709866412</v>
      </c>
      <c r="O187" s="100" t="n">
        <f aca="false">IF(O177&lt;=$E$238,N187*(1+HLOOKUP(N178,INFL,6)),0)</f>
        <v>45.7734074155046</v>
      </c>
      <c r="P187" s="100" t="n">
        <f aca="false">IF(P177&lt;=$E$238,O187*(1+HLOOKUP(O178,INFL,6)),0)</f>
        <v>46.9177426008922</v>
      </c>
      <c r="Q187" s="100" t="n">
        <f aca="false">IF(Q177&lt;=$E$238,P187*(1+HLOOKUP(P178,INFL,6)),0)</f>
        <v>48.1047614886948</v>
      </c>
      <c r="R187" s="100" t="n">
        <f aca="false">IF(R177&lt;=$E$238,Q187*(1+HLOOKUP(Q178,INFL,6)),0)</f>
        <v>49.3410538589542</v>
      </c>
      <c r="S187" s="100" t="n">
        <f aca="false">IF(S177&lt;=$E$238,R187*(1+HLOOKUP(R178,INFL,6)),0)</f>
        <v>50.6288553646729</v>
      </c>
      <c r="T187" s="100" t="n">
        <f aca="false">IF(T177&lt;=$E$238,S187*(1+HLOOKUP(S178,INFL,6)),0)</f>
        <v>51.9806458029097</v>
      </c>
      <c r="U187" s="100" t="n">
        <f aca="false">IF(U177&lt;=$E$238,T187*(1+HLOOKUP(T178,INFL,6)),0)</f>
        <v>53.3893213041685</v>
      </c>
      <c r="V187" s="100" t="n">
        <f aca="false">IF(V177&lt;=$E$238,U187*(1+HLOOKUP(U178,INFL,6)),0)</f>
        <v>0</v>
      </c>
      <c r="W187" s="100" t="n">
        <f aca="false">IF(W177&lt;=$E$238,V187*(1+HLOOKUP(V178,INFL,6)),0)</f>
        <v>0</v>
      </c>
      <c r="X187" s="100" t="n">
        <f aca="false">IF(X177&lt;=$E$238,W187*(1+HLOOKUP(W178,INFL,6)),0)</f>
        <v>0</v>
      </c>
      <c r="Y187" s="100" t="n">
        <f aca="false">IF(Y177&lt;=$E$238,X187*(1+HLOOKUP(X178,INFL,6)),0)</f>
        <v>0</v>
      </c>
      <c r="Z187" s="100" t="n">
        <f aca="false">IF(Z177&lt;=$E$238,Y187*(1+HLOOKUP(Y178,INFL,6)),0)</f>
        <v>0</v>
      </c>
      <c r="AA187" s="100" t="n">
        <f aca="false">IF(AA177&lt;=$E$238,Z187*(1+HLOOKUP(Z178,INFL,6)),0)</f>
        <v>0</v>
      </c>
      <c r="AB187" s="100" t="n">
        <f aca="false">IF(AB177&lt;=$E$238,AA187*(1+HLOOKUP(AA178,INFL,6)),0)</f>
        <v>0</v>
      </c>
      <c r="AC187" s="100" t="n">
        <f aca="false">IF(AC177&lt;=$E$238,AB187*(1+HLOOKUP(AB178,INFL,6)),0)</f>
        <v>0</v>
      </c>
      <c r="AD187" s="100" t="n">
        <f aca="false">IF(AD177&lt;=$E$238,AC187*(1+HLOOKUP(AC178,INFL,6)),0)</f>
        <v>0</v>
      </c>
      <c r="AE187" s="100" t="n">
        <f aca="false">IF(AE177&lt;=$E$238,AD187*(1+HLOOKUP(AD178,INFL,6)),0)</f>
        <v>0</v>
      </c>
      <c r="AF187" s="100" t="n">
        <f aca="false">IF(AF177&lt;=$E$238,AE187*(1+HLOOKUP(AE178,INFL,6)),0)</f>
        <v>0</v>
      </c>
      <c r="AG187" s="100" t="n">
        <f aca="false">IF(AG177&lt;=$E$238,AF187*(1+HLOOKUP(AF178,INFL,6)),0)</f>
        <v>0</v>
      </c>
      <c r="AH187" s="100" t="n">
        <f aca="false">IF(AH177&lt;=$E$238,AG187*(1+HLOOKUP(AG178,INFL,6)),0)</f>
        <v>0</v>
      </c>
      <c r="AI187" s="100" t="n">
        <f aca="false">IF(AI177&lt;=$E$238,AH187*(1+HLOOKUP(AH178,INFL,6)),0)</f>
        <v>0</v>
      </c>
      <c r="AJ187" s="100"/>
      <c r="AK187" s="100"/>
      <c r="AL187" s="100"/>
      <c r="AM187" s="100"/>
      <c r="AN187" s="100"/>
      <c r="AO187" s="100"/>
      <c r="AP187" s="100"/>
      <c r="AQ187" s="100"/>
      <c r="AR187" s="100"/>
      <c r="AS187" s="100"/>
      <c r="AT187" s="100"/>
      <c r="AU187" s="100"/>
      <c r="AV187" s="100"/>
      <c r="AW187" s="100"/>
      <c r="AX187" s="100"/>
      <c r="AY187" s="100"/>
      <c r="AZ187" s="100"/>
      <c r="BA187" s="100"/>
      <c r="BB187" s="100"/>
      <c r="BC187" s="100"/>
      <c r="BD187" s="100"/>
      <c r="BE187" s="100"/>
      <c r="BF187" s="100"/>
      <c r="BG187" s="100"/>
      <c r="BH187" s="100"/>
      <c r="BI187" s="100"/>
      <c r="BJ187" s="100"/>
      <c r="BK187" s="100"/>
      <c r="BL187" s="100"/>
      <c r="BM187" s="100"/>
      <c r="BN187" s="100"/>
      <c r="BO187" s="100"/>
      <c r="BP187" s="100"/>
      <c r="BQ187" s="100"/>
      <c r="BR187" s="100"/>
      <c r="BS187" s="100"/>
      <c r="BT187" s="100"/>
      <c r="BU187" s="100"/>
      <c r="BV187" s="100"/>
      <c r="BW187" s="100"/>
      <c r="BX187" s="100"/>
      <c r="BY187" s="100"/>
      <c r="BZ187" s="100"/>
      <c r="CA187" s="100"/>
      <c r="CB187" s="100"/>
      <c r="CC187" s="100"/>
      <c r="CD187" s="100"/>
      <c r="CE187" s="100"/>
      <c r="CF187" s="100"/>
      <c r="CG187" s="100"/>
      <c r="CH187" s="100"/>
      <c r="CI187" s="100"/>
      <c r="CJ187" s="100"/>
      <c r="CK187" s="100"/>
      <c r="CL187" s="100"/>
      <c r="CM187" s="100"/>
      <c r="CN187" s="100"/>
      <c r="CO187" s="100"/>
      <c r="CP187" s="100"/>
      <c r="CQ187" s="100"/>
      <c r="CR187" s="100"/>
      <c r="CS187" s="100"/>
      <c r="CT187" s="100"/>
      <c r="CU187" s="100"/>
      <c r="CV187" s="100"/>
      <c r="CW187" s="100"/>
      <c r="CX187" s="100"/>
      <c r="CY187" s="100"/>
      <c r="CZ187" s="100"/>
      <c r="DA187" s="100"/>
      <c r="DB187" s="100"/>
      <c r="DC187" s="100"/>
      <c r="DD187" s="100"/>
      <c r="DE187" s="100"/>
      <c r="DF187" s="100"/>
      <c r="DG187" s="100"/>
      <c r="DH187" s="100"/>
      <c r="DI187" s="100"/>
      <c r="DJ187" s="100"/>
      <c r="DK187" s="100"/>
      <c r="DL187" s="100"/>
      <c r="DM187" s="100"/>
      <c r="DN187" s="100"/>
      <c r="DO187" s="100"/>
      <c r="DP187" s="100"/>
      <c r="DQ187" s="100"/>
      <c r="DR187" s="100"/>
      <c r="DS187" s="100"/>
      <c r="DT187" s="100"/>
      <c r="DU187" s="100"/>
      <c r="DV187" s="100"/>
      <c r="DW187" s="100"/>
      <c r="DX187" s="100"/>
      <c r="DY187" s="100"/>
      <c r="DZ187" s="100"/>
      <c r="EA187" s="100"/>
      <c r="EB187" s="100"/>
      <c r="EC187" s="100"/>
      <c r="ED187" s="100"/>
      <c r="EE187" s="100"/>
      <c r="EF187" s="100"/>
      <c r="EG187" s="100"/>
      <c r="EH187" s="100"/>
      <c r="EI187" s="100"/>
      <c r="EJ187" s="100"/>
      <c r="EK187" s="100"/>
      <c r="EL187" s="100"/>
      <c r="EM187" s="100"/>
      <c r="EN187" s="100"/>
      <c r="EO187" s="100"/>
      <c r="EP187" s="100"/>
      <c r="EQ187" s="100"/>
      <c r="ER187" s="100"/>
      <c r="ES187" s="100"/>
      <c r="ET187" s="100"/>
      <c r="EU187" s="100"/>
      <c r="EV187" s="100"/>
      <c r="EW187" s="100"/>
      <c r="EX187" s="100"/>
      <c r="EY187" s="100"/>
      <c r="EZ187" s="100"/>
      <c r="FA187" s="100"/>
      <c r="FB187" s="100"/>
      <c r="FC187" s="100"/>
      <c r="FD187" s="100"/>
      <c r="FE187" s="100"/>
      <c r="FF187" s="100"/>
      <c r="FG187" s="100"/>
      <c r="FH187" s="100"/>
      <c r="FI187" s="100"/>
      <c r="FJ187" s="100"/>
      <c r="FK187" s="100"/>
      <c r="FL187" s="100"/>
      <c r="FM187" s="100"/>
      <c r="FN187" s="100"/>
      <c r="FO187" s="100"/>
      <c r="FP187" s="100"/>
      <c r="FQ187" s="100"/>
      <c r="FR187" s="100"/>
      <c r="FS187" s="100"/>
      <c r="FT187" s="100"/>
      <c r="FU187" s="100"/>
      <c r="FV187" s="100"/>
      <c r="FW187" s="100"/>
      <c r="FX187" s="100"/>
      <c r="FY187" s="100"/>
      <c r="FZ187" s="100"/>
      <c r="GA187" s="100"/>
      <c r="GB187" s="100"/>
      <c r="GC187" s="100"/>
      <c r="GD187" s="100"/>
      <c r="GE187" s="100"/>
      <c r="GF187" s="100"/>
      <c r="GG187" s="100"/>
      <c r="GH187" s="100"/>
      <c r="GI187" s="100"/>
      <c r="GJ187" s="100"/>
      <c r="GK187" s="100"/>
      <c r="GL187" s="100"/>
      <c r="GM187" s="100"/>
      <c r="GN187" s="100"/>
      <c r="GO187" s="100"/>
      <c r="GP187" s="100"/>
      <c r="GQ187" s="100"/>
      <c r="GR187" s="100"/>
      <c r="GS187" s="100"/>
      <c r="GT187" s="100"/>
      <c r="GU187" s="100"/>
      <c r="GV187" s="100"/>
      <c r="GW187" s="100"/>
      <c r="GX187" s="100"/>
      <c r="GY187" s="100"/>
      <c r="GZ187" s="100"/>
      <c r="HA187" s="100"/>
      <c r="HB187" s="100"/>
      <c r="HC187" s="100"/>
      <c r="HD187" s="100"/>
      <c r="HE187" s="100"/>
      <c r="HF187" s="100"/>
      <c r="HG187" s="100"/>
      <c r="HH187" s="100"/>
      <c r="HI187" s="100"/>
      <c r="HJ187" s="100"/>
      <c r="HK187" s="100"/>
      <c r="HL187" s="100"/>
      <c r="HM187" s="100"/>
      <c r="HN187" s="100"/>
      <c r="HO187" s="100"/>
      <c r="HP187" s="100"/>
      <c r="HQ187" s="100"/>
      <c r="HR187" s="100"/>
      <c r="HS187" s="100"/>
      <c r="HT187" s="100"/>
      <c r="HU187" s="100"/>
      <c r="HV187" s="100"/>
      <c r="HW187" s="100"/>
      <c r="HX187" s="100"/>
      <c r="HY187" s="100"/>
      <c r="HZ187" s="100"/>
      <c r="IA187" s="100"/>
      <c r="IB187" s="100"/>
      <c r="IC187" s="100"/>
      <c r="ID187" s="100"/>
      <c r="IE187" s="100"/>
      <c r="IF187" s="100"/>
      <c r="IG187" s="100"/>
      <c r="IH187" s="100"/>
      <c r="II187" s="100"/>
      <c r="IJ187" s="100"/>
      <c r="IK187" s="100"/>
      <c r="IL187" s="100"/>
      <c r="IM187" s="100"/>
      <c r="IN187" s="100"/>
      <c r="IO187" s="100"/>
      <c r="IP187" s="100"/>
      <c r="IQ187" s="100"/>
      <c r="IR187" s="100"/>
      <c r="IS187" s="100"/>
      <c r="IT187" s="100"/>
      <c r="IU187" s="100"/>
      <c r="IV187" s="100"/>
      <c r="IW187" s="100"/>
    </row>
    <row r="188" customFormat="false" ht="12.75" hidden="false" customHeight="false" outlineLevel="0" collapsed="false">
      <c r="A188" s="100"/>
      <c r="B188" s="317" t="s">
        <v>298</v>
      </c>
      <c r="C188" s="0"/>
      <c r="D188" s="100"/>
      <c r="E188" s="301" t="n">
        <v>0</v>
      </c>
      <c r="F188" s="100" t="n">
        <f aca="false">IF(F$177&lt;=$E$283,E188*(1+HLOOKUP(E$178,INFL,6)),0)</f>
        <v>0</v>
      </c>
      <c r="G188" s="100" t="n">
        <f aca="false">IF(G$177&lt;=$E$283,F188*(1+HLOOKUP(F$178,INFL,6)),0)</f>
        <v>0</v>
      </c>
      <c r="H188" s="100" t="n">
        <f aca="false">IF(H$177&lt;=$E$283,G188*(1+HLOOKUP(G$178,INFL,6)),0)</f>
        <v>0</v>
      </c>
      <c r="I188" s="100" t="n">
        <f aca="false">IF(I$177&lt;=$E$283,H188*(1+HLOOKUP(H$178,INFL,6)),0)</f>
        <v>0</v>
      </c>
      <c r="J188" s="100" t="n">
        <f aca="false">IF(J$177&lt;=$E$283,I188*(1+HLOOKUP(I$178,INFL,6)),0)</f>
        <v>0</v>
      </c>
      <c r="K188" s="100" t="n">
        <f aca="false">IF(K$177&lt;=$E$283,J188*(1+HLOOKUP(J$178,INFL,6)),0)</f>
        <v>0</v>
      </c>
      <c r="L188" s="100" t="n">
        <f aca="false">IF(L$177&lt;=$E$283,K188*(1+HLOOKUP(K$178,INFL,6)),0)</f>
        <v>0</v>
      </c>
      <c r="M188" s="100" t="n">
        <f aca="false">IF(M$177&lt;=$E$283,L188*(1+HLOOKUP(L$178,INFL,6)),0)</f>
        <v>0</v>
      </c>
      <c r="N188" s="100" t="n">
        <f aca="false">IF(N$177&lt;=$E$283,M188*(1+HLOOKUP(M$178,INFL,6)),0)</f>
        <v>0</v>
      </c>
      <c r="O188" s="100" t="n">
        <f aca="false">IF(O$177&lt;=$E$283,N188*(1+HLOOKUP(N$178,INFL,6)),0)</f>
        <v>0</v>
      </c>
      <c r="P188" s="100" t="n">
        <f aca="false">IF(P$177&lt;=$E$283,O188*(1+HLOOKUP(O$178,INFL,6)),0)</f>
        <v>0</v>
      </c>
      <c r="Q188" s="100" t="n">
        <f aca="false">IF(Q$177&lt;=$E$283,P188*(1+HLOOKUP(P$178,INFL,6)),0)</f>
        <v>0</v>
      </c>
      <c r="R188" s="100" t="n">
        <f aca="false">IF(R$177&lt;=$E$283,Q188*(1+HLOOKUP(Q$178,INFL,6)),0)</f>
        <v>0</v>
      </c>
      <c r="S188" s="100" t="n">
        <f aca="false">IF(S$177&lt;=$E$283,R188*(1+HLOOKUP(R$178,INFL,6)),0)</f>
        <v>0</v>
      </c>
      <c r="T188" s="100" t="n">
        <f aca="false">IF(T$177&lt;=$E$283,S188*(1+HLOOKUP(S$178,INFL,6)),0)</f>
        <v>0</v>
      </c>
      <c r="U188" s="100" t="n">
        <f aca="false">IF(U$177&lt;=$E$283,T188*(1+HLOOKUP(T$178,INFL,6)),0)</f>
        <v>0</v>
      </c>
      <c r="V188" s="100" t="n">
        <f aca="false">IF(V$177&lt;=$E$283,U188*(1+HLOOKUP(U$178,INFL,6)),0)</f>
        <v>0</v>
      </c>
      <c r="W188" s="100" t="n">
        <f aca="false">IF(W$177&lt;=$E$283,V188*(1+HLOOKUP(V$178,INFL,6)),0)</f>
        <v>0</v>
      </c>
      <c r="X188" s="100" t="n">
        <f aca="false">IF(X$177&lt;=$E$283,W188*(1+HLOOKUP(W$178,INFL,6)),0)</f>
        <v>0</v>
      </c>
      <c r="Y188" s="100" t="n">
        <f aca="false">IF(Y$177&lt;=$E$283,X188*(1+HLOOKUP(X$178,INFL,6)),0)</f>
        <v>0</v>
      </c>
      <c r="Z188" s="100" t="n">
        <f aca="false">IF(Z$177&lt;=$E$283,Y188*(1+HLOOKUP(Y$178,INFL,6)),0)</f>
        <v>0</v>
      </c>
      <c r="AA188" s="100" t="n">
        <f aca="false">IF(AA$177&lt;=$E$283,Z188*(1+HLOOKUP(Z$178,INFL,6)),0)</f>
        <v>0</v>
      </c>
      <c r="AB188" s="100" t="n">
        <f aca="false">IF(AB$177&lt;=$E$283,AA188*(1+HLOOKUP(AA$178,INFL,6)),0)</f>
        <v>0</v>
      </c>
      <c r="AC188" s="100" t="n">
        <f aca="false">IF(AC$177&lt;=$E$283,AB188*(1+HLOOKUP(AB$178,INFL,6)),0)</f>
        <v>0</v>
      </c>
      <c r="AD188" s="100" t="n">
        <f aca="false">IF(AD$177&lt;=$E$283,AC188*(1+HLOOKUP(AC$178,INFL,6)),0)</f>
        <v>0</v>
      </c>
      <c r="AE188" s="100" t="n">
        <f aca="false">IF(AE$177&lt;=$E$283,AD188*(1+HLOOKUP(AD$178,INFL,6)),0)</f>
        <v>0</v>
      </c>
      <c r="AF188" s="100" t="n">
        <f aca="false">IF(AF$177&lt;=$E$283,AE188*(1+HLOOKUP(AE$178,INFL,6)),0)</f>
        <v>0</v>
      </c>
      <c r="AG188" s="100" t="n">
        <f aca="false">IF(AG$177&lt;=$E$283,AF188*(1+HLOOKUP(AF$178,INFL,6)),0)</f>
        <v>0</v>
      </c>
      <c r="AH188" s="100" t="n">
        <f aca="false">IF(AH$177&lt;=$E$283,AG188*(1+HLOOKUP(AG$178,INFL,6)),0)</f>
        <v>0</v>
      </c>
      <c r="AI188" s="100" t="n">
        <f aca="false">IF(AI$177&lt;=$E$283,AH188*(1+HLOOKUP(AH$178,INFL,6)),0)</f>
        <v>0</v>
      </c>
      <c r="AJ188" s="100"/>
      <c r="AK188" s="100"/>
      <c r="AL188" s="100"/>
      <c r="AM188" s="100"/>
      <c r="AN188" s="100"/>
      <c r="AO188" s="100"/>
      <c r="AP188" s="100"/>
      <c r="AQ188" s="100"/>
      <c r="AR188" s="100"/>
      <c r="AS188" s="100"/>
      <c r="AT188" s="100"/>
      <c r="AU188" s="100"/>
      <c r="AV188" s="100"/>
      <c r="AW188" s="100"/>
      <c r="AX188" s="100"/>
      <c r="AY188" s="100"/>
      <c r="AZ188" s="100"/>
      <c r="BA188" s="100"/>
      <c r="BB188" s="100"/>
      <c r="BC188" s="100"/>
      <c r="BD188" s="100"/>
      <c r="BE188" s="100"/>
      <c r="BF188" s="100"/>
      <c r="BG188" s="100"/>
      <c r="BH188" s="100"/>
      <c r="BI188" s="100"/>
      <c r="BJ188" s="100"/>
      <c r="BK188" s="100"/>
      <c r="BL188" s="100"/>
      <c r="BM188" s="100"/>
      <c r="BN188" s="100"/>
      <c r="BO188" s="100"/>
      <c r="BP188" s="100"/>
      <c r="BQ188" s="100"/>
      <c r="BR188" s="100"/>
      <c r="BS188" s="100"/>
      <c r="BT188" s="100"/>
      <c r="BU188" s="100"/>
      <c r="BV188" s="100"/>
      <c r="BW188" s="100"/>
      <c r="BX188" s="100"/>
      <c r="BY188" s="100"/>
      <c r="BZ188" s="100"/>
      <c r="CA188" s="100"/>
      <c r="CB188" s="100"/>
      <c r="CC188" s="100"/>
      <c r="CD188" s="100"/>
      <c r="CE188" s="100"/>
      <c r="CF188" s="100"/>
      <c r="CG188" s="100"/>
      <c r="CH188" s="100"/>
      <c r="CI188" s="100"/>
      <c r="CJ188" s="100"/>
      <c r="CK188" s="100"/>
      <c r="CL188" s="100"/>
      <c r="CM188" s="100"/>
      <c r="CN188" s="100"/>
      <c r="CO188" s="100"/>
      <c r="CP188" s="100"/>
      <c r="CQ188" s="100"/>
      <c r="CR188" s="100"/>
      <c r="CS188" s="100"/>
      <c r="CT188" s="100"/>
      <c r="CU188" s="100"/>
      <c r="CV188" s="100"/>
      <c r="CW188" s="100"/>
      <c r="CX188" s="100"/>
      <c r="CY188" s="100"/>
      <c r="CZ188" s="100"/>
      <c r="DA188" s="100"/>
      <c r="DB188" s="100"/>
      <c r="DC188" s="100"/>
      <c r="DD188" s="100"/>
      <c r="DE188" s="100"/>
      <c r="DF188" s="100"/>
      <c r="DG188" s="100"/>
      <c r="DH188" s="100"/>
      <c r="DI188" s="100"/>
      <c r="DJ188" s="100"/>
      <c r="DK188" s="100"/>
      <c r="DL188" s="100"/>
      <c r="DM188" s="100"/>
      <c r="DN188" s="100"/>
      <c r="DO188" s="100"/>
      <c r="DP188" s="100"/>
      <c r="DQ188" s="100"/>
      <c r="DR188" s="100"/>
      <c r="DS188" s="100"/>
      <c r="DT188" s="100"/>
      <c r="DU188" s="100"/>
      <c r="DV188" s="100"/>
      <c r="DW188" s="100"/>
      <c r="DX188" s="100"/>
      <c r="DY188" s="100"/>
      <c r="DZ188" s="100"/>
      <c r="EA188" s="100"/>
      <c r="EB188" s="100"/>
      <c r="EC188" s="100"/>
      <c r="ED188" s="100"/>
      <c r="EE188" s="100"/>
      <c r="EF188" s="100"/>
      <c r="EG188" s="100"/>
      <c r="EH188" s="100"/>
      <c r="EI188" s="100"/>
      <c r="EJ188" s="100"/>
      <c r="EK188" s="100"/>
      <c r="EL188" s="100"/>
      <c r="EM188" s="100"/>
      <c r="EN188" s="100"/>
      <c r="EO188" s="100"/>
      <c r="EP188" s="100"/>
      <c r="EQ188" s="100"/>
      <c r="ER188" s="100"/>
      <c r="ES188" s="100"/>
      <c r="ET188" s="100"/>
      <c r="EU188" s="100"/>
      <c r="EV188" s="100"/>
      <c r="EW188" s="100"/>
      <c r="EX188" s="100"/>
      <c r="EY188" s="100"/>
      <c r="EZ188" s="100"/>
      <c r="FA188" s="100"/>
      <c r="FB188" s="100"/>
      <c r="FC188" s="100"/>
      <c r="FD188" s="100"/>
      <c r="FE188" s="100"/>
      <c r="FF188" s="100"/>
      <c r="FG188" s="100"/>
      <c r="FH188" s="100"/>
      <c r="FI188" s="100"/>
      <c r="FJ188" s="100"/>
      <c r="FK188" s="100"/>
      <c r="FL188" s="100"/>
      <c r="FM188" s="100"/>
      <c r="FN188" s="100"/>
      <c r="FO188" s="100"/>
      <c r="FP188" s="100"/>
      <c r="FQ188" s="100"/>
      <c r="FR188" s="100"/>
      <c r="FS188" s="100"/>
      <c r="FT188" s="100"/>
      <c r="FU188" s="100"/>
      <c r="FV188" s="100"/>
      <c r="FW188" s="100"/>
      <c r="FX188" s="100"/>
      <c r="FY188" s="100"/>
      <c r="FZ188" s="100"/>
      <c r="GA188" s="100"/>
      <c r="GB188" s="100"/>
      <c r="GC188" s="100"/>
      <c r="GD188" s="100"/>
      <c r="GE188" s="100"/>
      <c r="GF188" s="100"/>
      <c r="GG188" s="100"/>
      <c r="GH188" s="100"/>
      <c r="GI188" s="100"/>
      <c r="GJ188" s="100"/>
      <c r="GK188" s="100"/>
      <c r="GL188" s="100"/>
      <c r="GM188" s="100"/>
      <c r="GN188" s="100"/>
      <c r="GO188" s="100"/>
      <c r="GP188" s="100"/>
      <c r="GQ188" s="100"/>
      <c r="GR188" s="100"/>
      <c r="GS188" s="100"/>
      <c r="GT188" s="100"/>
      <c r="GU188" s="100"/>
      <c r="GV188" s="100"/>
      <c r="GW188" s="100"/>
      <c r="GX188" s="100"/>
      <c r="GY188" s="100"/>
      <c r="GZ188" s="100"/>
      <c r="HA188" s="100"/>
      <c r="HB188" s="100"/>
      <c r="HC188" s="100"/>
      <c r="HD188" s="100"/>
      <c r="HE188" s="100"/>
      <c r="HF188" s="100"/>
      <c r="HG188" s="100"/>
      <c r="HH188" s="100"/>
      <c r="HI188" s="100"/>
      <c r="HJ188" s="100"/>
      <c r="HK188" s="100"/>
      <c r="HL188" s="100"/>
      <c r="HM188" s="100"/>
      <c r="HN188" s="100"/>
      <c r="HO188" s="100"/>
      <c r="HP188" s="100"/>
      <c r="HQ188" s="100"/>
      <c r="HR188" s="100"/>
      <c r="HS188" s="100"/>
      <c r="HT188" s="100"/>
      <c r="HU188" s="100"/>
      <c r="HV188" s="100"/>
      <c r="HW188" s="100"/>
      <c r="HX188" s="100"/>
      <c r="HY188" s="100"/>
      <c r="HZ188" s="100"/>
      <c r="IA188" s="100"/>
      <c r="IB188" s="100"/>
      <c r="IC188" s="100"/>
      <c r="ID188" s="100"/>
      <c r="IE188" s="100"/>
      <c r="IF188" s="100"/>
      <c r="IG188" s="100"/>
      <c r="IH188" s="100"/>
      <c r="II188" s="100"/>
      <c r="IJ188" s="100"/>
      <c r="IK188" s="100"/>
      <c r="IL188" s="100"/>
      <c r="IM188" s="100"/>
      <c r="IN188" s="100"/>
      <c r="IO188" s="100"/>
      <c r="IP188" s="100"/>
      <c r="IQ188" s="100"/>
      <c r="IR188" s="100"/>
      <c r="IS188" s="100"/>
      <c r="IT188" s="100"/>
      <c r="IU188" s="100"/>
      <c r="IV188" s="100"/>
      <c r="IW188" s="100"/>
    </row>
    <row r="189" customFormat="false" ht="12.75" hidden="false" customHeight="false" outlineLevel="0" collapsed="false">
      <c r="A189" s="100"/>
      <c r="B189" s="317" t="s">
        <v>187</v>
      </c>
      <c r="C189" s="0"/>
      <c r="D189" s="100"/>
      <c r="E189" s="318" t="n">
        <v>15</v>
      </c>
      <c r="F189" s="100" t="n">
        <f aca="false">IF(F$177&lt;=$E$238,E189*(1+HLOOKUP(E$178,INFL,6)),0)</f>
        <v>15.45</v>
      </c>
      <c r="G189" s="100" t="n">
        <f aca="false">IF(G$177&lt;=$E$238,F189*(1+HLOOKUP(F$178,INFL,6)),0)</f>
        <v>15.89805</v>
      </c>
      <c r="H189" s="100" t="n">
        <f aca="false">IF(H$177&lt;=$E$238,G189*(1+HLOOKUP(G$178,INFL,6)),0)</f>
        <v>16.351144425</v>
      </c>
      <c r="I189" s="100" t="n">
        <f aca="false">IF(I$177&lt;=$E$238,H189*(1+HLOOKUP(H$178,INFL,6)),0)</f>
        <v>16.8089764689</v>
      </c>
      <c r="J189" s="100" t="n">
        <f aca="false">IF(J$177&lt;=$E$238,I189*(1+HLOOKUP(I$178,INFL,6)),0)</f>
        <v>17.2661806288541</v>
      </c>
      <c r="K189" s="100" t="n">
        <f aca="false">IF(K$177&lt;=$E$238,J189*(1+HLOOKUP(J$178,INFL,6)),0)</f>
        <v>17.7271876516445</v>
      </c>
      <c r="L189" s="100" t="n">
        <f aca="false">IF(L$177&lt;=$E$238,K189*(1+HLOOKUP(K$178,INFL,6)),0)</f>
        <v>18.1916399681176</v>
      </c>
      <c r="M189" s="100" t="n">
        <f aca="false">IF(M$177&lt;=$E$238,L189*(1+HLOOKUP(L$178,INFL,6)),0)</f>
        <v>18.660984279295</v>
      </c>
      <c r="N189" s="100" t="n">
        <f aca="false">IF(N$177&lt;=$E$238,M189*(1+HLOOKUP(M$178,INFL,6)),0)</f>
        <v>19.1349732799891</v>
      </c>
      <c r="O189" s="100" t="n">
        <f aca="false">IF(O$177&lt;=$E$238,N189*(1+HLOOKUP(N$178,INFL,6)),0)</f>
        <v>19.6171746066448</v>
      </c>
      <c r="P189" s="100" t="n">
        <f aca="false">IF(P$177&lt;=$E$238,O189*(1+HLOOKUP(O$178,INFL,6)),0)</f>
        <v>20.1076039718109</v>
      </c>
      <c r="Q189" s="100" t="n">
        <f aca="false">IF(Q$177&lt;=$E$238,P189*(1+HLOOKUP(P$178,INFL,6)),0)</f>
        <v>20.6163263522978</v>
      </c>
      <c r="R189" s="100" t="n">
        <f aca="false">IF(R$177&lt;=$E$238,Q189*(1+HLOOKUP(Q$178,INFL,6)),0)</f>
        <v>21.1461659395518</v>
      </c>
      <c r="S189" s="100" t="n">
        <f aca="false">IF(S$177&lt;=$E$238,R189*(1+HLOOKUP(R$178,INFL,6)),0)</f>
        <v>21.6980808705741</v>
      </c>
      <c r="T189" s="100" t="n">
        <f aca="false">IF(T$177&lt;=$E$238,S189*(1+HLOOKUP(S$178,INFL,6)),0)</f>
        <v>22.2774196298184</v>
      </c>
      <c r="U189" s="100" t="n">
        <f aca="false">IF(U$177&lt;=$E$238,T189*(1+HLOOKUP(T$178,INFL,6)),0)</f>
        <v>22.8811377017865</v>
      </c>
      <c r="V189" s="100" t="n">
        <f aca="false">IF(V$177&lt;=$E$238,U189*(1+HLOOKUP(U$178,INFL,6)),0)</f>
        <v>0</v>
      </c>
      <c r="W189" s="100" t="n">
        <f aca="false">IF(W$177&lt;=$E$238,V189*(1+HLOOKUP(V$178,INFL,6)),0)</f>
        <v>0</v>
      </c>
      <c r="X189" s="100" t="n">
        <f aca="false">IF(X$177&lt;=$E$238,W189*(1+HLOOKUP(W$178,INFL,6)),0)</f>
        <v>0</v>
      </c>
      <c r="Y189" s="100" t="n">
        <f aca="false">IF(Y$177&lt;=$E$238,X189*(1+HLOOKUP(X$178,INFL,6)),0)</f>
        <v>0</v>
      </c>
      <c r="Z189" s="100" t="n">
        <f aca="false">IF(Z$177&lt;=$E$238,Y189*(1+HLOOKUP(Y$178,INFL,6)),0)</f>
        <v>0</v>
      </c>
      <c r="AA189" s="100" t="n">
        <f aca="false">IF(AA$177&lt;=$E$238,Z189*(1+HLOOKUP(Z$178,INFL,6)),0)</f>
        <v>0</v>
      </c>
      <c r="AB189" s="100" t="n">
        <f aca="false">IF(AB$177&lt;=$E$238,AA189*(1+HLOOKUP(AA$178,INFL,6)),0)</f>
        <v>0</v>
      </c>
      <c r="AC189" s="100" t="n">
        <f aca="false">IF(AC$177&lt;=$E$238,AB189*(1+HLOOKUP(AB$178,INFL,6)),0)</f>
        <v>0</v>
      </c>
      <c r="AD189" s="100" t="n">
        <f aca="false">IF(AD$177&lt;=$E$238,AC189*(1+HLOOKUP(AC$178,INFL,6)),0)</f>
        <v>0</v>
      </c>
      <c r="AE189" s="100" t="n">
        <f aca="false">IF(AE$177&lt;=$E$238,AD189*(1+HLOOKUP(AD$178,INFL,6)),0)</f>
        <v>0</v>
      </c>
      <c r="AF189" s="100" t="n">
        <f aca="false">IF(AF$177&lt;=$E$238,AE189*(1+HLOOKUP(AE$178,INFL,6)),0)</f>
        <v>0</v>
      </c>
      <c r="AG189" s="100" t="n">
        <f aca="false">IF(AG$177&lt;=$E$238,AF189*(1+HLOOKUP(AF$178,INFL,6)),0)</f>
        <v>0</v>
      </c>
      <c r="AH189" s="100" t="n">
        <f aca="false">IF(AH$177&lt;=$E$238,AG189*(1+HLOOKUP(AG$178,INFL,6)),0)</f>
        <v>0</v>
      </c>
      <c r="AI189" s="100" t="n">
        <f aca="false">IF(AI$177&lt;=$E$238,AH189*(1+HLOOKUP(AH$178,INFL,6)),0)</f>
        <v>0</v>
      </c>
      <c r="AJ189" s="100"/>
      <c r="AK189" s="100"/>
      <c r="AL189" s="100"/>
      <c r="AM189" s="100"/>
      <c r="AN189" s="100"/>
      <c r="AO189" s="100"/>
      <c r="AP189" s="100"/>
      <c r="AQ189" s="100"/>
      <c r="AR189" s="100"/>
      <c r="AS189" s="100"/>
      <c r="AT189" s="100"/>
      <c r="AU189" s="100"/>
      <c r="AV189" s="100"/>
      <c r="AW189" s="100"/>
      <c r="AX189" s="100"/>
      <c r="AY189" s="100"/>
      <c r="AZ189" s="100"/>
      <c r="BA189" s="100"/>
      <c r="BB189" s="100"/>
      <c r="BC189" s="100"/>
      <c r="BD189" s="100"/>
      <c r="BE189" s="100"/>
      <c r="BF189" s="100"/>
      <c r="BG189" s="100"/>
      <c r="BH189" s="100"/>
      <c r="BI189" s="100"/>
      <c r="BJ189" s="100"/>
      <c r="BK189" s="100"/>
      <c r="BL189" s="100"/>
      <c r="BM189" s="100"/>
      <c r="BN189" s="100"/>
      <c r="BO189" s="100"/>
      <c r="BP189" s="100"/>
      <c r="BQ189" s="100"/>
      <c r="BR189" s="100"/>
      <c r="BS189" s="100"/>
      <c r="BT189" s="100"/>
      <c r="BU189" s="100"/>
      <c r="BV189" s="100"/>
      <c r="BW189" s="100"/>
      <c r="BX189" s="100"/>
      <c r="BY189" s="100"/>
      <c r="BZ189" s="100"/>
      <c r="CA189" s="100"/>
      <c r="CB189" s="100"/>
      <c r="CC189" s="100"/>
      <c r="CD189" s="100"/>
      <c r="CE189" s="100"/>
      <c r="CF189" s="100"/>
      <c r="CG189" s="100"/>
      <c r="CH189" s="100"/>
      <c r="CI189" s="100"/>
      <c r="CJ189" s="100"/>
      <c r="CK189" s="100"/>
      <c r="CL189" s="100"/>
      <c r="CM189" s="100"/>
      <c r="CN189" s="100"/>
      <c r="CO189" s="100"/>
      <c r="CP189" s="100"/>
      <c r="CQ189" s="100"/>
      <c r="CR189" s="100"/>
      <c r="CS189" s="100"/>
      <c r="CT189" s="100"/>
      <c r="CU189" s="100"/>
      <c r="CV189" s="100"/>
      <c r="CW189" s="100"/>
      <c r="CX189" s="100"/>
      <c r="CY189" s="100"/>
      <c r="CZ189" s="100"/>
      <c r="DA189" s="100"/>
      <c r="DB189" s="100"/>
      <c r="DC189" s="100"/>
      <c r="DD189" s="100"/>
      <c r="DE189" s="100"/>
      <c r="DF189" s="100"/>
      <c r="DG189" s="100"/>
      <c r="DH189" s="100"/>
      <c r="DI189" s="100"/>
      <c r="DJ189" s="100"/>
      <c r="DK189" s="100"/>
      <c r="DL189" s="100"/>
      <c r="DM189" s="100"/>
      <c r="DN189" s="100"/>
      <c r="DO189" s="100"/>
      <c r="DP189" s="100"/>
      <c r="DQ189" s="100"/>
      <c r="DR189" s="100"/>
      <c r="DS189" s="100"/>
      <c r="DT189" s="100"/>
      <c r="DU189" s="100"/>
      <c r="DV189" s="100"/>
      <c r="DW189" s="100"/>
      <c r="DX189" s="100"/>
      <c r="DY189" s="100"/>
      <c r="DZ189" s="100"/>
      <c r="EA189" s="100"/>
      <c r="EB189" s="100"/>
      <c r="EC189" s="100"/>
      <c r="ED189" s="100"/>
      <c r="EE189" s="100"/>
      <c r="EF189" s="100"/>
      <c r="EG189" s="100"/>
      <c r="EH189" s="100"/>
      <c r="EI189" s="100"/>
      <c r="EJ189" s="100"/>
      <c r="EK189" s="100"/>
      <c r="EL189" s="100"/>
      <c r="EM189" s="100"/>
      <c r="EN189" s="100"/>
      <c r="EO189" s="100"/>
      <c r="EP189" s="100"/>
      <c r="EQ189" s="100"/>
      <c r="ER189" s="100"/>
      <c r="ES189" s="100"/>
      <c r="ET189" s="100"/>
      <c r="EU189" s="100"/>
      <c r="EV189" s="100"/>
      <c r="EW189" s="100"/>
      <c r="EX189" s="100"/>
      <c r="EY189" s="100"/>
      <c r="EZ189" s="100"/>
      <c r="FA189" s="100"/>
      <c r="FB189" s="100"/>
      <c r="FC189" s="100"/>
      <c r="FD189" s="100"/>
      <c r="FE189" s="100"/>
      <c r="FF189" s="100"/>
      <c r="FG189" s="100"/>
      <c r="FH189" s="100"/>
      <c r="FI189" s="100"/>
      <c r="FJ189" s="100"/>
      <c r="FK189" s="100"/>
      <c r="FL189" s="100"/>
      <c r="FM189" s="100"/>
      <c r="FN189" s="100"/>
      <c r="FO189" s="100"/>
      <c r="FP189" s="100"/>
      <c r="FQ189" s="100"/>
      <c r="FR189" s="100"/>
      <c r="FS189" s="100"/>
      <c r="FT189" s="100"/>
      <c r="FU189" s="100"/>
      <c r="FV189" s="100"/>
      <c r="FW189" s="100"/>
      <c r="FX189" s="100"/>
      <c r="FY189" s="100"/>
      <c r="FZ189" s="100"/>
      <c r="GA189" s="100"/>
      <c r="GB189" s="100"/>
      <c r="GC189" s="100"/>
      <c r="GD189" s="100"/>
      <c r="GE189" s="100"/>
      <c r="GF189" s="100"/>
      <c r="GG189" s="100"/>
      <c r="GH189" s="100"/>
      <c r="GI189" s="100"/>
      <c r="GJ189" s="100"/>
      <c r="GK189" s="100"/>
      <c r="GL189" s="100"/>
      <c r="GM189" s="100"/>
      <c r="GN189" s="100"/>
      <c r="GO189" s="100"/>
      <c r="GP189" s="100"/>
      <c r="GQ189" s="100"/>
      <c r="GR189" s="100"/>
      <c r="GS189" s="100"/>
      <c r="GT189" s="100"/>
      <c r="GU189" s="100"/>
      <c r="GV189" s="100"/>
      <c r="GW189" s="100"/>
      <c r="GX189" s="100"/>
      <c r="GY189" s="100"/>
      <c r="GZ189" s="100"/>
      <c r="HA189" s="100"/>
      <c r="HB189" s="100"/>
      <c r="HC189" s="100"/>
      <c r="HD189" s="100"/>
      <c r="HE189" s="100"/>
      <c r="HF189" s="100"/>
      <c r="HG189" s="100"/>
      <c r="HH189" s="100"/>
      <c r="HI189" s="100"/>
      <c r="HJ189" s="100"/>
      <c r="HK189" s="100"/>
      <c r="HL189" s="100"/>
      <c r="HM189" s="100"/>
      <c r="HN189" s="100"/>
      <c r="HO189" s="100"/>
      <c r="HP189" s="100"/>
      <c r="HQ189" s="100"/>
      <c r="HR189" s="100"/>
      <c r="HS189" s="100"/>
      <c r="HT189" s="100"/>
      <c r="HU189" s="100"/>
      <c r="HV189" s="100"/>
      <c r="HW189" s="100"/>
      <c r="HX189" s="100"/>
      <c r="HY189" s="100"/>
      <c r="HZ189" s="100"/>
      <c r="IA189" s="100"/>
      <c r="IB189" s="100"/>
      <c r="IC189" s="100"/>
      <c r="ID189" s="100"/>
      <c r="IE189" s="100"/>
      <c r="IF189" s="100"/>
      <c r="IG189" s="100"/>
      <c r="IH189" s="100"/>
      <c r="II189" s="100"/>
      <c r="IJ189" s="100"/>
      <c r="IK189" s="100"/>
      <c r="IL189" s="100"/>
      <c r="IM189" s="100"/>
      <c r="IN189" s="100"/>
      <c r="IO189" s="100"/>
      <c r="IP189" s="100"/>
      <c r="IQ189" s="100"/>
      <c r="IR189" s="100"/>
      <c r="IS189" s="100"/>
      <c r="IT189" s="100"/>
      <c r="IU189" s="100"/>
      <c r="IV189" s="100"/>
      <c r="IW189" s="100"/>
    </row>
    <row r="190" customFormat="false" ht="12.75" hidden="false" customHeight="false" outlineLevel="0" collapsed="false">
      <c r="A190" s="100"/>
      <c r="B190" s="243" t="s">
        <v>299</v>
      </c>
      <c r="C190" s="0"/>
      <c r="D190" s="100"/>
      <c r="E190" s="319" t="n">
        <v>45</v>
      </c>
      <c r="F190" s="301" t="n">
        <f aca="false">E190</f>
        <v>45</v>
      </c>
      <c r="G190" s="301" t="n">
        <f aca="false">F190</f>
        <v>45</v>
      </c>
      <c r="H190" s="301" t="n">
        <f aca="false">G190</f>
        <v>45</v>
      </c>
      <c r="I190" s="301" t="n">
        <f aca="false">H190</f>
        <v>45</v>
      </c>
      <c r="J190" s="301" t="n">
        <f aca="false">I190</f>
        <v>45</v>
      </c>
      <c r="K190" s="301" t="n">
        <f aca="false">J190</f>
        <v>45</v>
      </c>
      <c r="L190" s="301" t="n">
        <f aca="false">K190</f>
        <v>45</v>
      </c>
      <c r="M190" s="301" t="n">
        <f aca="false">L190</f>
        <v>45</v>
      </c>
      <c r="N190" s="301" t="n">
        <f aca="false">M190</f>
        <v>45</v>
      </c>
      <c r="O190" s="301" t="n">
        <v>0</v>
      </c>
      <c r="P190" s="301" t="n">
        <f aca="false">O190</f>
        <v>0</v>
      </c>
      <c r="Q190" s="301" t="n">
        <f aca="false">P190</f>
        <v>0</v>
      </c>
      <c r="R190" s="301" t="n">
        <f aca="false">Q190</f>
        <v>0</v>
      </c>
      <c r="S190" s="301" t="n">
        <f aca="false">R190</f>
        <v>0</v>
      </c>
      <c r="T190" s="301" t="n">
        <f aca="false">S190</f>
        <v>0</v>
      </c>
      <c r="U190" s="301" t="n">
        <f aca="false">T190</f>
        <v>0</v>
      </c>
      <c r="V190" s="301" t="n">
        <f aca="false">U190</f>
        <v>0</v>
      </c>
      <c r="W190" s="301" t="n">
        <f aca="false">V190</f>
        <v>0</v>
      </c>
      <c r="X190" s="301" t="n">
        <f aca="false">W190</f>
        <v>0</v>
      </c>
      <c r="Y190" s="301" t="n">
        <f aca="false">X190</f>
        <v>0</v>
      </c>
      <c r="Z190" s="301" t="n">
        <f aca="false">Y190</f>
        <v>0</v>
      </c>
      <c r="AA190" s="301" t="n">
        <f aca="false">Z190</f>
        <v>0</v>
      </c>
      <c r="AB190" s="301" t="n">
        <f aca="false">AA190</f>
        <v>0</v>
      </c>
      <c r="AC190" s="301" t="n">
        <f aca="false">AB190</f>
        <v>0</v>
      </c>
      <c r="AD190" s="301" t="n">
        <f aca="false">AC190</f>
        <v>0</v>
      </c>
      <c r="AE190" s="301" t="n">
        <f aca="false">AD190</f>
        <v>0</v>
      </c>
      <c r="AF190" s="301" t="n">
        <f aca="false">AE190</f>
        <v>0</v>
      </c>
      <c r="AG190" s="301" t="n">
        <f aca="false">AF190</f>
        <v>0</v>
      </c>
      <c r="AH190" s="301" t="n">
        <f aca="false">AG190</f>
        <v>0</v>
      </c>
      <c r="AI190" s="301" t="n">
        <f aca="false">AH190</f>
        <v>0</v>
      </c>
      <c r="AJ190" s="100"/>
      <c r="AK190" s="100"/>
      <c r="AL190" s="100"/>
      <c r="AM190" s="100"/>
      <c r="AN190" s="100"/>
      <c r="AO190" s="100"/>
      <c r="AP190" s="100"/>
      <c r="AQ190" s="100"/>
      <c r="AR190" s="100"/>
      <c r="AS190" s="100"/>
      <c r="AT190" s="100"/>
      <c r="AU190" s="100"/>
      <c r="AV190" s="100"/>
      <c r="AW190" s="100"/>
      <c r="AX190" s="100"/>
      <c r="AY190" s="100"/>
      <c r="AZ190" s="100"/>
      <c r="BA190" s="100"/>
      <c r="BB190" s="100"/>
      <c r="BC190" s="100"/>
      <c r="BD190" s="100"/>
      <c r="BE190" s="100"/>
      <c r="BF190" s="100"/>
      <c r="BG190" s="100"/>
      <c r="BH190" s="100"/>
      <c r="BI190" s="100"/>
      <c r="BJ190" s="100"/>
      <c r="BK190" s="100"/>
      <c r="BL190" s="100"/>
      <c r="BM190" s="100"/>
      <c r="BN190" s="100"/>
      <c r="BO190" s="100"/>
      <c r="BP190" s="100"/>
      <c r="BQ190" s="100"/>
      <c r="BR190" s="100"/>
      <c r="BS190" s="100"/>
      <c r="BT190" s="100"/>
      <c r="BU190" s="100"/>
      <c r="BV190" s="100"/>
      <c r="BW190" s="100"/>
      <c r="BX190" s="100"/>
      <c r="BY190" s="100"/>
      <c r="BZ190" s="100"/>
      <c r="CA190" s="100"/>
      <c r="CB190" s="100"/>
      <c r="CC190" s="100"/>
      <c r="CD190" s="100"/>
      <c r="CE190" s="100"/>
      <c r="CF190" s="100"/>
      <c r="CG190" s="100"/>
      <c r="CH190" s="100"/>
      <c r="CI190" s="100"/>
      <c r="CJ190" s="100"/>
      <c r="CK190" s="100"/>
      <c r="CL190" s="100"/>
      <c r="CM190" s="100"/>
      <c r="CN190" s="100"/>
      <c r="CO190" s="100"/>
      <c r="CP190" s="100"/>
      <c r="CQ190" s="100"/>
      <c r="CR190" s="100"/>
      <c r="CS190" s="100"/>
      <c r="CT190" s="100"/>
      <c r="CU190" s="100"/>
      <c r="CV190" s="100"/>
      <c r="CW190" s="100"/>
      <c r="CX190" s="100"/>
      <c r="CY190" s="100"/>
      <c r="CZ190" s="100"/>
      <c r="DA190" s="100"/>
      <c r="DB190" s="100"/>
      <c r="DC190" s="100"/>
      <c r="DD190" s="100"/>
      <c r="DE190" s="100"/>
      <c r="DF190" s="100"/>
      <c r="DG190" s="100"/>
      <c r="DH190" s="100"/>
      <c r="DI190" s="100"/>
      <c r="DJ190" s="100"/>
      <c r="DK190" s="100"/>
      <c r="DL190" s="100"/>
      <c r="DM190" s="100"/>
      <c r="DN190" s="100"/>
      <c r="DO190" s="100"/>
      <c r="DP190" s="100"/>
      <c r="DQ190" s="100"/>
      <c r="DR190" s="100"/>
      <c r="DS190" s="100"/>
      <c r="DT190" s="100"/>
      <c r="DU190" s="100"/>
      <c r="DV190" s="100"/>
      <c r="DW190" s="100"/>
      <c r="DX190" s="100"/>
      <c r="DY190" s="100"/>
      <c r="DZ190" s="100"/>
      <c r="EA190" s="100"/>
      <c r="EB190" s="100"/>
      <c r="EC190" s="100"/>
      <c r="ED190" s="100"/>
      <c r="EE190" s="100"/>
      <c r="EF190" s="100"/>
      <c r="EG190" s="100"/>
      <c r="EH190" s="100"/>
      <c r="EI190" s="100"/>
      <c r="EJ190" s="100"/>
      <c r="EK190" s="100"/>
      <c r="EL190" s="100"/>
      <c r="EM190" s="100"/>
      <c r="EN190" s="100"/>
      <c r="EO190" s="100"/>
      <c r="EP190" s="100"/>
      <c r="EQ190" s="100"/>
      <c r="ER190" s="100"/>
      <c r="ES190" s="100"/>
      <c r="ET190" s="100"/>
      <c r="EU190" s="100"/>
      <c r="EV190" s="100"/>
      <c r="EW190" s="100"/>
      <c r="EX190" s="100"/>
      <c r="EY190" s="100"/>
      <c r="EZ190" s="100"/>
      <c r="FA190" s="100"/>
      <c r="FB190" s="100"/>
      <c r="FC190" s="100"/>
      <c r="FD190" s="100"/>
      <c r="FE190" s="100"/>
      <c r="FF190" s="100"/>
      <c r="FG190" s="100"/>
      <c r="FH190" s="100"/>
      <c r="FI190" s="100"/>
      <c r="FJ190" s="100"/>
      <c r="FK190" s="100"/>
      <c r="FL190" s="100"/>
      <c r="FM190" s="100"/>
      <c r="FN190" s="100"/>
      <c r="FO190" s="100"/>
      <c r="FP190" s="100"/>
      <c r="FQ190" s="100"/>
      <c r="FR190" s="100"/>
      <c r="FS190" s="100"/>
      <c r="FT190" s="100"/>
      <c r="FU190" s="100"/>
      <c r="FV190" s="100"/>
      <c r="FW190" s="100"/>
      <c r="FX190" s="100"/>
      <c r="FY190" s="100"/>
      <c r="FZ190" s="100"/>
      <c r="GA190" s="100"/>
      <c r="GB190" s="100"/>
      <c r="GC190" s="100"/>
      <c r="GD190" s="100"/>
      <c r="GE190" s="100"/>
      <c r="GF190" s="100"/>
      <c r="GG190" s="100"/>
      <c r="GH190" s="100"/>
      <c r="GI190" s="100"/>
      <c r="GJ190" s="100"/>
      <c r="GK190" s="100"/>
      <c r="GL190" s="100"/>
      <c r="GM190" s="100"/>
      <c r="GN190" s="100"/>
      <c r="GO190" s="100"/>
      <c r="GP190" s="100"/>
      <c r="GQ190" s="100"/>
      <c r="GR190" s="100"/>
      <c r="GS190" s="100"/>
      <c r="GT190" s="100"/>
      <c r="GU190" s="100"/>
      <c r="GV190" s="100"/>
      <c r="GW190" s="100"/>
      <c r="GX190" s="100"/>
      <c r="GY190" s="100"/>
      <c r="GZ190" s="100"/>
      <c r="HA190" s="100"/>
      <c r="HB190" s="100"/>
      <c r="HC190" s="100"/>
      <c r="HD190" s="100"/>
      <c r="HE190" s="100"/>
      <c r="HF190" s="100"/>
      <c r="HG190" s="100"/>
      <c r="HH190" s="100"/>
      <c r="HI190" s="100"/>
      <c r="HJ190" s="100"/>
      <c r="HK190" s="100"/>
      <c r="HL190" s="100"/>
      <c r="HM190" s="100"/>
      <c r="HN190" s="100"/>
      <c r="HO190" s="100"/>
      <c r="HP190" s="100"/>
      <c r="HQ190" s="100"/>
      <c r="HR190" s="100"/>
      <c r="HS190" s="100"/>
      <c r="HT190" s="100"/>
      <c r="HU190" s="100"/>
      <c r="HV190" s="100"/>
      <c r="HW190" s="100"/>
      <c r="HX190" s="100"/>
      <c r="HY190" s="100"/>
      <c r="HZ190" s="100"/>
      <c r="IA190" s="100"/>
      <c r="IB190" s="100"/>
      <c r="IC190" s="100"/>
      <c r="ID190" s="100"/>
      <c r="IE190" s="100"/>
      <c r="IF190" s="100"/>
      <c r="IG190" s="100"/>
      <c r="IH190" s="100"/>
      <c r="II190" s="100"/>
      <c r="IJ190" s="100"/>
      <c r="IK190" s="100"/>
      <c r="IL190" s="100"/>
      <c r="IM190" s="100"/>
      <c r="IN190" s="100"/>
      <c r="IO190" s="100"/>
      <c r="IP190" s="100"/>
      <c r="IQ190" s="100"/>
      <c r="IR190" s="100"/>
      <c r="IS190" s="100"/>
      <c r="IT190" s="100"/>
      <c r="IU190" s="100"/>
      <c r="IV190" s="100"/>
      <c r="IW190" s="100"/>
    </row>
    <row r="191" customFormat="false" ht="12.75" hidden="false" customHeight="false" outlineLevel="0" collapsed="false">
      <c r="A191" s="100"/>
      <c r="B191" s="317" t="s">
        <v>300</v>
      </c>
      <c r="C191" s="0"/>
      <c r="D191" s="100"/>
      <c r="E191" s="301" t="n">
        <v>0</v>
      </c>
      <c r="F191" s="301" t="n">
        <v>0</v>
      </c>
      <c r="G191" s="301" t="n">
        <v>0</v>
      </c>
      <c r="H191" s="301" t="n">
        <v>0</v>
      </c>
      <c r="I191" s="301" t="n">
        <v>0</v>
      </c>
      <c r="J191" s="301" t="n">
        <v>0</v>
      </c>
      <c r="K191" s="301" t="n">
        <v>0</v>
      </c>
      <c r="L191" s="301" t="n">
        <v>0</v>
      </c>
      <c r="M191" s="301" t="n">
        <v>0</v>
      </c>
      <c r="N191" s="301" t="n">
        <v>0</v>
      </c>
      <c r="O191" s="301" t="n">
        <v>0</v>
      </c>
      <c r="P191" s="301" t="n">
        <v>0</v>
      </c>
      <c r="Q191" s="301" t="n">
        <v>0</v>
      </c>
      <c r="R191" s="301" t="n">
        <v>0</v>
      </c>
      <c r="S191" s="301" t="n">
        <v>0</v>
      </c>
      <c r="T191" s="301" t="n">
        <v>0</v>
      </c>
      <c r="U191" s="301" t="n">
        <v>0</v>
      </c>
      <c r="V191" s="301" t="n">
        <v>0</v>
      </c>
      <c r="W191" s="301" t="n">
        <v>0</v>
      </c>
      <c r="X191" s="301" t="n">
        <v>0</v>
      </c>
      <c r="Y191" s="301" t="n">
        <v>0</v>
      </c>
      <c r="Z191" s="301" t="n">
        <v>0</v>
      </c>
      <c r="AA191" s="301" t="n">
        <v>0</v>
      </c>
      <c r="AB191" s="301" t="n">
        <v>0</v>
      </c>
      <c r="AC191" s="301" t="n">
        <v>0</v>
      </c>
      <c r="AD191" s="301" t="n">
        <v>0</v>
      </c>
      <c r="AE191" s="301" t="n">
        <v>0</v>
      </c>
      <c r="AF191" s="301" t="n">
        <v>0</v>
      </c>
      <c r="AG191" s="301" t="n">
        <v>0</v>
      </c>
      <c r="AH191" s="301" t="n">
        <v>0</v>
      </c>
      <c r="AI191" s="301" t="n">
        <v>0</v>
      </c>
      <c r="AJ191" s="100"/>
      <c r="AK191" s="100"/>
      <c r="AL191" s="100"/>
      <c r="AM191" s="100"/>
      <c r="AN191" s="100"/>
      <c r="AO191" s="100"/>
      <c r="AP191" s="100"/>
      <c r="AQ191" s="100"/>
      <c r="AR191" s="100"/>
      <c r="AS191" s="100"/>
      <c r="AT191" s="100"/>
      <c r="AU191" s="100"/>
      <c r="AV191" s="100"/>
      <c r="AW191" s="100"/>
      <c r="AX191" s="100"/>
      <c r="AY191" s="100"/>
      <c r="AZ191" s="100"/>
      <c r="BA191" s="100"/>
      <c r="BB191" s="100"/>
      <c r="BC191" s="100"/>
      <c r="BD191" s="100"/>
      <c r="BE191" s="100"/>
      <c r="BF191" s="100"/>
      <c r="BG191" s="100"/>
      <c r="BH191" s="100"/>
      <c r="BI191" s="100"/>
      <c r="BJ191" s="100"/>
      <c r="BK191" s="100"/>
      <c r="BL191" s="100"/>
      <c r="BM191" s="100"/>
      <c r="BN191" s="100"/>
      <c r="BO191" s="100"/>
      <c r="BP191" s="100"/>
      <c r="BQ191" s="100"/>
      <c r="BR191" s="100"/>
      <c r="BS191" s="100"/>
      <c r="BT191" s="100"/>
      <c r="BU191" s="100"/>
      <c r="BV191" s="100"/>
      <c r="BW191" s="100"/>
      <c r="BX191" s="100"/>
      <c r="BY191" s="100"/>
      <c r="BZ191" s="100"/>
      <c r="CA191" s="100"/>
      <c r="CB191" s="100"/>
      <c r="CC191" s="100"/>
      <c r="CD191" s="100"/>
      <c r="CE191" s="100"/>
      <c r="CF191" s="100"/>
      <c r="CG191" s="100"/>
      <c r="CH191" s="100"/>
      <c r="CI191" s="100"/>
      <c r="CJ191" s="100"/>
      <c r="CK191" s="100"/>
      <c r="CL191" s="100"/>
      <c r="CM191" s="100"/>
      <c r="CN191" s="100"/>
      <c r="CO191" s="100"/>
      <c r="CP191" s="100"/>
      <c r="CQ191" s="100"/>
      <c r="CR191" s="100"/>
      <c r="CS191" s="100"/>
      <c r="CT191" s="100"/>
      <c r="CU191" s="100"/>
      <c r="CV191" s="100"/>
      <c r="CW191" s="100"/>
      <c r="CX191" s="100"/>
      <c r="CY191" s="100"/>
      <c r="CZ191" s="100"/>
      <c r="DA191" s="100"/>
      <c r="DB191" s="100"/>
      <c r="DC191" s="100"/>
      <c r="DD191" s="100"/>
      <c r="DE191" s="100"/>
      <c r="DF191" s="100"/>
      <c r="DG191" s="100"/>
      <c r="DH191" s="100"/>
      <c r="DI191" s="100"/>
      <c r="DJ191" s="100"/>
      <c r="DK191" s="100"/>
      <c r="DL191" s="100"/>
      <c r="DM191" s="100"/>
      <c r="DN191" s="100"/>
      <c r="DO191" s="100"/>
      <c r="DP191" s="100"/>
      <c r="DQ191" s="100"/>
      <c r="DR191" s="100"/>
      <c r="DS191" s="100"/>
      <c r="DT191" s="100"/>
      <c r="DU191" s="100"/>
      <c r="DV191" s="100"/>
      <c r="DW191" s="100"/>
      <c r="DX191" s="100"/>
      <c r="DY191" s="100"/>
      <c r="DZ191" s="100"/>
      <c r="EA191" s="100"/>
      <c r="EB191" s="100"/>
      <c r="EC191" s="100"/>
      <c r="ED191" s="100"/>
      <c r="EE191" s="100"/>
      <c r="EF191" s="100"/>
      <c r="EG191" s="100"/>
      <c r="EH191" s="100"/>
      <c r="EI191" s="100"/>
      <c r="EJ191" s="100"/>
      <c r="EK191" s="100"/>
      <c r="EL191" s="100"/>
      <c r="EM191" s="100"/>
      <c r="EN191" s="100"/>
      <c r="EO191" s="100"/>
      <c r="EP191" s="100"/>
      <c r="EQ191" s="100"/>
      <c r="ER191" s="100"/>
      <c r="ES191" s="100"/>
      <c r="ET191" s="100"/>
      <c r="EU191" s="100"/>
      <c r="EV191" s="100"/>
      <c r="EW191" s="100"/>
      <c r="EX191" s="100"/>
      <c r="EY191" s="100"/>
      <c r="EZ191" s="100"/>
      <c r="FA191" s="100"/>
      <c r="FB191" s="100"/>
      <c r="FC191" s="100"/>
      <c r="FD191" s="100"/>
      <c r="FE191" s="100"/>
      <c r="FF191" s="100"/>
      <c r="FG191" s="100"/>
      <c r="FH191" s="100"/>
      <c r="FI191" s="100"/>
      <c r="FJ191" s="100"/>
      <c r="FK191" s="100"/>
      <c r="FL191" s="100"/>
      <c r="FM191" s="100"/>
      <c r="FN191" s="100"/>
      <c r="FO191" s="100"/>
      <c r="FP191" s="100"/>
      <c r="FQ191" s="100"/>
      <c r="FR191" s="100"/>
      <c r="FS191" s="100"/>
      <c r="FT191" s="100"/>
      <c r="FU191" s="100"/>
      <c r="FV191" s="100"/>
      <c r="FW191" s="100"/>
      <c r="FX191" s="100"/>
      <c r="FY191" s="100"/>
      <c r="FZ191" s="100"/>
      <c r="GA191" s="100"/>
      <c r="GB191" s="100"/>
      <c r="GC191" s="100"/>
      <c r="GD191" s="100"/>
      <c r="GE191" s="100"/>
      <c r="GF191" s="100"/>
      <c r="GG191" s="100"/>
      <c r="GH191" s="100"/>
      <c r="GI191" s="100"/>
      <c r="GJ191" s="100"/>
      <c r="GK191" s="100"/>
      <c r="GL191" s="100"/>
      <c r="GM191" s="100"/>
      <c r="GN191" s="100"/>
      <c r="GO191" s="100"/>
      <c r="GP191" s="100"/>
      <c r="GQ191" s="100"/>
      <c r="GR191" s="100"/>
      <c r="GS191" s="100"/>
      <c r="GT191" s="100"/>
      <c r="GU191" s="100"/>
      <c r="GV191" s="100"/>
      <c r="GW191" s="100"/>
      <c r="GX191" s="100"/>
      <c r="GY191" s="100"/>
      <c r="GZ191" s="100"/>
      <c r="HA191" s="100"/>
      <c r="HB191" s="100"/>
      <c r="HC191" s="100"/>
      <c r="HD191" s="100"/>
      <c r="HE191" s="100"/>
      <c r="HF191" s="100"/>
      <c r="HG191" s="100"/>
      <c r="HH191" s="100"/>
      <c r="HI191" s="100"/>
      <c r="HJ191" s="100"/>
      <c r="HK191" s="100"/>
      <c r="HL191" s="100"/>
      <c r="HM191" s="100"/>
      <c r="HN191" s="100"/>
      <c r="HO191" s="100"/>
      <c r="HP191" s="100"/>
      <c r="HQ191" s="100"/>
      <c r="HR191" s="100"/>
      <c r="HS191" s="100"/>
      <c r="HT191" s="100"/>
      <c r="HU191" s="100"/>
      <c r="HV191" s="100"/>
      <c r="HW191" s="100"/>
      <c r="HX191" s="100"/>
      <c r="HY191" s="100"/>
      <c r="HZ191" s="100"/>
      <c r="IA191" s="100"/>
      <c r="IB191" s="100"/>
      <c r="IC191" s="100"/>
      <c r="ID191" s="100"/>
      <c r="IE191" s="100"/>
      <c r="IF191" s="100"/>
      <c r="IG191" s="100"/>
      <c r="IH191" s="100"/>
      <c r="II191" s="100"/>
      <c r="IJ191" s="100"/>
      <c r="IK191" s="100"/>
      <c r="IL191" s="100"/>
      <c r="IM191" s="100"/>
      <c r="IN191" s="100"/>
      <c r="IO191" s="100"/>
      <c r="IP191" s="100"/>
      <c r="IQ191" s="100"/>
      <c r="IR191" s="100"/>
      <c r="IS191" s="100"/>
      <c r="IT191" s="100"/>
      <c r="IU191" s="100"/>
      <c r="IV191" s="100"/>
      <c r="IW191" s="100"/>
    </row>
    <row r="192" customFormat="false" ht="12.75" hidden="false" customHeight="false" outlineLevel="0" collapsed="false">
      <c r="A192" s="100"/>
      <c r="B192" s="317" t="s">
        <v>301</v>
      </c>
      <c r="C192" s="0"/>
      <c r="D192" s="100"/>
      <c r="E192" s="100" t="n">
        <f aca="false">E173*$F$30</f>
        <v>345</v>
      </c>
      <c r="F192" s="100" t="n">
        <f aca="false">F173*$F$30</f>
        <v>345</v>
      </c>
      <c r="G192" s="100" t="n">
        <f aca="false">G173*$F$30</f>
        <v>345</v>
      </c>
      <c r="H192" s="100" t="n">
        <f aca="false">H173*$F$30</f>
        <v>345</v>
      </c>
      <c r="I192" s="100" t="n">
        <f aca="false">I173*$F$30</f>
        <v>345</v>
      </c>
      <c r="J192" s="100" t="n">
        <f aca="false">J173*$F$30</f>
        <v>0</v>
      </c>
      <c r="K192" s="100" t="n">
        <f aca="false">K173*$F$30</f>
        <v>0</v>
      </c>
      <c r="L192" s="100" t="n">
        <f aca="false">L173*$F$30</f>
        <v>0</v>
      </c>
      <c r="M192" s="100" t="n">
        <f aca="false">M173*$F$30</f>
        <v>0</v>
      </c>
      <c r="N192" s="100" t="n">
        <f aca="false">N173*$F$30</f>
        <v>0</v>
      </c>
      <c r="O192" s="100" t="n">
        <f aca="false">O173*$F$30</f>
        <v>0</v>
      </c>
      <c r="P192" s="100" t="n">
        <f aca="false">P173*$F$30</f>
        <v>0</v>
      </c>
      <c r="Q192" s="100" t="n">
        <f aca="false">Q173*$F$30</f>
        <v>0</v>
      </c>
      <c r="R192" s="100" t="n">
        <f aca="false">R173*$F$30</f>
        <v>0</v>
      </c>
      <c r="S192" s="100" t="n">
        <f aca="false">S173*$F$30</f>
        <v>0</v>
      </c>
      <c r="T192" s="100" t="n">
        <f aca="false">T173*$F$30</f>
        <v>0</v>
      </c>
      <c r="U192" s="100" t="n">
        <f aca="false">U173*$F$30</f>
        <v>0</v>
      </c>
      <c r="V192" s="100" t="n">
        <f aca="false">V173*$F$30</f>
        <v>0</v>
      </c>
      <c r="W192" s="100" t="n">
        <f aca="false">W173*$F$30</f>
        <v>0</v>
      </c>
      <c r="X192" s="100" t="n">
        <f aca="false">X173*$F$30</f>
        <v>0</v>
      </c>
      <c r="Y192" s="100" t="n">
        <f aca="false">Y173*$F$30</f>
        <v>0</v>
      </c>
      <c r="Z192" s="100" t="n">
        <f aca="false">Z173*$F$30</f>
        <v>0</v>
      </c>
      <c r="AA192" s="100" t="n">
        <f aca="false">AA173*$F$30</f>
        <v>0</v>
      </c>
      <c r="AB192" s="100" t="n">
        <f aca="false">AB173*$F$30</f>
        <v>0</v>
      </c>
      <c r="AC192" s="100" t="n">
        <f aca="false">AC173*$F$30</f>
        <v>0</v>
      </c>
      <c r="AD192" s="100" t="n">
        <f aca="false">AD173*$F$30</f>
        <v>0</v>
      </c>
      <c r="AE192" s="100" t="n">
        <f aca="false">AE173*$F$30</f>
        <v>0</v>
      </c>
      <c r="AF192" s="100" t="n">
        <f aca="false">AF173*$F$30</f>
        <v>0</v>
      </c>
      <c r="AG192" s="100" t="n">
        <f aca="false">AG173*$F$30</f>
        <v>0</v>
      </c>
      <c r="AH192" s="100" t="n">
        <f aca="false">AH173*$F$30</f>
        <v>0</v>
      </c>
      <c r="AI192" s="100" t="n">
        <f aca="false">AI173*$F$30</f>
        <v>0</v>
      </c>
      <c r="AJ192" s="100"/>
      <c r="AK192" s="100"/>
      <c r="AL192" s="100"/>
      <c r="AM192" s="100"/>
      <c r="AN192" s="100"/>
      <c r="AO192" s="100"/>
      <c r="AP192" s="100"/>
      <c r="AQ192" s="100"/>
      <c r="AR192" s="100"/>
      <c r="AS192" s="100"/>
      <c r="AT192" s="100"/>
      <c r="AU192" s="100"/>
      <c r="AV192" s="100"/>
      <c r="AW192" s="100"/>
      <c r="AX192" s="100"/>
      <c r="AY192" s="100"/>
      <c r="AZ192" s="100"/>
      <c r="BA192" s="100"/>
      <c r="BB192" s="100"/>
      <c r="BC192" s="100"/>
      <c r="BD192" s="100"/>
      <c r="BE192" s="100"/>
      <c r="BF192" s="100"/>
      <c r="BG192" s="100"/>
      <c r="BH192" s="100"/>
      <c r="BI192" s="100"/>
      <c r="BJ192" s="100"/>
      <c r="BK192" s="100"/>
      <c r="BL192" s="100"/>
      <c r="BM192" s="100"/>
      <c r="BN192" s="100"/>
      <c r="BO192" s="100"/>
      <c r="BP192" s="100"/>
      <c r="BQ192" s="100"/>
      <c r="BR192" s="100"/>
      <c r="BS192" s="100"/>
      <c r="BT192" s="100"/>
      <c r="BU192" s="100"/>
      <c r="BV192" s="100"/>
      <c r="BW192" s="100"/>
      <c r="BX192" s="100"/>
      <c r="BY192" s="100"/>
      <c r="BZ192" s="100"/>
      <c r="CA192" s="100"/>
      <c r="CB192" s="100"/>
      <c r="CC192" s="100"/>
      <c r="CD192" s="100"/>
      <c r="CE192" s="100"/>
      <c r="CF192" s="100"/>
      <c r="CG192" s="100"/>
      <c r="CH192" s="100"/>
      <c r="CI192" s="100"/>
      <c r="CJ192" s="100"/>
      <c r="CK192" s="100"/>
      <c r="CL192" s="100"/>
      <c r="CM192" s="100"/>
      <c r="CN192" s="100"/>
      <c r="CO192" s="100"/>
      <c r="CP192" s="100"/>
      <c r="CQ192" s="100"/>
      <c r="CR192" s="100"/>
      <c r="CS192" s="100"/>
      <c r="CT192" s="100"/>
      <c r="CU192" s="100"/>
      <c r="CV192" s="100"/>
      <c r="CW192" s="100"/>
      <c r="CX192" s="100"/>
      <c r="CY192" s="100"/>
      <c r="CZ192" s="100"/>
      <c r="DA192" s="100"/>
      <c r="DB192" s="100"/>
      <c r="DC192" s="100"/>
      <c r="DD192" s="100"/>
      <c r="DE192" s="100"/>
      <c r="DF192" s="100"/>
      <c r="DG192" s="100"/>
      <c r="DH192" s="100"/>
      <c r="DI192" s="100"/>
      <c r="DJ192" s="100"/>
      <c r="DK192" s="100"/>
      <c r="DL192" s="100"/>
      <c r="DM192" s="100"/>
      <c r="DN192" s="100"/>
      <c r="DO192" s="100"/>
      <c r="DP192" s="100"/>
      <c r="DQ192" s="100"/>
      <c r="DR192" s="100"/>
      <c r="DS192" s="100"/>
      <c r="DT192" s="100"/>
      <c r="DU192" s="100"/>
      <c r="DV192" s="100"/>
      <c r="DW192" s="100"/>
      <c r="DX192" s="100"/>
      <c r="DY192" s="100"/>
      <c r="DZ192" s="100"/>
      <c r="EA192" s="100"/>
      <c r="EB192" s="100"/>
      <c r="EC192" s="100"/>
      <c r="ED192" s="100"/>
      <c r="EE192" s="100"/>
      <c r="EF192" s="100"/>
      <c r="EG192" s="100"/>
      <c r="EH192" s="100"/>
      <c r="EI192" s="100"/>
      <c r="EJ192" s="100"/>
      <c r="EK192" s="100"/>
      <c r="EL192" s="100"/>
      <c r="EM192" s="100"/>
      <c r="EN192" s="100"/>
      <c r="EO192" s="100"/>
      <c r="EP192" s="100"/>
      <c r="EQ192" s="100"/>
      <c r="ER192" s="100"/>
      <c r="ES192" s="100"/>
      <c r="ET192" s="100"/>
      <c r="EU192" s="100"/>
      <c r="EV192" s="100"/>
      <c r="EW192" s="100"/>
      <c r="EX192" s="100"/>
      <c r="EY192" s="100"/>
      <c r="EZ192" s="100"/>
      <c r="FA192" s="100"/>
      <c r="FB192" s="100"/>
      <c r="FC192" s="100"/>
      <c r="FD192" s="100"/>
      <c r="FE192" s="100"/>
      <c r="FF192" s="100"/>
      <c r="FG192" s="100"/>
      <c r="FH192" s="100"/>
      <c r="FI192" s="100"/>
      <c r="FJ192" s="100"/>
      <c r="FK192" s="100"/>
      <c r="FL192" s="100"/>
      <c r="FM192" s="100"/>
      <c r="FN192" s="100"/>
      <c r="FO192" s="100"/>
      <c r="FP192" s="100"/>
      <c r="FQ192" s="100"/>
      <c r="FR192" s="100"/>
      <c r="FS192" s="100"/>
      <c r="FT192" s="100"/>
      <c r="FU192" s="100"/>
      <c r="FV192" s="100"/>
      <c r="FW192" s="100"/>
      <c r="FX192" s="100"/>
      <c r="FY192" s="100"/>
      <c r="FZ192" s="100"/>
      <c r="GA192" s="100"/>
      <c r="GB192" s="100"/>
      <c r="GC192" s="100"/>
      <c r="GD192" s="100"/>
      <c r="GE192" s="100"/>
      <c r="GF192" s="100"/>
      <c r="GG192" s="100"/>
      <c r="GH192" s="100"/>
      <c r="GI192" s="100"/>
      <c r="GJ192" s="100"/>
      <c r="GK192" s="100"/>
      <c r="GL192" s="100"/>
      <c r="GM192" s="100"/>
      <c r="GN192" s="100"/>
      <c r="GO192" s="100"/>
      <c r="GP192" s="100"/>
      <c r="GQ192" s="100"/>
      <c r="GR192" s="100"/>
      <c r="GS192" s="100"/>
      <c r="GT192" s="100"/>
      <c r="GU192" s="100"/>
      <c r="GV192" s="100"/>
      <c r="GW192" s="100"/>
      <c r="GX192" s="100"/>
      <c r="GY192" s="100"/>
      <c r="GZ192" s="100"/>
      <c r="HA192" s="100"/>
      <c r="HB192" s="100"/>
      <c r="HC192" s="100"/>
      <c r="HD192" s="100"/>
      <c r="HE192" s="100"/>
      <c r="HF192" s="100"/>
      <c r="HG192" s="100"/>
      <c r="HH192" s="100"/>
      <c r="HI192" s="100"/>
      <c r="HJ192" s="100"/>
      <c r="HK192" s="100"/>
      <c r="HL192" s="100"/>
      <c r="HM192" s="100"/>
      <c r="HN192" s="100"/>
      <c r="HO192" s="100"/>
      <c r="HP192" s="100"/>
      <c r="HQ192" s="100"/>
      <c r="HR192" s="100"/>
      <c r="HS192" s="100"/>
      <c r="HT192" s="100"/>
      <c r="HU192" s="100"/>
      <c r="HV192" s="100"/>
      <c r="HW192" s="100"/>
      <c r="HX192" s="100"/>
      <c r="HY192" s="100"/>
      <c r="HZ192" s="100"/>
      <c r="IA192" s="100"/>
      <c r="IB192" s="100"/>
      <c r="IC192" s="100"/>
      <c r="ID192" s="100"/>
      <c r="IE192" s="100"/>
      <c r="IF192" s="100"/>
      <c r="IG192" s="100"/>
      <c r="IH192" s="100"/>
      <c r="II192" s="100"/>
      <c r="IJ192" s="100"/>
      <c r="IK192" s="100"/>
      <c r="IL192" s="100"/>
      <c r="IM192" s="100"/>
      <c r="IN192" s="100"/>
      <c r="IO192" s="100"/>
      <c r="IP192" s="100"/>
      <c r="IQ192" s="100"/>
      <c r="IR192" s="100"/>
      <c r="IS192" s="100"/>
      <c r="IT192" s="100"/>
      <c r="IU192" s="100"/>
      <c r="IV192" s="100"/>
      <c r="IW192" s="100"/>
    </row>
    <row r="193" customFormat="false" ht="12.75" hidden="false" customHeight="false" outlineLevel="0" collapsed="false">
      <c r="A193" s="23"/>
      <c r="B193" s="317" t="s">
        <v>302</v>
      </c>
      <c r="C193" s="0"/>
      <c r="D193" s="22"/>
      <c r="E193" s="301" t="n">
        <v>50</v>
      </c>
      <c r="F193" s="100" t="n">
        <f aca="false">E193*(1+HLOOKUP(E178,INFL,6))</f>
        <v>51.5</v>
      </c>
      <c r="G193" s="100" t="n">
        <f aca="false">F193*(1+HLOOKUP(F178,INFL,6))</f>
        <v>52.9935</v>
      </c>
      <c r="H193" s="100" t="n">
        <f aca="false">G193*(1+HLOOKUP(G178,INFL,6))</f>
        <v>54.50381475</v>
      </c>
      <c r="I193" s="100" t="n">
        <f aca="false">H193*(1+HLOOKUP(H178,INFL,6))</f>
        <v>56.029921563</v>
      </c>
      <c r="J193" s="100" t="n">
        <f aca="false">I193*(1+HLOOKUP(I178,INFL,6))</f>
        <v>57.5539354295136</v>
      </c>
      <c r="K193" s="100" t="n">
        <f aca="false">J193*(1+HLOOKUP(J178,INFL,6))</f>
        <v>59.0906255054816</v>
      </c>
      <c r="L193" s="100" t="n">
        <f aca="false">K193*(1+HLOOKUP(K178,INFL,6))</f>
        <v>60.6387998937252</v>
      </c>
      <c r="M193" s="100" t="n">
        <f aca="false">L193*(1+HLOOKUP(L178,INFL,6))</f>
        <v>62.2032809309833</v>
      </c>
      <c r="N193" s="100" t="n">
        <f aca="false">M193*(1+HLOOKUP(M178,INFL,6))</f>
        <v>63.7832442666303</v>
      </c>
      <c r="O193" s="100" t="n">
        <f aca="false">N193*(1+HLOOKUP(N178,INFL,6))</f>
        <v>65.3905820221494</v>
      </c>
      <c r="P193" s="100" t="n">
        <f aca="false">O193*(1+HLOOKUP(O178,INFL,6))</f>
        <v>67.0253465727031</v>
      </c>
      <c r="Q193" s="100" t="n">
        <f aca="false">P193*(1+HLOOKUP(P178,INFL,6))</f>
        <v>68.7210878409925</v>
      </c>
      <c r="R193" s="100" t="n">
        <f aca="false">Q193*(1+HLOOKUP(Q178,INFL,6))</f>
        <v>70.487219798506</v>
      </c>
      <c r="S193" s="100" t="n">
        <f aca="false">R193*(1+HLOOKUP(R178,INFL,6))</f>
        <v>72.326936235247</v>
      </c>
      <c r="T193" s="100" t="n">
        <f aca="false">S193*(1+HLOOKUP(S178,INFL,6))</f>
        <v>74.2580654327281</v>
      </c>
      <c r="U193" s="100" t="n">
        <f aca="false">T193*(1+HLOOKUP(T178,INFL,6))</f>
        <v>76.2704590059551</v>
      </c>
      <c r="V193" s="100" t="n">
        <f aca="false">U193*(1+HLOOKUP(U178,INFL,6))</f>
        <v>78.3602695827182</v>
      </c>
      <c r="W193" s="100" t="n">
        <f aca="false">V193*(1+HLOOKUP(V178,INFL,6))</f>
        <v>80.5700291849509</v>
      </c>
      <c r="X193" s="100" t="n">
        <f aca="false">W193*(1+HLOOKUP(W178,INFL,6))</f>
        <v>82.9065600313145</v>
      </c>
      <c r="Y193" s="100" t="n">
        <f aca="false">X193*(1+HLOOKUP(X178,INFL,6))</f>
        <v>85.4352101122695</v>
      </c>
      <c r="Z193" s="100" t="n">
        <f aca="false">Y193*(1+HLOOKUP(Y178,INFL,6))</f>
        <v>88.0922451467611</v>
      </c>
      <c r="AA193" s="100" t="n">
        <f aca="false">Z193*(1+HLOOKUP(Z178,INFL,6))</f>
        <v>90.8935785424281</v>
      </c>
      <c r="AB193" s="100" t="n">
        <f aca="false">AA193*(1+HLOOKUP(AA178,INFL,6))</f>
        <v>93.7839943400773</v>
      </c>
      <c r="AC193" s="100" t="n">
        <f aca="false">AB193*(1+HLOOKUP(AB178,INFL,6))</f>
        <v>96.7663253600918</v>
      </c>
      <c r="AD193" s="100" t="n">
        <f aca="false">AC193*(1+HLOOKUP(AC178,INFL,6))</f>
        <v>99.8434945065427</v>
      </c>
      <c r="AE193" s="100" t="n">
        <f aca="false">AD193*(1+HLOOKUP(AD178,INFL,6))</f>
        <v>103.018517631851</v>
      </c>
      <c r="AF193" s="100" t="n">
        <f aca="false">AE193*(1+HLOOKUP(AE178,INFL,6))</f>
        <v>106.294506492544</v>
      </c>
      <c r="AG193" s="100" t="n">
        <f aca="false">AF193*(1+HLOOKUP(AF178,INFL,6))</f>
        <v>109.674671799007</v>
      </c>
      <c r="AH193" s="100" t="n">
        <f aca="false">AG193*(1+HLOOKUP(AG178,INFL,6))</f>
        <v>113.162326362215</v>
      </c>
      <c r="AI193" s="100" t="n">
        <f aca="false">AH193*(1+HLOOKUP(AH178,INFL,6))</f>
        <v>116.760888340533</v>
      </c>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c r="BT193" s="24"/>
      <c r="BU193" s="24"/>
      <c r="BV193" s="24"/>
      <c r="BW193" s="24"/>
      <c r="BX193" s="24"/>
      <c r="BY193" s="24"/>
      <c r="BZ193" s="24"/>
      <c r="CA193" s="24"/>
      <c r="CB193" s="24"/>
      <c r="CC193" s="24"/>
      <c r="CD193" s="24"/>
      <c r="CE193" s="24"/>
      <c r="CF193" s="24"/>
      <c r="CG193" s="24"/>
      <c r="CH193" s="24"/>
      <c r="CI193" s="24"/>
      <c r="CJ193" s="24"/>
      <c r="CK193" s="24"/>
      <c r="CL193" s="24"/>
      <c r="CM193" s="24"/>
      <c r="CN193" s="24"/>
      <c r="CO193" s="24"/>
      <c r="CP193" s="24"/>
      <c r="CQ193" s="24"/>
      <c r="CR193" s="24"/>
      <c r="CS193" s="24"/>
      <c r="CT193" s="24"/>
      <c r="CU193" s="24"/>
      <c r="CV193" s="24"/>
      <c r="CW193" s="24"/>
      <c r="CX193" s="24"/>
      <c r="CY193" s="24"/>
      <c r="CZ193" s="24"/>
      <c r="DA193" s="24"/>
      <c r="DB193" s="24"/>
      <c r="DC193" s="24"/>
      <c r="DD193" s="24"/>
      <c r="DE193" s="24"/>
      <c r="DF193" s="24"/>
      <c r="DG193" s="24"/>
      <c r="DH193" s="24"/>
      <c r="DI193" s="24"/>
      <c r="DJ193" s="24"/>
      <c r="DK193" s="24"/>
      <c r="DL193" s="24"/>
      <c r="DM193" s="24"/>
      <c r="DN193" s="24"/>
      <c r="DO193" s="24"/>
      <c r="DP193" s="24"/>
      <c r="DQ193" s="24"/>
      <c r="DR193" s="24"/>
      <c r="DS193" s="24"/>
      <c r="DT193" s="24"/>
      <c r="DU193" s="24"/>
      <c r="DV193" s="24"/>
      <c r="DW193" s="24"/>
      <c r="DX193" s="24"/>
      <c r="DY193" s="24"/>
      <c r="DZ193" s="24"/>
      <c r="EA193" s="24"/>
      <c r="EB193" s="24"/>
      <c r="EC193" s="24"/>
      <c r="ED193" s="24"/>
      <c r="EE193" s="24"/>
      <c r="EF193" s="24"/>
      <c r="EG193" s="24"/>
      <c r="EH193" s="24"/>
      <c r="EI193" s="24"/>
      <c r="EJ193" s="24"/>
      <c r="EK193" s="24"/>
      <c r="EL193" s="24"/>
      <c r="EM193" s="3"/>
      <c r="EN193" s="3"/>
      <c r="EO193" s="3"/>
      <c r="EP193" s="3"/>
      <c r="EQ193" s="3"/>
      <c r="ER193" s="3"/>
      <c r="ES193" s="3"/>
      <c r="ET193" s="3"/>
      <c r="EU193" s="3"/>
      <c r="EV193" s="3"/>
      <c r="EW193" s="3"/>
      <c r="EX193" s="3"/>
      <c r="EY193" s="3"/>
      <c r="EZ193" s="3"/>
      <c r="FA193" s="3"/>
      <c r="FB193" s="3"/>
      <c r="FC193" s="3"/>
      <c r="FD193" s="3"/>
      <c r="FE193" s="3"/>
      <c r="FF193" s="3"/>
      <c r="FG193" s="3"/>
      <c r="FH193" s="3"/>
      <c r="FI193" s="3"/>
      <c r="FJ193" s="3"/>
      <c r="FK193" s="3"/>
      <c r="FL193" s="3"/>
      <c r="FM193" s="3"/>
      <c r="FN193" s="3"/>
      <c r="FO193" s="3"/>
      <c r="FP193" s="3"/>
      <c r="FQ193" s="3"/>
      <c r="FR193" s="3"/>
      <c r="FS193" s="3"/>
      <c r="FT193" s="3"/>
      <c r="FU193" s="3"/>
      <c r="FV193" s="3"/>
      <c r="FW193" s="3"/>
      <c r="FX193" s="3"/>
      <c r="FY193" s="3"/>
      <c r="FZ193" s="3"/>
      <c r="GA193" s="3"/>
      <c r="GB193" s="3"/>
      <c r="GC193" s="3"/>
      <c r="GD193" s="3"/>
      <c r="GE193" s="3"/>
      <c r="GF193" s="3"/>
      <c r="GG193" s="3"/>
      <c r="GH193" s="3"/>
      <c r="GI193" s="3"/>
      <c r="GJ193" s="3"/>
      <c r="GK193" s="3"/>
      <c r="GL193" s="3"/>
      <c r="GM193" s="3"/>
      <c r="GN193" s="3"/>
      <c r="GO193" s="3"/>
      <c r="GP193" s="3"/>
      <c r="GQ193" s="3"/>
      <c r="GR193" s="3"/>
      <c r="GS193" s="3"/>
      <c r="GT193" s="3"/>
      <c r="GU193" s="3"/>
      <c r="GV193" s="3"/>
      <c r="GW193" s="3"/>
      <c r="GX193" s="3"/>
      <c r="GY193" s="3"/>
      <c r="GZ193" s="3"/>
      <c r="HA193" s="3"/>
      <c r="HB193" s="3"/>
      <c r="HC193" s="3"/>
      <c r="HD193" s="3"/>
      <c r="HE193" s="3"/>
      <c r="HF193" s="3"/>
      <c r="HG193" s="3"/>
      <c r="HH193" s="3"/>
      <c r="HI193" s="3"/>
      <c r="HJ193" s="3"/>
      <c r="HK193" s="3"/>
      <c r="HL193" s="3"/>
      <c r="HM193" s="3"/>
      <c r="HN193" s="3"/>
      <c r="HO193" s="3"/>
      <c r="HP193" s="3"/>
      <c r="HQ193" s="3"/>
      <c r="HR193" s="3"/>
      <c r="HS193" s="3"/>
      <c r="HT193" s="3"/>
      <c r="HU193" s="3"/>
      <c r="HV193" s="3"/>
      <c r="HW193" s="3"/>
      <c r="HX193" s="3"/>
      <c r="HY193" s="3"/>
      <c r="HZ193" s="3"/>
      <c r="IA193" s="3"/>
      <c r="IB193" s="3"/>
      <c r="IC193" s="3"/>
      <c r="ID193" s="3"/>
      <c r="IE193" s="3"/>
      <c r="IF193" s="3"/>
      <c r="IG193" s="3"/>
      <c r="IH193" s="3"/>
      <c r="II193" s="3"/>
      <c r="IJ193" s="3"/>
      <c r="IK193" s="3"/>
      <c r="IL193" s="3"/>
      <c r="IM193" s="3"/>
      <c r="IN193" s="3"/>
      <c r="IO193" s="3"/>
      <c r="IP193" s="3"/>
      <c r="IQ193" s="3"/>
      <c r="IR193" s="3"/>
      <c r="IS193" s="3"/>
      <c r="IT193" s="3"/>
      <c r="IU193" s="3"/>
      <c r="IV193" s="3"/>
      <c r="IW193" s="3"/>
    </row>
    <row r="194" customFormat="false" ht="12.75" hidden="false" customHeight="false" outlineLevel="0" collapsed="false">
      <c r="A194" s="23"/>
      <c r="B194" s="22"/>
      <c r="C194" s="22"/>
      <c r="D194" s="22"/>
      <c r="E194" s="24"/>
      <c r="F194" s="58"/>
      <c r="G194" s="22"/>
      <c r="H194" s="64"/>
      <c r="I194" s="64"/>
      <c r="J194" s="64"/>
      <c r="K194" s="64"/>
      <c r="L194" s="64"/>
      <c r="M194" s="64"/>
      <c r="N194" s="64"/>
      <c r="O194" s="64"/>
      <c r="P194" s="64"/>
      <c r="Q194" s="64"/>
      <c r="R194" s="64"/>
      <c r="S194" s="64"/>
      <c r="T194" s="64"/>
      <c r="U194" s="64"/>
      <c r="V194" s="64"/>
      <c r="W194" s="64"/>
      <c r="X194" s="64"/>
      <c r="Y194" s="64"/>
      <c r="Z194" s="64"/>
      <c r="AA194" s="64"/>
      <c r="AB194" s="64"/>
      <c r="AC194" s="64"/>
      <c r="AD194" s="64"/>
      <c r="AE194" s="64"/>
      <c r="AF194" s="64"/>
      <c r="AG194" s="64"/>
      <c r="AH194" s="6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c r="BH194" s="24"/>
      <c r="BI194" s="24"/>
      <c r="BJ194" s="24"/>
      <c r="BK194" s="24"/>
      <c r="BL194" s="24"/>
      <c r="BM194" s="24"/>
      <c r="BN194" s="24"/>
      <c r="BO194" s="24"/>
      <c r="BP194" s="24"/>
      <c r="BQ194" s="24"/>
      <c r="BR194" s="24"/>
      <c r="BS194" s="24"/>
      <c r="BT194" s="24"/>
      <c r="BU194" s="24"/>
      <c r="BV194" s="24"/>
      <c r="BW194" s="24"/>
      <c r="BX194" s="24"/>
      <c r="BY194" s="24"/>
      <c r="BZ194" s="24"/>
      <c r="CA194" s="24"/>
      <c r="CB194" s="24"/>
      <c r="CC194" s="24"/>
      <c r="CD194" s="24"/>
      <c r="CE194" s="24"/>
      <c r="CF194" s="24"/>
      <c r="CG194" s="24"/>
      <c r="CH194" s="24"/>
      <c r="CI194" s="24"/>
      <c r="CJ194" s="24"/>
      <c r="CK194" s="24"/>
      <c r="CL194" s="24"/>
      <c r="CM194" s="24"/>
      <c r="CN194" s="24"/>
      <c r="CO194" s="24"/>
      <c r="CP194" s="24"/>
      <c r="CQ194" s="24"/>
      <c r="CR194" s="24"/>
      <c r="CS194" s="24"/>
      <c r="CT194" s="24"/>
      <c r="CU194" s="24"/>
      <c r="CV194" s="24"/>
      <c r="CW194" s="24"/>
      <c r="CX194" s="24"/>
      <c r="CY194" s="24"/>
      <c r="CZ194" s="24"/>
      <c r="DA194" s="24"/>
      <c r="DB194" s="24"/>
      <c r="DC194" s="24"/>
      <c r="DD194" s="24"/>
      <c r="DE194" s="24"/>
      <c r="DF194" s="24"/>
      <c r="DG194" s="24"/>
      <c r="DH194" s="24"/>
      <c r="DI194" s="24"/>
      <c r="DJ194" s="24"/>
      <c r="DK194" s="24"/>
      <c r="DL194" s="24"/>
      <c r="DM194" s="24"/>
      <c r="DN194" s="24"/>
      <c r="DO194" s="24"/>
      <c r="DP194" s="24"/>
      <c r="DQ194" s="24"/>
      <c r="DR194" s="24"/>
      <c r="DS194" s="24"/>
      <c r="DT194" s="24"/>
      <c r="DU194" s="24"/>
      <c r="DV194" s="24"/>
      <c r="DW194" s="24"/>
      <c r="DX194" s="24"/>
      <c r="DY194" s="24"/>
      <c r="DZ194" s="24"/>
      <c r="EA194" s="24"/>
      <c r="EB194" s="24"/>
      <c r="EC194" s="24"/>
      <c r="ED194" s="24"/>
      <c r="EE194" s="24"/>
      <c r="EF194" s="24"/>
      <c r="EG194" s="24"/>
      <c r="EH194" s="24"/>
      <c r="EI194" s="24"/>
      <c r="EJ194" s="24"/>
      <c r="EK194" s="24"/>
      <c r="EL194" s="24"/>
      <c r="EM194" s="3"/>
      <c r="EN194" s="3"/>
      <c r="EO194" s="3"/>
      <c r="EP194" s="3"/>
      <c r="EQ194" s="3"/>
      <c r="ER194" s="3"/>
      <c r="ES194" s="3"/>
      <c r="ET194" s="3"/>
      <c r="EU194" s="3"/>
      <c r="EV194" s="3"/>
      <c r="EW194" s="3"/>
      <c r="EX194" s="3"/>
      <c r="EY194" s="3"/>
      <c r="EZ194" s="3"/>
      <c r="FA194" s="3"/>
      <c r="FB194" s="3"/>
      <c r="FC194" s="3"/>
      <c r="FD194" s="3"/>
      <c r="FE194" s="3"/>
      <c r="FF194" s="3"/>
      <c r="FG194" s="3"/>
      <c r="FH194" s="3"/>
      <c r="FI194" s="3"/>
      <c r="FJ194" s="3"/>
      <c r="FK194" s="3"/>
      <c r="FL194" s="3"/>
      <c r="FM194" s="3"/>
      <c r="FN194" s="3"/>
      <c r="FO194" s="3"/>
      <c r="FP194" s="3"/>
      <c r="FQ194" s="3"/>
      <c r="FR194" s="3"/>
      <c r="FS194" s="3"/>
      <c r="FT194" s="3"/>
      <c r="FU194" s="3"/>
      <c r="FV194" s="3"/>
      <c r="FW194" s="3"/>
      <c r="FX194" s="3"/>
      <c r="FY194" s="3"/>
      <c r="FZ194" s="3"/>
      <c r="GA194" s="3"/>
      <c r="GB194" s="3"/>
      <c r="GC194" s="3"/>
      <c r="GD194" s="3"/>
      <c r="GE194" s="3"/>
      <c r="GF194" s="3"/>
      <c r="GG194" s="3"/>
      <c r="GH194" s="3"/>
      <c r="GI194" s="3"/>
      <c r="GJ194" s="3"/>
      <c r="GK194" s="3"/>
      <c r="GL194" s="3"/>
      <c r="GM194" s="3"/>
      <c r="GN194" s="3"/>
      <c r="GO194" s="3"/>
      <c r="GP194" s="3"/>
      <c r="GQ194" s="3"/>
      <c r="GR194" s="3"/>
      <c r="GS194" s="3"/>
      <c r="GT194" s="3"/>
      <c r="GU194" s="3"/>
      <c r="GV194" s="3"/>
      <c r="GW194" s="3"/>
      <c r="GX194" s="3"/>
      <c r="GY194" s="3"/>
      <c r="GZ194" s="3"/>
      <c r="HA194" s="3"/>
      <c r="HB194" s="3"/>
      <c r="HC194" s="3"/>
      <c r="HD194" s="3"/>
      <c r="HE194" s="3"/>
      <c r="HF194" s="3"/>
      <c r="HG194" s="3"/>
      <c r="HH194" s="3"/>
      <c r="HI194" s="3"/>
      <c r="HJ194" s="3"/>
      <c r="HK194" s="3"/>
      <c r="HL194" s="3"/>
      <c r="HM194" s="3"/>
      <c r="HN194" s="3"/>
      <c r="HO194" s="3"/>
      <c r="HP194" s="3"/>
      <c r="HQ194" s="3"/>
      <c r="HR194" s="3"/>
      <c r="HS194" s="3"/>
      <c r="HT194" s="3"/>
      <c r="HU194" s="3"/>
      <c r="HV194" s="3"/>
      <c r="HW194" s="3"/>
      <c r="HX194" s="3"/>
      <c r="HY194" s="3"/>
      <c r="HZ194" s="3"/>
      <c r="IA194" s="3"/>
      <c r="IB194" s="3"/>
      <c r="IC194" s="3"/>
      <c r="ID194" s="3"/>
      <c r="IE194" s="3"/>
      <c r="IF194" s="3"/>
      <c r="IG194" s="3"/>
      <c r="IH194" s="3"/>
      <c r="II194" s="3"/>
      <c r="IJ194" s="3"/>
      <c r="IK194" s="3"/>
      <c r="IL194" s="3"/>
      <c r="IM194" s="3"/>
      <c r="IN194" s="3"/>
      <c r="IO194" s="3"/>
      <c r="IP194" s="3"/>
      <c r="IQ194" s="3"/>
      <c r="IR194" s="3"/>
      <c r="IS194" s="3"/>
      <c r="IT194" s="3"/>
      <c r="IU194" s="3"/>
      <c r="IV194" s="3"/>
      <c r="IW194" s="3"/>
    </row>
    <row r="195" customFormat="false" ht="12.75" hidden="false" customHeight="false" outlineLevel="0" collapsed="false">
      <c r="B195" s="320" t="s">
        <v>303</v>
      </c>
      <c r="C195" s="104"/>
      <c r="D195" s="124"/>
      <c r="E195" s="111"/>
      <c r="F195" s="111"/>
      <c r="G195" s="111"/>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4"/>
      <c r="AL195" s="114"/>
      <c r="AM195" s="114"/>
      <c r="AN195" s="114"/>
      <c r="AO195" s="114"/>
      <c r="AP195" s="114"/>
      <c r="AQ195" s="114"/>
      <c r="AR195" s="114"/>
      <c r="AS195" s="114"/>
      <c r="AT195" s="114"/>
      <c r="AU195" s="114"/>
      <c r="AV195" s="114"/>
      <c r="AW195" s="114"/>
      <c r="AX195" s="114"/>
      <c r="AY195" s="114"/>
      <c r="AZ195" s="114"/>
      <c r="BA195" s="114"/>
      <c r="BB195" s="114"/>
      <c r="BC195" s="114"/>
      <c r="BD195" s="114"/>
      <c r="BE195" s="114"/>
      <c r="BF195" s="114"/>
      <c r="BG195" s="114"/>
      <c r="BH195" s="114"/>
      <c r="BI195" s="114"/>
      <c r="BJ195" s="114"/>
      <c r="BK195" s="114"/>
      <c r="BL195" s="114"/>
      <c r="BM195" s="114"/>
      <c r="BN195" s="114"/>
      <c r="BO195" s="114"/>
      <c r="BP195" s="114"/>
      <c r="BQ195" s="114"/>
      <c r="BR195" s="114"/>
      <c r="BS195" s="114"/>
      <c r="BT195" s="114"/>
      <c r="BU195" s="114"/>
      <c r="BV195" s="114"/>
      <c r="BW195" s="114"/>
      <c r="BX195" s="114"/>
      <c r="BY195" s="114"/>
      <c r="BZ195" s="114"/>
      <c r="CA195" s="114"/>
      <c r="CB195" s="114"/>
      <c r="CC195" s="114"/>
      <c r="CD195" s="114"/>
      <c r="CE195" s="114"/>
      <c r="CF195" s="114"/>
      <c r="CG195" s="114"/>
      <c r="CH195" s="114"/>
      <c r="CI195" s="114"/>
      <c r="CJ195" s="114"/>
      <c r="CK195" s="114"/>
      <c r="CL195" s="114"/>
      <c r="CM195" s="114"/>
      <c r="CN195" s="114"/>
      <c r="CO195" s="114"/>
      <c r="CP195" s="114"/>
      <c r="CQ195" s="114"/>
      <c r="CR195" s="114"/>
      <c r="CS195" s="114"/>
      <c r="CT195" s="114"/>
      <c r="CU195" s="114"/>
      <c r="CV195" s="114"/>
      <c r="CW195" s="114"/>
      <c r="CX195" s="114"/>
      <c r="CY195" s="114"/>
      <c r="CZ195" s="114"/>
      <c r="DA195" s="114"/>
      <c r="DB195" s="114"/>
      <c r="DC195" s="114"/>
      <c r="DD195" s="114"/>
      <c r="DE195" s="114"/>
      <c r="DF195" s="114"/>
      <c r="DG195" s="114"/>
      <c r="DH195" s="114"/>
      <c r="DI195" s="114"/>
      <c r="DJ195" s="114"/>
      <c r="DK195" s="114"/>
      <c r="DL195" s="114"/>
      <c r="DM195" s="114"/>
      <c r="DN195" s="114"/>
      <c r="DO195" s="114"/>
      <c r="DP195" s="114"/>
      <c r="DQ195" s="114"/>
      <c r="DR195" s="114"/>
      <c r="DS195" s="114"/>
      <c r="DT195" s="114"/>
      <c r="DU195" s="114"/>
      <c r="DV195" s="114"/>
      <c r="DW195" s="114"/>
      <c r="DX195" s="114"/>
      <c r="DY195" s="114"/>
      <c r="DZ195" s="114"/>
      <c r="EA195" s="114"/>
      <c r="EB195" s="114"/>
      <c r="EC195" s="114"/>
      <c r="ED195" s="114"/>
      <c r="EE195" s="114"/>
      <c r="EF195" s="114"/>
      <c r="EG195" s="114"/>
      <c r="EH195" s="114"/>
      <c r="EI195" s="114"/>
      <c r="EJ195" s="114"/>
      <c r="EK195" s="114"/>
      <c r="EL195" s="114"/>
    </row>
    <row r="196" customFormat="false" ht="12.75" hidden="false" customHeight="false" outlineLevel="0" collapsed="false">
      <c r="A196" s="321"/>
      <c r="B196" s="124"/>
      <c r="C196" s="23"/>
      <c r="D196" s="124"/>
      <c r="E196" s="111"/>
      <c r="F196" s="111"/>
      <c r="G196" s="111"/>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4"/>
      <c r="AL196" s="114"/>
      <c r="AM196" s="114"/>
      <c r="AN196" s="114"/>
      <c r="AO196" s="114"/>
      <c r="AP196" s="114"/>
      <c r="AQ196" s="114"/>
      <c r="AR196" s="114"/>
      <c r="AS196" s="114"/>
      <c r="AT196" s="114"/>
      <c r="AU196" s="114"/>
      <c r="AV196" s="114"/>
      <c r="AW196" s="114"/>
      <c r="AX196" s="114"/>
      <c r="AY196" s="114"/>
      <c r="AZ196" s="114"/>
      <c r="BA196" s="114"/>
      <c r="BB196" s="114"/>
      <c r="BC196" s="114"/>
      <c r="BD196" s="114"/>
      <c r="BE196" s="114"/>
      <c r="BF196" s="114"/>
      <c r="BG196" s="114"/>
      <c r="BH196" s="114"/>
      <c r="BI196" s="114"/>
      <c r="BJ196" s="114"/>
      <c r="BK196" s="114"/>
      <c r="BL196" s="114"/>
      <c r="BM196" s="114"/>
      <c r="BN196" s="114"/>
      <c r="BO196" s="114"/>
      <c r="BP196" s="114"/>
      <c r="BQ196" s="114"/>
      <c r="BR196" s="114"/>
      <c r="BS196" s="114"/>
      <c r="BT196" s="114"/>
      <c r="BU196" s="114"/>
      <c r="BV196" s="114"/>
      <c r="BW196" s="114"/>
      <c r="BX196" s="114"/>
      <c r="BY196" s="114"/>
      <c r="BZ196" s="114"/>
      <c r="CA196" s="114"/>
      <c r="CB196" s="114"/>
      <c r="CC196" s="114"/>
      <c r="CD196" s="114"/>
      <c r="CE196" s="114"/>
      <c r="CF196" s="114"/>
      <c r="CG196" s="114"/>
      <c r="CH196" s="114"/>
      <c r="CI196" s="114"/>
      <c r="CJ196" s="114"/>
      <c r="CK196" s="114"/>
      <c r="CL196" s="114"/>
      <c r="CM196" s="114"/>
      <c r="CN196" s="114"/>
      <c r="CO196" s="114"/>
      <c r="CP196" s="114"/>
      <c r="CQ196" s="114"/>
      <c r="CR196" s="114"/>
      <c r="CS196" s="114"/>
      <c r="CT196" s="114"/>
      <c r="CU196" s="114"/>
      <c r="CV196" s="114"/>
      <c r="CW196" s="114"/>
      <c r="CX196" s="114"/>
      <c r="CY196" s="114"/>
      <c r="CZ196" s="114"/>
      <c r="DA196" s="114"/>
      <c r="DB196" s="114"/>
      <c r="DC196" s="114"/>
      <c r="DD196" s="114"/>
      <c r="DE196" s="114"/>
      <c r="DF196" s="114"/>
      <c r="DG196" s="114"/>
      <c r="DH196" s="114"/>
      <c r="DI196" s="114"/>
      <c r="DJ196" s="114"/>
      <c r="DK196" s="114"/>
      <c r="DL196" s="114"/>
      <c r="DM196" s="114"/>
      <c r="DN196" s="114"/>
      <c r="DO196" s="114"/>
      <c r="DP196" s="114"/>
      <c r="DQ196" s="114"/>
      <c r="DR196" s="114"/>
      <c r="DS196" s="114"/>
      <c r="DT196" s="114"/>
      <c r="DU196" s="114"/>
      <c r="DV196" s="114"/>
      <c r="DW196" s="114"/>
      <c r="DX196" s="114"/>
      <c r="DY196" s="114"/>
      <c r="DZ196" s="114"/>
      <c r="EA196" s="114"/>
      <c r="EB196" s="114"/>
      <c r="EC196" s="114"/>
      <c r="ED196" s="114"/>
      <c r="EE196" s="114"/>
      <c r="EF196" s="114"/>
      <c r="EG196" s="114"/>
      <c r="EH196" s="114"/>
      <c r="EI196" s="114"/>
      <c r="EJ196" s="114"/>
      <c r="EK196" s="114"/>
      <c r="EL196" s="114"/>
    </row>
    <row r="197" customFormat="false" ht="12.75" hidden="false" customHeight="false" outlineLevel="0" collapsed="false">
      <c r="A197" s="321"/>
      <c r="B197" s="289" t="s">
        <v>304</v>
      </c>
      <c r="C197" s="290"/>
      <c r="D197" s="124"/>
      <c r="E197" s="252" t="s">
        <v>305</v>
      </c>
      <c r="F197" s="252" t="s">
        <v>306</v>
      </c>
      <c r="G197" s="252" t="s">
        <v>307</v>
      </c>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4"/>
      <c r="AL197" s="114"/>
      <c r="AM197" s="114"/>
      <c r="AN197" s="114"/>
      <c r="AO197" s="114"/>
      <c r="AP197" s="114"/>
      <c r="AQ197" s="114"/>
      <c r="AR197" s="114"/>
      <c r="AS197" s="114"/>
      <c r="AT197" s="114"/>
      <c r="AU197" s="114"/>
      <c r="AV197" s="114"/>
      <c r="AW197" s="114"/>
      <c r="AX197" s="114"/>
      <c r="AY197" s="114"/>
      <c r="AZ197" s="114"/>
      <c r="BA197" s="114"/>
      <c r="BB197" s="114"/>
      <c r="BC197" s="114"/>
      <c r="BD197" s="114"/>
      <c r="BE197" s="114"/>
      <c r="BF197" s="114"/>
      <c r="BG197" s="114"/>
      <c r="BH197" s="114"/>
      <c r="BI197" s="114"/>
      <c r="BJ197" s="114"/>
      <c r="BK197" s="114"/>
      <c r="BL197" s="114"/>
      <c r="BM197" s="114"/>
      <c r="BN197" s="114"/>
      <c r="BO197" s="114"/>
      <c r="BP197" s="114"/>
      <c r="BQ197" s="114"/>
      <c r="BR197" s="114"/>
      <c r="BS197" s="114"/>
      <c r="BT197" s="114"/>
      <c r="BU197" s="114"/>
      <c r="BV197" s="114"/>
      <c r="BW197" s="114"/>
      <c r="BX197" s="114"/>
      <c r="BY197" s="114"/>
      <c r="BZ197" s="114"/>
      <c r="CA197" s="114"/>
      <c r="CB197" s="114"/>
      <c r="CC197" s="114"/>
      <c r="CD197" s="114"/>
      <c r="CE197" s="114"/>
      <c r="CF197" s="114"/>
      <c r="CG197" s="114"/>
      <c r="CH197" s="114"/>
      <c r="CI197" s="114"/>
      <c r="CJ197" s="114"/>
      <c r="CK197" s="114"/>
      <c r="CL197" s="114"/>
      <c r="CM197" s="114"/>
      <c r="CN197" s="114"/>
      <c r="CO197" s="114"/>
      <c r="CP197" s="114"/>
      <c r="CQ197" s="114"/>
      <c r="CR197" s="114"/>
      <c r="CS197" s="114"/>
      <c r="CT197" s="114"/>
      <c r="CU197" s="114"/>
      <c r="CV197" s="114"/>
      <c r="CW197" s="114"/>
      <c r="CX197" s="114"/>
      <c r="CY197" s="114"/>
      <c r="CZ197" s="114"/>
      <c r="DA197" s="114"/>
      <c r="DB197" s="114"/>
      <c r="DC197" s="114"/>
      <c r="DD197" s="114"/>
      <c r="DE197" s="114"/>
      <c r="DF197" s="114"/>
      <c r="DG197" s="114"/>
      <c r="DH197" s="114"/>
      <c r="DI197" s="114"/>
      <c r="DJ197" s="114"/>
      <c r="DK197" s="114"/>
      <c r="DL197" s="114"/>
      <c r="DM197" s="114"/>
      <c r="DN197" s="114"/>
      <c r="DO197" s="114"/>
      <c r="DP197" s="114"/>
      <c r="DQ197" s="114"/>
      <c r="DR197" s="114"/>
      <c r="DS197" s="114"/>
      <c r="DT197" s="114"/>
      <c r="DU197" s="114"/>
      <c r="DV197" s="114"/>
      <c r="DW197" s="114"/>
      <c r="DX197" s="114"/>
      <c r="DY197" s="114"/>
      <c r="DZ197" s="114"/>
      <c r="EA197" s="114"/>
      <c r="EB197" s="114"/>
      <c r="EC197" s="114"/>
      <c r="ED197" s="114"/>
      <c r="EE197" s="114"/>
      <c r="EF197" s="114"/>
      <c r="EG197" s="114"/>
      <c r="EH197" s="114"/>
      <c r="EI197" s="114"/>
      <c r="EJ197" s="114"/>
      <c r="EK197" s="114"/>
      <c r="EL197" s="114"/>
    </row>
    <row r="198" customFormat="false" ht="12.75" hidden="false" customHeight="false" outlineLevel="0" collapsed="false">
      <c r="A198" s="321"/>
      <c r="B198" s="295" t="s">
        <v>308</v>
      </c>
      <c r="C198" s="52"/>
      <c r="D198" s="295"/>
      <c r="E198" s="322" t="n">
        <f aca="false">F198+(1-F198)*G198</f>
        <v>0.3955</v>
      </c>
      <c r="F198" s="260" t="n">
        <v>0.35</v>
      </c>
      <c r="G198" s="260" t="n">
        <v>0.07</v>
      </c>
      <c r="H198" s="89" t="s">
        <v>309</v>
      </c>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4"/>
      <c r="AL198" s="114"/>
      <c r="AM198" s="114"/>
      <c r="AN198" s="114"/>
      <c r="AO198" s="114"/>
      <c r="AP198" s="114"/>
      <c r="AQ198" s="114"/>
      <c r="AR198" s="114"/>
      <c r="AS198" s="114"/>
      <c r="AT198" s="114"/>
      <c r="AU198" s="114"/>
      <c r="AV198" s="114"/>
      <c r="AW198" s="114"/>
      <c r="AX198" s="114"/>
      <c r="AY198" s="114"/>
      <c r="AZ198" s="114"/>
      <c r="BA198" s="114"/>
      <c r="BB198" s="114"/>
      <c r="BC198" s="114"/>
      <c r="BD198" s="114"/>
      <c r="BE198" s="114"/>
      <c r="BF198" s="114"/>
      <c r="BG198" s="114"/>
      <c r="BH198" s="114"/>
      <c r="BI198" s="114"/>
      <c r="BJ198" s="114"/>
      <c r="BK198" s="114"/>
      <c r="BL198" s="114"/>
      <c r="BM198" s="114"/>
      <c r="BN198" s="114"/>
      <c r="BO198" s="114"/>
      <c r="BP198" s="114"/>
      <c r="BQ198" s="114"/>
      <c r="BR198" s="114"/>
      <c r="BS198" s="114"/>
      <c r="BT198" s="114"/>
      <c r="BU198" s="114"/>
      <c r="BV198" s="114"/>
      <c r="BW198" s="114"/>
      <c r="BX198" s="114"/>
      <c r="BY198" s="114"/>
      <c r="BZ198" s="114"/>
      <c r="CA198" s="114"/>
      <c r="CB198" s="114"/>
      <c r="CC198" s="114"/>
      <c r="CD198" s="114"/>
      <c r="CE198" s="114"/>
      <c r="CF198" s="114"/>
      <c r="CG198" s="114"/>
      <c r="CH198" s="114"/>
      <c r="CI198" s="114"/>
      <c r="CJ198" s="114"/>
      <c r="CK198" s="114"/>
      <c r="CL198" s="114"/>
      <c r="CM198" s="114"/>
      <c r="CN198" s="114"/>
      <c r="CO198" s="114"/>
      <c r="CP198" s="114"/>
      <c r="CQ198" s="114"/>
      <c r="CR198" s="114"/>
      <c r="CS198" s="114"/>
      <c r="CT198" s="114"/>
      <c r="CU198" s="114"/>
      <c r="CV198" s="114"/>
      <c r="CW198" s="114"/>
      <c r="CX198" s="114"/>
      <c r="CY198" s="114"/>
      <c r="CZ198" s="114"/>
      <c r="DA198" s="114"/>
      <c r="DB198" s="114"/>
      <c r="DC198" s="114"/>
      <c r="DD198" s="114"/>
      <c r="DE198" s="114"/>
      <c r="DF198" s="114"/>
      <c r="DG198" s="114"/>
      <c r="DH198" s="114"/>
      <c r="DI198" s="114"/>
      <c r="DJ198" s="114"/>
      <c r="DK198" s="114"/>
      <c r="DL198" s="114"/>
      <c r="DM198" s="114"/>
      <c r="DN198" s="114"/>
      <c r="DO198" s="114"/>
      <c r="DP198" s="114"/>
      <c r="DQ198" s="114"/>
      <c r="DR198" s="114"/>
      <c r="DS198" s="114"/>
      <c r="DT198" s="114"/>
      <c r="DU198" s="114"/>
      <c r="DV198" s="114"/>
      <c r="DW198" s="114"/>
      <c r="DX198" s="114"/>
      <c r="DY198" s="114"/>
      <c r="DZ198" s="114"/>
      <c r="EA198" s="114"/>
      <c r="EB198" s="114"/>
      <c r="EC198" s="114"/>
      <c r="ED198" s="114"/>
      <c r="EE198" s="114"/>
      <c r="EF198" s="114"/>
      <c r="EG198" s="114"/>
      <c r="EH198" s="114"/>
      <c r="EI198" s="114"/>
      <c r="EJ198" s="114"/>
      <c r="EK198" s="114"/>
      <c r="EL198" s="114"/>
    </row>
    <row r="199" customFormat="false" ht="12.75" hidden="false" customHeight="false" outlineLevel="0" collapsed="false">
      <c r="A199" s="321"/>
      <c r="B199" s="295" t="s">
        <v>310</v>
      </c>
      <c r="C199" s="52"/>
      <c r="D199" s="295"/>
      <c r="E199" s="322" t="n">
        <f aca="false">F199+(1-F199)*G199</f>
        <v>0.3955</v>
      </c>
      <c r="F199" s="260" t="n">
        <v>0.35</v>
      </c>
      <c r="G199" s="260" t="n">
        <v>0.07</v>
      </c>
      <c r="H199" s="114"/>
      <c r="I199" s="114"/>
      <c r="J199" s="114"/>
      <c r="K199" s="114"/>
      <c r="L199" s="114"/>
      <c r="M199" s="114"/>
      <c r="N199" s="114"/>
      <c r="O199" s="114"/>
      <c r="P199" s="114"/>
      <c r="Q199" s="114"/>
      <c r="R199" s="114"/>
      <c r="S199" s="114"/>
      <c r="T199" s="114"/>
      <c r="U199" s="114"/>
      <c r="V199" s="114"/>
      <c r="W199" s="114"/>
      <c r="X199" s="114"/>
      <c r="Y199" s="114"/>
      <c r="Z199" s="114"/>
      <c r="AA199" s="114"/>
      <c r="AB199" s="114"/>
      <c r="AC199" s="114"/>
      <c r="AD199" s="114"/>
      <c r="AE199" s="114"/>
      <c r="AF199" s="114"/>
      <c r="AG199" s="114"/>
      <c r="AH199" s="114"/>
      <c r="AI199" s="114"/>
      <c r="AJ199" s="114"/>
      <c r="AK199" s="114"/>
      <c r="AL199" s="114"/>
      <c r="AM199" s="114"/>
      <c r="AN199" s="114"/>
      <c r="AO199" s="114"/>
      <c r="AP199" s="114"/>
      <c r="AQ199" s="114"/>
      <c r="AR199" s="114"/>
      <c r="AS199" s="114"/>
      <c r="AT199" s="114"/>
      <c r="AU199" s="114"/>
      <c r="AV199" s="114"/>
      <c r="AW199" s="114"/>
      <c r="AX199" s="114"/>
      <c r="AY199" s="114"/>
      <c r="AZ199" s="114"/>
      <c r="BA199" s="114"/>
      <c r="BB199" s="114"/>
      <c r="BC199" s="114"/>
      <c r="BD199" s="114"/>
      <c r="BE199" s="114"/>
      <c r="BF199" s="114"/>
      <c r="BG199" s="114"/>
      <c r="BH199" s="114"/>
      <c r="BI199" s="114"/>
      <c r="BJ199" s="114"/>
      <c r="BK199" s="114"/>
      <c r="BL199" s="114"/>
      <c r="BM199" s="114"/>
      <c r="BN199" s="114"/>
      <c r="BO199" s="114"/>
      <c r="BP199" s="114"/>
      <c r="BQ199" s="114"/>
      <c r="BR199" s="114"/>
      <c r="BS199" s="114"/>
      <c r="BT199" s="114"/>
      <c r="BU199" s="114"/>
      <c r="BV199" s="114"/>
      <c r="BW199" s="114"/>
      <c r="BX199" s="114"/>
      <c r="BY199" s="114"/>
      <c r="BZ199" s="114"/>
      <c r="CA199" s="114"/>
      <c r="CB199" s="114"/>
      <c r="CC199" s="114"/>
      <c r="CD199" s="114"/>
      <c r="CE199" s="114"/>
      <c r="CF199" s="114"/>
      <c r="CG199" s="114"/>
      <c r="CH199" s="114"/>
      <c r="CI199" s="114"/>
      <c r="CJ199" s="114"/>
      <c r="CK199" s="114"/>
      <c r="CL199" s="114"/>
      <c r="CM199" s="114"/>
      <c r="CN199" s="114"/>
      <c r="CO199" s="114"/>
      <c r="CP199" s="114"/>
      <c r="CQ199" s="114"/>
      <c r="CR199" s="114"/>
      <c r="CS199" s="114"/>
      <c r="CT199" s="114"/>
      <c r="CU199" s="114"/>
      <c r="CV199" s="114"/>
      <c r="CW199" s="114"/>
      <c r="CX199" s="114"/>
      <c r="CY199" s="114"/>
      <c r="CZ199" s="114"/>
      <c r="DA199" s="114"/>
      <c r="DB199" s="114"/>
      <c r="DC199" s="114"/>
      <c r="DD199" s="114"/>
      <c r="DE199" s="114"/>
      <c r="DF199" s="114"/>
      <c r="DG199" s="114"/>
      <c r="DH199" s="114"/>
      <c r="DI199" s="114"/>
      <c r="DJ199" s="114"/>
      <c r="DK199" s="114"/>
      <c r="DL199" s="114"/>
      <c r="DM199" s="114"/>
      <c r="DN199" s="114"/>
      <c r="DO199" s="114"/>
      <c r="DP199" s="114"/>
      <c r="DQ199" s="114"/>
      <c r="DR199" s="114"/>
      <c r="DS199" s="114"/>
      <c r="DT199" s="114"/>
      <c r="DU199" s="114"/>
      <c r="DV199" s="114"/>
      <c r="DW199" s="114"/>
      <c r="DX199" s="114"/>
      <c r="DY199" s="114"/>
      <c r="DZ199" s="114"/>
      <c r="EA199" s="114"/>
      <c r="EB199" s="114"/>
      <c r="EC199" s="114"/>
      <c r="ED199" s="114"/>
      <c r="EE199" s="114"/>
      <c r="EF199" s="114"/>
      <c r="EG199" s="114"/>
      <c r="EH199" s="114"/>
      <c r="EI199" s="114"/>
      <c r="EJ199" s="114"/>
      <c r="EK199" s="114"/>
      <c r="EL199" s="114"/>
    </row>
    <row r="200" customFormat="false" ht="12.75" hidden="false" customHeight="false" outlineLevel="0" collapsed="false">
      <c r="A200" s="321"/>
      <c r="B200" s="289"/>
      <c r="C200" s="290"/>
      <c r="D200" s="124"/>
      <c r="E200" s="111"/>
      <c r="F200" s="111"/>
      <c r="G200" s="111"/>
      <c r="H200" s="114"/>
      <c r="I200" s="114"/>
      <c r="J200" s="114"/>
      <c r="K200" s="114"/>
      <c r="L200" s="114"/>
      <c r="M200" s="114"/>
      <c r="N200" s="114"/>
      <c r="O200" s="114"/>
      <c r="P200" s="114"/>
      <c r="Q200" s="114"/>
      <c r="R200" s="114"/>
      <c r="S200" s="114"/>
      <c r="T200" s="114"/>
      <c r="U200" s="114"/>
      <c r="V200" s="114"/>
      <c r="W200" s="114"/>
      <c r="X200" s="114"/>
      <c r="Y200" s="114"/>
      <c r="Z200" s="114"/>
      <c r="AA200" s="114"/>
      <c r="AB200" s="114"/>
      <c r="AC200" s="114"/>
      <c r="AD200" s="114"/>
      <c r="AE200" s="114"/>
      <c r="AF200" s="114"/>
      <c r="AG200" s="114"/>
      <c r="AH200" s="114"/>
      <c r="AI200" s="114"/>
      <c r="AJ200" s="114"/>
      <c r="AK200" s="114"/>
      <c r="AL200" s="114"/>
      <c r="AM200" s="114"/>
      <c r="AN200" s="114"/>
      <c r="AO200" s="114"/>
      <c r="AP200" s="114"/>
      <c r="AQ200" s="114"/>
      <c r="AR200" s="114"/>
      <c r="AS200" s="114"/>
      <c r="AT200" s="114"/>
      <c r="AU200" s="114"/>
      <c r="AV200" s="114"/>
      <c r="AW200" s="114"/>
      <c r="AX200" s="114"/>
      <c r="AY200" s="114"/>
      <c r="AZ200" s="114"/>
      <c r="BA200" s="114"/>
      <c r="BB200" s="114"/>
      <c r="BC200" s="114"/>
      <c r="BD200" s="114"/>
      <c r="BE200" s="114"/>
      <c r="BF200" s="114"/>
      <c r="BG200" s="114"/>
      <c r="BH200" s="114"/>
      <c r="BI200" s="114"/>
      <c r="BJ200" s="114"/>
      <c r="BK200" s="114"/>
      <c r="BL200" s="114"/>
      <c r="BM200" s="114"/>
      <c r="BN200" s="114"/>
      <c r="BO200" s="114"/>
      <c r="BP200" s="114"/>
      <c r="BQ200" s="114"/>
      <c r="BR200" s="114"/>
      <c r="BS200" s="114"/>
      <c r="BT200" s="114"/>
      <c r="BU200" s="114"/>
      <c r="BV200" s="114"/>
      <c r="BW200" s="114"/>
      <c r="BX200" s="114"/>
      <c r="BY200" s="114"/>
      <c r="BZ200" s="114"/>
      <c r="CA200" s="114"/>
      <c r="CB200" s="114"/>
      <c r="CC200" s="114"/>
      <c r="CD200" s="114"/>
      <c r="CE200" s="114"/>
      <c r="CF200" s="114"/>
      <c r="CG200" s="114"/>
      <c r="CH200" s="114"/>
      <c r="CI200" s="114"/>
      <c r="CJ200" s="114"/>
      <c r="CK200" s="114"/>
      <c r="CL200" s="114"/>
      <c r="CM200" s="114"/>
      <c r="CN200" s="114"/>
      <c r="CO200" s="114"/>
      <c r="CP200" s="114"/>
      <c r="CQ200" s="114"/>
      <c r="CR200" s="114"/>
      <c r="CS200" s="114"/>
      <c r="CT200" s="114"/>
      <c r="CU200" s="114"/>
      <c r="CV200" s="114"/>
      <c r="CW200" s="114"/>
      <c r="CX200" s="114"/>
      <c r="CY200" s="114"/>
      <c r="CZ200" s="114"/>
      <c r="DA200" s="114"/>
      <c r="DB200" s="114"/>
      <c r="DC200" s="114"/>
      <c r="DD200" s="114"/>
      <c r="DE200" s="114"/>
      <c r="DF200" s="114"/>
      <c r="DG200" s="114"/>
      <c r="DH200" s="114"/>
      <c r="DI200" s="114"/>
      <c r="DJ200" s="114"/>
      <c r="DK200" s="114"/>
      <c r="DL200" s="114"/>
      <c r="DM200" s="114"/>
      <c r="DN200" s="114"/>
      <c r="DO200" s="114"/>
      <c r="DP200" s="114"/>
      <c r="DQ200" s="114"/>
      <c r="DR200" s="114"/>
      <c r="DS200" s="114"/>
      <c r="DT200" s="114"/>
      <c r="DU200" s="114"/>
      <c r="DV200" s="114"/>
      <c r="DW200" s="114"/>
      <c r="DX200" s="114"/>
      <c r="DY200" s="114"/>
      <c r="DZ200" s="114"/>
      <c r="EA200" s="114"/>
      <c r="EB200" s="114"/>
      <c r="EC200" s="114"/>
      <c r="ED200" s="114"/>
      <c r="EE200" s="114"/>
      <c r="EF200" s="114"/>
      <c r="EG200" s="114"/>
      <c r="EH200" s="114"/>
      <c r="EI200" s="114"/>
      <c r="EJ200" s="114"/>
      <c r="EK200" s="114"/>
      <c r="EL200" s="114"/>
    </row>
    <row r="201" customFormat="false" ht="12.75" hidden="false" customHeight="false" outlineLevel="0" collapsed="false">
      <c r="A201" s="321"/>
      <c r="C201" s="290"/>
      <c r="D201" s="124"/>
      <c r="E201" s="4" t="n">
        <v>1</v>
      </c>
      <c r="F201" s="5" t="n">
        <v>2</v>
      </c>
      <c r="G201" s="5" t="n">
        <v>3</v>
      </c>
      <c r="H201" s="5" t="n">
        <v>4</v>
      </c>
      <c r="I201" s="5" t="n">
        <v>5</v>
      </c>
      <c r="J201" s="5" t="n">
        <v>6</v>
      </c>
      <c r="K201" s="5" t="n">
        <v>7</v>
      </c>
      <c r="L201" s="5" t="n">
        <v>8</v>
      </c>
      <c r="M201" s="5" t="n">
        <v>9</v>
      </c>
      <c r="N201" s="5" t="n">
        <v>10</v>
      </c>
      <c r="O201" s="6" t="n">
        <v>11</v>
      </c>
      <c r="P201" s="114"/>
      <c r="Q201" s="114"/>
      <c r="R201" s="114"/>
      <c r="S201" s="114"/>
      <c r="T201" s="114"/>
      <c r="U201" s="114"/>
      <c r="V201" s="114"/>
      <c r="W201" s="114"/>
      <c r="X201" s="114"/>
      <c r="Y201" s="114"/>
      <c r="Z201" s="114"/>
      <c r="AA201" s="114"/>
      <c r="AB201" s="114"/>
      <c r="AC201" s="114"/>
      <c r="AD201" s="114"/>
      <c r="AE201" s="114"/>
      <c r="AF201" s="114"/>
      <c r="AG201" s="114"/>
      <c r="AH201" s="114"/>
      <c r="AI201" s="114"/>
      <c r="AJ201" s="114"/>
      <c r="AK201" s="114"/>
      <c r="AL201" s="114"/>
      <c r="AM201" s="114"/>
      <c r="AN201" s="114"/>
      <c r="AO201" s="114"/>
      <c r="AP201" s="114"/>
      <c r="AQ201" s="114"/>
      <c r="AR201" s="114"/>
      <c r="AS201" s="114"/>
      <c r="AT201" s="114"/>
      <c r="AU201" s="114"/>
      <c r="AV201" s="114"/>
      <c r="AW201" s="114"/>
      <c r="AX201" s="114"/>
      <c r="AY201" s="114"/>
      <c r="AZ201" s="114"/>
      <c r="BA201" s="114"/>
      <c r="BB201" s="114"/>
      <c r="BC201" s="114"/>
      <c r="BD201" s="114"/>
      <c r="BE201" s="114"/>
      <c r="BF201" s="114"/>
      <c r="BG201" s="114"/>
      <c r="BH201" s="114"/>
      <c r="BI201" s="114"/>
      <c r="BJ201" s="114"/>
      <c r="BK201" s="114"/>
      <c r="BL201" s="114"/>
      <c r="BM201" s="114"/>
      <c r="BN201" s="114"/>
      <c r="BO201" s="114"/>
      <c r="BP201" s="114"/>
      <c r="BQ201" s="114"/>
      <c r="BR201" s="114"/>
      <c r="BS201" s="114"/>
      <c r="BT201" s="114"/>
      <c r="BU201" s="114"/>
      <c r="BV201" s="114"/>
      <c r="BW201" s="114"/>
      <c r="BX201" s="114"/>
      <c r="BY201" s="114"/>
      <c r="BZ201" s="114"/>
      <c r="CA201" s="114"/>
      <c r="CB201" s="114"/>
      <c r="CC201" s="114"/>
      <c r="CD201" s="114"/>
      <c r="CE201" s="114"/>
      <c r="CF201" s="114"/>
      <c r="CG201" s="114"/>
      <c r="CH201" s="114"/>
      <c r="CI201" s="114"/>
      <c r="CJ201" s="114"/>
      <c r="CK201" s="114"/>
      <c r="CL201" s="114"/>
      <c r="CM201" s="114"/>
      <c r="CN201" s="114"/>
      <c r="CO201" s="114"/>
      <c r="CP201" s="114"/>
      <c r="CQ201" s="114"/>
      <c r="CR201" s="114"/>
      <c r="CS201" s="114"/>
      <c r="CT201" s="114"/>
      <c r="CU201" s="114"/>
      <c r="CV201" s="114"/>
      <c r="CW201" s="114"/>
      <c r="CX201" s="114"/>
      <c r="CY201" s="114"/>
      <c r="CZ201" s="114"/>
      <c r="DA201" s="114"/>
      <c r="DB201" s="114"/>
      <c r="DC201" s="114"/>
      <c r="DD201" s="114"/>
      <c r="DE201" s="114"/>
      <c r="DF201" s="114"/>
      <c r="DG201" s="114"/>
      <c r="DH201" s="114"/>
      <c r="DI201" s="114"/>
      <c r="DJ201" s="114"/>
      <c r="DK201" s="114"/>
      <c r="DL201" s="114"/>
      <c r="DM201" s="114"/>
      <c r="DN201" s="114"/>
      <c r="DO201" s="114"/>
      <c r="DP201" s="114"/>
      <c r="DQ201" s="114"/>
      <c r="DR201" s="114"/>
      <c r="DS201" s="114"/>
      <c r="DT201" s="114"/>
      <c r="DU201" s="114"/>
      <c r="DV201" s="114"/>
      <c r="DW201" s="114"/>
      <c r="DX201" s="114"/>
      <c r="DY201" s="114"/>
      <c r="DZ201" s="114"/>
      <c r="EA201" s="114"/>
      <c r="EB201" s="114"/>
      <c r="EC201" s="114"/>
      <c r="ED201" s="114"/>
      <c r="EE201" s="114"/>
      <c r="EF201" s="114"/>
      <c r="EG201" s="114"/>
      <c r="EH201" s="114"/>
      <c r="EI201" s="114"/>
      <c r="EJ201" s="114"/>
      <c r="EK201" s="114"/>
      <c r="EL201" s="114"/>
    </row>
    <row r="202" customFormat="false" ht="12.75" hidden="false" customHeight="false" outlineLevel="0" collapsed="false">
      <c r="A202" s="321"/>
      <c r="B202" s="289" t="s">
        <v>311</v>
      </c>
      <c r="C202" s="111"/>
      <c r="D202" s="0"/>
      <c r="E202" s="7" t="n">
        <f aca="false">Assum!$H$25</f>
        <v>2002</v>
      </c>
      <c r="F202" s="8" t="n">
        <f aca="false">E202+1</f>
        <v>2003</v>
      </c>
      <c r="G202" s="8" t="n">
        <f aca="false">F202+1</f>
        <v>2004</v>
      </c>
      <c r="H202" s="8" t="n">
        <f aca="false">G202+1</f>
        <v>2005</v>
      </c>
      <c r="I202" s="8" t="n">
        <f aca="false">H202+1</f>
        <v>2006</v>
      </c>
      <c r="J202" s="8" t="n">
        <f aca="false">I202+1</f>
        <v>2007</v>
      </c>
      <c r="K202" s="8" t="n">
        <f aca="false">J202+1</f>
        <v>2008</v>
      </c>
      <c r="L202" s="8" t="n">
        <f aca="false">K202+1</f>
        <v>2009</v>
      </c>
      <c r="M202" s="8" t="n">
        <f aca="false">L202+1</f>
        <v>2010</v>
      </c>
      <c r="N202" s="8" t="n">
        <f aca="false">M202+1</f>
        <v>2011</v>
      </c>
      <c r="O202" s="9" t="n">
        <f aca="false">N202+1</f>
        <v>2012</v>
      </c>
      <c r="P202" s="0"/>
      <c r="Q202" s="0"/>
      <c r="S202" s="114"/>
      <c r="U202" s="114"/>
      <c r="V202" s="114"/>
      <c r="W202" s="114"/>
      <c r="X202" s="114"/>
      <c r="Y202" s="114"/>
      <c r="Z202" s="114"/>
      <c r="AA202" s="114"/>
      <c r="AB202" s="114"/>
      <c r="AC202" s="114"/>
      <c r="AD202" s="114"/>
      <c r="AE202" s="114"/>
      <c r="AF202" s="114"/>
      <c r="AG202" s="114"/>
      <c r="AH202" s="114"/>
      <c r="AI202" s="114"/>
      <c r="AJ202" s="114"/>
      <c r="AK202" s="114"/>
      <c r="AL202" s="114"/>
      <c r="AM202" s="114"/>
      <c r="AN202" s="114"/>
      <c r="AO202" s="114"/>
      <c r="AP202" s="114"/>
      <c r="AQ202" s="114"/>
      <c r="AR202" s="114"/>
      <c r="AS202" s="114"/>
      <c r="AT202" s="114"/>
      <c r="AU202" s="114"/>
      <c r="AV202" s="114"/>
      <c r="AW202" s="114"/>
      <c r="AX202" s="114"/>
      <c r="AY202" s="114"/>
      <c r="AZ202" s="114"/>
      <c r="BA202" s="114"/>
      <c r="BB202" s="114"/>
      <c r="BC202" s="114"/>
      <c r="BD202" s="114"/>
      <c r="BE202" s="114"/>
      <c r="BF202" s="114"/>
      <c r="BG202" s="114"/>
      <c r="BH202" s="114"/>
      <c r="BI202" s="114"/>
      <c r="BJ202" s="114"/>
      <c r="BK202" s="114"/>
      <c r="BL202" s="114"/>
      <c r="BM202" s="114"/>
      <c r="BN202" s="114"/>
      <c r="BO202" s="114"/>
      <c r="BP202" s="114"/>
      <c r="BQ202" s="114"/>
      <c r="BR202" s="114"/>
      <c r="BS202" s="114"/>
      <c r="BT202" s="114"/>
      <c r="BU202" s="114"/>
      <c r="BV202" s="114"/>
      <c r="BW202" s="114"/>
      <c r="BX202" s="114"/>
      <c r="BY202" s="114"/>
      <c r="BZ202" s="114"/>
      <c r="CA202" s="114"/>
      <c r="CB202" s="114"/>
      <c r="CC202" s="114"/>
      <c r="CD202" s="114"/>
      <c r="CE202" s="114"/>
      <c r="CF202" s="114"/>
      <c r="CG202" s="114"/>
      <c r="CH202" s="114"/>
      <c r="CI202" s="114"/>
      <c r="CJ202" s="114"/>
      <c r="CK202" s="114"/>
      <c r="CL202" s="114"/>
      <c r="CM202" s="114"/>
      <c r="CN202" s="114"/>
      <c r="CO202" s="114"/>
      <c r="CP202" s="114"/>
      <c r="CQ202" s="114"/>
      <c r="CR202" s="114"/>
      <c r="CS202" s="114"/>
      <c r="CT202" s="114"/>
      <c r="CU202" s="114"/>
      <c r="CV202" s="114"/>
      <c r="CW202" s="114"/>
      <c r="CX202" s="114"/>
      <c r="CY202" s="114"/>
      <c r="CZ202" s="114"/>
      <c r="DA202" s="114"/>
      <c r="DB202" s="114"/>
      <c r="DC202" s="114"/>
      <c r="DD202" s="114"/>
      <c r="DE202" s="114"/>
      <c r="DF202" s="114"/>
      <c r="DG202" s="114"/>
      <c r="DH202" s="114"/>
      <c r="DI202" s="114"/>
      <c r="DJ202" s="114"/>
      <c r="DK202" s="114"/>
      <c r="DL202" s="114"/>
      <c r="DM202" s="114"/>
      <c r="DN202" s="114"/>
      <c r="DO202" s="114"/>
      <c r="DP202" s="114"/>
      <c r="DQ202" s="114"/>
      <c r="DR202" s="114"/>
      <c r="DS202" s="114"/>
      <c r="DT202" s="114"/>
      <c r="DU202" s="114"/>
      <c r="DV202" s="114"/>
      <c r="DW202" s="114"/>
      <c r="DX202" s="114"/>
      <c r="DY202" s="114"/>
      <c r="DZ202" s="114"/>
      <c r="EA202" s="114"/>
      <c r="EB202" s="114"/>
      <c r="EC202" s="114"/>
      <c r="ED202" s="114"/>
      <c r="EE202" s="114"/>
      <c r="EF202" s="114"/>
      <c r="EG202" s="114"/>
      <c r="EH202" s="114"/>
      <c r="EI202" s="114"/>
      <c r="EJ202" s="114"/>
      <c r="EK202" s="114"/>
      <c r="EL202" s="114"/>
    </row>
    <row r="203" customFormat="false" ht="12.75" hidden="false" customHeight="false" outlineLevel="0" collapsed="false">
      <c r="A203" s="321"/>
      <c r="B203" s="264" t="s">
        <v>312</v>
      </c>
      <c r="C203" s="100"/>
      <c r="E203" s="323" t="n">
        <v>0.05</v>
      </c>
      <c r="F203" s="324" t="n">
        <v>0.38</v>
      </c>
      <c r="G203" s="324" t="n">
        <v>0.228</v>
      </c>
      <c r="H203" s="324" t="n">
        <v>0.1368</v>
      </c>
      <c r="I203" s="324" t="n">
        <v>0.1094</v>
      </c>
      <c r="J203" s="324" t="n">
        <v>0.0958</v>
      </c>
      <c r="K203" s="256" t="n">
        <v>0</v>
      </c>
      <c r="L203" s="325" t="n">
        <v>0</v>
      </c>
      <c r="M203" s="325" t="n">
        <v>0</v>
      </c>
      <c r="N203" s="325" t="n">
        <v>0</v>
      </c>
      <c r="O203" s="325" t="n">
        <v>0</v>
      </c>
      <c r="P203" s="325"/>
      <c r="Q203" s="325"/>
      <c r="R203" s="325"/>
      <c r="S203" s="114"/>
      <c r="U203" s="114"/>
      <c r="V203" s="114"/>
      <c r="W203" s="114"/>
      <c r="X203" s="114"/>
      <c r="Y203" s="114"/>
      <c r="Z203" s="114"/>
      <c r="AA203" s="114"/>
      <c r="AB203" s="114"/>
      <c r="AC203" s="114"/>
      <c r="AD203" s="114"/>
      <c r="AE203" s="114"/>
      <c r="AF203" s="114"/>
      <c r="AG203" s="114"/>
      <c r="AH203" s="114"/>
      <c r="AI203" s="114"/>
      <c r="AJ203" s="114"/>
      <c r="AK203" s="114"/>
      <c r="AL203" s="114"/>
      <c r="AM203" s="114"/>
      <c r="AN203" s="114"/>
      <c r="AO203" s="114"/>
      <c r="AP203" s="114"/>
      <c r="AQ203" s="114"/>
      <c r="AR203" s="114"/>
      <c r="AS203" s="114"/>
      <c r="AT203" s="114"/>
      <c r="AU203" s="114"/>
      <c r="AV203" s="114"/>
      <c r="AW203" s="114"/>
      <c r="AX203" s="114"/>
      <c r="AY203" s="114"/>
      <c r="AZ203" s="114"/>
      <c r="BA203" s="114"/>
      <c r="BB203" s="114"/>
      <c r="BC203" s="114"/>
      <c r="BD203" s="114"/>
      <c r="BE203" s="114"/>
      <c r="BF203" s="114"/>
      <c r="BG203" s="114"/>
      <c r="BH203" s="114"/>
      <c r="BI203" s="114"/>
      <c r="BJ203" s="114"/>
      <c r="BK203" s="114"/>
      <c r="BL203" s="114"/>
      <c r="BM203" s="114"/>
      <c r="BN203" s="114"/>
      <c r="BO203" s="114"/>
      <c r="BP203" s="114"/>
      <c r="BQ203" s="114"/>
      <c r="BR203" s="114"/>
      <c r="BS203" s="114"/>
      <c r="BT203" s="114"/>
      <c r="BU203" s="114"/>
      <c r="BV203" s="114"/>
      <c r="BW203" s="114"/>
      <c r="BX203" s="114"/>
      <c r="BY203" s="114"/>
      <c r="BZ203" s="114"/>
      <c r="CA203" s="114"/>
      <c r="CB203" s="114"/>
      <c r="CC203" s="114"/>
      <c r="CD203" s="114"/>
      <c r="CE203" s="114"/>
      <c r="CF203" s="114"/>
      <c r="CG203" s="114"/>
      <c r="CH203" s="114"/>
      <c r="CI203" s="114"/>
      <c r="CJ203" s="114"/>
      <c r="CK203" s="114"/>
      <c r="CL203" s="114"/>
      <c r="CM203" s="114"/>
      <c r="CN203" s="114"/>
      <c r="CO203" s="114"/>
      <c r="CP203" s="114"/>
      <c r="CQ203" s="114"/>
      <c r="CR203" s="114"/>
      <c r="CS203" s="114"/>
      <c r="CT203" s="114"/>
      <c r="CU203" s="114"/>
      <c r="CV203" s="114"/>
      <c r="CW203" s="114"/>
      <c r="CX203" s="114"/>
      <c r="CY203" s="114"/>
      <c r="CZ203" s="114"/>
      <c r="DA203" s="114"/>
      <c r="DB203" s="114"/>
      <c r="DC203" s="114"/>
      <c r="DD203" s="114"/>
      <c r="DE203" s="114"/>
      <c r="DF203" s="114"/>
      <c r="DG203" s="114"/>
      <c r="DH203" s="114"/>
      <c r="DI203" s="114"/>
      <c r="DJ203" s="114"/>
      <c r="DK203" s="114"/>
      <c r="DL203" s="114"/>
      <c r="DM203" s="114"/>
      <c r="DN203" s="114"/>
      <c r="DO203" s="114"/>
      <c r="DP203" s="114"/>
      <c r="DQ203" s="114"/>
      <c r="DR203" s="114"/>
      <c r="DS203" s="114"/>
      <c r="DT203" s="114"/>
      <c r="DU203" s="114"/>
      <c r="DV203" s="114"/>
      <c r="DW203" s="114"/>
      <c r="DX203" s="114"/>
      <c r="DY203" s="114"/>
      <c r="DZ203" s="114"/>
      <c r="EA203" s="114"/>
      <c r="EB203" s="114"/>
      <c r="EC203" s="114"/>
      <c r="ED203" s="114"/>
      <c r="EE203" s="114"/>
      <c r="EF203" s="114"/>
      <c r="EG203" s="114"/>
      <c r="EH203" s="114"/>
      <c r="EI203" s="114"/>
      <c r="EJ203" s="114"/>
      <c r="EK203" s="114"/>
      <c r="EL203" s="114"/>
    </row>
    <row r="204" customFormat="false" ht="12.75" hidden="false" customHeight="false" outlineLevel="0" collapsed="false">
      <c r="A204" s="321"/>
      <c r="B204" s="228" t="s">
        <v>313</v>
      </c>
      <c r="C204" s="100"/>
      <c r="D204" s="323"/>
      <c r="E204" s="323" t="n">
        <v>0.2</v>
      </c>
      <c r="F204" s="324" t="n">
        <v>0.32</v>
      </c>
      <c r="G204" s="324" t="n">
        <v>0.192</v>
      </c>
      <c r="H204" s="324" t="n">
        <v>0.1152</v>
      </c>
      <c r="I204" s="324" t="n">
        <v>0.1152</v>
      </c>
      <c r="J204" s="324" t="n">
        <v>0.0576</v>
      </c>
      <c r="K204" s="325" t="n">
        <v>0</v>
      </c>
      <c r="L204" s="325" t="n">
        <v>0</v>
      </c>
      <c r="M204" s="325" t="n">
        <v>0</v>
      </c>
      <c r="N204" s="325" t="n">
        <v>0</v>
      </c>
      <c r="O204" s="325" t="n">
        <v>0</v>
      </c>
      <c r="P204" s="325"/>
      <c r="Q204" s="325"/>
      <c r="S204" s="114"/>
      <c r="U204" s="114"/>
      <c r="V204" s="114"/>
      <c r="W204" s="114"/>
      <c r="X204" s="114"/>
      <c r="Y204" s="114"/>
      <c r="Z204" s="114"/>
      <c r="AA204" s="114"/>
      <c r="AB204" s="114"/>
      <c r="AC204" s="114"/>
      <c r="AD204" s="114"/>
      <c r="AE204" s="114"/>
      <c r="AF204" s="114"/>
      <c r="AG204" s="114"/>
      <c r="AH204" s="114"/>
      <c r="AI204" s="114"/>
      <c r="AJ204" s="114"/>
      <c r="AK204" s="114"/>
      <c r="AL204" s="114"/>
      <c r="AM204" s="114"/>
      <c r="AN204" s="114"/>
      <c r="AO204" s="114"/>
      <c r="AP204" s="114"/>
      <c r="AQ204" s="114"/>
      <c r="AR204" s="114"/>
      <c r="AS204" s="114"/>
      <c r="AT204" s="114"/>
      <c r="AU204" s="114"/>
      <c r="AV204" s="114"/>
      <c r="AW204" s="114"/>
      <c r="AX204" s="114"/>
      <c r="AY204" s="114"/>
      <c r="AZ204" s="114"/>
      <c r="BA204" s="114"/>
      <c r="BB204" s="114"/>
      <c r="BC204" s="114"/>
      <c r="BD204" s="114"/>
      <c r="BE204" s="114"/>
      <c r="BF204" s="114"/>
      <c r="BG204" s="114"/>
      <c r="BH204" s="114"/>
      <c r="BI204" s="114"/>
      <c r="BJ204" s="114"/>
      <c r="BK204" s="114"/>
      <c r="BL204" s="114"/>
      <c r="BM204" s="114"/>
      <c r="BN204" s="114"/>
      <c r="BO204" s="114"/>
      <c r="BP204" s="114"/>
      <c r="BQ204" s="114"/>
      <c r="BR204" s="114"/>
      <c r="BS204" s="114"/>
      <c r="BT204" s="114"/>
      <c r="BU204" s="114"/>
      <c r="BV204" s="114"/>
      <c r="BW204" s="114"/>
      <c r="BX204" s="114"/>
      <c r="BY204" s="114"/>
      <c r="BZ204" s="114"/>
      <c r="CA204" s="114"/>
      <c r="CB204" s="114"/>
      <c r="CC204" s="114"/>
      <c r="CD204" s="114"/>
      <c r="CE204" s="114"/>
      <c r="CF204" s="114"/>
      <c r="CG204" s="114"/>
      <c r="CH204" s="114"/>
      <c r="CI204" s="114"/>
      <c r="CJ204" s="114"/>
      <c r="CK204" s="114"/>
      <c r="CL204" s="114"/>
      <c r="CM204" s="114"/>
      <c r="CN204" s="114"/>
      <c r="CO204" s="114"/>
      <c r="CP204" s="114"/>
      <c r="CQ204" s="114"/>
      <c r="CR204" s="114"/>
      <c r="CS204" s="114"/>
      <c r="CT204" s="114"/>
      <c r="CU204" s="114"/>
      <c r="CV204" s="114"/>
      <c r="CW204" s="114"/>
      <c r="CX204" s="114"/>
      <c r="CY204" s="114"/>
      <c r="CZ204" s="114"/>
      <c r="DA204" s="114"/>
      <c r="DB204" s="114"/>
      <c r="DC204" s="114"/>
      <c r="DD204" s="114"/>
      <c r="DE204" s="114"/>
      <c r="DF204" s="114"/>
      <c r="DG204" s="114"/>
      <c r="DH204" s="114"/>
      <c r="DI204" s="114"/>
      <c r="DJ204" s="114"/>
      <c r="DK204" s="114"/>
      <c r="DL204" s="114"/>
      <c r="DM204" s="114"/>
      <c r="DN204" s="114"/>
      <c r="DO204" s="114"/>
      <c r="DP204" s="114"/>
      <c r="DQ204" s="114"/>
      <c r="DR204" s="114"/>
      <c r="DS204" s="114"/>
      <c r="DT204" s="114"/>
      <c r="DU204" s="114"/>
      <c r="DV204" s="114"/>
      <c r="DW204" s="114"/>
      <c r="DX204" s="114"/>
      <c r="DY204" s="114"/>
      <c r="DZ204" s="114"/>
      <c r="EA204" s="114"/>
      <c r="EB204" s="114"/>
      <c r="EC204" s="114"/>
      <c r="ED204" s="114"/>
      <c r="EE204" s="114"/>
      <c r="EF204" s="114"/>
      <c r="EG204" s="114"/>
      <c r="EH204" s="114"/>
      <c r="EI204" s="114"/>
      <c r="EJ204" s="114"/>
      <c r="EK204" s="114"/>
      <c r="EL204" s="114"/>
    </row>
    <row r="205" customFormat="false" ht="12.75" hidden="false" customHeight="false" outlineLevel="0" collapsed="false">
      <c r="A205" s="124"/>
      <c r="C205" s="52"/>
      <c r="D205" s="295"/>
      <c r="P205" s="326"/>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4"/>
      <c r="AL205" s="114"/>
      <c r="AM205" s="114"/>
      <c r="AN205" s="114"/>
      <c r="AO205" s="114"/>
      <c r="AP205" s="114"/>
      <c r="AQ205" s="114"/>
      <c r="AR205" s="114"/>
      <c r="AS205" s="114"/>
      <c r="AT205" s="114"/>
      <c r="AU205" s="114"/>
      <c r="AV205" s="114"/>
      <c r="AW205" s="114"/>
      <c r="AX205" s="114"/>
      <c r="AY205" s="114"/>
      <c r="AZ205" s="114"/>
      <c r="BA205" s="114"/>
      <c r="BB205" s="114"/>
      <c r="BC205" s="114"/>
      <c r="BD205" s="114"/>
      <c r="BE205" s="114"/>
      <c r="BF205" s="114"/>
      <c r="BG205" s="114"/>
      <c r="BH205" s="114"/>
      <c r="BI205" s="114"/>
      <c r="BJ205" s="114"/>
      <c r="BK205" s="114"/>
      <c r="BL205" s="114"/>
      <c r="BM205" s="114"/>
      <c r="BN205" s="114"/>
      <c r="BO205" s="114"/>
      <c r="BP205" s="114"/>
      <c r="BQ205" s="114"/>
      <c r="BR205" s="114"/>
      <c r="BS205" s="114"/>
      <c r="BT205" s="114"/>
      <c r="BU205" s="114"/>
      <c r="BV205" s="114"/>
      <c r="BW205" s="114"/>
      <c r="BX205" s="114"/>
      <c r="BY205" s="114"/>
      <c r="BZ205" s="114"/>
      <c r="CA205" s="114"/>
      <c r="CB205" s="114"/>
      <c r="CC205" s="114"/>
      <c r="CD205" s="114"/>
      <c r="CE205" s="114"/>
      <c r="CF205" s="114"/>
      <c r="CG205" s="114"/>
      <c r="CH205" s="114"/>
      <c r="CI205" s="114"/>
      <c r="CJ205" s="114"/>
      <c r="CK205" s="114"/>
      <c r="CL205" s="114"/>
      <c r="CM205" s="114"/>
      <c r="CN205" s="114"/>
      <c r="CO205" s="114"/>
      <c r="CP205" s="114"/>
      <c r="CQ205" s="114"/>
      <c r="CR205" s="114"/>
      <c r="CS205" s="114"/>
      <c r="CT205" s="114"/>
      <c r="CU205" s="114"/>
      <c r="CV205" s="114"/>
      <c r="CW205" s="114"/>
      <c r="CX205" s="114"/>
      <c r="CY205" s="114"/>
      <c r="CZ205" s="114"/>
      <c r="DA205" s="114"/>
      <c r="DB205" s="114"/>
      <c r="DC205" s="114"/>
      <c r="DD205" s="114"/>
      <c r="DE205" s="114"/>
      <c r="DF205" s="114"/>
      <c r="DG205" s="114"/>
      <c r="DH205" s="114"/>
      <c r="DI205" s="114"/>
      <c r="DJ205" s="114"/>
      <c r="DK205" s="114"/>
      <c r="DL205" s="114"/>
      <c r="DM205" s="114"/>
      <c r="DN205" s="114"/>
      <c r="DO205" s="114"/>
      <c r="DP205" s="114"/>
      <c r="DQ205" s="114"/>
      <c r="DR205" s="114"/>
      <c r="DS205" s="114"/>
      <c r="DT205" s="114"/>
      <c r="DU205" s="114"/>
      <c r="DV205" s="114"/>
      <c r="DW205" s="114"/>
      <c r="DX205" s="114"/>
      <c r="DY205" s="114"/>
      <c r="DZ205" s="114"/>
      <c r="EA205" s="114"/>
      <c r="EB205" s="114"/>
      <c r="EC205" s="114"/>
      <c r="ED205" s="114"/>
      <c r="EE205" s="114"/>
      <c r="EF205" s="114"/>
      <c r="EG205" s="114"/>
      <c r="EH205" s="114"/>
      <c r="EI205" s="114"/>
      <c r="EJ205" s="114"/>
      <c r="EK205" s="114"/>
      <c r="EL205" s="114"/>
    </row>
    <row r="206" customFormat="false" ht="12.75" hidden="false" customHeight="false" outlineLevel="0" collapsed="false">
      <c r="A206" s="124"/>
      <c r="C206" s="1"/>
      <c r="P206" s="326"/>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4"/>
      <c r="AL206" s="114"/>
      <c r="AM206" s="114"/>
      <c r="AN206" s="114"/>
      <c r="AO206" s="114"/>
      <c r="AP206" s="114"/>
      <c r="AQ206" s="114"/>
      <c r="AR206" s="114"/>
      <c r="AS206" s="114"/>
      <c r="AT206" s="114"/>
      <c r="AU206" s="114"/>
      <c r="AV206" s="114"/>
      <c r="AW206" s="114"/>
      <c r="AX206" s="114"/>
      <c r="AY206" s="114"/>
      <c r="AZ206" s="114"/>
      <c r="BA206" s="114"/>
      <c r="BB206" s="114"/>
      <c r="BC206" s="114"/>
      <c r="BD206" s="114"/>
      <c r="BE206" s="114"/>
      <c r="BF206" s="114"/>
      <c r="BG206" s="114"/>
      <c r="BH206" s="114"/>
      <c r="BI206" s="114"/>
      <c r="BJ206" s="114"/>
      <c r="BK206" s="114"/>
      <c r="BL206" s="114"/>
      <c r="BM206" s="114"/>
      <c r="BN206" s="114"/>
      <c r="BO206" s="114"/>
      <c r="BP206" s="114"/>
      <c r="BQ206" s="114"/>
      <c r="BR206" s="114"/>
      <c r="BS206" s="114"/>
      <c r="BT206" s="114"/>
      <c r="BU206" s="114"/>
      <c r="BV206" s="114"/>
      <c r="BW206" s="114"/>
      <c r="BX206" s="114"/>
      <c r="BY206" s="114"/>
      <c r="BZ206" s="114"/>
      <c r="CA206" s="114"/>
      <c r="CB206" s="114"/>
      <c r="CC206" s="114"/>
      <c r="CD206" s="114"/>
      <c r="CE206" s="114"/>
      <c r="CF206" s="114"/>
      <c r="CG206" s="114"/>
      <c r="CH206" s="114"/>
      <c r="CI206" s="114"/>
      <c r="CJ206" s="114"/>
      <c r="CK206" s="114"/>
      <c r="CL206" s="114"/>
      <c r="CM206" s="114"/>
      <c r="CN206" s="114"/>
      <c r="CO206" s="114"/>
      <c r="CP206" s="114"/>
      <c r="CQ206" s="114"/>
      <c r="CR206" s="114"/>
      <c r="CS206" s="114"/>
      <c r="CT206" s="114"/>
      <c r="CU206" s="114"/>
      <c r="CV206" s="114"/>
      <c r="CW206" s="114"/>
      <c r="CX206" s="114"/>
      <c r="CY206" s="114"/>
      <c r="CZ206" s="114"/>
      <c r="DA206" s="114"/>
      <c r="DB206" s="114"/>
      <c r="DC206" s="114"/>
      <c r="DD206" s="114"/>
      <c r="DE206" s="114"/>
      <c r="DF206" s="114"/>
      <c r="DG206" s="114"/>
      <c r="DH206" s="114"/>
      <c r="DI206" s="114"/>
      <c r="DJ206" s="114"/>
      <c r="DK206" s="114"/>
      <c r="DL206" s="114"/>
      <c r="DM206" s="114"/>
      <c r="DN206" s="114"/>
      <c r="DO206" s="114"/>
      <c r="DP206" s="114"/>
      <c r="DQ206" s="114"/>
      <c r="DR206" s="114"/>
      <c r="DS206" s="114"/>
      <c r="DT206" s="114"/>
      <c r="DU206" s="114"/>
      <c r="DV206" s="114"/>
      <c r="DW206" s="114"/>
      <c r="DX206" s="114"/>
      <c r="DY206" s="114"/>
      <c r="DZ206" s="114"/>
      <c r="EA206" s="114"/>
      <c r="EB206" s="114"/>
      <c r="EC206" s="114"/>
      <c r="ED206" s="114"/>
      <c r="EE206" s="114"/>
      <c r="EF206" s="114"/>
      <c r="EG206" s="114"/>
      <c r="EH206" s="114"/>
      <c r="EI206" s="114"/>
      <c r="EJ206" s="114"/>
      <c r="EK206" s="114"/>
      <c r="EL206" s="114"/>
    </row>
    <row r="207" customFormat="false" ht="12.75" hidden="false" customHeight="false" outlineLevel="0" collapsed="false">
      <c r="A207" s="124"/>
      <c r="B207" s="289" t="s">
        <v>314</v>
      </c>
      <c r="C207" s="15"/>
      <c r="D207" s="313"/>
      <c r="E207" s="313"/>
      <c r="F207" s="313"/>
      <c r="P207" s="326"/>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4"/>
      <c r="AL207" s="114"/>
      <c r="AM207" s="114"/>
      <c r="AN207" s="114"/>
      <c r="AO207" s="114"/>
      <c r="AP207" s="114"/>
      <c r="AQ207" s="114"/>
      <c r="AR207" s="114"/>
      <c r="AS207" s="114"/>
      <c r="AT207" s="114"/>
      <c r="AU207" s="114"/>
      <c r="AV207" s="114"/>
      <c r="AW207" s="114"/>
      <c r="AX207" s="114"/>
      <c r="AY207" s="114"/>
      <c r="AZ207" s="114"/>
      <c r="BA207" s="114"/>
      <c r="BB207" s="114"/>
      <c r="BC207" s="114"/>
      <c r="BD207" s="114"/>
      <c r="BE207" s="114"/>
      <c r="BF207" s="114"/>
      <c r="BG207" s="114"/>
      <c r="BH207" s="114"/>
      <c r="BI207" s="114"/>
      <c r="BJ207" s="114"/>
      <c r="BK207" s="114"/>
      <c r="BL207" s="114"/>
      <c r="BM207" s="114"/>
      <c r="BN207" s="114"/>
      <c r="BO207" s="114"/>
      <c r="BP207" s="114"/>
      <c r="BQ207" s="114"/>
      <c r="BR207" s="114"/>
      <c r="BS207" s="114"/>
      <c r="BT207" s="114"/>
      <c r="BU207" s="114"/>
      <c r="BV207" s="114"/>
      <c r="BW207" s="114"/>
      <c r="BX207" s="114"/>
      <c r="BY207" s="114"/>
      <c r="BZ207" s="114"/>
      <c r="CA207" s="114"/>
      <c r="CB207" s="114"/>
      <c r="CC207" s="114"/>
      <c r="CD207" s="114"/>
      <c r="CE207" s="114"/>
      <c r="CF207" s="114"/>
      <c r="CG207" s="114"/>
      <c r="CH207" s="114"/>
      <c r="CI207" s="114"/>
      <c r="CJ207" s="114"/>
      <c r="CK207" s="114"/>
      <c r="CL207" s="114"/>
      <c r="CM207" s="114"/>
      <c r="CN207" s="114"/>
      <c r="CO207" s="114"/>
      <c r="CP207" s="114"/>
      <c r="CQ207" s="114"/>
      <c r="CR207" s="114"/>
      <c r="CS207" s="114"/>
      <c r="CT207" s="114"/>
      <c r="CU207" s="114"/>
      <c r="CV207" s="114"/>
      <c r="CW207" s="114"/>
      <c r="CX207" s="114"/>
      <c r="CY207" s="114"/>
      <c r="CZ207" s="114"/>
      <c r="DA207" s="114"/>
      <c r="DB207" s="114"/>
      <c r="DC207" s="114"/>
      <c r="DD207" s="114"/>
      <c r="DE207" s="114"/>
      <c r="DF207" s="114"/>
      <c r="DG207" s="114"/>
      <c r="DH207" s="114"/>
      <c r="DI207" s="114"/>
      <c r="DJ207" s="114"/>
      <c r="DK207" s="114"/>
      <c r="DL207" s="114"/>
      <c r="DM207" s="114"/>
      <c r="DN207" s="114"/>
      <c r="DO207" s="114"/>
      <c r="DP207" s="114"/>
      <c r="DQ207" s="114"/>
      <c r="DR207" s="114"/>
      <c r="DS207" s="114"/>
      <c r="DT207" s="114"/>
      <c r="DU207" s="114"/>
      <c r="DV207" s="114"/>
      <c r="DW207" s="114"/>
      <c r="DX207" s="114"/>
      <c r="DY207" s="114"/>
      <c r="DZ207" s="114"/>
      <c r="EA207" s="114"/>
      <c r="EB207" s="114"/>
      <c r="EC207" s="114"/>
      <c r="ED207" s="114"/>
      <c r="EE207" s="114"/>
      <c r="EF207" s="114"/>
      <c r="EG207" s="114"/>
      <c r="EH207" s="114"/>
      <c r="EI207" s="114"/>
      <c r="EJ207" s="114"/>
      <c r="EK207" s="114"/>
      <c r="EL207" s="114"/>
    </row>
    <row r="208" customFormat="false" ht="12.75" hidden="false" customHeight="false" outlineLevel="0" collapsed="false">
      <c r="A208" s="124"/>
      <c r="B208" s="0" t="s">
        <v>80</v>
      </c>
      <c r="C208" s="1"/>
      <c r="D208" s="263" t="n">
        <v>0.95</v>
      </c>
      <c r="E208" s="327" t="str">
        <f aca="false">IF(H24=0.25,"MACRS MIDQ","MACRS HALFYR")</f>
        <v>MACRS HALFYR</v>
      </c>
      <c r="F208" s="100" t="n">
        <f aca="false">Income!$E$6*D208</f>
        <v>36935.2779318995</v>
      </c>
      <c r="P208" s="326"/>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c r="DM208" s="114"/>
      <c r="DN208" s="114"/>
      <c r="DO208" s="114"/>
      <c r="DP208" s="114"/>
      <c r="DQ208" s="114"/>
      <c r="DR208" s="114"/>
      <c r="DS208" s="114"/>
      <c r="DT208" s="114"/>
      <c r="DU208" s="114"/>
      <c r="DV208" s="114"/>
      <c r="DW208" s="114"/>
      <c r="DX208" s="114"/>
      <c r="DY208" s="114"/>
      <c r="DZ208" s="114"/>
      <c r="EA208" s="114"/>
      <c r="EB208" s="114"/>
      <c r="EC208" s="114"/>
      <c r="ED208" s="114"/>
      <c r="EE208" s="114"/>
      <c r="EF208" s="114"/>
      <c r="EG208" s="114"/>
      <c r="EH208" s="114"/>
      <c r="EI208" s="114"/>
      <c r="EJ208" s="114"/>
      <c r="EK208" s="114"/>
      <c r="EL208" s="114"/>
    </row>
    <row r="209" customFormat="false" ht="12.75" hidden="false" customHeight="false" outlineLevel="0" collapsed="false">
      <c r="A209" s="124"/>
      <c r="B209" s="0" t="s">
        <v>315</v>
      </c>
      <c r="C209" s="1"/>
      <c r="D209" s="263" t="n">
        <v>0</v>
      </c>
      <c r="E209" s="328" t="n">
        <v>10</v>
      </c>
      <c r="F209" s="100" t="n">
        <f aca="false">Income!$E$6*D209</f>
        <v>0</v>
      </c>
      <c r="P209" s="326"/>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4"/>
      <c r="AL209" s="114"/>
      <c r="AM209" s="114"/>
      <c r="AN209" s="114"/>
      <c r="AO209" s="114"/>
      <c r="AP209" s="114"/>
      <c r="AQ209" s="114"/>
      <c r="AR209" s="114"/>
      <c r="AS209" s="114"/>
      <c r="AT209" s="114"/>
      <c r="AU209" s="114"/>
      <c r="AV209" s="114"/>
      <c r="AW209" s="114"/>
      <c r="AX209" s="114"/>
      <c r="AY209" s="114"/>
      <c r="AZ209" s="114"/>
      <c r="BA209" s="114"/>
      <c r="BB209" s="114"/>
      <c r="BC209" s="114"/>
      <c r="BD209" s="114"/>
      <c r="BE209" s="114"/>
      <c r="BF209" s="114"/>
      <c r="BG209" s="114"/>
      <c r="BH209" s="114"/>
      <c r="BI209" s="114"/>
      <c r="BJ209" s="114"/>
      <c r="BK209" s="114"/>
      <c r="BL209" s="114"/>
      <c r="BM209" s="114"/>
      <c r="BN209" s="114"/>
      <c r="BO209" s="114"/>
      <c r="BP209" s="114"/>
      <c r="BQ209" s="114"/>
      <c r="BR209" s="114"/>
      <c r="BS209" s="114"/>
      <c r="BT209" s="114"/>
      <c r="BU209" s="114"/>
      <c r="BV209" s="114"/>
      <c r="BW209" s="114"/>
      <c r="BX209" s="114"/>
      <c r="BY209" s="114"/>
      <c r="BZ209" s="114"/>
      <c r="CA209" s="114"/>
      <c r="CB209" s="114"/>
      <c r="CC209" s="114"/>
      <c r="CD209" s="114"/>
      <c r="CE209" s="114"/>
      <c r="CF209" s="114"/>
      <c r="CG209" s="114"/>
      <c r="CH209" s="114"/>
      <c r="CI209" s="114"/>
      <c r="CJ209" s="114"/>
      <c r="CK209" s="114"/>
      <c r="CL209" s="114"/>
      <c r="CM209" s="114"/>
      <c r="CN209" s="114"/>
      <c r="CO209" s="114"/>
      <c r="CP209" s="114"/>
      <c r="CQ209" s="114"/>
      <c r="CR209" s="114"/>
      <c r="CS209" s="114"/>
      <c r="CT209" s="114"/>
      <c r="CU209" s="114"/>
      <c r="CV209" s="114"/>
      <c r="CW209" s="114"/>
      <c r="CX209" s="114"/>
      <c r="CY209" s="114"/>
      <c r="CZ209" s="114"/>
      <c r="DA209" s="114"/>
      <c r="DB209" s="114"/>
      <c r="DC209" s="114"/>
      <c r="DD209" s="114"/>
      <c r="DE209" s="114"/>
      <c r="DF209" s="114"/>
      <c r="DG209" s="114"/>
      <c r="DH209" s="114"/>
      <c r="DI209" s="114"/>
      <c r="DJ209" s="114"/>
      <c r="DK209" s="114"/>
      <c r="DL209" s="114"/>
      <c r="DM209" s="114"/>
      <c r="DN209" s="114"/>
      <c r="DO209" s="114"/>
      <c r="DP209" s="114"/>
      <c r="DQ209" s="114"/>
      <c r="DR209" s="114"/>
      <c r="DS209" s="114"/>
      <c r="DT209" s="114"/>
      <c r="DU209" s="114"/>
      <c r="DV209" s="114"/>
      <c r="DW209" s="114"/>
      <c r="DX209" s="114"/>
      <c r="DY209" s="114"/>
      <c r="DZ209" s="114"/>
      <c r="EA209" s="114"/>
      <c r="EB209" s="114"/>
      <c r="EC209" s="114"/>
      <c r="ED209" s="114"/>
      <c r="EE209" s="114"/>
      <c r="EF209" s="114"/>
      <c r="EG209" s="114"/>
      <c r="EH209" s="114"/>
      <c r="EI209" s="114"/>
      <c r="EJ209" s="114"/>
      <c r="EK209" s="114"/>
      <c r="EL209" s="114"/>
    </row>
    <row r="210" customFormat="false" ht="12.75" hidden="false" customHeight="false" outlineLevel="0" collapsed="false">
      <c r="A210" s="124"/>
      <c r="B210" s="0" t="s">
        <v>316</v>
      </c>
      <c r="C210" s="1"/>
      <c r="D210" s="263" t="n">
        <v>0.03</v>
      </c>
      <c r="E210" s="327" t="n">
        <f aca="false">ROUNDDOWN(C231,0)</f>
        <v>17</v>
      </c>
      <c r="F210" s="100" t="n">
        <f aca="false">Income!$E$6*D210</f>
        <v>1166.37719784946</v>
      </c>
      <c r="P210" s="326"/>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114"/>
      <c r="AZ210" s="114"/>
      <c r="BA210" s="114"/>
      <c r="BB210" s="114"/>
      <c r="BC210" s="114"/>
      <c r="BD210" s="114"/>
      <c r="BE210" s="114"/>
      <c r="BF210" s="114"/>
      <c r="BG210" s="114"/>
      <c r="BH210" s="114"/>
      <c r="BI210" s="114"/>
      <c r="BJ210" s="114"/>
      <c r="BK210" s="114"/>
      <c r="BL210" s="114"/>
      <c r="BM210" s="114"/>
      <c r="BN210" s="114"/>
      <c r="BO210" s="114"/>
      <c r="BP210" s="114"/>
      <c r="BQ210" s="114"/>
      <c r="BR210" s="114"/>
      <c r="BS210" s="114"/>
      <c r="BT210" s="114"/>
      <c r="BU210" s="114"/>
      <c r="BV210" s="114"/>
      <c r="BW210" s="114"/>
      <c r="BX210" s="114"/>
      <c r="BY210" s="114"/>
      <c r="BZ210" s="114"/>
      <c r="CA210" s="114"/>
      <c r="CB210" s="114"/>
      <c r="CC210" s="114"/>
      <c r="CD210" s="114"/>
      <c r="CE210" s="114"/>
      <c r="CF210" s="114"/>
      <c r="CG210" s="114"/>
      <c r="CH210" s="114"/>
      <c r="CI210" s="114"/>
      <c r="CJ210" s="114"/>
      <c r="CK210" s="114"/>
      <c r="CL210" s="114"/>
      <c r="CM210" s="114"/>
      <c r="CN210" s="114"/>
      <c r="CO210" s="114"/>
      <c r="CP210" s="114"/>
      <c r="CQ210" s="114"/>
      <c r="CR210" s="114"/>
      <c r="CS210" s="114"/>
      <c r="CT210" s="114"/>
      <c r="CU210" s="114"/>
      <c r="CV210" s="114"/>
      <c r="CW210" s="114"/>
      <c r="CX210" s="114"/>
      <c r="CY210" s="114"/>
      <c r="CZ210" s="114"/>
      <c r="DA210" s="114"/>
      <c r="DB210" s="114"/>
      <c r="DC210" s="114"/>
      <c r="DD210" s="114"/>
      <c r="DE210" s="114"/>
      <c r="DF210" s="114"/>
      <c r="DG210" s="114"/>
      <c r="DH210" s="114"/>
      <c r="DI210" s="114"/>
      <c r="DJ210" s="114"/>
      <c r="DK210" s="114"/>
      <c r="DL210" s="114"/>
      <c r="DM210" s="114"/>
      <c r="DN210" s="114"/>
      <c r="DO210" s="114"/>
      <c r="DP210" s="114"/>
      <c r="DQ210" s="114"/>
      <c r="DR210" s="114"/>
      <c r="DS210" s="114"/>
      <c r="DT210" s="114"/>
      <c r="DU210" s="114"/>
      <c r="DV210" s="114"/>
      <c r="DW210" s="114"/>
      <c r="DX210" s="114"/>
      <c r="DY210" s="114"/>
      <c r="DZ210" s="114"/>
      <c r="EA210" s="114"/>
      <c r="EB210" s="114"/>
      <c r="EC210" s="114"/>
      <c r="ED210" s="114"/>
      <c r="EE210" s="114"/>
      <c r="EF210" s="114"/>
      <c r="EG210" s="114"/>
      <c r="EH210" s="114"/>
      <c r="EI210" s="114"/>
      <c r="EJ210" s="114"/>
      <c r="EK210" s="114"/>
      <c r="EL210" s="114"/>
    </row>
    <row r="211" customFormat="false" ht="12.75" hidden="false" customHeight="false" outlineLevel="0" collapsed="false">
      <c r="A211" s="124"/>
      <c r="B211" s="0" t="s">
        <v>317</v>
      </c>
      <c r="C211" s="1"/>
      <c r="D211" s="263" t="n">
        <v>0.02</v>
      </c>
      <c r="E211" s="327" t="n">
        <f aca="false">F22</f>
        <v>20</v>
      </c>
      <c r="F211" s="100" t="n">
        <f aca="false">Income!$E$6*D211</f>
        <v>777.584798566305</v>
      </c>
      <c r="P211" s="326"/>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4"/>
      <c r="AL211" s="114"/>
      <c r="AM211" s="114"/>
      <c r="AN211" s="114"/>
      <c r="AO211" s="114"/>
      <c r="AP211" s="114"/>
      <c r="AQ211" s="114"/>
      <c r="AR211" s="114"/>
      <c r="AS211" s="114"/>
      <c r="AT211" s="114"/>
      <c r="AU211" s="114"/>
      <c r="AV211" s="114"/>
      <c r="AW211" s="114"/>
      <c r="AX211" s="114"/>
      <c r="AY211" s="114"/>
      <c r="AZ211" s="114"/>
      <c r="BA211" s="114"/>
      <c r="BB211" s="114"/>
      <c r="BC211" s="114"/>
      <c r="BD211" s="114"/>
      <c r="BE211" s="114"/>
      <c r="BF211" s="114"/>
      <c r="BG211" s="114"/>
      <c r="BH211" s="114"/>
      <c r="BI211" s="114"/>
      <c r="BJ211" s="114"/>
      <c r="BK211" s="114"/>
      <c r="BL211" s="114"/>
      <c r="BM211" s="114"/>
      <c r="BN211" s="114"/>
      <c r="BO211" s="114"/>
      <c r="BP211" s="114"/>
      <c r="BQ211" s="114"/>
      <c r="BR211" s="114"/>
      <c r="BS211" s="114"/>
      <c r="BT211" s="114"/>
      <c r="BU211" s="114"/>
      <c r="BV211" s="114"/>
      <c r="BW211" s="114"/>
      <c r="BX211" s="114"/>
      <c r="BY211" s="114"/>
      <c r="BZ211" s="114"/>
      <c r="CA211" s="114"/>
      <c r="CB211" s="114"/>
      <c r="CC211" s="114"/>
      <c r="CD211" s="114"/>
      <c r="CE211" s="114"/>
      <c r="CF211" s="114"/>
      <c r="CG211" s="114"/>
      <c r="CH211" s="114"/>
      <c r="CI211" s="114"/>
      <c r="CJ211" s="114"/>
      <c r="CK211" s="114"/>
      <c r="CL211" s="114"/>
      <c r="CM211" s="114"/>
      <c r="CN211" s="114"/>
      <c r="CO211" s="114"/>
      <c r="CP211" s="114"/>
      <c r="CQ211" s="114"/>
      <c r="CR211" s="114"/>
      <c r="CS211" s="114"/>
      <c r="CT211" s="114"/>
      <c r="CU211" s="114"/>
      <c r="CV211" s="114"/>
      <c r="CW211" s="114"/>
      <c r="CX211" s="114"/>
      <c r="CY211" s="114"/>
      <c r="CZ211" s="114"/>
      <c r="DA211" s="114"/>
      <c r="DB211" s="114"/>
      <c r="DC211" s="114"/>
      <c r="DD211" s="114"/>
      <c r="DE211" s="114"/>
      <c r="DF211" s="114"/>
      <c r="DG211" s="114"/>
      <c r="DH211" s="114"/>
      <c r="DI211" s="114"/>
      <c r="DJ211" s="114"/>
      <c r="DK211" s="114"/>
      <c r="DL211" s="114"/>
      <c r="DM211" s="114"/>
      <c r="DN211" s="114"/>
      <c r="DO211" s="114"/>
      <c r="DP211" s="114"/>
      <c r="DQ211" s="114"/>
      <c r="DR211" s="114"/>
      <c r="DS211" s="114"/>
      <c r="DT211" s="114"/>
      <c r="DU211" s="114"/>
      <c r="DV211" s="114"/>
      <c r="DW211" s="114"/>
      <c r="DX211" s="114"/>
      <c r="DY211" s="114"/>
      <c r="DZ211" s="114"/>
      <c r="EA211" s="114"/>
      <c r="EB211" s="114"/>
      <c r="EC211" s="114"/>
      <c r="ED211" s="114"/>
      <c r="EE211" s="114"/>
      <c r="EF211" s="114"/>
      <c r="EG211" s="114"/>
      <c r="EH211" s="114"/>
      <c r="EI211" s="114"/>
      <c r="EJ211" s="114"/>
      <c r="EK211" s="114"/>
      <c r="EL211" s="114"/>
    </row>
    <row r="212" customFormat="false" ht="13.5" hidden="false" customHeight="false" outlineLevel="0" collapsed="false">
      <c r="A212" s="124"/>
      <c r="B212" s="329" t="s">
        <v>318</v>
      </c>
      <c r="C212" s="1"/>
      <c r="D212" s="330" t="n">
        <f aca="false">SUM(D208:D211)</f>
        <v>1</v>
      </c>
      <c r="E212" s="331"/>
      <c r="F212" s="332" t="n">
        <f aca="false">SUM(F208:F211)</f>
        <v>38879.2399283153</v>
      </c>
      <c r="P212" s="326"/>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4"/>
      <c r="AL212" s="114"/>
      <c r="AM212" s="114"/>
      <c r="AN212" s="114"/>
      <c r="AO212" s="114"/>
      <c r="AP212" s="114"/>
      <c r="AQ212" s="114"/>
      <c r="AR212" s="114"/>
      <c r="AS212" s="114"/>
      <c r="AT212" s="114"/>
      <c r="AU212" s="114"/>
      <c r="AV212" s="114"/>
      <c r="AW212" s="114"/>
      <c r="AX212" s="114"/>
      <c r="AY212" s="114"/>
      <c r="AZ212" s="114"/>
      <c r="BA212" s="114"/>
      <c r="BB212" s="114"/>
      <c r="BC212" s="114"/>
      <c r="BD212" s="114"/>
      <c r="BE212" s="114"/>
      <c r="BF212" s="114"/>
      <c r="BG212" s="114"/>
      <c r="BH212" s="114"/>
      <c r="BI212" s="114"/>
      <c r="BJ212" s="114"/>
      <c r="BK212" s="114"/>
      <c r="BL212" s="114"/>
      <c r="BM212" s="114"/>
      <c r="BN212" s="114"/>
      <c r="BO212" s="114"/>
      <c r="BP212" s="114"/>
      <c r="BQ212" s="114"/>
      <c r="BR212" s="114"/>
      <c r="BS212" s="114"/>
      <c r="BT212" s="114"/>
      <c r="BU212" s="114"/>
      <c r="BV212" s="114"/>
      <c r="BW212" s="114"/>
      <c r="BX212" s="114"/>
      <c r="BY212" s="114"/>
      <c r="BZ212" s="114"/>
      <c r="CA212" s="114"/>
      <c r="CB212" s="114"/>
      <c r="CC212" s="114"/>
      <c r="CD212" s="114"/>
      <c r="CE212" s="114"/>
      <c r="CF212" s="114"/>
      <c r="CG212" s="114"/>
      <c r="CH212" s="114"/>
      <c r="CI212" s="114"/>
      <c r="CJ212" s="114"/>
      <c r="CK212" s="114"/>
      <c r="CL212" s="114"/>
      <c r="CM212" s="114"/>
      <c r="CN212" s="114"/>
      <c r="CO212" s="114"/>
      <c r="CP212" s="114"/>
      <c r="CQ212" s="114"/>
      <c r="CR212" s="114"/>
      <c r="CS212" s="114"/>
      <c r="CT212" s="114"/>
      <c r="CU212" s="114"/>
      <c r="CV212" s="114"/>
      <c r="CW212" s="114"/>
      <c r="CX212" s="114"/>
      <c r="CY212" s="114"/>
      <c r="CZ212" s="114"/>
      <c r="DA212" s="114"/>
      <c r="DB212" s="114"/>
      <c r="DC212" s="114"/>
      <c r="DD212" s="114"/>
      <c r="DE212" s="114"/>
      <c r="DF212" s="114"/>
      <c r="DG212" s="114"/>
      <c r="DH212" s="114"/>
      <c r="DI212" s="114"/>
      <c r="DJ212" s="114"/>
      <c r="DK212" s="114"/>
      <c r="DL212" s="114"/>
      <c r="DM212" s="114"/>
      <c r="DN212" s="114"/>
      <c r="DO212" s="114"/>
      <c r="DP212" s="114"/>
      <c r="DQ212" s="114"/>
      <c r="DR212" s="114"/>
      <c r="DS212" s="114"/>
      <c r="DT212" s="114"/>
      <c r="DU212" s="114"/>
      <c r="DV212" s="114"/>
      <c r="DW212" s="114"/>
      <c r="DX212" s="114"/>
      <c r="DY212" s="114"/>
      <c r="DZ212" s="114"/>
      <c r="EA212" s="114"/>
      <c r="EB212" s="114"/>
      <c r="EC212" s="114"/>
      <c r="ED212" s="114"/>
      <c r="EE212" s="114"/>
      <c r="EF212" s="114"/>
      <c r="EG212" s="114"/>
      <c r="EH212" s="114"/>
      <c r="EI212" s="114"/>
      <c r="EJ212" s="114"/>
      <c r="EK212" s="114"/>
      <c r="EL212" s="114"/>
    </row>
    <row r="213" customFormat="false" ht="12.75" hidden="false" customHeight="false" outlineLevel="0" collapsed="false">
      <c r="A213" s="124"/>
      <c r="C213" s="52"/>
      <c r="D213" s="295"/>
      <c r="P213" s="326"/>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4"/>
      <c r="AL213" s="114"/>
      <c r="AM213" s="114"/>
      <c r="AN213" s="114"/>
      <c r="AO213" s="114"/>
      <c r="AP213" s="114"/>
      <c r="AQ213" s="114"/>
      <c r="AR213" s="114"/>
      <c r="AS213" s="114"/>
      <c r="AT213" s="114"/>
      <c r="AU213" s="114"/>
      <c r="AV213" s="114"/>
      <c r="AW213" s="114"/>
      <c r="AX213" s="114"/>
      <c r="AY213" s="114"/>
      <c r="AZ213" s="114"/>
      <c r="BA213" s="114"/>
      <c r="BB213" s="114"/>
      <c r="BC213" s="114"/>
      <c r="BD213" s="114"/>
      <c r="BE213" s="114"/>
      <c r="BF213" s="114"/>
      <c r="BG213" s="114"/>
      <c r="BH213" s="114"/>
      <c r="BI213" s="114"/>
      <c r="BJ213" s="114"/>
      <c r="BK213" s="114"/>
      <c r="BL213" s="114"/>
      <c r="BM213" s="114"/>
      <c r="BN213" s="114"/>
      <c r="BO213" s="114"/>
      <c r="BP213" s="114"/>
      <c r="BQ213" s="114"/>
      <c r="BR213" s="114"/>
      <c r="BS213" s="114"/>
      <c r="BT213" s="114"/>
      <c r="BU213" s="114"/>
      <c r="BV213" s="114"/>
      <c r="BW213" s="114"/>
      <c r="BX213" s="114"/>
      <c r="BY213" s="114"/>
      <c r="BZ213" s="114"/>
      <c r="CA213" s="114"/>
      <c r="CB213" s="114"/>
      <c r="CC213" s="114"/>
      <c r="CD213" s="114"/>
      <c r="CE213" s="114"/>
      <c r="CF213" s="114"/>
      <c r="CG213" s="114"/>
      <c r="CH213" s="114"/>
      <c r="CI213" s="114"/>
      <c r="CJ213" s="114"/>
      <c r="CK213" s="114"/>
      <c r="CL213" s="114"/>
      <c r="CM213" s="114"/>
      <c r="CN213" s="114"/>
      <c r="CO213" s="114"/>
      <c r="CP213" s="114"/>
      <c r="CQ213" s="114"/>
      <c r="CR213" s="114"/>
      <c r="CS213" s="114"/>
      <c r="CT213" s="114"/>
      <c r="CU213" s="114"/>
      <c r="CV213" s="114"/>
      <c r="CW213" s="114"/>
      <c r="CX213" s="114"/>
      <c r="CY213" s="114"/>
      <c r="CZ213" s="114"/>
      <c r="DA213" s="114"/>
      <c r="DB213" s="114"/>
      <c r="DC213" s="114"/>
      <c r="DD213" s="114"/>
      <c r="DE213" s="114"/>
      <c r="DF213" s="114"/>
      <c r="DG213" s="114"/>
      <c r="DH213" s="114"/>
      <c r="DI213" s="114"/>
      <c r="DJ213" s="114"/>
      <c r="DK213" s="114"/>
      <c r="DL213" s="114"/>
      <c r="DM213" s="114"/>
      <c r="DN213" s="114"/>
      <c r="DO213" s="114"/>
      <c r="DP213" s="114"/>
      <c r="DQ213" s="114"/>
      <c r="DR213" s="114"/>
      <c r="DS213" s="114"/>
      <c r="DT213" s="114"/>
      <c r="DU213" s="114"/>
      <c r="DV213" s="114"/>
      <c r="DW213" s="114"/>
      <c r="DX213" s="114"/>
      <c r="DY213" s="114"/>
      <c r="DZ213" s="114"/>
      <c r="EA213" s="114"/>
      <c r="EB213" s="114"/>
      <c r="EC213" s="114"/>
      <c r="ED213" s="114"/>
      <c r="EE213" s="114"/>
      <c r="EF213" s="114"/>
      <c r="EG213" s="114"/>
      <c r="EH213" s="114"/>
      <c r="EI213" s="114"/>
      <c r="EJ213" s="114"/>
      <c r="EK213" s="114"/>
      <c r="EL213" s="114"/>
    </row>
    <row r="214" customFormat="false" ht="12.75" hidden="false" customHeight="false" outlineLevel="0" collapsed="false">
      <c r="A214" s="124"/>
      <c r="C214" s="52"/>
      <c r="D214" s="295"/>
      <c r="P214" s="326"/>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4"/>
      <c r="AL214" s="114"/>
      <c r="AM214" s="114"/>
      <c r="AN214" s="114"/>
      <c r="AO214" s="114"/>
      <c r="AP214" s="114"/>
      <c r="AQ214" s="114"/>
      <c r="AR214" s="114"/>
      <c r="AS214" s="114"/>
      <c r="AT214" s="114"/>
      <c r="AU214" s="114"/>
      <c r="AV214" s="114"/>
      <c r="AW214" s="114"/>
      <c r="AX214" s="114"/>
      <c r="AY214" s="114"/>
      <c r="AZ214" s="114"/>
      <c r="BA214" s="114"/>
      <c r="BB214" s="114"/>
      <c r="BC214" s="114"/>
      <c r="BD214" s="114"/>
      <c r="BE214" s="114"/>
      <c r="BF214" s="114"/>
      <c r="BG214" s="114"/>
      <c r="BH214" s="114"/>
      <c r="BI214" s="114"/>
      <c r="BJ214" s="114"/>
      <c r="BK214" s="114"/>
      <c r="BL214" s="114"/>
      <c r="BM214" s="114"/>
      <c r="BN214" s="114"/>
      <c r="BO214" s="114"/>
      <c r="BP214" s="114"/>
      <c r="BQ214" s="114"/>
      <c r="BR214" s="114"/>
      <c r="BS214" s="114"/>
      <c r="BT214" s="114"/>
      <c r="BU214" s="114"/>
      <c r="BV214" s="114"/>
      <c r="BW214" s="114"/>
      <c r="BX214" s="114"/>
      <c r="BY214" s="114"/>
      <c r="BZ214" s="114"/>
      <c r="CA214" s="114"/>
      <c r="CB214" s="114"/>
      <c r="CC214" s="114"/>
      <c r="CD214" s="114"/>
      <c r="CE214" s="114"/>
      <c r="CF214" s="114"/>
      <c r="CG214" s="114"/>
      <c r="CH214" s="114"/>
      <c r="CI214" s="114"/>
      <c r="CJ214" s="114"/>
      <c r="CK214" s="114"/>
      <c r="CL214" s="114"/>
      <c r="CM214" s="114"/>
      <c r="CN214" s="114"/>
      <c r="CO214" s="114"/>
      <c r="CP214" s="114"/>
      <c r="CQ214" s="114"/>
      <c r="CR214" s="114"/>
      <c r="CS214" s="114"/>
      <c r="CT214" s="114"/>
      <c r="CU214" s="114"/>
      <c r="CV214" s="114"/>
      <c r="CW214" s="114"/>
      <c r="CX214" s="114"/>
      <c r="CY214" s="114"/>
      <c r="CZ214" s="114"/>
      <c r="DA214" s="114"/>
      <c r="DB214" s="114"/>
      <c r="DC214" s="114"/>
      <c r="DD214" s="114"/>
      <c r="DE214" s="114"/>
      <c r="DF214" s="114"/>
      <c r="DG214" s="114"/>
      <c r="DH214" s="114"/>
      <c r="DI214" s="114"/>
      <c r="DJ214" s="114"/>
      <c r="DK214" s="114"/>
      <c r="DL214" s="114"/>
      <c r="DM214" s="114"/>
      <c r="DN214" s="114"/>
      <c r="DO214" s="114"/>
      <c r="DP214" s="114"/>
      <c r="DQ214" s="114"/>
      <c r="DR214" s="114"/>
      <c r="DS214" s="114"/>
      <c r="DT214" s="114"/>
      <c r="DU214" s="114"/>
      <c r="DV214" s="114"/>
      <c r="DW214" s="114"/>
      <c r="DX214" s="114"/>
      <c r="DY214" s="114"/>
      <c r="DZ214" s="114"/>
      <c r="EA214" s="114"/>
      <c r="EB214" s="114"/>
      <c r="EC214" s="114"/>
      <c r="ED214" s="114"/>
      <c r="EE214" s="114"/>
      <c r="EF214" s="114"/>
      <c r="EG214" s="114"/>
      <c r="EH214" s="114"/>
      <c r="EI214" s="114"/>
      <c r="EJ214" s="114"/>
      <c r="EK214" s="114"/>
      <c r="EL214" s="114"/>
    </row>
    <row r="215" customFormat="false" ht="12.75" hidden="false" customHeight="false" outlineLevel="0" collapsed="false">
      <c r="A215" s="124"/>
      <c r="B215" s="306" t="s">
        <v>319</v>
      </c>
      <c r="C215" s="52"/>
      <c r="D215" s="295"/>
      <c r="P215" s="326"/>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4"/>
      <c r="AL215" s="114"/>
      <c r="AM215" s="114"/>
      <c r="AN215" s="114"/>
      <c r="AO215" s="114"/>
      <c r="AP215" s="114"/>
      <c r="AQ215" s="114"/>
      <c r="AR215" s="114"/>
      <c r="AS215" s="114"/>
      <c r="AT215" s="114"/>
      <c r="AU215" s="114"/>
      <c r="AV215" s="114"/>
      <c r="AW215" s="114"/>
      <c r="AX215" s="114"/>
      <c r="AY215" s="114"/>
      <c r="AZ215" s="114"/>
      <c r="BA215" s="114"/>
      <c r="BB215" s="114"/>
      <c r="BC215" s="114"/>
      <c r="BD215" s="114"/>
      <c r="BE215" s="114"/>
      <c r="BF215" s="114"/>
      <c r="BG215" s="114"/>
      <c r="BH215" s="114"/>
      <c r="BI215" s="114"/>
      <c r="BJ215" s="114"/>
      <c r="BK215" s="114"/>
      <c r="BL215" s="114"/>
      <c r="BM215" s="114"/>
      <c r="BN215" s="114"/>
      <c r="BO215" s="114"/>
      <c r="BP215" s="114"/>
      <c r="BQ215" s="114"/>
      <c r="BR215" s="114"/>
      <c r="BS215" s="114"/>
      <c r="BT215" s="114"/>
      <c r="BU215" s="114"/>
      <c r="BV215" s="114"/>
      <c r="BW215" s="114"/>
      <c r="BX215" s="114"/>
      <c r="BY215" s="114"/>
      <c r="BZ215" s="114"/>
      <c r="CA215" s="114"/>
      <c r="CB215" s="114"/>
      <c r="CC215" s="114"/>
      <c r="CD215" s="114"/>
      <c r="CE215" s="114"/>
      <c r="CF215" s="114"/>
      <c r="CG215" s="114"/>
      <c r="CH215" s="114"/>
      <c r="CI215" s="114"/>
      <c r="CJ215" s="114"/>
      <c r="CK215" s="114"/>
      <c r="CL215" s="114"/>
      <c r="CM215" s="114"/>
      <c r="CN215" s="114"/>
      <c r="CO215" s="114"/>
      <c r="CP215" s="114"/>
      <c r="CQ215" s="114"/>
      <c r="CR215" s="114"/>
      <c r="CS215" s="114"/>
      <c r="CT215" s="114"/>
      <c r="CU215" s="114"/>
      <c r="CV215" s="114"/>
      <c r="CW215" s="114"/>
      <c r="CX215" s="114"/>
      <c r="CY215" s="114"/>
      <c r="CZ215" s="114"/>
      <c r="DA215" s="114"/>
      <c r="DB215" s="114"/>
      <c r="DC215" s="114"/>
      <c r="DD215" s="114"/>
      <c r="DE215" s="114"/>
      <c r="DF215" s="114"/>
      <c r="DG215" s="114"/>
      <c r="DH215" s="114"/>
      <c r="DI215" s="114"/>
      <c r="DJ215" s="114"/>
      <c r="DK215" s="114"/>
      <c r="DL215" s="114"/>
      <c r="DM215" s="114"/>
      <c r="DN215" s="114"/>
      <c r="DO215" s="114"/>
      <c r="DP215" s="114"/>
      <c r="DQ215" s="114"/>
      <c r="DR215" s="114"/>
      <c r="DS215" s="114"/>
      <c r="DT215" s="114"/>
      <c r="DU215" s="114"/>
      <c r="DV215" s="114"/>
      <c r="DW215" s="114"/>
      <c r="DX215" s="114"/>
      <c r="DY215" s="114"/>
      <c r="DZ215" s="114"/>
      <c r="EA215" s="114"/>
      <c r="EB215" s="114"/>
      <c r="EC215" s="114"/>
      <c r="ED215" s="114"/>
      <c r="EE215" s="114"/>
      <c r="EF215" s="114"/>
      <c r="EG215" s="114"/>
      <c r="EH215" s="114"/>
      <c r="EI215" s="114"/>
      <c r="EJ215" s="114"/>
      <c r="EK215" s="114"/>
      <c r="EL215" s="114"/>
    </row>
    <row r="216" customFormat="false" ht="12.75" hidden="false" customHeight="false" outlineLevel="0" collapsed="false">
      <c r="A216" s="23"/>
      <c r="B216" s="333" t="s">
        <v>320</v>
      </c>
      <c r="C216" s="11"/>
      <c r="D216" s="52"/>
      <c r="E216" s="334" t="n">
        <v>0.015</v>
      </c>
      <c r="F216" s="3"/>
      <c r="G216" s="22"/>
      <c r="H216" s="22"/>
      <c r="I216" s="22"/>
      <c r="J216" s="22"/>
      <c r="K216" s="22"/>
      <c r="L216" s="22"/>
      <c r="M216" s="22"/>
      <c r="N216" s="22"/>
      <c r="O216" s="22"/>
      <c r="P216" s="335"/>
      <c r="Q216" s="24"/>
      <c r="R216" s="24"/>
      <c r="S216" s="24"/>
      <c r="T216" s="24"/>
      <c r="U216" s="24"/>
      <c r="V216" s="24"/>
      <c r="W216" s="24"/>
      <c r="X216" s="24"/>
      <c r="Y216" s="24"/>
      <c r="Z216" s="24"/>
      <c r="AA216" s="24"/>
      <c r="AB216" s="24"/>
      <c r="AC216" s="24"/>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c r="BZ216" s="24"/>
      <c r="CA216" s="24"/>
      <c r="CB216" s="24"/>
      <c r="CC216" s="24"/>
      <c r="CD216" s="24"/>
      <c r="CE216" s="24"/>
      <c r="CF216" s="24"/>
      <c r="CG216" s="24"/>
      <c r="CH216" s="24"/>
      <c r="CI216" s="24"/>
      <c r="CJ216" s="24"/>
      <c r="CK216" s="24"/>
      <c r="CL216" s="24"/>
      <c r="CM216" s="24"/>
      <c r="CN216" s="24"/>
      <c r="CO216" s="24"/>
      <c r="CP216" s="24"/>
      <c r="CQ216" s="24"/>
      <c r="CR216" s="24"/>
      <c r="CS216" s="24"/>
      <c r="CT216" s="24"/>
      <c r="CU216" s="24"/>
      <c r="CV216" s="24"/>
      <c r="CW216" s="24"/>
      <c r="CX216" s="24"/>
      <c r="CY216" s="24"/>
      <c r="CZ216" s="24"/>
      <c r="DA216" s="24"/>
      <c r="DB216" s="24"/>
      <c r="DC216" s="24"/>
      <c r="DD216" s="24"/>
      <c r="DE216" s="24"/>
      <c r="DF216" s="24"/>
      <c r="DG216" s="24"/>
      <c r="DH216" s="24"/>
      <c r="DI216" s="24"/>
      <c r="DJ216" s="24"/>
      <c r="DK216" s="24"/>
      <c r="DL216" s="24"/>
      <c r="DM216" s="24"/>
      <c r="DN216" s="24"/>
      <c r="DO216" s="24"/>
      <c r="DP216" s="24"/>
      <c r="DQ216" s="24"/>
      <c r="DR216" s="24"/>
      <c r="DS216" s="24"/>
      <c r="DT216" s="24"/>
      <c r="DU216" s="24"/>
      <c r="DV216" s="24"/>
      <c r="DW216" s="24"/>
      <c r="DX216" s="24"/>
      <c r="DY216" s="24"/>
      <c r="DZ216" s="24"/>
      <c r="EA216" s="24"/>
      <c r="EB216" s="24"/>
      <c r="EC216" s="24"/>
      <c r="ED216" s="24"/>
      <c r="EE216" s="24"/>
      <c r="EF216" s="24"/>
      <c r="EG216" s="24"/>
      <c r="EH216" s="24"/>
      <c r="EI216" s="24"/>
      <c r="EJ216" s="24"/>
      <c r="EK216" s="24"/>
      <c r="EL216" s="24"/>
      <c r="EM216" s="3"/>
      <c r="EN216" s="3"/>
      <c r="EO216" s="3"/>
      <c r="EP216" s="3"/>
      <c r="EQ216" s="3"/>
      <c r="ER216" s="3"/>
      <c r="ES216" s="3"/>
      <c r="ET216" s="3"/>
      <c r="EU216" s="3"/>
      <c r="EV216" s="3"/>
      <c r="EW216" s="3"/>
      <c r="EX216" s="3"/>
      <c r="EY216" s="3"/>
      <c r="EZ216" s="3"/>
      <c r="FA216" s="3"/>
      <c r="FB216" s="3"/>
      <c r="FC216" s="3"/>
      <c r="FD216" s="3"/>
      <c r="FE216" s="3"/>
      <c r="FF216" s="3"/>
      <c r="FG216" s="3"/>
      <c r="FH216" s="3"/>
      <c r="FI216" s="3"/>
      <c r="FJ216" s="3"/>
      <c r="FK216" s="3"/>
      <c r="FL216" s="3"/>
      <c r="FM216" s="3"/>
      <c r="FN216" s="3"/>
      <c r="FO216" s="3"/>
      <c r="FP216" s="3"/>
      <c r="FQ216" s="3"/>
      <c r="FR216" s="3"/>
      <c r="FS216" s="3"/>
      <c r="FT216" s="3"/>
      <c r="FU216" s="3"/>
      <c r="FV216" s="3"/>
      <c r="FW216" s="3"/>
      <c r="FX216" s="3"/>
      <c r="FY216" s="3"/>
      <c r="FZ216" s="3"/>
      <c r="GA216" s="3"/>
      <c r="GB216" s="3"/>
      <c r="GC216" s="3"/>
      <c r="GD216" s="3"/>
      <c r="GE216" s="3"/>
      <c r="GF216" s="3"/>
      <c r="GG216" s="3"/>
      <c r="GH216" s="3"/>
      <c r="GI216" s="3"/>
      <c r="GJ216" s="3"/>
      <c r="GK216" s="3"/>
      <c r="GL216" s="3"/>
      <c r="GM216" s="3"/>
      <c r="GN216" s="3"/>
      <c r="GO216" s="3"/>
      <c r="GP216" s="3"/>
      <c r="GQ216" s="3"/>
      <c r="GR216" s="3"/>
      <c r="GS216" s="3"/>
      <c r="GT216" s="3"/>
      <c r="GU216" s="3"/>
      <c r="GV216" s="3"/>
      <c r="GW216" s="3"/>
      <c r="GX216" s="3"/>
      <c r="GY216" s="3"/>
      <c r="GZ216" s="3"/>
      <c r="HA216" s="3"/>
      <c r="HB216" s="3"/>
      <c r="HC216" s="3"/>
      <c r="HD216" s="3"/>
      <c r="HE216" s="3"/>
      <c r="HF216" s="3"/>
      <c r="HG216" s="3"/>
      <c r="HH216" s="3"/>
      <c r="HI216" s="3"/>
      <c r="HJ216" s="3"/>
      <c r="HK216" s="3"/>
      <c r="HL216" s="3"/>
      <c r="HM216" s="3"/>
      <c r="HN216" s="3"/>
      <c r="HO216" s="3"/>
      <c r="HP216" s="3"/>
      <c r="HQ216" s="3"/>
      <c r="HR216" s="3"/>
      <c r="HS216" s="3"/>
      <c r="HT216" s="3"/>
      <c r="HU216" s="3"/>
      <c r="HV216" s="3"/>
      <c r="HW216" s="3"/>
      <c r="HX216" s="3"/>
      <c r="HY216" s="3"/>
      <c r="HZ216" s="3"/>
      <c r="IA216" s="3"/>
      <c r="IB216" s="3"/>
      <c r="IC216" s="3"/>
      <c r="ID216" s="3"/>
      <c r="IE216" s="3"/>
      <c r="IF216" s="3"/>
      <c r="IG216" s="3"/>
      <c r="IH216" s="3"/>
      <c r="II216" s="3"/>
      <c r="IJ216" s="3"/>
      <c r="IK216" s="3"/>
      <c r="IL216" s="3"/>
      <c r="IM216" s="3"/>
      <c r="IN216" s="3"/>
      <c r="IO216" s="3"/>
      <c r="IP216" s="3"/>
      <c r="IQ216" s="3"/>
      <c r="IR216" s="3"/>
      <c r="IS216" s="3"/>
      <c r="IT216" s="3"/>
      <c r="IU216" s="3"/>
      <c r="IV216" s="3"/>
      <c r="IW216" s="3"/>
    </row>
    <row r="217" customFormat="false" ht="12.75" hidden="false" customHeight="false" outlineLevel="0" collapsed="false">
      <c r="A217" s="23"/>
      <c r="B217" s="52" t="s">
        <v>321</v>
      </c>
      <c r="C217" s="52"/>
      <c r="D217" s="104" t="n">
        <v>1999</v>
      </c>
      <c r="E217" s="336" t="n">
        <v>1.1269</v>
      </c>
      <c r="F217" s="3"/>
      <c r="G217" s="22"/>
      <c r="H217" s="22"/>
      <c r="I217" s="22"/>
      <c r="J217" s="22"/>
      <c r="K217" s="22"/>
      <c r="L217" s="22"/>
      <c r="M217" s="22"/>
      <c r="N217" s="22"/>
      <c r="O217" s="22"/>
      <c r="P217" s="335"/>
      <c r="Q217" s="24"/>
      <c r="R217" s="24"/>
      <c r="S217" s="24"/>
      <c r="T217" s="24"/>
      <c r="U217" s="24"/>
      <c r="V217" s="24"/>
      <c r="W217" s="24"/>
      <c r="X217" s="24"/>
      <c r="Y217" s="24"/>
      <c r="Z217" s="24"/>
      <c r="AA217" s="24"/>
      <c r="AB217" s="24"/>
      <c r="AC217" s="24"/>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24"/>
      <c r="BY217" s="24"/>
      <c r="BZ217" s="24"/>
      <c r="CA217" s="24"/>
      <c r="CB217" s="24"/>
      <c r="CC217" s="24"/>
      <c r="CD217" s="24"/>
      <c r="CE217" s="24"/>
      <c r="CF217" s="24"/>
      <c r="CG217" s="24"/>
      <c r="CH217" s="24"/>
      <c r="CI217" s="24"/>
      <c r="CJ217" s="24"/>
      <c r="CK217" s="24"/>
      <c r="CL217" s="24"/>
      <c r="CM217" s="24"/>
      <c r="CN217" s="24"/>
      <c r="CO217" s="24"/>
      <c r="CP217" s="24"/>
      <c r="CQ217" s="24"/>
      <c r="CR217" s="24"/>
      <c r="CS217" s="24"/>
      <c r="CT217" s="24"/>
      <c r="CU217" s="24"/>
      <c r="CV217" s="24"/>
      <c r="CW217" s="24"/>
      <c r="CX217" s="24"/>
      <c r="CY217" s="24"/>
      <c r="CZ217" s="24"/>
      <c r="DA217" s="24"/>
      <c r="DB217" s="24"/>
      <c r="DC217" s="24"/>
      <c r="DD217" s="24"/>
      <c r="DE217" s="24"/>
      <c r="DF217" s="24"/>
      <c r="DG217" s="24"/>
      <c r="DH217" s="24"/>
      <c r="DI217" s="24"/>
      <c r="DJ217" s="24"/>
      <c r="DK217" s="24"/>
      <c r="DL217" s="24"/>
      <c r="DM217" s="24"/>
      <c r="DN217" s="24"/>
      <c r="DO217" s="24"/>
      <c r="DP217" s="24"/>
      <c r="DQ217" s="24"/>
      <c r="DR217" s="24"/>
      <c r="DS217" s="24"/>
      <c r="DT217" s="24"/>
      <c r="DU217" s="24"/>
      <c r="DV217" s="24"/>
      <c r="DW217" s="24"/>
      <c r="DX217" s="24"/>
      <c r="DY217" s="24"/>
      <c r="DZ217" s="24"/>
      <c r="EA217" s="24"/>
      <c r="EB217" s="24"/>
      <c r="EC217" s="24"/>
      <c r="ED217" s="24"/>
      <c r="EE217" s="24"/>
      <c r="EF217" s="24"/>
      <c r="EG217" s="24"/>
      <c r="EH217" s="24"/>
      <c r="EI217" s="24"/>
      <c r="EJ217" s="24"/>
      <c r="EK217" s="24"/>
      <c r="EL217" s="24"/>
      <c r="EM217" s="3"/>
      <c r="EN217" s="3"/>
      <c r="EO217" s="3"/>
      <c r="EP217" s="3"/>
      <c r="EQ217" s="3"/>
      <c r="ER217" s="3"/>
      <c r="ES217" s="3"/>
      <c r="ET217" s="3"/>
      <c r="EU217" s="3"/>
      <c r="EV217" s="3"/>
      <c r="EW217" s="3"/>
      <c r="EX217" s="3"/>
      <c r="EY217" s="3"/>
      <c r="EZ217" s="3"/>
      <c r="FA217" s="3"/>
      <c r="FB217" s="3"/>
      <c r="FC217" s="3"/>
      <c r="FD217" s="3"/>
      <c r="FE217" s="3"/>
      <c r="FF217" s="3"/>
      <c r="FG217" s="3"/>
      <c r="FH217" s="3"/>
      <c r="FI217" s="3"/>
      <c r="FJ217" s="3"/>
      <c r="FK217" s="3"/>
      <c r="FL217" s="3"/>
      <c r="FM217" s="3"/>
      <c r="FN217" s="3"/>
      <c r="FO217" s="3"/>
      <c r="FP217" s="3"/>
      <c r="FQ217" s="3"/>
      <c r="FR217" s="3"/>
      <c r="FS217" s="3"/>
      <c r="FT217" s="3"/>
      <c r="FU217" s="3"/>
      <c r="FV217" s="3"/>
      <c r="FW217" s="3"/>
      <c r="FX217" s="3"/>
      <c r="FY217" s="3"/>
      <c r="FZ217" s="3"/>
      <c r="GA217" s="3"/>
      <c r="GB217" s="3"/>
      <c r="GC217" s="3"/>
      <c r="GD217" s="3"/>
      <c r="GE217" s="3"/>
      <c r="GF217" s="3"/>
      <c r="GG217" s="3"/>
      <c r="GH217" s="3"/>
      <c r="GI217" s="3"/>
      <c r="GJ217" s="3"/>
      <c r="GK217" s="3"/>
      <c r="GL217" s="3"/>
      <c r="GM217" s="3"/>
      <c r="GN217" s="3"/>
      <c r="GO217" s="3"/>
      <c r="GP217" s="3"/>
      <c r="GQ217" s="3"/>
      <c r="GR217" s="3"/>
      <c r="GS217" s="3"/>
      <c r="GT217" s="3"/>
      <c r="GU217" s="3"/>
      <c r="GV217" s="3"/>
      <c r="GW217" s="3"/>
      <c r="GX217" s="3"/>
      <c r="GY217" s="3"/>
      <c r="GZ217" s="3"/>
      <c r="HA217" s="3"/>
      <c r="HB217" s="3"/>
      <c r="HC217" s="3"/>
      <c r="HD217" s="3"/>
      <c r="HE217" s="3"/>
      <c r="HF217" s="3"/>
      <c r="HG217" s="3"/>
      <c r="HH217" s="3"/>
      <c r="HI217" s="3"/>
      <c r="HJ217" s="3"/>
      <c r="HK217" s="3"/>
      <c r="HL217" s="3"/>
      <c r="HM217" s="3"/>
      <c r="HN217" s="3"/>
      <c r="HO217" s="3"/>
      <c r="HP217" s="3"/>
      <c r="HQ217" s="3"/>
      <c r="HR217" s="3"/>
      <c r="HS217" s="3"/>
      <c r="HT217" s="3"/>
      <c r="HU217" s="3"/>
      <c r="HV217" s="3"/>
      <c r="HW217" s="3"/>
      <c r="HX217" s="3"/>
      <c r="HY217" s="3"/>
      <c r="HZ217" s="3"/>
      <c r="IA217" s="3"/>
      <c r="IB217" s="3"/>
      <c r="IC217" s="3"/>
      <c r="ID217" s="3"/>
      <c r="IE217" s="3"/>
      <c r="IF217" s="3"/>
      <c r="IG217" s="3"/>
      <c r="IH217" s="3"/>
      <c r="II217" s="3"/>
      <c r="IJ217" s="3"/>
      <c r="IK217" s="3"/>
      <c r="IL217" s="3"/>
      <c r="IM217" s="3"/>
      <c r="IN217" s="3"/>
      <c r="IO217" s="3"/>
      <c r="IP217" s="3"/>
      <c r="IQ217" s="3"/>
      <c r="IR217" s="3"/>
      <c r="IS217" s="3"/>
      <c r="IT217" s="3"/>
      <c r="IU217" s="3"/>
      <c r="IV217" s="3"/>
      <c r="IW217" s="3"/>
    </row>
    <row r="218" customFormat="false" ht="12.75" hidden="false" customHeight="false" outlineLevel="0" collapsed="false">
      <c r="A218" s="23"/>
      <c r="B218" s="22" t="s">
        <v>322</v>
      </c>
      <c r="C218" s="22"/>
      <c r="D218" s="337" t="n">
        <f aca="false">H25</f>
        <v>2002</v>
      </c>
      <c r="E218" s="338" t="n">
        <f aca="false">(1+F135)*(1+G135)*(1+H135)</f>
        <v>1.073307648</v>
      </c>
      <c r="F218" s="24"/>
      <c r="G218" s="339"/>
      <c r="H218" s="339"/>
      <c r="I218" s="339"/>
      <c r="J218" s="339"/>
      <c r="K218" s="339"/>
      <c r="L218" s="339"/>
      <c r="M218" s="339"/>
      <c r="N218" s="339"/>
      <c r="O218" s="339"/>
      <c r="P218" s="339"/>
      <c r="Q218" s="24"/>
      <c r="R218" s="24"/>
      <c r="S218" s="24"/>
      <c r="T218" s="24"/>
      <c r="U218" s="24"/>
      <c r="V218" s="24"/>
      <c r="W218" s="24"/>
      <c r="X218" s="24"/>
      <c r="Y218" s="24"/>
      <c r="Z218" s="24"/>
      <c r="AA218" s="24"/>
      <c r="AB218" s="24"/>
      <c r="AC218" s="24"/>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c r="BZ218" s="24"/>
      <c r="CA218" s="24"/>
      <c r="CB218" s="24"/>
      <c r="CC218" s="24"/>
      <c r="CD218" s="24"/>
      <c r="CE218" s="24"/>
      <c r="CF218" s="24"/>
      <c r="CG218" s="24"/>
      <c r="CH218" s="24"/>
      <c r="CI218" s="24"/>
      <c r="CJ218" s="24"/>
      <c r="CK218" s="24"/>
      <c r="CL218" s="24"/>
      <c r="CM218" s="24"/>
      <c r="CN218" s="24"/>
      <c r="CO218" s="24"/>
      <c r="CP218" s="24"/>
      <c r="CQ218" s="24"/>
      <c r="CR218" s="24"/>
      <c r="CS218" s="24"/>
      <c r="CT218" s="24"/>
      <c r="CU218" s="24"/>
      <c r="CV218" s="24"/>
      <c r="CW218" s="24"/>
      <c r="CX218" s="24"/>
      <c r="CY218" s="24"/>
      <c r="CZ218" s="24"/>
      <c r="DA218" s="24"/>
      <c r="DB218" s="24"/>
      <c r="DC218" s="24"/>
      <c r="DD218" s="24"/>
      <c r="DE218" s="24"/>
      <c r="DF218" s="24"/>
      <c r="DG218" s="24"/>
      <c r="DH218" s="24"/>
      <c r="DI218" s="24"/>
      <c r="DJ218" s="24"/>
      <c r="DK218" s="24"/>
      <c r="DL218" s="24"/>
      <c r="DM218" s="24"/>
      <c r="DN218" s="24"/>
      <c r="DO218" s="24"/>
      <c r="DP218" s="24"/>
      <c r="DQ218" s="24"/>
      <c r="DR218" s="24"/>
      <c r="DS218" s="24"/>
      <c r="DT218" s="24"/>
      <c r="DU218" s="24"/>
      <c r="DV218" s="24"/>
      <c r="DW218" s="24"/>
      <c r="DX218" s="24"/>
      <c r="DY218" s="24"/>
      <c r="DZ218" s="24"/>
      <c r="EA218" s="24"/>
      <c r="EB218" s="24"/>
      <c r="EC218" s="24"/>
      <c r="ED218" s="24"/>
      <c r="EE218" s="24"/>
      <c r="EF218" s="24"/>
      <c r="EG218" s="24"/>
      <c r="EH218" s="24"/>
      <c r="EI218" s="24"/>
      <c r="EJ218" s="24"/>
      <c r="EK218" s="24"/>
      <c r="EL218" s="24"/>
      <c r="EM218" s="3"/>
      <c r="EN218" s="3"/>
      <c r="EO218" s="3"/>
      <c r="EP218" s="3"/>
      <c r="EQ218" s="3"/>
      <c r="ER218" s="3"/>
      <c r="ES218" s="3"/>
      <c r="ET218" s="3"/>
      <c r="EU218" s="3"/>
      <c r="EV218" s="3"/>
      <c r="EW218" s="3"/>
      <c r="EX218" s="3"/>
      <c r="EY218" s="3"/>
      <c r="EZ218" s="3"/>
      <c r="FA218" s="3"/>
      <c r="FB218" s="3"/>
      <c r="FC218" s="3"/>
      <c r="FD218" s="3"/>
      <c r="FE218" s="3"/>
      <c r="FF218" s="3"/>
      <c r="FG218" s="3"/>
      <c r="FH218" s="3"/>
      <c r="FI218" s="3"/>
      <c r="FJ218" s="3"/>
      <c r="FK218" s="3"/>
      <c r="FL218" s="3"/>
      <c r="FM218" s="3"/>
      <c r="FN218" s="3"/>
      <c r="FO218" s="3"/>
      <c r="FP218" s="3"/>
      <c r="FQ218" s="3"/>
      <c r="FR218" s="3"/>
      <c r="FS218" s="3"/>
      <c r="FT218" s="3"/>
      <c r="FU218" s="3"/>
      <c r="FV218" s="3"/>
      <c r="FW218" s="3"/>
      <c r="FX218" s="3"/>
      <c r="FY218" s="3"/>
      <c r="FZ218" s="3"/>
      <c r="GA218" s="3"/>
      <c r="GB218" s="3"/>
      <c r="GC218" s="3"/>
      <c r="GD218" s="3"/>
      <c r="GE218" s="3"/>
      <c r="GF218" s="3"/>
      <c r="GG218" s="3"/>
      <c r="GH218" s="3"/>
      <c r="GI218" s="3"/>
      <c r="GJ218" s="3"/>
      <c r="GK218" s="3"/>
      <c r="GL218" s="3"/>
      <c r="GM218" s="3"/>
      <c r="GN218" s="3"/>
      <c r="GO218" s="3"/>
      <c r="GP218" s="3"/>
      <c r="GQ218" s="3"/>
      <c r="GR218" s="3"/>
      <c r="GS218" s="3"/>
      <c r="GT218" s="3"/>
      <c r="GU218" s="3"/>
      <c r="GV218" s="3"/>
      <c r="GW218" s="3"/>
      <c r="GX218" s="3"/>
      <c r="GY218" s="3"/>
      <c r="GZ218" s="3"/>
      <c r="HA218" s="3"/>
      <c r="HB218" s="3"/>
      <c r="HC218" s="3"/>
      <c r="HD218" s="3"/>
      <c r="HE218" s="3"/>
      <c r="HF218" s="3"/>
      <c r="HG218" s="3"/>
      <c r="HH218" s="3"/>
      <c r="HI218" s="3"/>
      <c r="HJ218" s="3"/>
      <c r="HK218" s="3"/>
      <c r="HL218" s="3"/>
      <c r="HM218" s="3"/>
      <c r="HN218" s="3"/>
      <c r="HO218" s="3"/>
      <c r="HP218" s="3"/>
      <c r="HQ218" s="3"/>
      <c r="HR218" s="3"/>
      <c r="HS218" s="3"/>
      <c r="HT218" s="3"/>
      <c r="HU218" s="3"/>
      <c r="HV218" s="3"/>
      <c r="HW218" s="3"/>
      <c r="HX218" s="3"/>
      <c r="HY218" s="3"/>
      <c r="HZ218" s="3"/>
      <c r="IA218" s="3"/>
      <c r="IB218" s="3"/>
      <c r="IC218" s="3"/>
      <c r="ID218" s="3"/>
      <c r="IE218" s="3"/>
      <c r="IF218" s="3"/>
      <c r="IG218" s="3"/>
      <c r="IH218" s="3"/>
      <c r="II218" s="3"/>
      <c r="IJ218" s="3"/>
      <c r="IK218" s="3"/>
      <c r="IL218" s="3"/>
      <c r="IM218" s="3"/>
      <c r="IN218" s="3"/>
      <c r="IO218" s="3"/>
      <c r="IP218" s="3"/>
      <c r="IQ218" s="3"/>
      <c r="IR218" s="3"/>
      <c r="IS218" s="3"/>
      <c r="IT218" s="3"/>
      <c r="IU218" s="3"/>
      <c r="IV218" s="3"/>
      <c r="IW218" s="3"/>
    </row>
    <row r="219" customFormat="false" ht="12.75" hidden="false" customHeight="false" outlineLevel="0" collapsed="false">
      <c r="A219" s="23"/>
      <c r="B219" s="24" t="s">
        <v>323</v>
      </c>
      <c r="C219" s="24"/>
      <c r="D219" s="24"/>
      <c r="E219" s="340" t="n">
        <f aca="false">E216*E217*E218</f>
        <v>0.018142655827968</v>
      </c>
      <c r="F219" s="340" t="n">
        <f aca="false">E219*(1+HLOOKUP(F202,INFL,7))</f>
        <v>0.0185417942561833</v>
      </c>
      <c r="G219" s="340" t="n">
        <f aca="false">F219*(1+HLOOKUP(G202,INFL,7))</f>
        <v>0.0189404428326912</v>
      </c>
      <c r="H219" s="340" t="n">
        <f aca="false">G219*(1+HLOOKUP(H202,INFL,7))</f>
        <v>0.0193381921321778</v>
      </c>
      <c r="I219" s="340" t="n">
        <f aca="false">H219*(1+HLOOKUP(I202,INFL,7))</f>
        <v>0.0197288236132477</v>
      </c>
      <c r="J219" s="340" t="n">
        <f aca="false">I219*(1+HLOOKUP(J202,INFL,7))</f>
        <v>0.0201174814384287</v>
      </c>
      <c r="K219" s="340" t="n">
        <f aca="false">J219*(1+HLOOKUP(K202,INFL,7))</f>
        <v>0.0205037370820466</v>
      </c>
      <c r="L219" s="340" t="n">
        <f aca="false">K219*(1+HLOOKUP(L202,INFL,7))</f>
        <v>0.020889207339189</v>
      </c>
      <c r="M219" s="340" t="n">
        <f aca="false">L219*(1+HLOOKUP(M202,INFL,7))</f>
        <v>0.0212735687542301</v>
      </c>
      <c r="N219" s="340" t="n">
        <f aca="false">M219*(1+HLOOKUP(N202,INFL,7))</f>
        <v>0.0216607477055571</v>
      </c>
      <c r="O219" s="340" t="n">
        <f aca="false">N219*(1+HLOOKUP(O202,INFL,7))</f>
        <v>0.0220506411642571</v>
      </c>
      <c r="P219" s="3"/>
      <c r="Q219" s="24"/>
      <c r="R219" s="24"/>
      <c r="S219" s="24"/>
      <c r="T219" s="24"/>
      <c r="U219" s="24"/>
      <c r="V219" s="24"/>
      <c r="W219" s="24"/>
      <c r="X219" s="24"/>
      <c r="Y219" s="24"/>
      <c r="Z219" s="24"/>
      <c r="AA219" s="24"/>
      <c r="AB219" s="24"/>
      <c r="AC219" s="24"/>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c r="BZ219" s="24"/>
      <c r="CA219" s="24"/>
      <c r="CB219" s="24"/>
      <c r="CC219" s="24"/>
      <c r="CD219" s="24"/>
      <c r="CE219" s="24"/>
      <c r="CF219" s="24"/>
      <c r="CG219" s="24"/>
      <c r="CH219" s="24"/>
      <c r="CI219" s="24"/>
      <c r="CJ219" s="24"/>
      <c r="CK219" s="24"/>
      <c r="CL219" s="24"/>
      <c r="CM219" s="24"/>
      <c r="CN219" s="24"/>
      <c r="CO219" s="24"/>
      <c r="CP219" s="24"/>
      <c r="CQ219" s="24"/>
      <c r="CR219" s="24"/>
      <c r="CS219" s="24"/>
      <c r="CT219" s="24"/>
      <c r="CU219" s="24"/>
      <c r="CV219" s="24"/>
      <c r="CW219" s="24"/>
      <c r="CX219" s="24"/>
      <c r="CY219" s="24"/>
      <c r="CZ219" s="24"/>
      <c r="DA219" s="24"/>
      <c r="DB219" s="24"/>
      <c r="DC219" s="24"/>
      <c r="DD219" s="24"/>
      <c r="DE219" s="24"/>
      <c r="DF219" s="24"/>
      <c r="DG219" s="24"/>
      <c r="DH219" s="24"/>
      <c r="DI219" s="24"/>
      <c r="DJ219" s="24"/>
      <c r="DK219" s="24"/>
      <c r="DL219" s="24"/>
      <c r="DM219" s="24"/>
      <c r="DN219" s="24"/>
      <c r="DO219" s="24"/>
      <c r="DP219" s="24"/>
      <c r="DQ219" s="24"/>
      <c r="DR219" s="24"/>
      <c r="DS219" s="24"/>
      <c r="DT219" s="24"/>
      <c r="DU219" s="24"/>
      <c r="DV219" s="24"/>
      <c r="DW219" s="24"/>
      <c r="DX219" s="24"/>
      <c r="DY219" s="24"/>
      <c r="DZ219" s="24"/>
      <c r="EA219" s="24"/>
      <c r="EB219" s="24"/>
      <c r="EC219" s="24"/>
      <c r="ED219" s="24"/>
      <c r="EE219" s="24"/>
      <c r="EF219" s="24"/>
      <c r="EG219" s="24"/>
      <c r="EH219" s="24"/>
      <c r="EI219" s="24"/>
      <c r="EJ219" s="24"/>
      <c r="EK219" s="24"/>
      <c r="EL219" s="24"/>
      <c r="EM219" s="3"/>
      <c r="EN219" s="3"/>
      <c r="EO219" s="3"/>
      <c r="EP219" s="3"/>
      <c r="EQ219" s="3"/>
      <c r="ER219" s="3"/>
      <c r="ES219" s="3"/>
      <c r="ET219" s="3"/>
      <c r="EU219" s="3"/>
      <c r="EV219" s="3"/>
      <c r="EW219" s="3"/>
      <c r="EX219" s="3"/>
      <c r="EY219" s="3"/>
      <c r="EZ219" s="3"/>
      <c r="FA219" s="3"/>
      <c r="FB219" s="3"/>
      <c r="FC219" s="3"/>
      <c r="FD219" s="3"/>
      <c r="FE219" s="3"/>
      <c r="FF219" s="3"/>
      <c r="FG219" s="3"/>
      <c r="FH219" s="3"/>
      <c r="FI219" s="3"/>
      <c r="FJ219" s="3"/>
      <c r="FK219" s="3"/>
      <c r="FL219" s="3"/>
      <c r="FM219" s="3"/>
      <c r="FN219" s="3"/>
      <c r="FO219" s="3"/>
      <c r="FP219" s="3"/>
      <c r="FQ219" s="3"/>
      <c r="FR219" s="3"/>
      <c r="FS219" s="3"/>
      <c r="FT219" s="3"/>
      <c r="FU219" s="3"/>
      <c r="FV219" s="3"/>
      <c r="FW219" s="3"/>
      <c r="FX219" s="3"/>
      <c r="FY219" s="3"/>
      <c r="FZ219" s="3"/>
      <c r="GA219" s="3"/>
      <c r="GB219" s="3"/>
      <c r="GC219" s="3"/>
      <c r="GD219" s="3"/>
      <c r="GE219" s="3"/>
      <c r="GF219" s="3"/>
      <c r="GG219" s="3"/>
      <c r="GH219" s="3"/>
      <c r="GI219" s="3"/>
      <c r="GJ219" s="3"/>
      <c r="GK219" s="3"/>
      <c r="GL219" s="3"/>
      <c r="GM219" s="3"/>
      <c r="GN219" s="3"/>
      <c r="GO219" s="3"/>
      <c r="GP219" s="3"/>
      <c r="GQ219" s="3"/>
      <c r="GR219" s="3"/>
      <c r="GS219" s="3"/>
      <c r="GT219" s="3"/>
      <c r="GU219" s="3"/>
      <c r="GV219" s="3"/>
      <c r="GW219" s="3"/>
      <c r="GX219" s="3"/>
      <c r="GY219" s="3"/>
      <c r="GZ219" s="3"/>
      <c r="HA219" s="3"/>
      <c r="HB219" s="3"/>
      <c r="HC219" s="3"/>
      <c r="HD219" s="3"/>
      <c r="HE219" s="3"/>
      <c r="HF219" s="3"/>
      <c r="HG219" s="3"/>
      <c r="HH219" s="3"/>
      <c r="HI219" s="3"/>
      <c r="HJ219" s="3"/>
      <c r="HK219" s="3"/>
      <c r="HL219" s="3"/>
      <c r="HM219" s="3"/>
      <c r="HN219" s="3"/>
      <c r="HO219" s="3"/>
      <c r="HP219" s="3"/>
      <c r="HQ219" s="3"/>
      <c r="HR219" s="3"/>
      <c r="HS219" s="3"/>
      <c r="HT219" s="3"/>
      <c r="HU219" s="3"/>
      <c r="HV219" s="3"/>
      <c r="HW219" s="3"/>
      <c r="HX219" s="3"/>
      <c r="HY219" s="3"/>
      <c r="HZ219" s="3"/>
      <c r="IA219" s="3"/>
      <c r="IB219" s="3"/>
      <c r="IC219" s="3"/>
      <c r="ID219" s="3"/>
      <c r="IE219" s="3"/>
      <c r="IF219" s="3"/>
      <c r="IG219" s="3"/>
      <c r="IH219" s="3"/>
      <c r="II219" s="3"/>
      <c r="IJ219" s="3"/>
      <c r="IK219" s="3"/>
      <c r="IL219" s="3"/>
      <c r="IM219" s="3"/>
      <c r="IN219" s="3"/>
      <c r="IO219" s="3"/>
      <c r="IP219" s="3"/>
      <c r="IQ219" s="3"/>
      <c r="IR219" s="3"/>
      <c r="IS219" s="3"/>
      <c r="IT219" s="3"/>
      <c r="IU219" s="3"/>
      <c r="IV219" s="3"/>
      <c r="IW219" s="3"/>
    </row>
    <row r="220" customFormat="false" ht="12.75" hidden="false" customHeight="false" outlineLevel="0" collapsed="false">
      <c r="A220" s="23"/>
      <c r="B220" s="90" t="s">
        <v>324</v>
      </c>
      <c r="C220" s="90"/>
      <c r="D220" s="90"/>
      <c r="E220" s="341" t="n">
        <f aca="false">ROUND(E219*100,1)/100</f>
        <v>0.018</v>
      </c>
      <c r="F220" s="341" t="n">
        <f aca="false">ROUND(F219*100,1)/100</f>
        <v>0.019</v>
      </c>
      <c r="G220" s="341" t="n">
        <f aca="false">ROUND(G219*100,1)/100</f>
        <v>0.019</v>
      </c>
      <c r="H220" s="341" t="n">
        <f aca="false">ROUND(H219*100,1)/100</f>
        <v>0.019</v>
      </c>
      <c r="I220" s="341" t="n">
        <f aca="false">ROUND(I219*100,1)/100</f>
        <v>0.02</v>
      </c>
      <c r="J220" s="341" t="n">
        <f aca="false">ROUND(J219*100,1)/100</f>
        <v>0.02</v>
      </c>
      <c r="K220" s="341" t="n">
        <f aca="false">ROUND(K219*100,1)/100</f>
        <v>0.021</v>
      </c>
      <c r="L220" s="341" t="n">
        <f aca="false">ROUND(L219*100,1)/100</f>
        <v>0.021</v>
      </c>
      <c r="M220" s="341" t="n">
        <f aca="false">ROUND(M219*100,1)/100</f>
        <v>0.021</v>
      </c>
      <c r="N220" s="341" t="n">
        <f aca="false">ROUND(N219*100,1)/100</f>
        <v>0.022</v>
      </c>
      <c r="O220" s="341" t="n">
        <f aca="false">ROUND(O219*100,1)/100</f>
        <v>0.022</v>
      </c>
      <c r="P220" s="3"/>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4"/>
      <c r="CA220" s="24"/>
      <c r="CB220" s="24"/>
      <c r="CC220" s="24"/>
      <c r="CD220" s="24"/>
      <c r="CE220" s="24"/>
      <c r="CF220" s="24"/>
      <c r="CG220" s="24"/>
      <c r="CH220" s="24"/>
      <c r="CI220" s="24"/>
      <c r="CJ220" s="24"/>
      <c r="CK220" s="24"/>
      <c r="CL220" s="24"/>
      <c r="CM220" s="24"/>
      <c r="CN220" s="24"/>
      <c r="CO220" s="24"/>
      <c r="CP220" s="24"/>
      <c r="CQ220" s="24"/>
      <c r="CR220" s="24"/>
      <c r="CS220" s="24"/>
      <c r="CT220" s="24"/>
      <c r="CU220" s="24"/>
      <c r="CV220" s="24"/>
      <c r="CW220" s="24"/>
      <c r="CX220" s="24"/>
      <c r="CY220" s="24"/>
      <c r="CZ220" s="24"/>
      <c r="DA220" s="24"/>
      <c r="DB220" s="24"/>
      <c r="DC220" s="24"/>
      <c r="DD220" s="24"/>
      <c r="DE220" s="24"/>
      <c r="DF220" s="24"/>
      <c r="DG220" s="24"/>
      <c r="DH220" s="24"/>
      <c r="DI220" s="24"/>
      <c r="DJ220" s="24"/>
      <c r="DK220" s="24"/>
      <c r="DL220" s="24"/>
      <c r="DM220" s="24"/>
      <c r="DN220" s="24"/>
      <c r="DO220" s="24"/>
      <c r="DP220" s="24"/>
      <c r="DQ220" s="24"/>
      <c r="DR220" s="24"/>
      <c r="DS220" s="24"/>
      <c r="DT220" s="24"/>
      <c r="DU220" s="24"/>
      <c r="DV220" s="24"/>
      <c r="DW220" s="24"/>
      <c r="DX220" s="24"/>
      <c r="DY220" s="24"/>
      <c r="DZ220" s="24"/>
      <c r="EA220" s="24"/>
      <c r="EB220" s="24"/>
      <c r="EC220" s="24"/>
      <c r="ED220" s="24"/>
      <c r="EE220" s="24"/>
      <c r="EF220" s="24"/>
      <c r="EG220" s="24"/>
      <c r="EH220" s="24"/>
      <c r="EI220" s="24"/>
      <c r="EJ220" s="24"/>
      <c r="EK220" s="24"/>
      <c r="EL220" s="24"/>
      <c r="EM220" s="3"/>
      <c r="EN220" s="3"/>
      <c r="EO220" s="3"/>
      <c r="EP220" s="3"/>
      <c r="EQ220" s="3"/>
      <c r="ER220" s="3"/>
      <c r="ES220" s="3"/>
      <c r="ET220" s="3"/>
      <c r="EU220" s="3"/>
      <c r="EV220" s="3"/>
      <c r="EW220" s="3"/>
      <c r="EX220" s="3"/>
      <c r="EY220" s="3"/>
      <c r="EZ220" s="3"/>
      <c r="FA220" s="3"/>
      <c r="FB220" s="3"/>
      <c r="FC220" s="3"/>
      <c r="FD220" s="3"/>
      <c r="FE220" s="3"/>
      <c r="FF220" s="3"/>
      <c r="FG220" s="3"/>
      <c r="FH220" s="3"/>
      <c r="FI220" s="3"/>
      <c r="FJ220" s="3"/>
      <c r="FK220" s="3"/>
      <c r="FL220" s="3"/>
      <c r="FM220" s="3"/>
      <c r="FN220" s="3"/>
      <c r="FO220" s="3"/>
      <c r="FP220" s="3"/>
      <c r="FQ220" s="3"/>
      <c r="FR220" s="3"/>
      <c r="FS220" s="3"/>
      <c r="FT220" s="3"/>
      <c r="FU220" s="3"/>
      <c r="FV220" s="3"/>
      <c r="FW220" s="3"/>
      <c r="FX220" s="3"/>
      <c r="FY220" s="3"/>
      <c r="FZ220" s="3"/>
      <c r="GA220" s="3"/>
      <c r="GB220" s="3"/>
      <c r="GC220" s="3"/>
      <c r="GD220" s="3"/>
      <c r="GE220" s="3"/>
      <c r="GF220" s="3"/>
      <c r="GG220" s="3"/>
      <c r="GH220" s="3"/>
      <c r="GI220" s="3"/>
      <c r="GJ220" s="3"/>
      <c r="GK220" s="3"/>
      <c r="GL220" s="3"/>
      <c r="GM220" s="3"/>
      <c r="GN220" s="3"/>
      <c r="GO220" s="3"/>
      <c r="GP220" s="3"/>
      <c r="GQ220" s="3"/>
      <c r="GR220" s="3"/>
      <c r="GS220" s="3"/>
      <c r="GT220" s="3"/>
      <c r="GU220" s="3"/>
      <c r="GV220" s="3"/>
      <c r="GW220" s="3"/>
      <c r="GX220" s="3"/>
      <c r="GY220" s="3"/>
      <c r="GZ220" s="3"/>
      <c r="HA220" s="3"/>
      <c r="HB220" s="3"/>
      <c r="HC220" s="3"/>
      <c r="HD220" s="3"/>
      <c r="HE220" s="3"/>
      <c r="HF220" s="3"/>
      <c r="HG220" s="3"/>
      <c r="HH220" s="3"/>
      <c r="HI220" s="3"/>
      <c r="HJ220" s="3"/>
      <c r="HK220" s="3"/>
      <c r="HL220" s="3"/>
      <c r="HM220" s="3"/>
      <c r="HN220" s="3"/>
      <c r="HO220" s="3"/>
      <c r="HP220" s="3"/>
      <c r="HQ220" s="3"/>
      <c r="HR220" s="3"/>
      <c r="HS220" s="3"/>
      <c r="HT220" s="3"/>
      <c r="HU220" s="3"/>
      <c r="HV220" s="3"/>
      <c r="HW220" s="3"/>
      <c r="HX220" s="3"/>
      <c r="HY220" s="3"/>
      <c r="HZ220" s="3"/>
      <c r="IA220" s="3"/>
      <c r="IB220" s="3"/>
      <c r="IC220" s="3"/>
      <c r="ID220" s="3"/>
      <c r="IE220" s="3"/>
      <c r="IF220" s="3"/>
      <c r="IG220" s="3"/>
      <c r="IH220" s="3"/>
      <c r="II220" s="3"/>
      <c r="IJ220" s="3"/>
      <c r="IK220" s="3"/>
      <c r="IL220" s="3"/>
      <c r="IM220" s="3"/>
      <c r="IN220" s="3"/>
      <c r="IO220" s="3"/>
      <c r="IP220" s="3"/>
      <c r="IQ220" s="3"/>
      <c r="IR220" s="3"/>
      <c r="IS220" s="3"/>
      <c r="IT220" s="3"/>
      <c r="IU220" s="3"/>
      <c r="IV220" s="3"/>
      <c r="IW220" s="3"/>
    </row>
    <row r="221" customFormat="false" ht="12.75" hidden="false" customHeight="false" outlineLevel="0" collapsed="false">
      <c r="A221" s="23"/>
      <c r="B221" s="23"/>
      <c r="C221" s="23"/>
      <c r="D221" s="23"/>
      <c r="E221" s="178"/>
      <c r="F221" s="342"/>
      <c r="G221" s="342"/>
      <c r="H221" s="342"/>
      <c r="I221" s="342"/>
      <c r="J221" s="342"/>
      <c r="K221" s="342"/>
      <c r="L221" s="24"/>
      <c r="M221" s="22"/>
      <c r="N221" s="22"/>
      <c r="O221" s="22"/>
      <c r="P221" s="22"/>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4"/>
      <c r="BY221" s="24"/>
      <c r="BZ221" s="24"/>
      <c r="CA221" s="24"/>
      <c r="CB221" s="24"/>
      <c r="CC221" s="24"/>
      <c r="CD221" s="24"/>
      <c r="CE221" s="24"/>
      <c r="CF221" s="24"/>
      <c r="CG221" s="24"/>
      <c r="CH221" s="24"/>
      <c r="CI221" s="24"/>
      <c r="CJ221" s="24"/>
      <c r="CK221" s="24"/>
      <c r="CL221" s="24"/>
      <c r="CM221" s="24"/>
      <c r="CN221" s="24"/>
      <c r="CO221" s="24"/>
      <c r="CP221" s="24"/>
      <c r="CQ221" s="24"/>
      <c r="CR221" s="24"/>
      <c r="CS221" s="24"/>
      <c r="CT221" s="24"/>
      <c r="CU221" s="24"/>
      <c r="CV221" s="24"/>
      <c r="CW221" s="24"/>
      <c r="CX221" s="24"/>
      <c r="CY221" s="24"/>
      <c r="CZ221" s="24"/>
      <c r="DA221" s="24"/>
      <c r="DB221" s="24"/>
      <c r="DC221" s="24"/>
      <c r="DD221" s="24"/>
      <c r="DE221" s="24"/>
      <c r="DF221" s="24"/>
      <c r="DG221" s="24"/>
      <c r="DH221" s="24"/>
      <c r="DI221" s="24"/>
      <c r="DJ221" s="24"/>
      <c r="DK221" s="24"/>
      <c r="DL221" s="24"/>
      <c r="DM221" s="24"/>
      <c r="DN221" s="24"/>
      <c r="DO221" s="24"/>
      <c r="DP221" s="24"/>
      <c r="DQ221" s="24"/>
      <c r="DR221" s="24"/>
      <c r="DS221" s="24"/>
      <c r="DT221" s="24"/>
      <c r="DU221" s="24"/>
      <c r="DV221" s="24"/>
      <c r="DW221" s="24"/>
      <c r="DX221" s="24"/>
      <c r="DY221" s="24"/>
      <c r="DZ221" s="24"/>
      <c r="EA221" s="24"/>
      <c r="EB221" s="24"/>
      <c r="EC221" s="24"/>
      <c r="ED221" s="24"/>
      <c r="EE221" s="24"/>
      <c r="EF221" s="24"/>
      <c r="EG221" s="24"/>
      <c r="EH221" s="24"/>
      <c r="EI221" s="24"/>
      <c r="EJ221" s="24"/>
      <c r="EK221" s="24"/>
      <c r="EL221" s="24"/>
      <c r="EM221" s="3"/>
      <c r="EN221" s="3"/>
      <c r="EO221" s="3"/>
      <c r="EP221" s="3"/>
      <c r="EQ221" s="3"/>
      <c r="ER221" s="3"/>
      <c r="ES221" s="3"/>
      <c r="ET221" s="3"/>
      <c r="EU221" s="3"/>
      <c r="EV221" s="3"/>
      <c r="EW221" s="3"/>
      <c r="EX221" s="3"/>
      <c r="EY221" s="3"/>
      <c r="EZ221" s="3"/>
      <c r="FA221" s="3"/>
      <c r="FB221" s="3"/>
      <c r="FC221" s="3"/>
      <c r="FD221" s="3"/>
      <c r="FE221" s="3"/>
      <c r="FF221" s="3"/>
      <c r="FG221" s="3"/>
      <c r="FH221" s="3"/>
      <c r="FI221" s="3"/>
      <c r="FJ221" s="3"/>
      <c r="FK221" s="3"/>
      <c r="FL221" s="3"/>
      <c r="FM221" s="3"/>
      <c r="FN221" s="3"/>
      <c r="FO221" s="3"/>
      <c r="FP221" s="3"/>
      <c r="FQ221" s="3"/>
      <c r="FR221" s="3"/>
      <c r="FS221" s="3"/>
      <c r="FT221" s="3"/>
      <c r="FU221" s="3"/>
      <c r="FV221" s="3"/>
      <c r="FW221" s="3"/>
      <c r="FX221" s="3"/>
      <c r="FY221" s="3"/>
      <c r="FZ221" s="3"/>
      <c r="GA221" s="3"/>
      <c r="GB221" s="3"/>
      <c r="GC221" s="3"/>
      <c r="GD221" s="3"/>
      <c r="GE221" s="3"/>
      <c r="GF221" s="3"/>
      <c r="GG221" s="3"/>
      <c r="GH221" s="3"/>
      <c r="GI221" s="3"/>
      <c r="GJ221" s="3"/>
      <c r="GK221" s="3"/>
      <c r="GL221" s="3"/>
      <c r="GM221" s="3"/>
      <c r="GN221" s="3"/>
      <c r="GO221" s="3"/>
      <c r="GP221" s="3"/>
      <c r="GQ221" s="3"/>
      <c r="GR221" s="3"/>
      <c r="GS221" s="3"/>
      <c r="GT221" s="3"/>
      <c r="GU221" s="3"/>
      <c r="GV221" s="3"/>
      <c r="GW221" s="3"/>
      <c r="GX221" s="3"/>
      <c r="GY221" s="3"/>
      <c r="GZ221" s="3"/>
      <c r="HA221" s="3"/>
      <c r="HB221" s="3"/>
      <c r="HC221" s="3"/>
      <c r="HD221" s="3"/>
      <c r="HE221" s="3"/>
      <c r="HF221" s="3"/>
      <c r="HG221" s="3"/>
      <c r="HH221" s="3"/>
      <c r="HI221" s="3"/>
      <c r="HJ221" s="3"/>
      <c r="HK221" s="3"/>
      <c r="HL221" s="3"/>
      <c r="HM221" s="3"/>
      <c r="HN221" s="3"/>
      <c r="HO221" s="3"/>
      <c r="HP221" s="3"/>
      <c r="HQ221" s="3"/>
      <c r="HR221" s="3"/>
      <c r="HS221" s="3"/>
      <c r="HT221" s="3"/>
      <c r="HU221" s="3"/>
      <c r="HV221" s="3"/>
      <c r="HW221" s="3"/>
      <c r="HX221" s="3"/>
      <c r="HY221" s="3"/>
      <c r="HZ221" s="3"/>
      <c r="IA221" s="3"/>
      <c r="IB221" s="3"/>
      <c r="IC221" s="3"/>
      <c r="ID221" s="3"/>
      <c r="IE221" s="3"/>
      <c r="IF221" s="3"/>
      <c r="IG221" s="3"/>
      <c r="IH221" s="3"/>
      <c r="II221" s="3"/>
      <c r="IJ221" s="3"/>
      <c r="IK221" s="3"/>
      <c r="IL221" s="3"/>
      <c r="IM221" s="3"/>
      <c r="IN221" s="3"/>
      <c r="IO221" s="3"/>
      <c r="IP221" s="3"/>
      <c r="IQ221" s="3"/>
      <c r="IR221" s="3"/>
      <c r="IS221" s="3"/>
      <c r="IT221" s="3"/>
      <c r="IU221" s="3"/>
      <c r="IV221" s="3"/>
      <c r="IW221" s="3"/>
    </row>
    <row r="222" customFormat="false" ht="12.75" hidden="false" customHeight="false" outlineLevel="0" collapsed="false">
      <c r="A222" s="23"/>
      <c r="B222" s="23"/>
      <c r="C222" s="23"/>
      <c r="D222" s="23"/>
      <c r="E222" s="178"/>
      <c r="F222" s="342"/>
      <c r="G222" s="342"/>
      <c r="H222" s="342"/>
      <c r="I222" s="342"/>
      <c r="J222" s="342"/>
      <c r="K222" s="342"/>
      <c r="L222" s="24"/>
      <c r="M222" s="22"/>
      <c r="N222" s="22"/>
      <c r="O222" s="22"/>
      <c r="P222" s="22"/>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24"/>
      <c r="BW222" s="24"/>
      <c r="BX222" s="24"/>
      <c r="BY222" s="24"/>
      <c r="BZ222" s="24"/>
      <c r="CA222" s="24"/>
      <c r="CB222" s="24"/>
      <c r="CC222" s="24"/>
      <c r="CD222" s="24"/>
      <c r="CE222" s="24"/>
      <c r="CF222" s="24"/>
      <c r="CG222" s="24"/>
      <c r="CH222" s="24"/>
      <c r="CI222" s="24"/>
      <c r="CJ222" s="24"/>
      <c r="CK222" s="24"/>
      <c r="CL222" s="24"/>
      <c r="CM222" s="24"/>
      <c r="CN222" s="24"/>
      <c r="CO222" s="24"/>
      <c r="CP222" s="24"/>
      <c r="CQ222" s="24"/>
      <c r="CR222" s="24"/>
      <c r="CS222" s="24"/>
      <c r="CT222" s="24"/>
      <c r="CU222" s="24"/>
      <c r="CV222" s="24"/>
      <c r="CW222" s="24"/>
      <c r="CX222" s="24"/>
      <c r="CY222" s="24"/>
      <c r="CZ222" s="24"/>
      <c r="DA222" s="24"/>
      <c r="DB222" s="24"/>
      <c r="DC222" s="24"/>
      <c r="DD222" s="24"/>
      <c r="DE222" s="24"/>
      <c r="DF222" s="24"/>
      <c r="DG222" s="24"/>
      <c r="DH222" s="24"/>
      <c r="DI222" s="24"/>
      <c r="DJ222" s="24"/>
      <c r="DK222" s="24"/>
      <c r="DL222" s="24"/>
      <c r="DM222" s="24"/>
      <c r="DN222" s="24"/>
      <c r="DO222" s="24"/>
      <c r="DP222" s="24"/>
      <c r="DQ222" s="24"/>
      <c r="DR222" s="24"/>
      <c r="DS222" s="24"/>
      <c r="DT222" s="24"/>
      <c r="DU222" s="24"/>
      <c r="DV222" s="24"/>
      <c r="DW222" s="24"/>
      <c r="DX222" s="24"/>
      <c r="DY222" s="24"/>
      <c r="DZ222" s="24"/>
      <c r="EA222" s="24"/>
      <c r="EB222" s="24"/>
      <c r="EC222" s="24"/>
      <c r="ED222" s="24"/>
      <c r="EE222" s="24"/>
      <c r="EF222" s="24"/>
      <c r="EG222" s="24"/>
      <c r="EH222" s="24"/>
      <c r="EI222" s="24"/>
      <c r="EJ222" s="24"/>
      <c r="EK222" s="24"/>
      <c r="EL222" s="24"/>
      <c r="EM222" s="3"/>
      <c r="EN222" s="3"/>
      <c r="EO222" s="3"/>
      <c r="EP222" s="3"/>
      <c r="EQ222" s="3"/>
      <c r="ER222" s="3"/>
      <c r="ES222" s="3"/>
      <c r="ET222" s="3"/>
      <c r="EU222" s="3"/>
      <c r="EV222" s="3"/>
      <c r="EW222" s="3"/>
      <c r="EX222" s="3"/>
      <c r="EY222" s="3"/>
      <c r="EZ222" s="3"/>
      <c r="FA222" s="3"/>
      <c r="FB222" s="3"/>
      <c r="FC222" s="3"/>
      <c r="FD222" s="3"/>
      <c r="FE222" s="3"/>
      <c r="FF222" s="3"/>
      <c r="FG222" s="3"/>
      <c r="FH222" s="3"/>
      <c r="FI222" s="3"/>
      <c r="FJ222" s="3"/>
      <c r="FK222" s="3"/>
      <c r="FL222" s="3"/>
      <c r="FM222" s="3"/>
      <c r="FN222" s="3"/>
      <c r="FO222" s="3"/>
      <c r="FP222" s="3"/>
      <c r="FQ222" s="3"/>
      <c r="FR222" s="3"/>
      <c r="FS222" s="3"/>
      <c r="FT222" s="3"/>
      <c r="FU222" s="3"/>
      <c r="FV222" s="3"/>
      <c r="FW222" s="3"/>
      <c r="FX222" s="3"/>
      <c r="FY222" s="3"/>
      <c r="FZ222" s="3"/>
      <c r="GA222" s="3"/>
      <c r="GB222" s="3"/>
      <c r="GC222" s="3"/>
      <c r="GD222" s="3"/>
      <c r="GE222" s="3"/>
      <c r="GF222" s="3"/>
      <c r="GG222" s="3"/>
      <c r="GH222" s="3"/>
      <c r="GI222" s="3"/>
      <c r="GJ222" s="3"/>
      <c r="GK222" s="3"/>
      <c r="GL222" s="3"/>
      <c r="GM222" s="3"/>
      <c r="GN222" s="3"/>
      <c r="GO222" s="3"/>
      <c r="GP222" s="3"/>
      <c r="GQ222" s="3"/>
      <c r="GR222" s="3"/>
      <c r="GS222" s="3"/>
      <c r="GT222" s="3"/>
      <c r="GU222" s="3"/>
      <c r="GV222" s="3"/>
      <c r="GW222" s="3"/>
      <c r="GX222" s="3"/>
      <c r="GY222" s="3"/>
      <c r="GZ222" s="3"/>
      <c r="HA222" s="3"/>
      <c r="HB222" s="3"/>
      <c r="HC222" s="3"/>
      <c r="HD222" s="3"/>
      <c r="HE222" s="3"/>
      <c r="HF222" s="3"/>
      <c r="HG222" s="3"/>
      <c r="HH222" s="3"/>
      <c r="HI222" s="3"/>
      <c r="HJ222" s="3"/>
      <c r="HK222" s="3"/>
      <c r="HL222" s="3"/>
      <c r="HM222" s="3"/>
      <c r="HN222" s="3"/>
      <c r="HO222" s="3"/>
      <c r="HP222" s="3"/>
      <c r="HQ222" s="3"/>
      <c r="HR222" s="3"/>
      <c r="HS222" s="3"/>
      <c r="HT222" s="3"/>
      <c r="HU222" s="3"/>
      <c r="HV222" s="3"/>
      <c r="HW222" s="3"/>
      <c r="HX222" s="3"/>
      <c r="HY222" s="3"/>
      <c r="HZ222" s="3"/>
      <c r="IA222" s="3"/>
      <c r="IB222" s="3"/>
      <c r="IC222" s="3"/>
      <c r="ID222" s="3"/>
      <c r="IE222" s="3"/>
      <c r="IF222" s="3"/>
      <c r="IG222" s="3"/>
      <c r="IH222" s="3"/>
      <c r="II222" s="3"/>
      <c r="IJ222" s="3"/>
      <c r="IK222" s="3"/>
      <c r="IL222" s="3"/>
      <c r="IM222" s="3"/>
      <c r="IN222" s="3"/>
      <c r="IO222" s="3"/>
      <c r="IP222" s="3"/>
      <c r="IQ222" s="3"/>
      <c r="IR222" s="3"/>
      <c r="IS222" s="3"/>
      <c r="IT222" s="3"/>
      <c r="IU222" s="3"/>
      <c r="IV222" s="3"/>
      <c r="IW222" s="3"/>
    </row>
    <row r="223" customFormat="false" ht="12.75" hidden="false" customHeight="false" outlineLevel="0" collapsed="false">
      <c r="A223" s="23"/>
      <c r="B223" s="23"/>
      <c r="C223" s="23"/>
      <c r="D223" s="23"/>
      <c r="E223" s="178"/>
      <c r="F223" s="342"/>
      <c r="G223" s="342"/>
      <c r="H223" s="342"/>
      <c r="I223" s="342"/>
      <c r="J223" s="342"/>
      <c r="K223" s="342"/>
      <c r="L223" s="24"/>
      <c r="M223" s="22"/>
      <c r="N223" s="22"/>
      <c r="O223" s="22"/>
      <c r="P223" s="22"/>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c r="CE223" s="24"/>
      <c r="CF223" s="24"/>
      <c r="CG223" s="24"/>
      <c r="CH223" s="24"/>
      <c r="CI223" s="24"/>
      <c r="CJ223" s="24"/>
      <c r="CK223" s="24"/>
      <c r="CL223" s="24"/>
      <c r="CM223" s="24"/>
      <c r="CN223" s="24"/>
      <c r="CO223" s="24"/>
      <c r="CP223" s="24"/>
      <c r="CQ223" s="24"/>
      <c r="CR223" s="24"/>
      <c r="CS223" s="24"/>
      <c r="CT223" s="24"/>
      <c r="CU223" s="24"/>
      <c r="CV223" s="24"/>
      <c r="CW223" s="24"/>
      <c r="CX223" s="24"/>
      <c r="CY223" s="24"/>
      <c r="CZ223" s="24"/>
      <c r="DA223" s="24"/>
      <c r="DB223" s="24"/>
      <c r="DC223" s="24"/>
      <c r="DD223" s="24"/>
      <c r="DE223" s="24"/>
      <c r="DF223" s="24"/>
      <c r="DG223" s="24"/>
      <c r="DH223" s="24"/>
      <c r="DI223" s="24"/>
      <c r="DJ223" s="24"/>
      <c r="DK223" s="24"/>
      <c r="DL223" s="24"/>
      <c r="DM223" s="24"/>
      <c r="DN223" s="24"/>
      <c r="DO223" s="24"/>
      <c r="DP223" s="24"/>
      <c r="DQ223" s="24"/>
      <c r="DR223" s="24"/>
      <c r="DS223" s="24"/>
      <c r="DT223" s="24"/>
      <c r="DU223" s="24"/>
      <c r="DV223" s="24"/>
      <c r="DW223" s="24"/>
      <c r="DX223" s="24"/>
      <c r="DY223" s="24"/>
      <c r="DZ223" s="24"/>
      <c r="EA223" s="24"/>
      <c r="EB223" s="24"/>
      <c r="EC223" s="24"/>
      <c r="ED223" s="24"/>
      <c r="EE223" s="24"/>
      <c r="EF223" s="24"/>
      <c r="EG223" s="24"/>
      <c r="EH223" s="24"/>
      <c r="EI223" s="24"/>
      <c r="EJ223" s="24"/>
      <c r="EK223" s="24"/>
      <c r="EL223" s="24"/>
      <c r="EM223" s="3"/>
      <c r="EN223" s="3"/>
      <c r="EO223" s="3"/>
      <c r="EP223" s="3"/>
      <c r="EQ223" s="3"/>
      <c r="ER223" s="3"/>
      <c r="ES223" s="3"/>
      <c r="ET223" s="3"/>
      <c r="EU223" s="3"/>
      <c r="EV223" s="3"/>
      <c r="EW223" s="3"/>
      <c r="EX223" s="3"/>
      <c r="EY223" s="3"/>
      <c r="EZ223" s="3"/>
      <c r="FA223" s="3"/>
      <c r="FB223" s="3"/>
      <c r="FC223" s="3"/>
      <c r="FD223" s="3"/>
      <c r="FE223" s="3"/>
      <c r="FF223" s="3"/>
      <c r="FG223" s="3"/>
      <c r="FH223" s="3"/>
      <c r="FI223" s="3"/>
      <c r="FJ223" s="3"/>
      <c r="FK223" s="3"/>
      <c r="FL223" s="3"/>
      <c r="FM223" s="3"/>
      <c r="FN223" s="3"/>
      <c r="FO223" s="3"/>
      <c r="FP223" s="3"/>
      <c r="FQ223" s="3"/>
      <c r="FR223" s="3"/>
      <c r="FS223" s="3"/>
      <c r="FT223" s="3"/>
      <c r="FU223" s="3"/>
      <c r="FV223" s="3"/>
      <c r="FW223" s="3"/>
      <c r="FX223" s="3"/>
      <c r="FY223" s="3"/>
      <c r="FZ223" s="3"/>
      <c r="GA223" s="3"/>
      <c r="GB223" s="3"/>
      <c r="GC223" s="3"/>
      <c r="GD223" s="3"/>
      <c r="GE223" s="3"/>
      <c r="GF223" s="3"/>
      <c r="GG223" s="3"/>
      <c r="GH223" s="3"/>
      <c r="GI223" s="3"/>
      <c r="GJ223" s="3"/>
      <c r="GK223" s="3"/>
      <c r="GL223" s="3"/>
      <c r="GM223" s="3"/>
      <c r="GN223" s="3"/>
      <c r="GO223" s="3"/>
      <c r="GP223" s="3"/>
      <c r="GQ223" s="3"/>
      <c r="GR223" s="3"/>
      <c r="GS223" s="3"/>
      <c r="GT223" s="3"/>
      <c r="GU223" s="3"/>
      <c r="GV223" s="3"/>
      <c r="GW223" s="3"/>
      <c r="GX223" s="3"/>
      <c r="GY223" s="3"/>
      <c r="GZ223" s="3"/>
      <c r="HA223" s="3"/>
      <c r="HB223" s="3"/>
      <c r="HC223" s="3"/>
      <c r="HD223" s="3"/>
      <c r="HE223" s="3"/>
      <c r="HF223" s="3"/>
      <c r="HG223" s="3"/>
      <c r="HH223" s="3"/>
      <c r="HI223" s="3"/>
      <c r="HJ223" s="3"/>
      <c r="HK223" s="3"/>
      <c r="HL223" s="3"/>
      <c r="HM223" s="3"/>
      <c r="HN223" s="3"/>
      <c r="HO223" s="3"/>
      <c r="HP223" s="3"/>
      <c r="HQ223" s="3"/>
      <c r="HR223" s="3"/>
      <c r="HS223" s="3"/>
      <c r="HT223" s="3"/>
      <c r="HU223" s="3"/>
      <c r="HV223" s="3"/>
      <c r="HW223" s="3"/>
      <c r="HX223" s="3"/>
      <c r="HY223" s="3"/>
      <c r="HZ223" s="3"/>
      <c r="IA223" s="3"/>
      <c r="IB223" s="3"/>
      <c r="IC223" s="3"/>
      <c r="ID223" s="3"/>
      <c r="IE223" s="3"/>
      <c r="IF223" s="3"/>
      <c r="IG223" s="3"/>
      <c r="IH223" s="3"/>
      <c r="II223" s="3"/>
      <c r="IJ223" s="3"/>
      <c r="IK223" s="3"/>
      <c r="IL223" s="3"/>
      <c r="IM223" s="3"/>
      <c r="IN223" s="3"/>
      <c r="IO223" s="3"/>
      <c r="IP223" s="3"/>
      <c r="IQ223" s="3"/>
      <c r="IR223" s="3"/>
      <c r="IS223" s="3"/>
      <c r="IT223" s="3"/>
      <c r="IU223" s="3"/>
      <c r="IV223" s="3"/>
      <c r="IW223" s="3"/>
    </row>
    <row r="224" customFormat="false" ht="12.75" hidden="false" customHeight="false" outlineLevel="0" collapsed="false">
      <c r="A224" s="23"/>
      <c r="B224" s="23"/>
      <c r="C224" s="23"/>
      <c r="D224" s="23"/>
      <c r="E224" s="178"/>
      <c r="F224" s="342"/>
      <c r="G224" s="342"/>
      <c r="H224" s="342"/>
      <c r="I224" s="342"/>
      <c r="J224" s="342"/>
      <c r="K224" s="342"/>
      <c r="L224" s="24"/>
      <c r="M224" s="22"/>
      <c r="N224" s="22"/>
      <c r="O224" s="22"/>
      <c r="P224" s="22"/>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c r="BK224" s="24"/>
      <c r="BL224" s="24"/>
      <c r="BM224" s="24"/>
      <c r="BN224" s="24"/>
      <c r="BO224" s="24"/>
      <c r="BP224" s="24"/>
      <c r="BQ224" s="24"/>
      <c r="BR224" s="24"/>
      <c r="BS224" s="24"/>
      <c r="BT224" s="24"/>
      <c r="BU224" s="24"/>
      <c r="BV224" s="24"/>
      <c r="BW224" s="24"/>
      <c r="BX224" s="24"/>
      <c r="BY224" s="24"/>
      <c r="BZ224" s="24"/>
      <c r="CA224" s="24"/>
      <c r="CB224" s="24"/>
      <c r="CC224" s="24"/>
      <c r="CD224" s="24"/>
      <c r="CE224" s="24"/>
      <c r="CF224" s="24"/>
      <c r="CG224" s="24"/>
      <c r="CH224" s="24"/>
      <c r="CI224" s="24"/>
      <c r="CJ224" s="24"/>
      <c r="CK224" s="24"/>
      <c r="CL224" s="24"/>
      <c r="CM224" s="24"/>
      <c r="CN224" s="24"/>
      <c r="CO224" s="24"/>
      <c r="CP224" s="24"/>
      <c r="CQ224" s="24"/>
      <c r="CR224" s="24"/>
      <c r="CS224" s="24"/>
      <c r="CT224" s="24"/>
      <c r="CU224" s="24"/>
      <c r="CV224" s="24"/>
      <c r="CW224" s="24"/>
      <c r="CX224" s="24"/>
      <c r="CY224" s="24"/>
      <c r="CZ224" s="24"/>
      <c r="DA224" s="24"/>
      <c r="DB224" s="24"/>
      <c r="DC224" s="24"/>
      <c r="DD224" s="24"/>
      <c r="DE224" s="24"/>
      <c r="DF224" s="24"/>
      <c r="DG224" s="24"/>
      <c r="DH224" s="24"/>
      <c r="DI224" s="24"/>
      <c r="DJ224" s="24"/>
      <c r="DK224" s="24"/>
      <c r="DL224" s="24"/>
      <c r="DM224" s="24"/>
      <c r="DN224" s="24"/>
      <c r="DO224" s="24"/>
      <c r="DP224" s="24"/>
      <c r="DQ224" s="24"/>
      <c r="DR224" s="24"/>
      <c r="DS224" s="24"/>
      <c r="DT224" s="24"/>
      <c r="DU224" s="24"/>
      <c r="DV224" s="24"/>
      <c r="DW224" s="24"/>
      <c r="DX224" s="24"/>
      <c r="DY224" s="24"/>
      <c r="DZ224" s="24"/>
      <c r="EA224" s="24"/>
      <c r="EB224" s="24"/>
      <c r="EC224" s="24"/>
      <c r="ED224" s="24"/>
      <c r="EE224" s="24"/>
      <c r="EF224" s="24"/>
      <c r="EG224" s="24"/>
      <c r="EH224" s="24"/>
      <c r="EI224" s="24"/>
      <c r="EJ224" s="24"/>
      <c r="EK224" s="24"/>
      <c r="EL224" s="24"/>
      <c r="EM224" s="3"/>
      <c r="EN224" s="3"/>
      <c r="EO224" s="3"/>
      <c r="EP224" s="3"/>
      <c r="EQ224" s="3"/>
      <c r="ER224" s="3"/>
      <c r="ES224" s="3"/>
      <c r="ET224" s="3"/>
      <c r="EU224" s="3"/>
      <c r="EV224" s="3"/>
      <c r="EW224" s="3"/>
      <c r="EX224" s="3"/>
      <c r="EY224" s="3"/>
      <c r="EZ224" s="3"/>
      <c r="FA224" s="3"/>
      <c r="FB224" s="3"/>
      <c r="FC224" s="3"/>
      <c r="FD224" s="3"/>
      <c r="FE224" s="3"/>
      <c r="FF224" s="3"/>
      <c r="FG224" s="3"/>
      <c r="FH224" s="3"/>
      <c r="FI224" s="3"/>
      <c r="FJ224" s="3"/>
      <c r="FK224" s="3"/>
      <c r="FL224" s="3"/>
      <c r="FM224" s="3"/>
      <c r="FN224" s="3"/>
      <c r="FO224" s="3"/>
      <c r="FP224" s="3"/>
      <c r="FQ224" s="3"/>
      <c r="FR224" s="3"/>
      <c r="FS224" s="3"/>
      <c r="FT224" s="3"/>
      <c r="FU224" s="3"/>
      <c r="FV224" s="3"/>
      <c r="FW224" s="3"/>
      <c r="FX224" s="3"/>
      <c r="FY224" s="3"/>
      <c r="FZ224" s="3"/>
      <c r="GA224" s="3"/>
      <c r="GB224" s="3"/>
      <c r="GC224" s="3"/>
      <c r="GD224" s="3"/>
      <c r="GE224" s="3"/>
      <c r="GF224" s="3"/>
      <c r="GG224" s="3"/>
      <c r="GH224" s="3"/>
      <c r="GI224" s="3"/>
      <c r="GJ224" s="3"/>
      <c r="GK224" s="3"/>
      <c r="GL224" s="3"/>
      <c r="GM224" s="3"/>
      <c r="GN224" s="3"/>
      <c r="GO224" s="3"/>
      <c r="GP224" s="3"/>
      <c r="GQ224" s="3"/>
      <c r="GR224" s="3"/>
      <c r="GS224" s="3"/>
      <c r="GT224" s="3"/>
      <c r="GU224" s="3"/>
      <c r="GV224" s="3"/>
      <c r="GW224" s="3"/>
      <c r="GX224" s="3"/>
      <c r="GY224" s="3"/>
      <c r="GZ224" s="3"/>
      <c r="HA224" s="3"/>
      <c r="HB224" s="3"/>
      <c r="HC224" s="3"/>
      <c r="HD224" s="3"/>
      <c r="HE224" s="3"/>
      <c r="HF224" s="3"/>
      <c r="HG224" s="3"/>
      <c r="HH224" s="3"/>
      <c r="HI224" s="3"/>
      <c r="HJ224" s="3"/>
      <c r="HK224" s="3"/>
      <c r="HL224" s="3"/>
      <c r="HM224" s="3"/>
      <c r="HN224" s="3"/>
      <c r="HO224" s="3"/>
      <c r="HP224" s="3"/>
      <c r="HQ224" s="3"/>
      <c r="HR224" s="3"/>
      <c r="HS224" s="3"/>
      <c r="HT224" s="3"/>
      <c r="HU224" s="3"/>
      <c r="HV224" s="3"/>
      <c r="HW224" s="3"/>
      <c r="HX224" s="3"/>
      <c r="HY224" s="3"/>
      <c r="HZ224" s="3"/>
      <c r="IA224" s="3"/>
      <c r="IB224" s="3"/>
      <c r="IC224" s="3"/>
      <c r="ID224" s="3"/>
      <c r="IE224" s="3"/>
      <c r="IF224" s="3"/>
      <c r="IG224" s="3"/>
      <c r="IH224" s="3"/>
      <c r="II224" s="3"/>
      <c r="IJ224" s="3"/>
      <c r="IK224" s="3"/>
      <c r="IL224" s="3"/>
      <c r="IM224" s="3"/>
      <c r="IN224" s="3"/>
      <c r="IO224" s="3"/>
      <c r="IP224" s="3"/>
      <c r="IQ224" s="3"/>
      <c r="IR224" s="3"/>
      <c r="IS224" s="3"/>
      <c r="IT224" s="3"/>
      <c r="IU224" s="3"/>
      <c r="IV224" s="3"/>
      <c r="IW224" s="3"/>
    </row>
    <row r="225" customFormat="false" ht="12.75" hidden="false" customHeight="false" outlineLevel="0" collapsed="false">
      <c r="A225" s="23"/>
      <c r="B225" s="23"/>
      <c r="C225" s="23"/>
      <c r="D225" s="23"/>
      <c r="E225" s="178"/>
      <c r="F225" s="342"/>
      <c r="G225" s="342"/>
      <c r="H225" s="342"/>
      <c r="I225" s="342"/>
      <c r="J225" s="342"/>
      <c r="K225" s="342"/>
      <c r="L225" s="24"/>
      <c r="M225" s="22"/>
      <c r="N225" s="22"/>
      <c r="O225" s="22"/>
      <c r="P225" s="22"/>
      <c r="Q225" s="24"/>
      <c r="R225" s="24"/>
      <c r="S225" s="24"/>
      <c r="T225" s="24"/>
      <c r="U225" s="24"/>
      <c r="V225" s="24"/>
      <c r="W225" s="24"/>
      <c r="X225" s="24"/>
      <c r="Y225" s="24"/>
      <c r="Z225" s="24"/>
      <c r="AA225" s="24"/>
      <c r="AB225" s="24"/>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c r="BZ225" s="24"/>
      <c r="CA225" s="24"/>
      <c r="CB225" s="24"/>
      <c r="CC225" s="24"/>
      <c r="CD225" s="24"/>
      <c r="CE225" s="24"/>
      <c r="CF225" s="24"/>
      <c r="CG225" s="24"/>
      <c r="CH225" s="24"/>
      <c r="CI225" s="24"/>
      <c r="CJ225" s="24"/>
      <c r="CK225" s="24"/>
      <c r="CL225" s="24"/>
      <c r="CM225" s="24"/>
      <c r="CN225" s="24"/>
      <c r="CO225" s="24"/>
      <c r="CP225" s="24"/>
      <c r="CQ225" s="24"/>
      <c r="CR225" s="24"/>
      <c r="CS225" s="24"/>
      <c r="CT225" s="24"/>
      <c r="CU225" s="24"/>
      <c r="CV225" s="24"/>
      <c r="CW225" s="24"/>
      <c r="CX225" s="24"/>
      <c r="CY225" s="24"/>
      <c r="CZ225" s="24"/>
      <c r="DA225" s="24"/>
      <c r="DB225" s="24"/>
      <c r="DC225" s="24"/>
      <c r="DD225" s="24"/>
      <c r="DE225" s="24"/>
      <c r="DF225" s="24"/>
      <c r="DG225" s="24"/>
      <c r="DH225" s="24"/>
      <c r="DI225" s="24"/>
      <c r="DJ225" s="24"/>
      <c r="DK225" s="24"/>
      <c r="DL225" s="24"/>
      <c r="DM225" s="24"/>
      <c r="DN225" s="24"/>
      <c r="DO225" s="24"/>
      <c r="DP225" s="24"/>
      <c r="DQ225" s="24"/>
      <c r="DR225" s="24"/>
      <c r="DS225" s="24"/>
      <c r="DT225" s="24"/>
      <c r="DU225" s="24"/>
      <c r="DV225" s="24"/>
      <c r="DW225" s="24"/>
      <c r="DX225" s="24"/>
      <c r="DY225" s="24"/>
      <c r="DZ225" s="24"/>
      <c r="EA225" s="24"/>
      <c r="EB225" s="24"/>
      <c r="EC225" s="24"/>
      <c r="ED225" s="24"/>
      <c r="EE225" s="24"/>
      <c r="EF225" s="24"/>
      <c r="EG225" s="24"/>
      <c r="EH225" s="24"/>
      <c r="EI225" s="24"/>
      <c r="EJ225" s="24"/>
      <c r="EK225" s="24"/>
      <c r="EL225" s="24"/>
      <c r="EM225" s="3"/>
      <c r="EN225" s="3"/>
      <c r="EO225" s="3"/>
      <c r="EP225" s="3"/>
      <c r="EQ225" s="3"/>
      <c r="ER225" s="3"/>
      <c r="ES225" s="3"/>
      <c r="ET225" s="3"/>
      <c r="EU225" s="3"/>
      <c r="EV225" s="3"/>
      <c r="EW225" s="3"/>
      <c r="EX225" s="3"/>
      <c r="EY225" s="3"/>
      <c r="EZ225" s="3"/>
      <c r="FA225" s="3"/>
      <c r="FB225" s="3"/>
      <c r="FC225" s="3"/>
      <c r="FD225" s="3"/>
      <c r="FE225" s="3"/>
      <c r="FF225" s="3"/>
      <c r="FG225" s="3"/>
      <c r="FH225" s="3"/>
      <c r="FI225" s="3"/>
      <c r="FJ225" s="3"/>
      <c r="FK225" s="3"/>
      <c r="FL225" s="3"/>
      <c r="FM225" s="3"/>
      <c r="FN225" s="3"/>
      <c r="FO225" s="3"/>
      <c r="FP225" s="3"/>
      <c r="FQ225" s="3"/>
      <c r="FR225" s="3"/>
      <c r="FS225" s="3"/>
      <c r="FT225" s="3"/>
      <c r="FU225" s="3"/>
      <c r="FV225" s="3"/>
      <c r="FW225" s="3"/>
      <c r="FX225" s="3"/>
      <c r="FY225" s="3"/>
      <c r="FZ225" s="3"/>
      <c r="GA225" s="3"/>
      <c r="GB225" s="3"/>
      <c r="GC225" s="3"/>
      <c r="GD225" s="3"/>
      <c r="GE225" s="3"/>
      <c r="GF225" s="3"/>
      <c r="GG225" s="3"/>
      <c r="GH225" s="3"/>
      <c r="GI225" s="3"/>
      <c r="GJ225" s="3"/>
      <c r="GK225" s="3"/>
      <c r="GL225" s="3"/>
      <c r="GM225" s="3"/>
      <c r="GN225" s="3"/>
      <c r="GO225" s="3"/>
      <c r="GP225" s="3"/>
      <c r="GQ225" s="3"/>
      <c r="GR225" s="3"/>
      <c r="GS225" s="3"/>
      <c r="GT225" s="3"/>
      <c r="GU225" s="3"/>
      <c r="GV225" s="3"/>
      <c r="GW225" s="3"/>
      <c r="GX225" s="3"/>
      <c r="GY225" s="3"/>
      <c r="GZ225" s="3"/>
      <c r="HA225" s="3"/>
      <c r="HB225" s="3"/>
      <c r="HC225" s="3"/>
      <c r="HD225" s="3"/>
      <c r="HE225" s="3"/>
      <c r="HF225" s="3"/>
      <c r="HG225" s="3"/>
      <c r="HH225" s="3"/>
      <c r="HI225" s="3"/>
      <c r="HJ225" s="3"/>
      <c r="HK225" s="3"/>
      <c r="HL225" s="3"/>
      <c r="HM225" s="3"/>
      <c r="HN225" s="3"/>
      <c r="HO225" s="3"/>
      <c r="HP225" s="3"/>
      <c r="HQ225" s="3"/>
      <c r="HR225" s="3"/>
      <c r="HS225" s="3"/>
      <c r="HT225" s="3"/>
      <c r="HU225" s="3"/>
      <c r="HV225" s="3"/>
      <c r="HW225" s="3"/>
      <c r="HX225" s="3"/>
      <c r="HY225" s="3"/>
      <c r="HZ225" s="3"/>
      <c r="IA225" s="3"/>
      <c r="IB225" s="3"/>
      <c r="IC225" s="3"/>
      <c r="ID225" s="3"/>
      <c r="IE225" s="3"/>
      <c r="IF225" s="3"/>
      <c r="IG225" s="3"/>
      <c r="IH225" s="3"/>
      <c r="II225" s="3"/>
      <c r="IJ225" s="3"/>
      <c r="IK225" s="3"/>
      <c r="IL225" s="3"/>
      <c r="IM225" s="3"/>
      <c r="IN225" s="3"/>
      <c r="IO225" s="3"/>
      <c r="IP225" s="3"/>
      <c r="IQ225" s="3"/>
      <c r="IR225" s="3"/>
      <c r="IS225" s="3"/>
      <c r="IT225" s="3"/>
      <c r="IU225" s="3"/>
      <c r="IV225" s="3"/>
      <c r="IW225" s="3"/>
    </row>
    <row r="226" customFormat="false" ht="12.75" hidden="false" customHeight="false" outlineLevel="0" collapsed="false">
      <c r="A226" s="3"/>
      <c r="B226" s="177" t="s">
        <v>325</v>
      </c>
      <c r="C226" s="155"/>
      <c r="D226" s="23"/>
      <c r="E226" s="22"/>
      <c r="F226" s="22"/>
      <c r="G226" s="22"/>
      <c r="H226" s="22"/>
      <c r="I226" s="22"/>
      <c r="J226" s="24"/>
      <c r="K226" s="24"/>
      <c r="L226" s="24"/>
      <c r="M226" s="22"/>
      <c r="N226" s="22"/>
      <c r="O226" s="22"/>
      <c r="P226" s="22"/>
      <c r="Q226" s="24"/>
      <c r="R226" s="24"/>
      <c r="S226" s="24"/>
      <c r="T226" s="24"/>
      <c r="U226" s="24"/>
      <c r="V226" s="24"/>
      <c r="W226" s="24"/>
      <c r="X226" s="24"/>
      <c r="Y226" s="24"/>
      <c r="Z226" s="24"/>
      <c r="AA226" s="24"/>
      <c r="AB226" s="24"/>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c r="BZ226" s="24"/>
      <c r="CA226" s="24"/>
      <c r="CB226" s="24"/>
      <c r="CC226" s="24"/>
      <c r="CD226" s="24"/>
      <c r="CE226" s="24"/>
      <c r="CF226" s="24"/>
      <c r="CG226" s="24"/>
      <c r="CH226" s="24"/>
      <c r="CI226" s="24"/>
      <c r="CJ226" s="24"/>
      <c r="CK226" s="24"/>
      <c r="CL226" s="24"/>
      <c r="CM226" s="24"/>
      <c r="CN226" s="24"/>
      <c r="CO226" s="24"/>
      <c r="CP226" s="24"/>
      <c r="CQ226" s="24"/>
      <c r="CR226" s="24"/>
      <c r="CS226" s="24"/>
      <c r="CT226" s="24"/>
      <c r="CU226" s="24"/>
      <c r="CV226" s="24"/>
      <c r="CW226" s="24"/>
      <c r="CX226" s="24"/>
      <c r="CY226" s="24"/>
      <c r="CZ226" s="24"/>
      <c r="DA226" s="24"/>
      <c r="DB226" s="24"/>
      <c r="DC226" s="24"/>
      <c r="DD226" s="24"/>
      <c r="DE226" s="24"/>
      <c r="DF226" s="24"/>
      <c r="DG226" s="24"/>
      <c r="DH226" s="24"/>
      <c r="DI226" s="24"/>
      <c r="DJ226" s="24"/>
      <c r="DK226" s="24"/>
      <c r="DL226" s="24"/>
      <c r="DM226" s="24"/>
      <c r="DN226" s="24"/>
      <c r="DO226" s="24"/>
      <c r="DP226" s="24"/>
      <c r="DQ226" s="24"/>
      <c r="DR226" s="24"/>
      <c r="DS226" s="24"/>
      <c r="DT226" s="24"/>
      <c r="DU226" s="24"/>
      <c r="DV226" s="24"/>
      <c r="DW226" s="24"/>
      <c r="DX226" s="24"/>
      <c r="DY226" s="24"/>
      <c r="DZ226" s="24"/>
      <c r="EA226" s="24"/>
      <c r="EB226" s="24"/>
      <c r="EC226" s="24"/>
      <c r="ED226" s="24"/>
      <c r="EE226" s="24"/>
      <c r="EF226" s="24"/>
      <c r="EG226" s="24"/>
      <c r="EH226" s="24"/>
      <c r="EI226" s="24"/>
      <c r="EJ226" s="24"/>
      <c r="EK226" s="24"/>
      <c r="EL226" s="24"/>
      <c r="EM226" s="3"/>
      <c r="EN226" s="3"/>
      <c r="EO226" s="3"/>
      <c r="EP226" s="3"/>
      <c r="EQ226" s="3"/>
      <c r="ER226" s="3"/>
      <c r="ES226" s="3"/>
      <c r="ET226" s="3"/>
      <c r="EU226" s="3"/>
      <c r="EV226" s="3"/>
      <c r="EW226" s="3"/>
      <c r="EX226" s="3"/>
      <c r="EY226" s="3"/>
      <c r="EZ226" s="3"/>
      <c r="FA226" s="3"/>
      <c r="FB226" s="3"/>
      <c r="FC226" s="3"/>
      <c r="FD226" s="3"/>
      <c r="FE226" s="3"/>
      <c r="FF226" s="3"/>
      <c r="FG226" s="3"/>
      <c r="FH226" s="3"/>
      <c r="FI226" s="3"/>
      <c r="FJ226" s="3"/>
      <c r="FK226" s="3"/>
      <c r="FL226" s="3"/>
      <c r="FM226" s="3"/>
      <c r="FN226" s="3"/>
      <c r="FO226" s="3"/>
      <c r="FP226" s="3"/>
      <c r="FQ226" s="3"/>
      <c r="FR226" s="3"/>
      <c r="FS226" s="3"/>
      <c r="FT226" s="3"/>
      <c r="FU226" s="3"/>
      <c r="FV226" s="3"/>
      <c r="FW226" s="3"/>
      <c r="FX226" s="3"/>
      <c r="FY226" s="3"/>
      <c r="FZ226" s="3"/>
      <c r="GA226" s="3"/>
      <c r="GB226" s="3"/>
      <c r="GC226" s="3"/>
      <c r="GD226" s="3"/>
      <c r="GE226" s="3"/>
      <c r="GF226" s="3"/>
      <c r="GG226" s="3"/>
      <c r="GH226" s="3"/>
      <c r="GI226" s="3"/>
      <c r="GJ226" s="3"/>
      <c r="GK226" s="3"/>
      <c r="GL226" s="3"/>
      <c r="GM226" s="3"/>
      <c r="GN226" s="3"/>
      <c r="GO226" s="3"/>
      <c r="GP226" s="3"/>
      <c r="GQ226" s="3"/>
      <c r="GR226" s="3"/>
      <c r="GS226" s="3"/>
      <c r="GT226" s="3"/>
      <c r="GU226" s="3"/>
      <c r="GV226" s="3"/>
      <c r="GW226" s="3"/>
      <c r="GX226" s="3"/>
      <c r="GY226" s="3"/>
      <c r="GZ226" s="3"/>
      <c r="HA226" s="3"/>
      <c r="HB226" s="3"/>
      <c r="HC226" s="3"/>
      <c r="HD226" s="3"/>
      <c r="HE226" s="3"/>
      <c r="HF226" s="3"/>
      <c r="HG226" s="3"/>
      <c r="HH226" s="3"/>
      <c r="HI226" s="3"/>
      <c r="HJ226" s="3"/>
      <c r="HK226" s="3"/>
      <c r="HL226" s="3"/>
      <c r="HM226" s="3"/>
      <c r="HN226" s="3"/>
      <c r="HO226" s="3"/>
      <c r="HP226" s="3"/>
      <c r="HQ226" s="3"/>
      <c r="HR226" s="3"/>
      <c r="HS226" s="3"/>
      <c r="HT226" s="3"/>
      <c r="HU226" s="3"/>
      <c r="HV226" s="3"/>
      <c r="HW226" s="3"/>
      <c r="HX226" s="3"/>
      <c r="HY226" s="3"/>
      <c r="HZ226" s="3"/>
      <c r="IA226" s="3"/>
      <c r="IB226" s="3"/>
      <c r="IC226" s="3"/>
      <c r="ID226" s="3"/>
      <c r="IE226" s="3"/>
      <c r="IF226" s="3"/>
      <c r="IG226" s="3"/>
      <c r="IH226" s="3"/>
      <c r="II226" s="3"/>
      <c r="IJ226" s="3"/>
      <c r="IK226" s="3"/>
      <c r="IL226" s="3"/>
      <c r="IM226" s="3"/>
      <c r="IN226" s="3"/>
      <c r="IO226" s="3"/>
      <c r="IP226" s="3"/>
      <c r="IQ226" s="3"/>
      <c r="IR226" s="3"/>
      <c r="IS226" s="3"/>
      <c r="IT226" s="3"/>
      <c r="IU226" s="3"/>
      <c r="IV226" s="3"/>
      <c r="IW226" s="3"/>
    </row>
    <row r="227" customFormat="false" ht="12.75" hidden="false" customHeight="false" outlineLevel="0" collapsed="false">
      <c r="A227" s="111"/>
      <c r="B227" s="111"/>
      <c r="C227" s="22"/>
      <c r="D227" s="111"/>
      <c r="E227" s="59"/>
      <c r="F227" s="114"/>
      <c r="G227" s="59"/>
      <c r="H227" s="49"/>
      <c r="I227" s="111"/>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4"/>
      <c r="AL227" s="114"/>
      <c r="AM227" s="114"/>
      <c r="AN227" s="114"/>
      <c r="AO227" s="114"/>
      <c r="AP227" s="114"/>
      <c r="AQ227" s="114"/>
      <c r="AR227" s="114"/>
      <c r="AS227" s="114"/>
      <c r="AT227" s="114"/>
      <c r="AU227" s="114"/>
      <c r="AV227" s="114"/>
      <c r="AW227" s="114"/>
      <c r="AX227" s="114"/>
      <c r="AY227" s="114"/>
      <c r="AZ227" s="114"/>
      <c r="BA227" s="114"/>
      <c r="BB227" s="114"/>
      <c r="BC227" s="114"/>
      <c r="BD227" s="114"/>
      <c r="BE227" s="114"/>
      <c r="BF227" s="114"/>
      <c r="BG227" s="114"/>
      <c r="BH227" s="114"/>
      <c r="BI227" s="114"/>
      <c r="BJ227" s="114"/>
      <c r="BK227" s="114"/>
      <c r="BL227" s="114"/>
      <c r="BM227" s="114"/>
      <c r="BN227" s="114"/>
      <c r="BO227" s="114"/>
      <c r="BP227" s="114"/>
      <c r="BQ227" s="114"/>
      <c r="BR227" s="114"/>
      <c r="BS227" s="114"/>
      <c r="BT227" s="114"/>
      <c r="BU227" s="114"/>
      <c r="BV227" s="114"/>
      <c r="BW227" s="114"/>
      <c r="BX227" s="114"/>
      <c r="BY227" s="114"/>
      <c r="BZ227" s="114"/>
      <c r="CA227" s="114"/>
      <c r="CB227" s="114"/>
      <c r="CC227" s="114"/>
      <c r="CD227" s="114"/>
      <c r="CE227" s="114"/>
      <c r="CF227" s="114"/>
      <c r="CG227" s="114"/>
      <c r="CH227" s="114"/>
      <c r="CI227" s="114"/>
      <c r="CJ227" s="114"/>
      <c r="CK227" s="114"/>
      <c r="CL227" s="114"/>
      <c r="CM227" s="114"/>
      <c r="CN227" s="114"/>
      <c r="CO227" s="114"/>
      <c r="CP227" s="114"/>
      <c r="CQ227" s="114"/>
      <c r="CR227" s="114"/>
      <c r="CS227" s="114"/>
      <c r="CT227" s="114"/>
      <c r="CU227" s="114"/>
      <c r="CV227" s="114"/>
      <c r="CW227" s="114"/>
      <c r="CX227" s="114"/>
      <c r="CY227" s="114"/>
      <c r="CZ227" s="114"/>
      <c r="DA227" s="114"/>
      <c r="DB227" s="114"/>
      <c r="DC227" s="114"/>
      <c r="DD227" s="114"/>
      <c r="DE227" s="114"/>
      <c r="DF227" s="114"/>
      <c r="DG227" s="114"/>
      <c r="DH227" s="114"/>
      <c r="DI227" s="114"/>
      <c r="DJ227" s="114"/>
      <c r="DK227" s="114"/>
      <c r="DL227" s="114"/>
      <c r="DM227" s="114"/>
      <c r="DN227" s="114"/>
      <c r="DO227" s="114"/>
      <c r="DP227" s="114"/>
      <c r="DQ227" s="114"/>
      <c r="DR227" s="114"/>
      <c r="DS227" s="114"/>
      <c r="DT227" s="114"/>
      <c r="DU227" s="114"/>
      <c r="DV227" s="114"/>
      <c r="DW227" s="114"/>
      <c r="DX227" s="114"/>
      <c r="DY227" s="114"/>
      <c r="DZ227" s="114"/>
      <c r="EA227" s="114"/>
      <c r="EB227" s="114"/>
      <c r="EC227" s="114"/>
      <c r="ED227" s="114"/>
      <c r="EE227" s="114"/>
      <c r="EF227" s="114"/>
      <c r="EG227" s="114"/>
      <c r="EH227" s="114"/>
      <c r="EI227" s="114"/>
      <c r="EJ227" s="114"/>
      <c r="EK227" s="114"/>
      <c r="EL227" s="114"/>
    </row>
    <row r="228" customFormat="false" ht="13.5" hidden="false" customHeight="false" outlineLevel="0" collapsed="false">
      <c r="A228" s="22"/>
      <c r="B228" s="45" t="s">
        <v>326</v>
      </c>
      <c r="C228" s="45"/>
      <c r="D228" s="22"/>
      <c r="E228" s="22"/>
      <c r="F228" s="22"/>
      <c r="G228" s="22"/>
      <c r="H228" s="22"/>
      <c r="I228" s="22"/>
      <c r="J228" s="22"/>
      <c r="K228" s="22"/>
      <c r="L228" s="22"/>
      <c r="M228" s="22"/>
      <c r="N228" s="22"/>
      <c r="O228" s="22"/>
      <c r="P228" s="22"/>
      <c r="Q228" s="22"/>
      <c r="R228" s="22"/>
      <c r="S228" s="22"/>
      <c r="T228" s="22"/>
      <c r="U228" s="22"/>
      <c r="V228" s="22"/>
      <c r="W228" s="22"/>
      <c r="X228" s="22"/>
      <c r="Y228" s="22"/>
      <c r="Z228" s="22"/>
      <c r="AA228" s="22"/>
      <c r="AB228" s="22"/>
      <c r="AC228" s="22"/>
      <c r="AD228" s="22"/>
      <c r="AE228" s="22"/>
      <c r="AF228" s="22"/>
      <c r="AG228" s="22"/>
      <c r="AH228" s="22"/>
      <c r="AI228" s="22"/>
      <c r="AJ228" s="22"/>
      <c r="AK228" s="22"/>
      <c r="AL228" s="22"/>
      <c r="AM228" s="22"/>
      <c r="AN228" s="22"/>
      <c r="AO228" s="22"/>
      <c r="AP228" s="22"/>
      <c r="AQ228" s="22"/>
      <c r="AR228" s="22"/>
      <c r="AS228" s="22"/>
      <c r="AT228" s="22"/>
      <c r="AU228" s="22"/>
      <c r="AV228" s="22"/>
      <c r="AW228" s="22"/>
      <c r="AX228" s="22"/>
      <c r="AY228" s="22"/>
      <c r="AZ228" s="22"/>
      <c r="BA228" s="22"/>
      <c r="BB228" s="22"/>
      <c r="BC228" s="22"/>
      <c r="BD228" s="22"/>
      <c r="BE228" s="22"/>
      <c r="BF228" s="22"/>
      <c r="BG228" s="22"/>
      <c r="BH228" s="22"/>
      <c r="BI228" s="22"/>
      <c r="BJ228" s="22"/>
      <c r="BK228" s="22"/>
      <c r="BL228" s="22"/>
      <c r="BM228" s="22"/>
      <c r="BN228" s="22"/>
      <c r="BO228" s="22"/>
      <c r="BP228" s="22"/>
      <c r="BQ228" s="22"/>
      <c r="BR228" s="22"/>
      <c r="BS228" s="22"/>
      <c r="BT228" s="22"/>
      <c r="BU228" s="22"/>
      <c r="BV228" s="22"/>
      <c r="BW228" s="22"/>
      <c r="BX228" s="22"/>
      <c r="BY228" s="22"/>
      <c r="BZ228" s="22"/>
      <c r="CA228" s="22"/>
      <c r="CB228" s="22"/>
      <c r="CC228" s="22"/>
      <c r="CD228" s="22"/>
      <c r="CE228" s="22"/>
      <c r="CF228" s="22"/>
      <c r="CG228" s="22"/>
      <c r="CH228" s="22"/>
      <c r="CI228" s="22"/>
      <c r="CJ228" s="22"/>
      <c r="CK228" s="22"/>
      <c r="CL228" s="22"/>
      <c r="CM228" s="22"/>
      <c r="CN228" s="22"/>
      <c r="CO228" s="22"/>
      <c r="CP228" s="22"/>
      <c r="CQ228" s="22"/>
      <c r="CR228" s="22"/>
      <c r="CS228" s="22"/>
      <c r="CT228" s="22"/>
      <c r="CU228" s="22"/>
      <c r="CV228" s="22"/>
      <c r="CW228" s="22"/>
      <c r="CX228" s="22"/>
      <c r="CY228" s="22"/>
      <c r="CZ228" s="22"/>
      <c r="DA228" s="22"/>
      <c r="DB228" s="22"/>
      <c r="DC228" s="22"/>
      <c r="DD228" s="22"/>
      <c r="DE228" s="22"/>
      <c r="DF228" s="22"/>
      <c r="DG228" s="22"/>
      <c r="DH228" s="22"/>
      <c r="DI228" s="22"/>
      <c r="DJ228" s="22"/>
      <c r="DK228" s="22"/>
      <c r="DL228" s="22"/>
      <c r="DM228" s="22"/>
      <c r="DN228" s="22"/>
      <c r="DO228" s="22"/>
      <c r="DP228" s="22"/>
      <c r="DQ228" s="22"/>
      <c r="DR228" s="22"/>
      <c r="DS228" s="22"/>
      <c r="DT228" s="22"/>
      <c r="DU228" s="22"/>
      <c r="DV228" s="22"/>
      <c r="DW228" s="22"/>
      <c r="DX228" s="22"/>
      <c r="DY228" s="22"/>
      <c r="DZ228" s="22"/>
      <c r="EA228" s="22"/>
      <c r="EB228" s="22"/>
      <c r="EC228" s="22"/>
      <c r="ED228" s="22"/>
      <c r="EE228" s="22"/>
      <c r="EF228" s="22"/>
      <c r="EG228" s="22"/>
      <c r="EH228" s="22"/>
      <c r="EI228" s="22"/>
      <c r="EJ228" s="22"/>
      <c r="EK228" s="22"/>
      <c r="EL228" s="22"/>
      <c r="EM228" s="3"/>
      <c r="EN228" s="3"/>
      <c r="EO228" s="3"/>
      <c r="EP228" s="3"/>
      <c r="EQ228" s="3"/>
      <c r="ER228" s="3"/>
      <c r="ES228" s="3"/>
      <c r="ET228" s="3"/>
      <c r="EU228" s="3"/>
      <c r="EV228" s="3"/>
      <c r="EW228" s="3"/>
      <c r="EX228" s="3"/>
      <c r="EY228" s="3"/>
      <c r="EZ228" s="3"/>
      <c r="FA228" s="3"/>
      <c r="FB228" s="3"/>
      <c r="FC228" s="3"/>
      <c r="FD228" s="3"/>
      <c r="FE228" s="3"/>
      <c r="FF228" s="3"/>
      <c r="FG228" s="3"/>
      <c r="FH228" s="3"/>
      <c r="FI228" s="3"/>
      <c r="FJ228" s="3"/>
      <c r="FK228" s="3"/>
      <c r="FL228" s="3"/>
      <c r="FM228" s="3"/>
      <c r="FN228" s="3"/>
      <c r="FO228" s="3"/>
      <c r="FP228" s="3"/>
      <c r="FQ228" s="3"/>
      <c r="FR228" s="3"/>
      <c r="FS228" s="3"/>
      <c r="FT228" s="3"/>
      <c r="FU228" s="3"/>
      <c r="FV228" s="3"/>
      <c r="FW228" s="3"/>
      <c r="FX228" s="3"/>
      <c r="FY228" s="3"/>
      <c r="FZ228" s="3"/>
      <c r="GA228" s="3"/>
      <c r="GB228" s="3"/>
      <c r="GC228" s="3"/>
      <c r="GD228" s="3"/>
      <c r="GE228" s="3"/>
      <c r="GF228" s="3"/>
      <c r="GG228" s="3"/>
      <c r="GH228" s="3"/>
      <c r="GI228" s="3"/>
      <c r="GJ228" s="3"/>
      <c r="GK228" s="3"/>
      <c r="GL228" s="3"/>
      <c r="GM228" s="3"/>
      <c r="GN228" s="3"/>
      <c r="GO228" s="3"/>
      <c r="GP228" s="3"/>
      <c r="GQ228" s="3"/>
      <c r="GR228" s="3"/>
      <c r="GS228" s="3"/>
      <c r="GT228" s="3"/>
      <c r="GU228" s="3"/>
      <c r="GV228" s="3"/>
      <c r="GW228" s="3"/>
      <c r="GX228" s="3"/>
      <c r="GY228" s="3"/>
      <c r="GZ228" s="3"/>
      <c r="HA228" s="3"/>
      <c r="HB228" s="3"/>
      <c r="HC228" s="3"/>
      <c r="HD228" s="3"/>
      <c r="HE228" s="3"/>
      <c r="HF228" s="3"/>
      <c r="HG228" s="3"/>
      <c r="HH228" s="3"/>
      <c r="HI228" s="3"/>
      <c r="HJ228" s="3"/>
      <c r="HK228" s="3"/>
      <c r="HL228" s="3"/>
      <c r="HM228" s="3"/>
      <c r="HN228" s="3"/>
      <c r="HO228" s="3"/>
      <c r="HP228" s="3"/>
      <c r="HQ228" s="3"/>
      <c r="HR228" s="3"/>
      <c r="HS228" s="3"/>
      <c r="HT228" s="3"/>
      <c r="HU228" s="3"/>
      <c r="HV228" s="3"/>
      <c r="HW228" s="3"/>
      <c r="HX228" s="3"/>
      <c r="HY228" s="3"/>
      <c r="HZ228" s="3"/>
      <c r="IA228" s="3"/>
      <c r="IB228" s="3"/>
      <c r="IC228" s="3"/>
      <c r="ID228" s="3"/>
      <c r="IE228" s="3"/>
      <c r="IF228" s="3"/>
      <c r="IG228" s="3"/>
      <c r="IH228" s="3"/>
      <c r="II228" s="3"/>
      <c r="IJ228" s="3"/>
      <c r="IK228" s="3"/>
      <c r="IL228" s="3"/>
      <c r="IM228" s="3"/>
      <c r="IN228" s="3"/>
      <c r="IO228" s="3"/>
      <c r="IP228" s="3"/>
      <c r="IQ228" s="3"/>
      <c r="IR228" s="3"/>
      <c r="IS228" s="3"/>
      <c r="IT228" s="3"/>
      <c r="IU228" s="3"/>
      <c r="IV228" s="3"/>
      <c r="IW228" s="3"/>
    </row>
    <row r="229" customFormat="false" ht="12.75" hidden="false" customHeight="false" outlineLevel="0" collapsed="false">
      <c r="A229" s="22"/>
      <c r="B229" s="343" t="str">
        <f aca="false">IF(C231&gt;E238,"----  DEBT OVERLOADED ----","")</f>
        <v/>
      </c>
      <c r="C229" s="344" t="s">
        <v>327</v>
      </c>
      <c r="D229" s="345" t="s">
        <v>328</v>
      </c>
      <c r="E229" s="345" t="s">
        <v>305</v>
      </c>
      <c r="F229" s="346"/>
      <c r="G229" s="347"/>
      <c r="H229" s="22"/>
      <c r="I229" s="22"/>
      <c r="J229" s="22"/>
      <c r="K229" s="22"/>
      <c r="L229" s="22"/>
      <c r="M229" s="22"/>
      <c r="N229" s="22"/>
      <c r="O229" s="22"/>
      <c r="P229" s="22"/>
      <c r="Q229" s="22"/>
      <c r="R229" s="22"/>
      <c r="S229" s="22"/>
      <c r="T229" s="22"/>
      <c r="U229" s="22"/>
      <c r="V229" s="22"/>
      <c r="W229" s="22"/>
      <c r="X229" s="22"/>
      <c r="Y229" s="22"/>
      <c r="Z229" s="22"/>
      <c r="AA229" s="22"/>
      <c r="AB229" s="22"/>
      <c r="AC229" s="22"/>
      <c r="AD229" s="22"/>
      <c r="AE229" s="22"/>
      <c r="AF229" s="22"/>
      <c r="AG229" s="22"/>
      <c r="AH229" s="22"/>
      <c r="AI229" s="22"/>
      <c r="AJ229" s="22"/>
      <c r="AK229" s="22"/>
      <c r="AL229" s="22"/>
      <c r="AM229" s="22"/>
      <c r="AN229" s="22"/>
      <c r="AO229" s="22"/>
      <c r="AP229" s="22"/>
      <c r="AQ229" s="22"/>
      <c r="AR229" s="22"/>
      <c r="AS229" s="22"/>
      <c r="AT229" s="22"/>
      <c r="AU229" s="22"/>
      <c r="AV229" s="22"/>
      <c r="AW229" s="22"/>
      <c r="AX229" s="22"/>
      <c r="AY229" s="22"/>
      <c r="AZ229" s="22"/>
      <c r="BA229" s="22"/>
      <c r="BB229" s="22"/>
      <c r="BC229" s="22"/>
      <c r="BD229" s="22"/>
      <c r="BE229" s="22"/>
      <c r="BF229" s="22"/>
      <c r="BG229" s="22"/>
      <c r="BH229" s="22"/>
      <c r="BI229" s="22"/>
      <c r="BJ229" s="22"/>
      <c r="BK229" s="22"/>
      <c r="BL229" s="22"/>
      <c r="BM229" s="22"/>
      <c r="BN229" s="22"/>
      <c r="BO229" s="22"/>
      <c r="BP229" s="22"/>
      <c r="BQ229" s="22"/>
      <c r="BR229" s="22"/>
      <c r="BS229" s="22"/>
      <c r="BT229" s="22"/>
      <c r="BU229" s="22"/>
      <c r="BV229" s="22"/>
      <c r="BW229" s="22"/>
      <c r="BX229" s="22"/>
      <c r="BY229" s="22"/>
      <c r="BZ229" s="22"/>
      <c r="CA229" s="22"/>
      <c r="CB229" s="22"/>
      <c r="CC229" s="22"/>
      <c r="CD229" s="22"/>
      <c r="CE229" s="22"/>
      <c r="CF229" s="22"/>
      <c r="CG229" s="22"/>
      <c r="CH229" s="22"/>
      <c r="CI229" s="22"/>
      <c r="CJ229" s="22"/>
      <c r="CK229" s="22"/>
      <c r="CL229" s="22"/>
      <c r="CM229" s="22"/>
      <c r="CN229" s="22"/>
      <c r="CO229" s="22"/>
      <c r="CP229" s="22"/>
      <c r="CQ229" s="22"/>
      <c r="CR229" s="22"/>
      <c r="CS229" s="22"/>
      <c r="CT229" s="22"/>
      <c r="CU229" s="22"/>
      <c r="CV229" s="22"/>
      <c r="CW229" s="22"/>
      <c r="CX229" s="22"/>
      <c r="CY229" s="22"/>
      <c r="CZ229" s="22"/>
      <c r="DA229" s="22"/>
      <c r="DB229" s="22"/>
      <c r="DC229" s="22"/>
      <c r="DD229" s="22"/>
      <c r="DE229" s="22"/>
      <c r="DF229" s="22"/>
      <c r="DG229" s="22"/>
      <c r="DH229" s="22"/>
      <c r="DI229" s="22"/>
      <c r="DJ229" s="22"/>
      <c r="DK229" s="22"/>
      <c r="DL229" s="22"/>
      <c r="DM229" s="22"/>
      <c r="DN229" s="22"/>
      <c r="DO229" s="22"/>
      <c r="DP229" s="22"/>
      <c r="DQ229" s="22"/>
      <c r="DR229" s="22"/>
      <c r="DS229" s="22"/>
      <c r="DT229" s="22"/>
      <c r="DU229" s="22"/>
      <c r="DV229" s="22"/>
      <c r="DW229" s="22"/>
      <c r="DX229" s="22"/>
      <c r="DY229" s="22"/>
      <c r="DZ229" s="22"/>
      <c r="EA229" s="22"/>
      <c r="EB229" s="22"/>
      <c r="EC229" s="22"/>
      <c r="ED229" s="22"/>
      <c r="EE229" s="22"/>
      <c r="EF229" s="22"/>
      <c r="EG229" s="22"/>
      <c r="EH229" s="22"/>
      <c r="EI229" s="22"/>
      <c r="EJ229" s="22"/>
      <c r="EK229" s="22"/>
      <c r="EL229" s="22"/>
      <c r="EM229" s="3"/>
      <c r="EN229" s="3"/>
      <c r="EO229" s="3"/>
      <c r="EP229" s="3"/>
      <c r="EQ229" s="3"/>
      <c r="ER229" s="3"/>
      <c r="ES229" s="3"/>
      <c r="ET229" s="3"/>
      <c r="EU229" s="3"/>
      <c r="EV229" s="3"/>
      <c r="EW229" s="3"/>
      <c r="EX229" s="3"/>
      <c r="EY229" s="3"/>
      <c r="EZ229" s="3"/>
      <c r="FA229" s="3"/>
      <c r="FB229" s="3"/>
      <c r="FC229" s="3"/>
      <c r="FD229" s="3"/>
      <c r="FE229" s="3"/>
      <c r="FF229" s="3"/>
      <c r="FG229" s="3"/>
      <c r="FH229" s="3"/>
      <c r="FI229" s="3"/>
      <c r="FJ229" s="3"/>
      <c r="FK229" s="3"/>
      <c r="FL229" s="3"/>
      <c r="FM229" s="3"/>
      <c r="FN229" s="3"/>
      <c r="FO229" s="3"/>
      <c r="FP229" s="3"/>
      <c r="FQ229" s="3"/>
      <c r="FR229" s="3"/>
      <c r="FS229" s="3"/>
      <c r="FT229" s="3"/>
      <c r="FU229" s="3"/>
      <c r="FV229" s="3"/>
      <c r="FW229" s="3"/>
      <c r="FX229" s="3"/>
      <c r="FY229" s="3"/>
      <c r="FZ229" s="3"/>
      <c r="GA229" s="3"/>
      <c r="GB229" s="3"/>
      <c r="GC229" s="3"/>
      <c r="GD229" s="3"/>
      <c r="GE229" s="3"/>
      <c r="GF229" s="3"/>
      <c r="GG229" s="3"/>
      <c r="GH229" s="3"/>
      <c r="GI229" s="3"/>
      <c r="GJ229" s="3"/>
      <c r="GK229" s="3"/>
      <c r="GL229" s="3"/>
      <c r="GM229" s="3"/>
      <c r="GN229" s="3"/>
      <c r="GO229" s="3"/>
      <c r="GP229" s="3"/>
      <c r="GQ229" s="3"/>
      <c r="GR229" s="3"/>
      <c r="GS229" s="3"/>
      <c r="GT229" s="3"/>
      <c r="GU229" s="3"/>
      <c r="GV229" s="3"/>
      <c r="GW229" s="3"/>
      <c r="GX229" s="3"/>
      <c r="GY229" s="3"/>
      <c r="GZ229" s="3"/>
      <c r="HA229" s="3"/>
      <c r="HB229" s="3"/>
      <c r="HC229" s="3"/>
      <c r="HD229" s="3"/>
      <c r="HE229" s="3"/>
      <c r="HF229" s="3"/>
      <c r="HG229" s="3"/>
      <c r="HH229" s="3"/>
      <c r="HI229" s="3"/>
      <c r="HJ229" s="3"/>
      <c r="HK229" s="3"/>
      <c r="HL229" s="3"/>
      <c r="HM229" s="3"/>
      <c r="HN229" s="3"/>
      <c r="HO229" s="3"/>
      <c r="HP229" s="3"/>
      <c r="HQ229" s="3"/>
      <c r="HR229" s="3"/>
      <c r="HS229" s="3"/>
      <c r="HT229" s="3"/>
      <c r="HU229" s="3"/>
      <c r="HV229" s="3"/>
      <c r="HW229" s="3"/>
      <c r="HX229" s="3"/>
      <c r="HY229" s="3"/>
      <c r="HZ229" s="3"/>
      <c r="IA229" s="3"/>
      <c r="IB229" s="3"/>
      <c r="IC229" s="3"/>
      <c r="ID229" s="3"/>
      <c r="IE229" s="3"/>
      <c r="IF229" s="3"/>
      <c r="IG229" s="3"/>
      <c r="IH229" s="3"/>
      <c r="II229" s="3"/>
      <c r="IJ229" s="3"/>
      <c r="IK229" s="3"/>
      <c r="IL229" s="3"/>
      <c r="IM229" s="3"/>
      <c r="IN229" s="3"/>
      <c r="IO229" s="3"/>
      <c r="IP229" s="3"/>
      <c r="IQ229" s="3"/>
      <c r="IR229" s="3"/>
      <c r="IS229" s="3"/>
      <c r="IT229" s="3"/>
      <c r="IU229" s="3"/>
      <c r="IV229" s="3"/>
      <c r="IW229" s="3"/>
    </row>
    <row r="230" customFormat="false" ht="12.75" hidden="false" customHeight="false" outlineLevel="0" collapsed="false">
      <c r="A230" s="22"/>
      <c r="B230" s="348" t="s">
        <v>329</v>
      </c>
      <c r="C230" s="349" t="n">
        <f aca="false">SrDebt!C111</f>
        <v>12580.9312927461</v>
      </c>
      <c r="D230" s="350" t="n">
        <f aca="false">SrDebt!C117</f>
        <v>0</v>
      </c>
      <c r="E230" s="351" t="n">
        <f aca="false">SUM(C230:D230)</f>
        <v>12580.9312927461</v>
      </c>
      <c r="F230" s="352"/>
      <c r="G230" s="353"/>
      <c r="H230" s="22"/>
      <c r="I230" s="22"/>
      <c r="J230" s="22"/>
      <c r="K230" s="22"/>
      <c r="L230" s="22"/>
      <c r="M230" s="22"/>
      <c r="N230" s="22"/>
      <c r="O230" s="22"/>
      <c r="P230" s="22"/>
      <c r="Q230" s="22"/>
      <c r="R230" s="22"/>
      <c r="S230" s="22"/>
      <c r="T230" s="22"/>
      <c r="U230" s="22"/>
      <c r="V230" s="22"/>
      <c r="W230" s="22"/>
      <c r="X230" s="22"/>
      <c r="Y230" s="22"/>
      <c r="Z230" s="22"/>
      <c r="AA230" s="22"/>
      <c r="AB230" s="22"/>
      <c r="AC230" s="22"/>
      <c r="AD230" s="22"/>
      <c r="AE230" s="22"/>
      <c r="AF230" s="22"/>
      <c r="AG230" s="22"/>
      <c r="AH230" s="22"/>
      <c r="AI230" s="22"/>
      <c r="AJ230" s="22"/>
      <c r="AK230" s="22"/>
      <c r="AL230" s="22"/>
      <c r="AM230" s="22"/>
      <c r="AN230" s="22"/>
      <c r="AO230" s="22"/>
      <c r="AP230" s="22"/>
      <c r="AQ230" s="22"/>
      <c r="AR230" s="22"/>
      <c r="AS230" s="22"/>
      <c r="AT230" s="22"/>
      <c r="AU230" s="22"/>
      <c r="AV230" s="22"/>
      <c r="AW230" s="22"/>
      <c r="AX230" s="22"/>
      <c r="AY230" s="22"/>
      <c r="AZ230" s="22"/>
      <c r="BA230" s="22"/>
      <c r="BB230" s="22"/>
      <c r="BC230" s="22"/>
      <c r="BD230" s="22"/>
      <c r="BE230" s="22"/>
      <c r="BF230" s="22"/>
      <c r="BG230" s="22"/>
      <c r="BH230" s="22"/>
      <c r="BI230" s="22"/>
      <c r="BJ230" s="22"/>
      <c r="BK230" s="22"/>
      <c r="BL230" s="22"/>
      <c r="BM230" s="22"/>
      <c r="BN230" s="22"/>
      <c r="BO230" s="22"/>
      <c r="BP230" s="22"/>
      <c r="BQ230" s="22"/>
      <c r="BR230" s="22"/>
      <c r="BS230" s="22"/>
      <c r="BT230" s="22"/>
      <c r="BU230" s="22"/>
      <c r="BV230" s="22"/>
      <c r="BW230" s="22"/>
      <c r="BX230" s="22"/>
      <c r="BY230" s="22"/>
      <c r="BZ230" s="22"/>
      <c r="CA230" s="22"/>
      <c r="CB230" s="22"/>
      <c r="CC230" s="22"/>
      <c r="CD230" s="22"/>
      <c r="CE230" s="22"/>
      <c r="CF230" s="22"/>
      <c r="CG230" s="22"/>
      <c r="CH230" s="22"/>
      <c r="CI230" s="22"/>
      <c r="CJ230" s="22"/>
      <c r="CK230" s="22"/>
      <c r="CL230" s="22"/>
      <c r="CM230" s="22"/>
      <c r="CN230" s="22"/>
      <c r="CO230" s="22"/>
      <c r="CP230" s="22"/>
      <c r="CQ230" s="22"/>
      <c r="CR230" s="22"/>
      <c r="CS230" s="22"/>
      <c r="CT230" s="22"/>
      <c r="CU230" s="22"/>
      <c r="CV230" s="22"/>
      <c r="CW230" s="22"/>
      <c r="CX230" s="22"/>
      <c r="CY230" s="22"/>
      <c r="CZ230" s="22"/>
      <c r="DA230" s="22"/>
      <c r="DB230" s="22"/>
      <c r="DC230" s="22"/>
      <c r="DD230" s="22"/>
      <c r="DE230" s="22"/>
      <c r="DF230" s="22"/>
      <c r="DG230" s="22"/>
      <c r="DH230" s="22"/>
      <c r="DI230" s="22"/>
      <c r="DJ230" s="22"/>
      <c r="DK230" s="22"/>
      <c r="DL230" s="22"/>
      <c r="DM230" s="22"/>
      <c r="DN230" s="22"/>
      <c r="DO230" s="22"/>
      <c r="DP230" s="22"/>
      <c r="DQ230" s="22"/>
      <c r="DR230" s="22"/>
      <c r="DS230" s="22"/>
      <c r="DT230" s="22"/>
      <c r="DU230" s="22"/>
      <c r="DV230" s="22"/>
      <c r="DW230" s="22"/>
      <c r="DX230" s="22"/>
      <c r="DY230" s="22"/>
      <c r="DZ230" s="22"/>
      <c r="EA230" s="22"/>
      <c r="EB230" s="22"/>
      <c r="EC230" s="22"/>
      <c r="ED230" s="22"/>
      <c r="EE230" s="22"/>
      <c r="EF230" s="22"/>
      <c r="EG230" s="22"/>
      <c r="EH230" s="22"/>
      <c r="EI230" s="22"/>
      <c r="EJ230" s="22"/>
      <c r="EK230" s="22"/>
      <c r="EL230" s="22"/>
      <c r="EM230" s="3"/>
      <c r="EN230" s="3"/>
      <c r="EO230" s="3"/>
      <c r="EP230" s="3"/>
      <c r="EQ230" s="3"/>
      <c r="ER230" s="3"/>
      <c r="ES230" s="3"/>
      <c r="ET230" s="3"/>
      <c r="EU230" s="3"/>
      <c r="EV230" s="3"/>
      <c r="EW230" s="3"/>
      <c r="EX230" s="3"/>
      <c r="EY230" s="3"/>
      <c r="EZ230" s="3"/>
      <c r="FA230" s="3"/>
      <c r="FB230" s="3"/>
      <c r="FC230" s="3"/>
      <c r="FD230" s="3"/>
      <c r="FE230" s="3"/>
      <c r="FF230" s="3"/>
      <c r="FG230" s="3"/>
      <c r="FH230" s="3"/>
      <c r="FI230" s="3"/>
      <c r="FJ230" s="3"/>
      <c r="FK230" s="3"/>
      <c r="FL230" s="3"/>
      <c r="FM230" s="3"/>
      <c r="FN230" s="3"/>
      <c r="FO230" s="3"/>
      <c r="FP230" s="3"/>
      <c r="FQ230" s="3"/>
      <c r="FR230" s="3"/>
      <c r="FS230" s="3"/>
      <c r="FT230" s="3"/>
      <c r="FU230" s="3"/>
      <c r="FV230" s="3"/>
      <c r="FW230" s="3"/>
      <c r="FX230" s="3"/>
      <c r="FY230" s="3"/>
      <c r="FZ230" s="3"/>
      <c r="GA230" s="3"/>
      <c r="GB230" s="3"/>
      <c r="GC230" s="3"/>
      <c r="GD230" s="3"/>
      <c r="GE230" s="3"/>
      <c r="GF230" s="3"/>
      <c r="GG230" s="3"/>
      <c r="GH230" s="3"/>
      <c r="GI230" s="3"/>
      <c r="GJ230" s="3"/>
      <c r="GK230" s="3"/>
      <c r="GL230" s="3"/>
      <c r="GM230" s="3"/>
      <c r="GN230" s="3"/>
      <c r="GO230" s="3"/>
      <c r="GP230" s="3"/>
      <c r="GQ230" s="3"/>
      <c r="GR230" s="3"/>
      <c r="GS230" s="3"/>
      <c r="GT230" s="3"/>
      <c r="GU230" s="3"/>
      <c r="GV230" s="3"/>
      <c r="GW230" s="3"/>
      <c r="GX230" s="3"/>
      <c r="GY230" s="3"/>
      <c r="GZ230" s="3"/>
      <c r="HA230" s="3"/>
      <c r="HB230" s="3"/>
      <c r="HC230" s="3"/>
      <c r="HD230" s="3"/>
      <c r="HE230" s="3"/>
      <c r="HF230" s="3"/>
      <c r="HG230" s="3"/>
      <c r="HH230" s="3"/>
      <c r="HI230" s="3"/>
      <c r="HJ230" s="3"/>
      <c r="HK230" s="3"/>
      <c r="HL230" s="3"/>
      <c r="HM230" s="3"/>
      <c r="HN230" s="3"/>
      <c r="HO230" s="3"/>
      <c r="HP230" s="3"/>
      <c r="HQ230" s="3"/>
      <c r="HR230" s="3"/>
      <c r="HS230" s="3"/>
      <c r="HT230" s="3"/>
      <c r="HU230" s="3"/>
      <c r="HV230" s="3"/>
      <c r="HW230" s="3"/>
      <c r="HX230" s="3"/>
      <c r="HY230" s="3"/>
      <c r="HZ230" s="3"/>
      <c r="IA230" s="3"/>
      <c r="IB230" s="3"/>
      <c r="IC230" s="3"/>
      <c r="ID230" s="3"/>
      <c r="IE230" s="3"/>
      <c r="IF230" s="3"/>
      <c r="IG230" s="3"/>
      <c r="IH230" s="3"/>
      <c r="II230" s="3"/>
      <c r="IJ230" s="3"/>
      <c r="IK230" s="3"/>
      <c r="IL230" s="3"/>
      <c r="IM230" s="3"/>
      <c r="IN230" s="3"/>
      <c r="IO230" s="3"/>
      <c r="IP230" s="3"/>
      <c r="IQ230" s="3"/>
      <c r="IR230" s="3"/>
      <c r="IS230" s="3"/>
      <c r="IT230" s="3"/>
      <c r="IU230" s="3"/>
      <c r="IV230" s="3"/>
      <c r="IW230" s="3"/>
    </row>
    <row r="231" customFormat="false" ht="12.75" hidden="false" customHeight="false" outlineLevel="0" collapsed="false">
      <c r="A231" s="22"/>
      <c r="B231" s="348" t="s">
        <v>330</v>
      </c>
      <c r="C231" s="354" t="n">
        <f aca="false">SrDebt!G21</f>
        <v>17</v>
      </c>
      <c r="D231" s="354" t="n">
        <f aca="false">SrDebt!G66</f>
        <v>0</v>
      </c>
      <c r="E231" s="352"/>
      <c r="F231" s="352"/>
      <c r="G231" s="353"/>
      <c r="H231" s="22"/>
      <c r="I231" s="22"/>
      <c r="J231" s="22"/>
      <c r="K231" s="22"/>
      <c r="L231" s="22"/>
      <c r="M231" s="22"/>
      <c r="N231" s="22"/>
      <c r="O231" s="22"/>
      <c r="P231" s="22"/>
      <c r="Q231" s="22"/>
      <c r="R231" s="22"/>
      <c r="S231" s="22"/>
      <c r="T231" s="22"/>
      <c r="U231" s="22"/>
      <c r="V231" s="22"/>
      <c r="W231" s="22"/>
      <c r="X231" s="22"/>
      <c r="Y231" s="22"/>
      <c r="Z231" s="22"/>
      <c r="AA231" s="22"/>
      <c r="AB231" s="22"/>
      <c r="AC231" s="22"/>
      <c r="AD231" s="22"/>
      <c r="AE231" s="22"/>
      <c r="AF231" s="22"/>
      <c r="AG231" s="22"/>
      <c r="AH231" s="22"/>
      <c r="AI231" s="22"/>
      <c r="AJ231" s="22"/>
      <c r="AK231" s="22"/>
      <c r="AL231" s="22"/>
      <c r="AM231" s="22"/>
      <c r="AN231" s="22"/>
      <c r="AO231" s="22"/>
      <c r="AP231" s="22"/>
      <c r="AQ231" s="22"/>
      <c r="AR231" s="22"/>
      <c r="AS231" s="22"/>
      <c r="AT231" s="22"/>
      <c r="AU231" s="22"/>
      <c r="AV231" s="22"/>
      <c r="AW231" s="22"/>
      <c r="AX231" s="22"/>
      <c r="AY231" s="22"/>
      <c r="AZ231" s="22"/>
      <c r="BA231" s="22"/>
      <c r="BB231" s="22"/>
      <c r="BC231" s="22"/>
      <c r="BD231" s="22"/>
      <c r="BE231" s="22"/>
      <c r="BF231" s="22"/>
      <c r="BG231" s="22"/>
      <c r="BH231" s="22"/>
      <c r="BI231" s="22"/>
      <c r="BJ231" s="22"/>
      <c r="BK231" s="22"/>
      <c r="BL231" s="22"/>
      <c r="BM231" s="22"/>
      <c r="BN231" s="22"/>
      <c r="BO231" s="22"/>
      <c r="BP231" s="22"/>
      <c r="BQ231" s="22"/>
      <c r="BR231" s="22"/>
      <c r="BS231" s="22"/>
      <c r="BT231" s="22"/>
      <c r="BU231" s="22"/>
      <c r="BV231" s="22"/>
      <c r="BW231" s="22"/>
      <c r="BX231" s="22"/>
      <c r="BY231" s="22"/>
      <c r="BZ231" s="22"/>
      <c r="CA231" s="22"/>
      <c r="CB231" s="22"/>
      <c r="CC231" s="22"/>
      <c r="CD231" s="22"/>
      <c r="CE231" s="22"/>
      <c r="CF231" s="22"/>
      <c r="CG231" s="22"/>
      <c r="CH231" s="22"/>
      <c r="CI231" s="22"/>
      <c r="CJ231" s="22"/>
      <c r="CK231" s="22"/>
      <c r="CL231" s="22"/>
      <c r="CM231" s="22"/>
      <c r="CN231" s="22"/>
      <c r="CO231" s="22"/>
      <c r="CP231" s="22"/>
      <c r="CQ231" s="22"/>
      <c r="CR231" s="22"/>
      <c r="CS231" s="22"/>
      <c r="CT231" s="22"/>
      <c r="CU231" s="22"/>
      <c r="CV231" s="22"/>
      <c r="CW231" s="22"/>
      <c r="CX231" s="22"/>
      <c r="CY231" s="22"/>
      <c r="CZ231" s="22"/>
      <c r="DA231" s="22"/>
      <c r="DB231" s="22"/>
      <c r="DC231" s="22"/>
      <c r="DD231" s="22"/>
      <c r="DE231" s="22"/>
      <c r="DF231" s="22"/>
      <c r="DG231" s="22"/>
      <c r="DH231" s="22"/>
      <c r="DI231" s="22"/>
      <c r="DJ231" s="22"/>
      <c r="DK231" s="22"/>
      <c r="DL231" s="22"/>
      <c r="DM231" s="22"/>
      <c r="DN231" s="22"/>
      <c r="DO231" s="22"/>
      <c r="DP231" s="22"/>
      <c r="DQ231" s="22"/>
      <c r="DR231" s="22"/>
      <c r="DS231" s="22"/>
      <c r="DT231" s="22"/>
      <c r="DU231" s="22"/>
      <c r="DV231" s="22"/>
      <c r="DW231" s="22"/>
      <c r="DX231" s="22"/>
      <c r="DY231" s="22"/>
      <c r="DZ231" s="22"/>
      <c r="EA231" s="22"/>
      <c r="EB231" s="22"/>
      <c r="EC231" s="22"/>
      <c r="ED231" s="22"/>
      <c r="EE231" s="22"/>
      <c r="EF231" s="22"/>
      <c r="EG231" s="22"/>
      <c r="EH231" s="22"/>
      <c r="EI231" s="22"/>
      <c r="EJ231" s="22"/>
      <c r="EK231" s="22"/>
      <c r="EL231" s="22"/>
      <c r="EM231" s="3"/>
      <c r="EN231" s="3"/>
      <c r="EO231" s="3"/>
      <c r="EP231" s="3"/>
      <c r="EQ231" s="3"/>
      <c r="ER231" s="3"/>
      <c r="ES231" s="3"/>
      <c r="ET231" s="3"/>
      <c r="EU231" s="3"/>
      <c r="EV231" s="3"/>
      <c r="EW231" s="3"/>
      <c r="EX231" s="3"/>
      <c r="EY231" s="3"/>
      <c r="EZ231" s="3"/>
      <c r="FA231" s="3"/>
      <c r="FB231" s="3"/>
      <c r="FC231" s="3"/>
      <c r="FD231" s="3"/>
      <c r="FE231" s="3"/>
      <c r="FF231" s="3"/>
      <c r="FG231" s="3"/>
      <c r="FH231" s="3"/>
      <c r="FI231" s="3"/>
      <c r="FJ231" s="3"/>
      <c r="FK231" s="3"/>
      <c r="FL231" s="3"/>
      <c r="FM231" s="3"/>
      <c r="FN231" s="3"/>
      <c r="FO231" s="3"/>
      <c r="FP231" s="3"/>
      <c r="FQ231" s="3"/>
      <c r="FR231" s="3"/>
      <c r="FS231" s="3"/>
      <c r="FT231" s="3"/>
      <c r="FU231" s="3"/>
      <c r="FV231" s="3"/>
      <c r="FW231" s="3"/>
      <c r="FX231" s="3"/>
      <c r="FY231" s="3"/>
      <c r="FZ231" s="3"/>
      <c r="GA231" s="3"/>
      <c r="GB231" s="3"/>
      <c r="GC231" s="3"/>
      <c r="GD231" s="3"/>
      <c r="GE231" s="3"/>
      <c r="GF231" s="3"/>
      <c r="GG231" s="3"/>
      <c r="GH231" s="3"/>
      <c r="GI231" s="3"/>
      <c r="GJ231" s="3"/>
      <c r="GK231" s="3"/>
      <c r="GL231" s="3"/>
      <c r="GM231" s="3"/>
      <c r="GN231" s="3"/>
      <c r="GO231" s="3"/>
      <c r="GP231" s="3"/>
      <c r="GQ231" s="3"/>
      <c r="GR231" s="3"/>
      <c r="GS231" s="3"/>
      <c r="GT231" s="3"/>
      <c r="GU231" s="3"/>
      <c r="GV231" s="3"/>
      <c r="GW231" s="3"/>
      <c r="GX231" s="3"/>
      <c r="GY231" s="3"/>
      <c r="GZ231" s="3"/>
      <c r="HA231" s="3"/>
      <c r="HB231" s="3"/>
      <c r="HC231" s="3"/>
      <c r="HD231" s="3"/>
      <c r="HE231" s="3"/>
      <c r="HF231" s="3"/>
      <c r="HG231" s="3"/>
      <c r="HH231" s="3"/>
      <c r="HI231" s="3"/>
      <c r="HJ231" s="3"/>
      <c r="HK231" s="3"/>
      <c r="HL231" s="3"/>
      <c r="HM231" s="3"/>
      <c r="HN231" s="3"/>
      <c r="HO231" s="3"/>
      <c r="HP231" s="3"/>
      <c r="HQ231" s="3"/>
      <c r="HR231" s="3"/>
      <c r="HS231" s="3"/>
      <c r="HT231" s="3"/>
      <c r="HU231" s="3"/>
      <c r="HV231" s="3"/>
      <c r="HW231" s="3"/>
      <c r="HX231" s="3"/>
      <c r="HY231" s="3"/>
      <c r="HZ231" s="3"/>
      <c r="IA231" s="3"/>
      <c r="IB231" s="3"/>
      <c r="IC231" s="3"/>
      <c r="ID231" s="3"/>
      <c r="IE231" s="3"/>
      <c r="IF231" s="3"/>
      <c r="IG231" s="3"/>
      <c r="IH231" s="3"/>
      <c r="II231" s="3"/>
      <c r="IJ231" s="3"/>
      <c r="IK231" s="3"/>
      <c r="IL231" s="3"/>
      <c r="IM231" s="3"/>
      <c r="IN231" s="3"/>
      <c r="IO231" s="3"/>
      <c r="IP231" s="3"/>
      <c r="IQ231" s="3"/>
      <c r="IR231" s="3"/>
      <c r="IS231" s="3"/>
      <c r="IT231" s="3"/>
      <c r="IU231" s="3"/>
      <c r="IV231" s="3"/>
      <c r="IW231" s="3"/>
    </row>
    <row r="232" customFormat="false" ht="12.75" hidden="false" customHeight="false" outlineLevel="0" collapsed="false">
      <c r="A232" s="22"/>
      <c r="B232" s="348" t="s">
        <v>331</v>
      </c>
      <c r="C232" s="355" t="n">
        <f aca="false">HLOOKUP($E$238,SR_COVRATIO,3)</f>
        <v>1.4810861714886</v>
      </c>
      <c r="D232" s="355" t="str">
        <f aca="false">HLOOKUP($E$257,SR_COVRATIO_B,3)</f>
        <v> </v>
      </c>
      <c r="E232" s="352"/>
      <c r="F232" s="352"/>
      <c r="G232" s="353"/>
      <c r="H232" s="22"/>
      <c r="I232" s="22"/>
      <c r="J232" s="22"/>
      <c r="K232" s="22"/>
      <c r="L232" s="22"/>
      <c r="M232" s="22"/>
      <c r="N232" s="22"/>
      <c r="O232" s="22"/>
      <c r="P232" s="22"/>
      <c r="Q232" s="22"/>
      <c r="R232" s="22"/>
      <c r="S232" s="22"/>
      <c r="T232" s="22"/>
      <c r="U232" s="22"/>
      <c r="V232" s="22"/>
      <c r="W232" s="22"/>
      <c r="X232" s="22"/>
      <c r="Y232" s="22"/>
      <c r="Z232" s="22"/>
      <c r="AA232" s="22"/>
      <c r="AB232" s="22"/>
      <c r="AC232" s="22"/>
      <c r="AD232" s="22"/>
      <c r="AE232" s="22"/>
      <c r="AF232" s="22"/>
      <c r="AG232" s="22"/>
      <c r="AH232" s="22"/>
      <c r="AI232" s="22"/>
      <c r="AJ232" s="22"/>
      <c r="AK232" s="22"/>
      <c r="AL232" s="22"/>
      <c r="AM232" s="22"/>
      <c r="AN232" s="22"/>
      <c r="AO232" s="22"/>
      <c r="AP232" s="22"/>
      <c r="AQ232" s="22"/>
      <c r="AR232" s="22"/>
      <c r="AS232" s="22"/>
      <c r="AT232" s="22"/>
      <c r="AU232" s="22"/>
      <c r="AV232" s="22"/>
      <c r="AW232" s="22"/>
      <c r="AX232" s="22"/>
      <c r="AY232" s="22"/>
      <c r="AZ232" s="22"/>
      <c r="BA232" s="22"/>
      <c r="BB232" s="22"/>
      <c r="BC232" s="22"/>
      <c r="BD232" s="22"/>
      <c r="BE232" s="22"/>
      <c r="BF232" s="22"/>
      <c r="BG232" s="22"/>
      <c r="BH232" s="22"/>
      <c r="BI232" s="22"/>
      <c r="BJ232" s="22"/>
      <c r="BK232" s="22"/>
      <c r="BL232" s="22"/>
      <c r="BM232" s="22"/>
      <c r="BN232" s="22"/>
      <c r="BO232" s="22"/>
      <c r="BP232" s="22"/>
      <c r="BQ232" s="22"/>
      <c r="BR232" s="22"/>
      <c r="BS232" s="22"/>
      <c r="BT232" s="22"/>
      <c r="BU232" s="22"/>
      <c r="BV232" s="22"/>
      <c r="BW232" s="22"/>
      <c r="BX232" s="22"/>
      <c r="BY232" s="22"/>
      <c r="BZ232" s="22"/>
      <c r="CA232" s="22"/>
      <c r="CB232" s="22"/>
      <c r="CC232" s="22"/>
      <c r="CD232" s="22"/>
      <c r="CE232" s="22"/>
      <c r="CF232" s="22"/>
      <c r="CG232" s="22"/>
      <c r="CH232" s="22"/>
      <c r="CI232" s="22"/>
      <c r="CJ232" s="22"/>
      <c r="CK232" s="22"/>
      <c r="CL232" s="22"/>
      <c r="CM232" s="22"/>
      <c r="CN232" s="22"/>
      <c r="CO232" s="22"/>
      <c r="CP232" s="22"/>
      <c r="CQ232" s="22"/>
      <c r="CR232" s="22"/>
      <c r="CS232" s="22"/>
      <c r="CT232" s="22"/>
      <c r="CU232" s="22"/>
      <c r="CV232" s="22"/>
      <c r="CW232" s="22"/>
      <c r="CX232" s="22"/>
      <c r="CY232" s="22"/>
      <c r="CZ232" s="22"/>
      <c r="DA232" s="22"/>
      <c r="DB232" s="22"/>
      <c r="DC232" s="22"/>
      <c r="DD232" s="22"/>
      <c r="DE232" s="22"/>
      <c r="DF232" s="22"/>
      <c r="DG232" s="22"/>
      <c r="DH232" s="22"/>
      <c r="DI232" s="22"/>
      <c r="DJ232" s="22"/>
      <c r="DK232" s="22"/>
      <c r="DL232" s="22"/>
      <c r="DM232" s="22"/>
      <c r="DN232" s="22"/>
      <c r="DO232" s="22"/>
      <c r="DP232" s="22"/>
      <c r="DQ232" s="22"/>
      <c r="DR232" s="22"/>
      <c r="DS232" s="22"/>
      <c r="DT232" s="22"/>
      <c r="DU232" s="22"/>
      <c r="DV232" s="22"/>
      <c r="DW232" s="22"/>
      <c r="DX232" s="22"/>
      <c r="DY232" s="22"/>
      <c r="DZ232" s="22"/>
      <c r="EA232" s="22"/>
      <c r="EB232" s="22"/>
      <c r="EC232" s="22"/>
      <c r="ED232" s="22"/>
      <c r="EE232" s="22"/>
      <c r="EF232" s="22"/>
      <c r="EG232" s="22"/>
      <c r="EH232" s="22"/>
      <c r="EI232" s="22"/>
      <c r="EJ232" s="22"/>
      <c r="EK232" s="22"/>
      <c r="EL232" s="22"/>
      <c r="EM232" s="3"/>
      <c r="EN232" s="3"/>
      <c r="EO232" s="3"/>
      <c r="EP232" s="3"/>
      <c r="EQ232" s="3"/>
      <c r="ER232" s="3"/>
      <c r="ES232" s="3"/>
      <c r="ET232" s="3"/>
      <c r="EU232" s="3"/>
      <c r="EV232" s="3"/>
      <c r="EW232" s="3"/>
      <c r="EX232" s="3"/>
      <c r="EY232" s="3"/>
      <c r="EZ232" s="3"/>
      <c r="FA232" s="3"/>
      <c r="FB232" s="3"/>
      <c r="FC232" s="3"/>
      <c r="FD232" s="3"/>
      <c r="FE232" s="3"/>
      <c r="FF232" s="3"/>
      <c r="FG232" s="3"/>
      <c r="FH232" s="3"/>
      <c r="FI232" s="3"/>
      <c r="FJ232" s="3"/>
      <c r="FK232" s="3"/>
      <c r="FL232" s="3"/>
      <c r="FM232" s="3"/>
      <c r="FN232" s="3"/>
      <c r="FO232" s="3"/>
      <c r="FP232" s="3"/>
      <c r="FQ232" s="3"/>
      <c r="FR232" s="3"/>
      <c r="FS232" s="3"/>
      <c r="FT232" s="3"/>
      <c r="FU232" s="3"/>
      <c r="FV232" s="3"/>
      <c r="FW232" s="3"/>
      <c r="FX232" s="3"/>
      <c r="FY232" s="3"/>
      <c r="FZ232" s="3"/>
      <c r="GA232" s="3"/>
      <c r="GB232" s="3"/>
      <c r="GC232" s="3"/>
      <c r="GD232" s="3"/>
      <c r="GE232" s="3"/>
      <c r="GF232" s="3"/>
      <c r="GG232" s="3"/>
      <c r="GH232" s="3"/>
      <c r="GI232" s="3"/>
      <c r="GJ232" s="3"/>
      <c r="GK232" s="3"/>
      <c r="GL232" s="3"/>
      <c r="GM232" s="3"/>
      <c r="GN232" s="3"/>
      <c r="GO232" s="3"/>
      <c r="GP232" s="3"/>
      <c r="GQ232" s="3"/>
      <c r="GR232" s="3"/>
      <c r="GS232" s="3"/>
      <c r="GT232" s="3"/>
      <c r="GU232" s="3"/>
      <c r="GV232" s="3"/>
      <c r="GW232" s="3"/>
      <c r="GX232" s="3"/>
      <c r="GY232" s="3"/>
      <c r="GZ232" s="3"/>
      <c r="HA232" s="3"/>
      <c r="HB232" s="3"/>
      <c r="HC232" s="3"/>
      <c r="HD232" s="3"/>
      <c r="HE232" s="3"/>
      <c r="HF232" s="3"/>
      <c r="HG232" s="3"/>
      <c r="HH232" s="3"/>
      <c r="HI232" s="3"/>
      <c r="HJ232" s="3"/>
      <c r="HK232" s="3"/>
      <c r="HL232" s="3"/>
      <c r="HM232" s="3"/>
      <c r="HN232" s="3"/>
      <c r="HO232" s="3"/>
      <c r="HP232" s="3"/>
      <c r="HQ232" s="3"/>
      <c r="HR232" s="3"/>
      <c r="HS232" s="3"/>
      <c r="HT232" s="3"/>
      <c r="HU232" s="3"/>
      <c r="HV232" s="3"/>
      <c r="HW232" s="3"/>
      <c r="HX232" s="3"/>
      <c r="HY232" s="3"/>
      <c r="HZ232" s="3"/>
      <c r="IA232" s="3"/>
      <c r="IB232" s="3"/>
      <c r="IC232" s="3"/>
      <c r="ID232" s="3"/>
      <c r="IE232" s="3"/>
      <c r="IF232" s="3"/>
      <c r="IG232" s="3"/>
      <c r="IH232" s="3"/>
      <c r="II232" s="3"/>
      <c r="IJ232" s="3"/>
      <c r="IK232" s="3"/>
      <c r="IL232" s="3"/>
      <c r="IM232" s="3"/>
      <c r="IN232" s="3"/>
      <c r="IO232" s="3"/>
      <c r="IP232" s="3"/>
      <c r="IQ232" s="3"/>
      <c r="IR232" s="3"/>
      <c r="IS232" s="3"/>
      <c r="IT232" s="3"/>
      <c r="IU232" s="3"/>
      <c r="IV232" s="3"/>
      <c r="IW232" s="3"/>
    </row>
    <row r="233" customFormat="false" ht="12.75" hidden="false" customHeight="false" outlineLevel="0" collapsed="false">
      <c r="A233" s="22"/>
      <c r="B233" s="348" t="s">
        <v>332</v>
      </c>
      <c r="C233" s="355" t="str">
        <f aca="false">HLOOKUP($E$238+1,SR_COVRATIO,3)</f>
        <v> </v>
      </c>
      <c r="D233" s="355" t="str">
        <f aca="false">HLOOKUP($E$257+1,SR_COVRATIO_B,3)</f>
        <v> </v>
      </c>
      <c r="E233" s="356" t="s">
        <v>333</v>
      </c>
      <c r="F233" s="356" t="s">
        <v>334</v>
      </c>
      <c r="G233" s="357"/>
      <c r="H233" s="22"/>
      <c r="I233" s="22"/>
      <c r="J233" s="22"/>
      <c r="K233" s="22"/>
      <c r="L233" s="22"/>
      <c r="M233" s="22"/>
      <c r="N233" s="22"/>
      <c r="O233" s="22"/>
      <c r="P233" s="22"/>
      <c r="Q233" s="22"/>
      <c r="R233" s="22"/>
      <c r="S233" s="22"/>
      <c r="T233" s="22"/>
      <c r="U233" s="22"/>
      <c r="V233" s="22"/>
      <c r="W233" s="22"/>
      <c r="X233" s="22"/>
      <c r="Y233" s="22"/>
      <c r="Z233" s="22"/>
      <c r="AA233" s="22"/>
      <c r="AB233" s="22"/>
      <c r="AC233" s="22"/>
      <c r="AD233" s="22"/>
      <c r="AE233" s="22"/>
      <c r="AF233" s="22"/>
      <c r="AG233" s="22"/>
      <c r="AH233" s="22"/>
      <c r="AI233" s="22"/>
      <c r="AJ233" s="22"/>
      <c r="AK233" s="22"/>
      <c r="AL233" s="22"/>
      <c r="AM233" s="22"/>
      <c r="AN233" s="22"/>
      <c r="AO233" s="22"/>
      <c r="AP233" s="22"/>
      <c r="AQ233" s="22"/>
      <c r="AR233" s="22"/>
      <c r="AS233" s="22"/>
      <c r="AT233" s="22"/>
      <c r="AU233" s="22"/>
      <c r="AV233" s="22"/>
      <c r="AW233" s="22"/>
      <c r="AX233" s="22"/>
      <c r="AY233" s="22"/>
      <c r="AZ233" s="22"/>
      <c r="BA233" s="22"/>
      <c r="BB233" s="22"/>
      <c r="BC233" s="22"/>
      <c r="BD233" s="22"/>
      <c r="BE233" s="22"/>
      <c r="BF233" s="22"/>
      <c r="BG233" s="22"/>
      <c r="BH233" s="22"/>
      <c r="BI233" s="22"/>
      <c r="BJ233" s="22"/>
      <c r="BK233" s="22"/>
      <c r="BL233" s="22"/>
      <c r="BM233" s="22"/>
      <c r="BN233" s="22"/>
      <c r="BO233" s="22"/>
      <c r="BP233" s="22"/>
      <c r="BQ233" s="22"/>
      <c r="BR233" s="22"/>
      <c r="BS233" s="22"/>
      <c r="BT233" s="22"/>
      <c r="BU233" s="22"/>
      <c r="BV233" s="22"/>
      <c r="BW233" s="22"/>
      <c r="BX233" s="22"/>
      <c r="BY233" s="22"/>
      <c r="BZ233" s="22"/>
      <c r="CA233" s="22"/>
      <c r="CB233" s="22"/>
      <c r="CC233" s="22"/>
      <c r="CD233" s="22"/>
      <c r="CE233" s="22"/>
      <c r="CF233" s="22"/>
      <c r="CG233" s="22"/>
      <c r="CH233" s="22"/>
      <c r="CI233" s="22"/>
      <c r="CJ233" s="22"/>
      <c r="CK233" s="22"/>
      <c r="CL233" s="22"/>
      <c r="CM233" s="22"/>
      <c r="CN233" s="22"/>
      <c r="CO233" s="22"/>
      <c r="CP233" s="22"/>
      <c r="CQ233" s="22"/>
      <c r="CR233" s="22"/>
      <c r="CS233" s="22"/>
      <c r="CT233" s="22"/>
      <c r="CU233" s="22"/>
      <c r="CV233" s="22"/>
      <c r="CW233" s="22"/>
      <c r="CX233" s="22"/>
      <c r="CY233" s="22"/>
      <c r="CZ233" s="22"/>
      <c r="DA233" s="22"/>
      <c r="DB233" s="22"/>
      <c r="DC233" s="22"/>
      <c r="DD233" s="22"/>
      <c r="DE233" s="22"/>
      <c r="DF233" s="22"/>
      <c r="DG233" s="22"/>
      <c r="DH233" s="22"/>
      <c r="DI233" s="22"/>
      <c r="DJ233" s="22"/>
      <c r="DK233" s="22"/>
      <c r="DL233" s="22"/>
      <c r="DM233" s="22"/>
      <c r="DN233" s="22"/>
      <c r="DO233" s="22"/>
      <c r="DP233" s="22"/>
      <c r="DQ233" s="22"/>
      <c r="DR233" s="22"/>
      <c r="DS233" s="22"/>
      <c r="DT233" s="22"/>
      <c r="DU233" s="22"/>
      <c r="DV233" s="22"/>
      <c r="DW233" s="22"/>
      <c r="DX233" s="22"/>
      <c r="DY233" s="22"/>
      <c r="DZ233" s="22"/>
      <c r="EA233" s="22"/>
      <c r="EB233" s="22"/>
      <c r="EC233" s="22"/>
      <c r="ED233" s="22"/>
      <c r="EE233" s="22"/>
      <c r="EF233" s="22"/>
      <c r="EG233" s="22"/>
      <c r="EH233" s="22"/>
      <c r="EI233" s="22"/>
      <c r="EJ233" s="22"/>
      <c r="EK233" s="22"/>
      <c r="EL233" s="22"/>
      <c r="EM233" s="3"/>
      <c r="EN233" s="3"/>
      <c r="EO233" s="3"/>
      <c r="EP233" s="3"/>
      <c r="EQ233" s="3"/>
      <c r="ER233" s="3"/>
      <c r="ES233" s="3"/>
      <c r="ET233" s="3"/>
      <c r="EU233" s="3"/>
      <c r="EV233" s="3"/>
      <c r="EW233" s="3"/>
      <c r="EX233" s="3"/>
      <c r="EY233" s="3"/>
      <c r="EZ233" s="3"/>
      <c r="FA233" s="3"/>
      <c r="FB233" s="3"/>
      <c r="FC233" s="3"/>
      <c r="FD233" s="3"/>
      <c r="FE233" s="3"/>
      <c r="FF233" s="3"/>
      <c r="FG233" s="3"/>
      <c r="FH233" s="3"/>
      <c r="FI233" s="3"/>
      <c r="FJ233" s="3"/>
      <c r="FK233" s="3"/>
      <c r="FL233" s="3"/>
      <c r="FM233" s="3"/>
      <c r="FN233" s="3"/>
      <c r="FO233" s="3"/>
      <c r="FP233" s="3"/>
      <c r="FQ233" s="3"/>
      <c r="FR233" s="3"/>
      <c r="FS233" s="3"/>
      <c r="FT233" s="3"/>
      <c r="FU233" s="3"/>
      <c r="FV233" s="3"/>
      <c r="FW233" s="3"/>
      <c r="FX233" s="3"/>
      <c r="FY233" s="3"/>
      <c r="FZ233" s="3"/>
      <c r="GA233" s="3"/>
      <c r="GB233" s="3"/>
      <c r="GC233" s="3"/>
      <c r="GD233" s="3"/>
      <c r="GE233" s="3"/>
      <c r="GF233" s="3"/>
      <c r="GG233" s="3"/>
      <c r="GH233" s="3"/>
      <c r="GI233" s="3"/>
      <c r="GJ233" s="3"/>
      <c r="GK233" s="3"/>
      <c r="GL233" s="3"/>
      <c r="GM233" s="3"/>
      <c r="GN233" s="3"/>
      <c r="GO233" s="3"/>
      <c r="GP233" s="3"/>
      <c r="GQ233" s="3"/>
      <c r="GR233" s="3"/>
      <c r="GS233" s="3"/>
      <c r="GT233" s="3"/>
      <c r="GU233" s="3"/>
      <c r="GV233" s="3"/>
      <c r="GW233" s="3"/>
      <c r="GX233" s="3"/>
      <c r="GY233" s="3"/>
      <c r="GZ233" s="3"/>
      <c r="HA233" s="3"/>
      <c r="HB233" s="3"/>
      <c r="HC233" s="3"/>
      <c r="HD233" s="3"/>
      <c r="HE233" s="3"/>
      <c r="HF233" s="3"/>
      <c r="HG233" s="3"/>
      <c r="HH233" s="3"/>
      <c r="HI233" s="3"/>
      <c r="HJ233" s="3"/>
      <c r="HK233" s="3"/>
      <c r="HL233" s="3"/>
      <c r="HM233" s="3"/>
      <c r="HN233" s="3"/>
      <c r="HO233" s="3"/>
      <c r="HP233" s="3"/>
      <c r="HQ233" s="3"/>
      <c r="HR233" s="3"/>
      <c r="HS233" s="3"/>
      <c r="HT233" s="3"/>
      <c r="HU233" s="3"/>
      <c r="HV233" s="3"/>
      <c r="HW233" s="3"/>
      <c r="HX233" s="3"/>
      <c r="HY233" s="3"/>
      <c r="HZ233" s="3"/>
      <c r="IA233" s="3"/>
      <c r="IB233" s="3"/>
      <c r="IC233" s="3"/>
      <c r="ID233" s="3"/>
      <c r="IE233" s="3"/>
      <c r="IF233" s="3"/>
      <c r="IG233" s="3"/>
      <c r="IH233" s="3"/>
      <c r="II233" s="3"/>
      <c r="IJ233" s="3"/>
      <c r="IK233" s="3"/>
      <c r="IL233" s="3"/>
      <c r="IM233" s="3"/>
      <c r="IN233" s="3"/>
      <c r="IO233" s="3"/>
      <c r="IP233" s="3"/>
      <c r="IQ233" s="3"/>
      <c r="IR233" s="3"/>
      <c r="IS233" s="3"/>
      <c r="IT233" s="3"/>
      <c r="IU233" s="3"/>
      <c r="IV233" s="3"/>
      <c r="IW233" s="3"/>
    </row>
    <row r="234" customFormat="false" ht="12.75" hidden="false" customHeight="false" outlineLevel="0" collapsed="false">
      <c r="A234" s="23"/>
      <c r="B234" s="348" t="s">
        <v>335</v>
      </c>
      <c r="C234" s="350" t="n">
        <f aca="false">E244</f>
        <v>2</v>
      </c>
      <c r="D234" s="350" t="n">
        <f aca="false">E263</f>
        <v>2</v>
      </c>
      <c r="E234" s="358" t="n">
        <f aca="false">Outside!D65</f>
        <v>0.126472759435792</v>
      </c>
      <c r="F234" s="359" t="n">
        <f aca="false">EWC!D65</f>
        <v>0.126472759435792</v>
      </c>
      <c r="G234" s="360" t="s">
        <v>336</v>
      </c>
      <c r="H234" s="24"/>
      <c r="I234" s="24"/>
      <c r="J234" s="24"/>
      <c r="K234" s="24"/>
      <c r="L234" s="24"/>
      <c r="M234" s="24"/>
      <c r="N234" s="24"/>
      <c r="O234" s="24"/>
      <c r="P234" s="24"/>
      <c r="Q234" s="24"/>
      <c r="R234" s="24"/>
      <c r="S234" s="24"/>
      <c r="T234" s="24"/>
      <c r="U234" s="24"/>
      <c r="V234" s="24"/>
      <c r="W234" s="24"/>
      <c r="X234" s="24"/>
      <c r="Y234" s="24"/>
      <c r="Z234" s="24"/>
      <c r="AA234" s="24"/>
      <c r="AB234" s="24"/>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c r="BK234" s="24"/>
      <c r="BL234" s="24"/>
      <c r="BM234" s="24"/>
      <c r="BN234" s="24"/>
      <c r="BO234" s="24"/>
      <c r="BP234" s="24"/>
      <c r="BQ234" s="24"/>
      <c r="BR234" s="24"/>
      <c r="BS234" s="24"/>
      <c r="BT234" s="24"/>
      <c r="BU234" s="24"/>
      <c r="BV234" s="24"/>
      <c r="BW234" s="24"/>
      <c r="BX234" s="24"/>
      <c r="BY234" s="24"/>
      <c r="BZ234" s="24"/>
      <c r="CA234" s="24"/>
      <c r="CB234" s="24"/>
      <c r="CC234" s="24"/>
      <c r="CD234" s="24"/>
      <c r="CE234" s="24"/>
      <c r="CF234" s="24"/>
      <c r="CG234" s="24"/>
      <c r="CH234" s="24"/>
      <c r="CI234" s="24"/>
      <c r="CJ234" s="24"/>
      <c r="CK234" s="24"/>
      <c r="CL234" s="24"/>
      <c r="CM234" s="24"/>
      <c r="CN234" s="24"/>
      <c r="CO234" s="24"/>
      <c r="CP234" s="24"/>
      <c r="CQ234" s="24"/>
      <c r="CR234" s="24"/>
      <c r="CS234" s="24"/>
      <c r="CT234" s="24"/>
      <c r="CU234" s="24"/>
      <c r="CV234" s="24"/>
      <c r="CW234" s="24"/>
      <c r="CX234" s="24"/>
      <c r="CY234" s="24"/>
      <c r="CZ234" s="24"/>
      <c r="DA234" s="24"/>
      <c r="DB234" s="24"/>
      <c r="DC234" s="24"/>
      <c r="DD234" s="24"/>
      <c r="DE234" s="24"/>
      <c r="DF234" s="24"/>
      <c r="DG234" s="24"/>
      <c r="DH234" s="24"/>
      <c r="DI234" s="24"/>
      <c r="DJ234" s="24"/>
      <c r="DK234" s="24"/>
      <c r="DL234" s="24"/>
      <c r="DM234" s="24"/>
      <c r="DN234" s="24"/>
      <c r="DO234" s="24"/>
      <c r="DP234" s="24"/>
      <c r="DQ234" s="24"/>
      <c r="DR234" s="24"/>
      <c r="DS234" s="24"/>
      <c r="DT234" s="24"/>
      <c r="DU234" s="24"/>
      <c r="DV234" s="24"/>
      <c r="DW234" s="24"/>
      <c r="DX234" s="24"/>
      <c r="DY234" s="24"/>
      <c r="DZ234" s="24"/>
      <c r="EA234" s="24"/>
      <c r="EB234" s="24"/>
      <c r="EC234" s="24"/>
      <c r="ED234" s="24"/>
      <c r="EE234" s="24"/>
      <c r="EF234" s="24"/>
      <c r="EG234" s="24"/>
      <c r="EH234" s="24"/>
      <c r="EI234" s="24"/>
      <c r="EJ234" s="24"/>
      <c r="EK234" s="24"/>
      <c r="EL234" s="24"/>
      <c r="EM234" s="3"/>
      <c r="EN234" s="3"/>
      <c r="EO234" s="3"/>
      <c r="EP234" s="3"/>
      <c r="EQ234" s="3"/>
      <c r="ER234" s="3"/>
      <c r="ES234" s="3"/>
      <c r="ET234" s="3"/>
      <c r="EU234" s="3"/>
      <c r="EV234" s="3"/>
      <c r="EW234" s="3"/>
      <c r="EX234" s="3"/>
      <c r="EY234" s="3"/>
      <c r="EZ234" s="3"/>
      <c r="FA234" s="3"/>
      <c r="FB234" s="3"/>
      <c r="FC234" s="3"/>
      <c r="FD234" s="3"/>
      <c r="FE234" s="3"/>
      <c r="FF234" s="3"/>
      <c r="FG234" s="3"/>
      <c r="FH234" s="3"/>
      <c r="FI234" s="3"/>
      <c r="FJ234" s="3"/>
      <c r="FK234" s="3"/>
      <c r="FL234" s="3"/>
      <c r="FM234" s="3"/>
      <c r="FN234" s="3"/>
      <c r="FO234" s="3"/>
      <c r="FP234" s="3"/>
      <c r="FQ234" s="3"/>
      <c r="FR234" s="3"/>
      <c r="FS234" s="3"/>
      <c r="FT234" s="3"/>
      <c r="FU234" s="3"/>
      <c r="FV234" s="3"/>
      <c r="FW234" s="3"/>
      <c r="FX234" s="3"/>
      <c r="FY234" s="3"/>
      <c r="FZ234" s="3"/>
      <c r="GA234" s="3"/>
      <c r="GB234" s="3"/>
      <c r="GC234" s="3"/>
      <c r="GD234" s="3"/>
      <c r="GE234" s="3"/>
      <c r="GF234" s="3"/>
      <c r="GG234" s="3"/>
      <c r="GH234" s="3"/>
      <c r="GI234" s="3"/>
      <c r="GJ234" s="3"/>
      <c r="GK234" s="3"/>
      <c r="GL234" s="3"/>
      <c r="GM234" s="3"/>
      <c r="GN234" s="3"/>
      <c r="GO234" s="3"/>
      <c r="GP234" s="3"/>
      <c r="GQ234" s="3"/>
      <c r="GR234" s="3"/>
      <c r="GS234" s="3"/>
      <c r="GT234" s="3"/>
      <c r="GU234" s="3"/>
      <c r="GV234" s="3"/>
      <c r="GW234" s="3"/>
      <c r="GX234" s="3"/>
      <c r="GY234" s="3"/>
      <c r="GZ234" s="3"/>
      <c r="HA234" s="3"/>
      <c r="HB234" s="3"/>
      <c r="HC234" s="3"/>
      <c r="HD234" s="3"/>
      <c r="HE234" s="3"/>
      <c r="HF234" s="3"/>
      <c r="HG234" s="3"/>
      <c r="HH234" s="3"/>
      <c r="HI234" s="3"/>
      <c r="HJ234" s="3"/>
      <c r="HK234" s="3"/>
      <c r="HL234" s="3"/>
      <c r="HM234" s="3"/>
      <c r="HN234" s="3"/>
      <c r="HO234" s="3"/>
      <c r="HP234" s="3"/>
      <c r="HQ234" s="3"/>
      <c r="HR234" s="3"/>
      <c r="HS234" s="3"/>
      <c r="HT234" s="3"/>
      <c r="HU234" s="3"/>
      <c r="HV234" s="3"/>
      <c r="HW234" s="3"/>
      <c r="HX234" s="3"/>
      <c r="HY234" s="3"/>
      <c r="HZ234" s="3"/>
      <c r="IA234" s="3"/>
      <c r="IB234" s="3"/>
      <c r="IC234" s="3"/>
      <c r="ID234" s="3"/>
      <c r="IE234" s="3"/>
      <c r="IF234" s="3"/>
      <c r="IG234" s="3"/>
      <c r="IH234" s="3"/>
      <c r="II234" s="3"/>
      <c r="IJ234" s="3"/>
      <c r="IK234" s="3"/>
      <c r="IL234" s="3"/>
      <c r="IM234" s="3"/>
      <c r="IN234" s="3"/>
      <c r="IO234" s="3"/>
      <c r="IP234" s="3"/>
      <c r="IQ234" s="3"/>
      <c r="IR234" s="3"/>
      <c r="IS234" s="3"/>
      <c r="IT234" s="3"/>
      <c r="IU234" s="3"/>
      <c r="IV234" s="3"/>
      <c r="IW234" s="3"/>
    </row>
    <row r="235" customFormat="false" ht="13.5" hidden="false" customHeight="false" outlineLevel="0" collapsed="false">
      <c r="A235" s="23"/>
      <c r="B235" s="361"/>
      <c r="C235" s="362"/>
      <c r="D235" s="362"/>
      <c r="E235" s="363" t="n">
        <f aca="false">Outside!D66</f>
        <v>0.13</v>
      </c>
      <c r="F235" s="364" t="n">
        <f aca="false">EWC!D66</f>
        <v>0.13</v>
      </c>
      <c r="G235" s="365" t="s">
        <v>337</v>
      </c>
      <c r="H235" s="92"/>
      <c r="I235" s="24"/>
      <c r="J235" s="24"/>
      <c r="K235" s="24"/>
      <c r="L235" s="24"/>
      <c r="M235" s="24"/>
      <c r="N235" s="24"/>
      <c r="O235" s="24"/>
      <c r="P235" s="24"/>
      <c r="Q235" s="24"/>
      <c r="R235" s="24"/>
      <c r="S235" s="24"/>
      <c r="T235" s="24"/>
      <c r="U235" s="24"/>
      <c r="V235" s="24"/>
      <c r="W235" s="24"/>
      <c r="X235" s="24"/>
      <c r="Y235" s="24"/>
      <c r="Z235" s="24"/>
      <c r="AA235" s="24"/>
      <c r="AB235" s="24"/>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c r="BH235" s="24"/>
      <c r="BI235" s="24"/>
      <c r="BJ235" s="24"/>
      <c r="BK235" s="24"/>
      <c r="BL235" s="24"/>
      <c r="BM235" s="24"/>
      <c r="BN235" s="24"/>
      <c r="BO235" s="24"/>
      <c r="BP235" s="24"/>
      <c r="BQ235" s="24"/>
      <c r="BR235" s="24"/>
      <c r="BS235" s="24"/>
      <c r="BT235" s="24"/>
      <c r="BU235" s="24"/>
      <c r="BV235" s="24"/>
      <c r="BW235" s="24"/>
      <c r="BX235" s="24"/>
      <c r="BY235" s="24"/>
      <c r="BZ235" s="24"/>
      <c r="CA235" s="24"/>
      <c r="CB235" s="24"/>
      <c r="CC235" s="24"/>
      <c r="CD235" s="24"/>
      <c r="CE235" s="24"/>
      <c r="CF235" s="24"/>
      <c r="CG235" s="24"/>
      <c r="CH235" s="24"/>
      <c r="CI235" s="24"/>
      <c r="CJ235" s="24"/>
      <c r="CK235" s="24"/>
      <c r="CL235" s="24"/>
      <c r="CM235" s="24"/>
      <c r="CN235" s="24"/>
      <c r="CO235" s="24"/>
      <c r="CP235" s="24"/>
      <c r="CQ235" s="24"/>
      <c r="CR235" s="24"/>
      <c r="CS235" s="24"/>
      <c r="CT235" s="24"/>
      <c r="CU235" s="24"/>
      <c r="CV235" s="24"/>
      <c r="CW235" s="24"/>
      <c r="CX235" s="24"/>
      <c r="CY235" s="24"/>
      <c r="CZ235" s="24"/>
      <c r="DA235" s="24"/>
      <c r="DB235" s="24"/>
      <c r="DC235" s="24"/>
      <c r="DD235" s="24"/>
      <c r="DE235" s="24"/>
      <c r="DF235" s="24"/>
      <c r="DG235" s="24"/>
      <c r="DH235" s="24"/>
      <c r="DI235" s="24"/>
      <c r="DJ235" s="24"/>
      <c r="DK235" s="24"/>
      <c r="DL235" s="24"/>
      <c r="DM235" s="24"/>
      <c r="DN235" s="24"/>
      <c r="DO235" s="24"/>
      <c r="DP235" s="24"/>
      <c r="DQ235" s="24"/>
      <c r="DR235" s="24"/>
      <c r="DS235" s="24"/>
      <c r="DT235" s="24"/>
      <c r="DU235" s="24"/>
      <c r="DV235" s="24"/>
      <c r="DW235" s="24"/>
      <c r="DX235" s="24"/>
      <c r="DY235" s="24"/>
      <c r="DZ235" s="24"/>
      <c r="EA235" s="24"/>
      <c r="EB235" s="24"/>
      <c r="EC235" s="24"/>
      <c r="ED235" s="24"/>
      <c r="EE235" s="24"/>
      <c r="EF235" s="24"/>
      <c r="EG235" s="24"/>
      <c r="EH235" s="24"/>
      <c r="EI235" s="24"/>
      <c r="EJ235" s="24"/>
      <c r="EK235" s="24"/>
      <c r="EL235" s="24"/>
      <c r="EM235" s="3"/>
      <c r="EN235" s="3"/>
      <c r="EO235" s="3"/>
      <c r="EP235" s="3"/>
      <c r="EQ235" s="3"/>
      <c r="ER235" s="3"/>
      <c r="ES235" s="3"/>
      <c r="ET235" s="3"/>
      <c r="EU235" s="3"/>
      <c r="EV235" s="3"/>
      <c r="EW235" s="3"/>
      <c r="EX235" s="3"/>
      <c r="EY235" s="3"/>
      <c r="EZ235" s="3"/>
      <c r="FA235" s="3"/>
      <c r="FB235" s="3"/>
      <c r="FC235" s="3"/>
      <c r="FD235" s="3"/>
      <c r="FE235" s="3"/>
      <c r="FF235" s="3"/>
      <c r="FG235" s="3"/>
      <c r="FH235" s="3"/>
      <c r="FI235" s="3"/>
      <c r="FJ235" s="3"/>
      <c r="FK235" s="3"/>
      <c r="FL235" s="3"/>
      <c r="FM235" s="3"/>
      <c r="FN235" s="3"/>
      <c r="FO235" s="3"/>
      <c r="FP235" s="3"/>
      <c r="FQ235" s="3"/>
      <c r="FR235" s="3"/>
      <c r="FS235" s="3"/>
      <c r="FT235" s="3"/>
      <c r="FU235" s="3"/>
      <c r="FV235" s="3"/>
      <c r="FW235" s="3"/>
      <c r="FX235" s="3"/>
      <c r="FY235" s="3"/>
      <c r="FZ235" s="3"/>
      <c r="GA235" s="3"/>
      <c r="GB235" s="3"/>
      <c r="GC235" s="3"/>
      <c r="GD235" s="3"/>
      <c r="GE235" s="3"/>
      <c r="GF235" s="3"/>
      <c r="GG235" s="3"/>
      <c r="GH235" s="3"/>
      <c r="GI235" s="3"/>
      <c r="GJ235" s="3"/>
      <c r="GK235" s="3"/>
      <c r="GL235" s="3"/>
      <c r="GM235" s="3"/>
      <c r="GN235" s="3"/>
      <c r="GO235" s="3"/>
      <c r="GP235" s="3"/>
      <c r="GQ235" s="3"/>
      <c r="GR235" s="3"/>
      <c r="GS235" s="3"/>
      <c r="GT235" s="3"/>
      <c r="GU235" s="3"/>
      <c r="GV235" s="3"/>
      <c r="GW235" s="3"/>
      <c r="GX235" s="3"/>
      <c r="GY235" s="3"/>
      <c r="GZ235" s="3"/>
      <c r="HA235" s="3"/>
      <c r="HB235" s="3"/>
      <c r="HC235" s="3"/>
      <c r="HD235" s="3"/>
      <c r="HE235" s="3"/>
      <c r="HF235" s="3"/>
      <c r="HG235" s="3"/>
      <c r="HH235" s="3"/>
      <c r="HI235" s="3"/>
      <c r="HJ235" s="3"/>
      <c r="HK235" s="3"/>
      <c r="HL235" s="3"/>
      <c r="HM235" s="3"/>
      <c r="HN235" s="3"/>
      <c r="HO235" s="3"/>
      <c r="HP235" s="3"/>
      <c r="HQ235" s="3"/>
      <c r="HR235" s="3"/>
      <c r="HS235" s="3"/>
      <c r="HT235" s="3"/>
      <c r="HU235" s="3"/>
      <c r="HV235" s="3"/>
      <c r="HW235" s="3"/>
      <c r="HX235" s="3"/>
      <c r="HY235" s="3"/>
      <c r="HZ235" s="3"/>
      <c r="IA235" s="3"/>
      <c r="IB235" s="3"/>
      <c r="IC235" s="3"/>
      <c r="ID235" s="3"/>
      <c r="IE235" s="3"/>
      <c r="IF235" s="3"/>
      <c r="IG235" s="3"/>
      <c r="IH235" s="3"/>
      <c r="II235" s="3"/>
      <c r="IJ235" s="3"/>
      <c r="IK235" s="3"/>
      <c r="IL235" s="3"/>
      <c r="IM235" s="3"/>
      <c r="IN235" s="3"/>
      <c r="IO235" s="3"/>
      <c r="IP235" s="3"/>
      <c r="IQ235" s="3"/>
      <c r="IR235" s="3"/>
      <c r="IS235" s="3"/>
      <c r="IT235" s="3"/>
      <c r="IU235" s="3"/>
      <c r="IV235" s="3"/>
      <c r="IW235" s="3"/>
    </row>
    <row r="236" customFormat="false" ht="13.5" hidden="false" customHeight="false" outlineLevel="0" collapsed="false">
      <c r="A236" s="23"/>
      <c r="B236" s="25"/>
      <c r="C236" s="25"/>
      <c r="D236" s="25"/>
      <c r="E236" s="366"/>
      <c r="F236" s="22"/>
      <c r="G236" s="367"/>
      <c r="H236" s="92"/>
      <c r="I236" s="24"/>
      <c r="J236" s="24"/>
      <c r="K236" s="24"/>
      <c r="L236" s="24"/>
      <c r="M236" s="24"/>
      <c r="N236" s="24"/>
      <c r="O236" s="24"/>
      <c r="P236" s="24"/>
      <c r="Q236" s="24"/>
      <c r="R236" s="24"/>
      <c r="S236" s="24"/>
      <c r="T236" s="24"/>
      <c r="U236" s="24"/>
      <c r="V236" s="24"/>
      <c r="W236" s="24"/>
      <c r="X236" s="24"/>
      <c r="Y236" s="24"/>
      <c r="Z236" s="24"/>
      <c r="AA236" s="24"/>
      <c r="AB236" s="24"/>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c r="BZ236" s="24"/>
      <c r="CA236" s="24"/>
      <c r="CB236" s="24"/>
      <c r="CC236" s="24"/>
      <c r="CD236" s="24"/>
      <c r="CE236" s="24"/>
      <c r="CF236" s="24"/>
      <c r="CG236" s="24"/>
      <c r="CH236" s="24"/>
      <c r="CI236" s="24"/>
      <c r="CJ236" s="24"/>
      <c r="CK236" s="24"/>
      <c r="CL236" s="24"/>
      <c r="CM236" s="24"/>
      <c r="CN236" s="24"/>
      <c r="CO236" s="24"/>
      <c r="CP236" s="24"/>
      <c r="CQ236" s="24"/>
      <c r="CR236" s="24"/>
      <c r="CS236" s="24"/>
      <c r="CT236" s="24"/>
      <c r="CU236" s="24"/>
      <c r="CV236" s="24"/>
      <c r="CW236" s="24"/>
      <c r="CX236" s="24"/>
      <c r="CY236" s="24"/>
      <c r="CZ236" s="24"/>
      <c r="DA236" s="24"/>
      <c r="DB236" s="24"/>
      <c r="DC236" s="24"/>
      <c r="DD236" s="24"/>
      <c r="DE236" s="24"/>
      <c r="DF236" s="24"/>
      <c r="DG236" s="24"/>
      <c r="DH236" s="24"/>
      <c r="DI236" s="24"/>
      <c r="DJ236" s="24"/>
      <c r="DK236" s="24"/>
      <c r="DL236" s="24"/>
      <c r="DM236" s="24"/>
      <c r="DN236" s="24"/>
      <c r="DO236" s="24"/>
      <c r="DP236" s="24"/>
      <c r="DQ236" s="24"/>
      <c r="DR236" s="24"/>
      <c r="DS236" s="24"/>
      <c r="DT236" s="24"/>
      <c r="DU236" s="24"/>
      <c r="DV236" s="24"/>
      <c r="DW236" s="24"/>
      <c r="DX236" s="24"/>
      <c r="DY236" s="24"/>
      <c r="DZ236" s="24"/>
      <c r="EA236" s="24"/>
      <c r="EB236" s="24"/>
      <c r="EC236" s="24"/>
      <c r="ED236" s="24"/>
      <c r="EE236" s="24"/>
      <c r="EF236" s="24"/>
      <c r="EG236" s="24"/>
      <c r="EH236" s="24"/>
      <c r="EI236" s="24"/>
      <c r="EJ236" s="24"/>
      <c r="EK236" s="24"/>
      <c r="EL236" s="24"/>
      <c r="EM236" s="3"/>
      <c r="EN236" s="3"/>
      <c r="EO236" s="3"/>
      <c r="EP236" s="3"/>
      <c r="EQ236" s="3"/>
      <c r="ER236" s="3"/>
      <c r="ES236" s="3"/>
      <c r="ET236" s="3"/>
      <c r="EU236" s="3"/>
      <c r="EV236" s="3"/>
      <c r="EW236" s="3"/>
      <c r="EX236" s="3"/>
      <c r="EY236" s="3"/>
      <c r="EZ236" s="3"/>
      <c r="FA236" s="3"/>
      <c r="FB236" s="3"/>
      <c r="FC236" s="3"/>
      <c r="FD236" s="3"/>
      <c r="FE236" s="3"/>
      <c r="FF236" s="3"/>
      <c r="FG236" s="3"/>
      <c r="FH236" s="3"/>
      <c r="FI236" s="3"/>
      <c r="FJ236" s="3"/>
      <c r="FK236" s="3"/>
      <c r="FL236" s="3"/>
      <c r="FM236" s="3"/>
      <c r="FN236" s="3"/>
      <c r="FO236" s="3"/>
      <c r="FP236" s="3"/>
      <c r="FQ236" s="3"/>
      <c r="FR236" s="3"/>
      <c r="FS236" s="3"/>
      <c r="FT236" s="3"/>
      <c r="FU236" s="3"/>
      <c r="FV236" s="3"/>
      <c r="FW236" s="3"/>
      <c r="FX236" s="3"/>
      <c r="FY236" s="3"/>
      <c r="FZ236" s="3"/>
      <c r="GA236" s="3"/>
      <c r="GB236" s="3"/>
      <c r="GC236" s="3"/>
      <c r="GD236" s="3"/>
      <c r="GE236" s="3"/>
      <c r="GF236" s="3"/>
      <c r="GG236" s="3"/>
      <c r="GH236" s="3"/>
      <c r="GI236" s="3"/>
      <c r="GJ236" s="3"/>
      <c r="GK236" s="3"/>
      <c r="GL236" s="3"/>
      <c r="GM236" s="3"/>
      <c r="GN236" s="3"/>
      <c r="GO236" s="3"/>
      <c r="GP236" s="3"/>
      <c r="GQ236" s="3"/>
      <c r="GR236" s="3"/>
      <c r="GS236" s="3"/>
      <c r="GT236" s="3"/>
      <c r="GU236" s="3"/>
      <c r="GV236" s="3"/>
      <c r="GW236" s="3"/>
      <c r="GX236" s="3"/>
      <c r="GY236" s="3"/>
      <c r="GZ236" s="3"/>
      <c r="HA236" s="3"/>
      <c r="HB236" s="3"/>
      <c r="HC236" s="3"/>
      <c r="HD236" s="3"/>
      <c r="HE236" s="3"/>
      <c r="HF236" s="3"/>
      <c r="HG236" s="3"/>
      <c r="HH236" s="3"/>
      <c r="HI236" s="3"/>
      <c r="HJ236" s="3"/>
      <c r="HK236" s="3"/>
      <c r="HL236" s="3"/>
      <c r="HM236" s="3"/>
      <c r="HN236" s="3"/>
      <c r="HO236" s="3"/>
      <c r="HP236" s="3"/>
      <c r="HQ236" s="3"/>
      <c r="HR236" s="3"/>
      <c r="HS236" s="3"/>
      <c r="HT236" s="3"/>
      <c r="HU236" s="3"/>
      <c r="HV236" s="3"/>
      <c r="HW236" s="3"/>
      <c r="HX236" s="3"/>
      <c r="HY236" s="3"/>
      <c r="HZ236" s="3"/>
      <c r="IA236" s="3"/>
      <c r="IB236" s="3"/>
      <c r="IC236" s="3"/>
      <c r="ID236" s="3"/>
      <c r="IE236" s="3"/>
      <c r="IF236" s="3"/>
      <c r="IG236" s="3"/>
      <c r="IH236" s="3"/>
      <c r="II236" s="3"/>
      <c r="IJ236" s="3"/>
      <c r="IK236" s="3"/>
      <c r="IL236" s="3"/>
      <c r="IM236" s="3"/>
      <c r="IN236" s="3"/>
      <c r="IO236" s="3"/>
      <c r="IP236" s="3"/>
      <c r="IQ236" s="3"/>
      <c r="IR236" s="3"/>
      <c r="IS236" s="3"/>
      <c r="IT236" s="3"/>
      <c r="IU236" s="3"/>
      <c r="IV236" s="3"/>
      <c r="IW236" s="3"/>
    </row>
    <row r="237" customFormat="false" ht="13.5" hidden="false" customHeight="false" outlineLevel="0" collapsed="false">
      <c r="A237" s="23"/>
      <c r="B237" s="368" t="s">
        <v>327</v>
      </c>
      <c r="D237" s="3"/>
      <c r="E237" s="3"/>
      <c r="F237" s="22"/>
      <c r="G237" s="367"/>
      <c r="H237" s="92"/>
      <c r="I237" s="24"/>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c r="BZ237" s="24"/>
      <c r="CA237" s="24"/>
      <c r="CB237" s="24"/>
      <c r="CC237" s="24"/>
      <c r="CD237" s="24"/>
      <c r="CE237" s="24"/>
      <c r="CF237" s="24"/>
      <c r="CG237" s="24"/>
      <c r="CH237" s="24"/>
      <c r="CI237" s="24"/>
      <c r="CJ237" s="24"/>
      <c r="CK237" s="24"/>
      <c r="CL237" s="24"/>
      <c r="CM237" s="24"/>
      <c r="CN237" s="24"/>
      <c r="CO237" s="24"/>
      <c r="CP237" s="24"/>
      <c r="CQ237" s="24"/>
      <c r="CR237" s="24"/>
      <c r="CS237" s="24"/>
      <c r="CT237" s="24"/>
      <c r="CU237" s="24"/>
      <c r="CV237" s="24"/>
      <c r="CW237" s="24"/>
      <c r="CX237" s="24"/>
      <c r="CY237" s="24"/>
      <c r="CZ237" s="24"/>
      <c r="DA237" s="24"/>
      <c r="DB237" s="24"/>
      <c r="DC237" s="24"/>
      <c r="DD237" s="24"/>
      <c r="DE237" s="24"/>
      <c r="DF237" s="24"/>
      <c r="DG237" s="24"/>
      <c r="DH237" s="24"/>
      <c r="DI237" s="24"/>
      <c r="DJ237" s="24"/>
      <c r="DK237" s="24"/>
      <c r="DL237" s="24"/>
      <c r="DM237" s="24"/>
      <c r="DN237" s="24"/>
      <c r="DO237" s="24"/>
      <c r="DP237" s="24"/>
      <c r="DQ237" s="24"/>
      <c r="DR237" s="24"/>
      <c r="DS237" s="24"/>
      <c r="DT237" s="24"/>
      <c r="DU237" s="24"/>
      <c r="DV237" s="24"/>
      <c r="DW237" s="24"/>
      <c r="DX237" s="24"/>
      <c r="DY237" s="24"/>
      <c r="DZ237" s="24"/>
      <c r="EA237" s="24"/>
      <c r="EB237" s="24"/>
      <c r="EC237" s="24"/>
      <c r="ED237" s="24"/>
      <c r="EE237" s="24"/>
      <c r="EF237" s="24"/>
      <c r="EG237" s="24"/>
      <c r="EH237" s="24"/>
      <c r="EI237" s="24"/>
      <c r="EJ237" s="24"/>
      <c r="EK237" s="24"/>
      <c r="EL237" s="24"/>
      <c r="EM237" s="3"/>
      <c r="EN237" s="3"/>
      <c r="EO237" s="3"/>
      <c r="EP237" s="3"/>
      <c r="EQ237" s="3"/>
      <c r="ER237" s="3"/>
      <c r="ES237" s="3"/>
      <c r="ET237" s="3"/>
      <c r="EU237" s="3"/>
      <c r="EV237" s="3"/>
      <c r="EW237" s="3"/>
      <c r="EX237" s="3"/>
      <c r="EY237" s="3"/>
      <c r="EZ237" s="3"/>
      <c r="FA237" s="3"/>
      <c r="FB237" s="3"/>
      <c r="FC237" s="3"/>
      <c r="FD237" s="3"/>
      <c r="FE237" s="3"/>
      <c r="FF237" s="3"/>
      <c r="FG237" s="3"/>
      <c r="FH237" s="3"/>
      <c r="FI237" s="3"/>
      <c r="FJ237" s="3"/>
      <c r="FK237" s="3"/>
      <c r="FL237" s="3"/>
      <c r="FM237" s="3"/>
      <c r="FN237" s="3"/>
      <c r="FO237" s="3"/>
      <c r="FP237" s="3"/>
      <c r="FQ237" s="3"/>
      <c r="FR237" s="3"/>
      <c r="FS237" s="3"/>
      <c r="FT237" s="3"/>
      <c r="FU237" s="3"/>
      <c r="FV237" s="3"/>
      <c r="FW237" s="3"/>
      <c r="FX237" s="3"/>
      <c r="FY237" s="3"/>
      <c r="FZ237" s="3"/>
      <c r="GA237" s="3"/>
      <c r="GB237" s="3"/>
      <c r="GC237" s="3"/>
      <c r="GD237" s="3"/>
      <c r="GE237" s="3"/>
      <c r="GF237" s="3"/>
      <c r="GG237" s="3"/>
      <c r="GH237" s="3"/>
      <c r="GI237" s="3"/>
      <c r="GJ237" s="3"/>
      <c r="GK237" s="3"/>
      <c r="GL237" s="3"/>
      <c r="GM237" s="3"/>
      <c r="GN237" s="3"/>
      <c r="GO237" s="3"/>
      <c r="GP237" s="3"/>
      <c r="GQ237" s="3"/>
      <c r="GR237" s="3"/>
      <c r="GS237" s="3"/>
      <c r="GT237" s="3"/>
      <c r="GU237" s="3"/>
      <c r="GV237" s="3"/>
      <c r="GW237" s="3"/>
      <c r="GX237" s="3"/>
      <c r="GY237" s="3"/>
      <c r="GZ237" s="3"/>
      <c r="HA237" s="3"/>
      <c r="HB237" s="3"/>
      <c r="HC237" s="3"/>
      <c r="HD237" s="3"/>
      <c r="HE237" s="3"/>
      <c r="HF237" s="3"/>
      <c r="HG237" s="3"/>
      <c r="HH237" s="3"/>
      <c r="HI237" s="3"/>
      <c r="HJ237" s="3"/>
      <c r="HK237" s="3"/>
      <c r="HL237" s="3"/>
      <c r="HM237" s="3"/>
      <c r="HN237" s="3"/>
      <c r="HO237" s="3"/>
      <c r="HP237" s="3"/>
      <c r="HQ237" s="3"/>
      <c r="HR237" s="3"/>
      <c r="HS237" s="3"/>
      <c r="HT237" s="3"/>
      <c r="HU237" s="3"/>
      <c r="HV237" s="3"/>
      <c r="HW237" s="3"/>
      <c r="HX237" s="3"/>
      <c r="HY237" s="3"/>
      <c r="HZ237" s="3"/>
      <c r="IA237" s="3"/>
      <c r="IB237" s="3"/>
      <c r="IC237" s="3"/>
      <c r="ID237" s="3"/>
      <c r="IE237" s="3"/>
      <c r="IF237" s="3"/>
      <c r="IG237" s="3"/>
      <c r="IH237" s="3"/>
      <c r="II237" s="3"/>
      <c r="IJ237" s="3"/>
      <c r="IK237" s="3"/>
      <c r="IL237" s="3"/>
      <c r="IM237" s="3"/>
      <c r="IN237" s="3"/>
      <c r="IO237" s="3"/>
      <c r="IP237" s="3"/>
      <c r="IQ237" s="3"/>
      <c r="IR237" s="3"/>
      <c r="IS237" s="3"/>
      <c r="IT237" s="3"/>
      <c r="IU237" s="3"/>
      <c r="IV237" s="3"/>
      <c r="IW237" s="3"/>
    </row>
    <row r="238" customFormat="false" ht="12.75" hidden="false" customHeight="false" outlineLevel="0" collapsed="false">
      <c r="A238" s="23"/>
      <c r="B238" s="369" t="s">
        <v>338</v>
      </c>
      <c r="C238" s="369"/>
      <c r="D238" s="39"/>
      <c r="E238" s="370" t="n">
        <v>17</v>
      </c>
      <c r="F238" s="89" t="s">
        <v>339</v>
      </c>
      <c r="G238" s="371"/>
      <c r="H238" s="372"/>
      <c r="I238" s="37"/>
      <c r="J238" s="37"/>
      <c r="K238" s="37"/>
      <c r="L238" s="37"/>
      <c r="M238" s="37"/>
      <c r="N238" s="37"/>
      <c r="O238" s="37"/>
      <c r="P238" s="37"/>
      <c r="Q238" s="37"/>
      <c r="R238" s="37"/>
      <c r="S238" s="37"/>
      <c r="T238" s="37"/>
      <c r="U238" s="37"/>
      <c r="V238" s="37"/>
      <c r="W238" s="37"/>
      <c r="X238" s="37"/>
      <c r="Y238" s="37"/>
      <c r="Z238" s="37"/>
      <c r="AA238" s="37"/>
      <c r="AB238" s="37"/>
      <c r="AC238" s="37"/>
      <c r="AD238" s="37"/>
      <c r="AE238" s="37"/>
      <c r="AF238" s="37"/>
      <c r="AG238" s="37"/>
      <c r="AH238" s="37"/>
      <c r="AI238" s="37"/>
      <c r="AJ238" s="37"/>
      <c r="AK238" s="37"/>
      <c r="AL238" s="37"/>
      <c r="AM238" s="37"/>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c r="BZ238" s="24"/>
      <c r="CA238" s="24"/>
      <c r="CB238" s="24"/>
      <c r="CC238" s="24"/>
      <c r="CD238" s="24"/>
      <c r="CE238" s="24"/>
      <c r="CF238" s="24"/>
      <c r="CG238" s="24"/>
      <c r="CH238" s="24"/>
      <c r="CI238" s="24"/>
      <c r="CJ238" s="24"/>
      <c r="CK238" s="24"/>
      <c r="CL238" s="24"/>
      <c r="CM238" s="24"/>
      <c r="CN238" s="24"/>
      <c r="CO238" s="24"/>
      <c r="CP238" s="24"/>
      <c r="CQ238" s="24"/>
      <c r="CR238" s="24"/>
      <c r="CS238" s="24"/>
      <c r="CT238" s="24"/>
      <c r="CU238" s="24"/>
      <c r="CV238" s="24"/>
      <c r="CW238" s="24"/>
      <c r="CX238" s="24"/>
      <c r="CY238" s="24"/>
      <c r="CZ238" s="24"/>
      <c r="DA238" s="24"/>
      <c r="DB238" s="24"/>
      <c r="DC238" s="24"/>
      <c r="DD238" s="24"/>
      <c r="DE238" s="24"/>
      <c r="DF238" s="24"/>
      <c r="DG238" s="24"/>
      <c r="DH238" s="24"/>
      <c r="DI238" s="24"/>
      <c r="DJ238" s="24"/>
      <c r="DK238" s="24"/>
      <c r="DL238" s="24"/>
      <c r="DM238" s="24"/>
      <c r="DN238" s="24"/>
      <c r="DO238" s="24"/>
      <c r="DP238" s="24"/>
      <c r="DQ238" s="24"/>
      <c r="DR238" s="24"/>
      <c r="DS238" s="24"/>
      <c r="DT238" s="24"/>
      <c r="DU238" s="24"/>
      <c r="DV238" s="24"/>
      <c r="DW238" s="24"/>
      <c r="DX238" s="24"/>
      <c r="DY238" s="24"/>
      <c r="DZ238" s="24"/>
      <c r="EA238" s="24"/>
      <c r="EB238" s="24"/>
      <c r="EC238" s="24"/>
      <c r="ED238" s="24"/>
      <c r="EE238" s="24"/>
      <c r="EF238" s="24"/>
      <c r="EG238" s="24"/>
      <c r="EH238" s="24"/>
      <c r="EI238" s="24"/>
      <c r="EJ238" s="24"/>
      <c r="EK238" s="24"/>
      <c r="EL238" s="24"/>
      <c r="EM238" s="3"/>
      <c r="EN238" s="3"/>
      <c r="EO238" s="3"/>
      <c r="EP238" s="3"/>
      <c r="EQ238" s="3"/>
      <c r="ER238" s="3"/>
      <c r="ES238" s="3"/>
      <c r="ET238" s="3"/>
      <c r="EU238" s="3"/>
      <c r="EV238" s="3"/>
      <c r="EW238" s="3"/>
      <c r="EX238" s="3"/>
      <c r="EY238" s="3"/>
      <c r="EZ238" s="3"/>
      <c r="FA238" s="3"/>
      <c r="FB238" s="3"/>
      <c r="FC238" s="3"/>
      <c r="FD238" s="3"/>
      <c r="FE238" s="3"/>
      <c r="FF238" s="3"/>
      <c r="FG238" s="3"/>
      <c r="FH238" s="3"/>
      <c r="FI238" s="3"/>
      <c r="FJ238" s="3"/>
      <c r="FK238" s="3"/>
      <c r="FL238" s="3"/>
      <c r="FM238" s="3"/>
      <c r="FN238" s="3"/>
      <c r="FO238" s="3"/>
      <c r="FP238" s="3"/>
      <c r="FQ238" s="3"/>
      <c r="FR238" s="3"/>
      <c r="FS238" s="3"/>
      <c r="FT238" s="3"/>
      <c r="FU238" s="3"/>
      <c r="FV238" s="3"/>
      <c r="FW238" s="3"/>
      <c r="FX238" s="3"/>
      <c r="FY238" s="3"/>
      <c r="FZ238" s="3"/>
      <c r="GA238" s="3"/>
      <c r="GB238" s="3"/>
      <c r="GC238" s="3"/>
      <c r="GD238" s="3"/>
      <c r="GE238" s="3"/>
      <c r="GF238" s="3"/>
      <c r="GG238" s="3"/>
      <c r="GH238" s="3"/>
      <c r="GI238" s="3"/>
      <c r="GJ238" s="3"/>
      <c r="GK238" s="3"/>
      <c r="GL238" s="3"/>
      <c r="GM238" s="3"/>
      <c r="GN238" s="3"/>
      <c r="GO238" s="3"/>
      <c r="GP238" s="3"/>
      <c r="GQ238" s="3"/>
      <c r="GR238" s="3"/>
      <c r="GS238" s="3"/>
      <c r="GT238" s="3"/>
      <c r="GU238" s="3"/>
      <c r="GV238" s="3"/>
      <c r="GW238" s="3"/>
      <c r="GX238" s="3"/>
      <c r="GY238" s="3"/>
      <c r="GZ238" s="3"/>
      <c r="HA238" s="3"/>
      <c r="HB238" s="3"/>
      <c r="HC238" s="3"/>
      <c r="HD238" s="3"/>
      <c r="HE238" s="3"/>
      <c r="HF238" s="3"/>
      <c r="HG238" s="3"/>
      <c r="HH238" s="3"/>
      <c r="HI238" s="3"/>
      <c r="HJ238" s="3"/>
      <c r="HK238" s="3"/>
      <c r="HL238" s="3"/>
      <c r="HM238" s="3"/>
      <c r="HN238" s="3"/>
      <c r="HO238" s="3"/>
      <c r="HP238" s="3"/>
      <c r="HQ238" s="3"/>
      <c r="HR238" s="3"/>
      <c r="HS238" s="3"/>
      <c r="HT238" s="3"/>
      <c r="HU238" s="3"/>
      <c r="HV238" s="3"/>
      <c r="HW238" s="3"/>
      <c r="HX238" s="3"/>
      <c r="HY238" s="3"/>
      <c r="HZ238" s="3"/>
      <c r="IA238" s="3"/>
      <c r="IB238" s="3"/>
      <c r="IC238" s="3"/>
      <c r="ID238" s="3"/>
      <c r="IE238" s="3"/>
      <c r="IF238" s="3"/>
      <c r="IG238" s="3"/>
      <c r="IH238" s="3"/>
      <c r="II238" s="3"/>
      <c r="IJ238" s="3"/>
      <c r="IK238" s="3"/>
      <c r="IL238" s="3"/>
      <c r="IM238" s="3"/>
      <c r="IN238" s="3"/>
      <c r="IO238" s="3"/>
      <c r="IP238" s="3"/>
      <c r="IQ238" s="3"/>
      <c r="IR238" s="3"/>
      <c r="IS238" s="3"/>
      <c r="IT238" s="3"/>
      <c r="IU238" s="3"/>
      <c r="IV238" s="3"/>
      <c r="IW238" s="3"/>
    </row>
    <row r="239" customFormat="false" ht="12.75" hidden="false" customHeight="false" outlineLevel="0" collapsed="false">
      <c r="A239" s="23"/>
      <c r="B239" s="369" t="s">
        <v>340</v>
      </c>
      <c r="C239" s="212" t="n">
        <v>0.0776964324443545</v>
      </c>
      <c r="D239" s="39"/>
      <c r="E239" s="370" t="n">
        <v>0</v>
      </c>
      <c r="F239" s="22"/>
      <c r="G239" s="40"/>
      <c r="H239" s="37"/>
      <c r="I239" s="37"/>
      <c r="J239" s="37"/>
      <c r="K239" s="37"/>
      <c r="L239" s="37"/>
      <c r="M239" s="37"/>
      <c r="N239" s="37"/>
      <c r="O239" s="37"/>
      <c r="P239" s="37"/>
      <c r="Q239" s="37"/>
      <c r="R239" s="37"/>
      <c r="S239" s="37"/>
      <c r="T239" s="37"/>
      <c r="U239" s="37"/>
      <c r="V239" s="37"/>
      <c r="W239" s="37"/>
      <c r="X239" s="37"/>
      <c r="Y239" s="37"/>
      <c r="Z239" s="37"/>
      <c r="AA239" s="37"/>
      <c r="AB239" s="37"/>
      <c r="AC239" s="37"/>
      <c r="AD239" s="37"/>
      <c r="AE239" s="37"/>
      <c r="AF239" s="37"/>
      <c r="AG239" s="37"/>
      <c r="AH239" s="37"/>
      <c r="AI239" s="37"/>
      <c r="AJ239" s="37"/>
      <c r="AK239" s="37"/>
      <c r="AL239" s="37"/>
      <c r="AM239" s="37"/>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c r="BZ239" s="24"/>
      <c r="CA239" s="24"/>
      <c r="CB239" s="24"/>
      <c r="CC239" s="24"/>
      <c r="CD239" s="24"/>
      <c r="CE239" s="24"/>
      <c r="CF239" s="24"/>
      <c r="CG239" s="24"/>
      <c r="CH239" s="24"/>
      <c r="CI239" s="24"/>
      <c r="CJ239" s="24"/>
      <c r="CK239" s="24"/>
      <c r="CL239" s="24"/>
      <c r="CM239" s="24"/>
      <c r="CN239" s="24"/>
      <c r="CO239" s="24"/>
      <c r="CP239" s="24"/>
      <c r="CQ239" s="24"/>
      <c r="CR239" s="24"/>
      <c r="CS239" s="24"/>
      <c r="CT239" s="24"/>
      <c r="CU239" s="24"/>
      <c r="CV239" s="24"/>
      <c r="CW239" s="24"/>
      <c r="CX239" s="24"/>
      <c r="CY239" s="24"/>
      <c r="CZ239" s="24"/>
      <c r="DA239" s="24"/>
      <c r="DB239" s="24"/>
      <c r="DC239" s="24"/>
      <c r="DD239" s="24"/>
      <c r="DE239" s="24"/>
      <c r="DF239" s="24"/>
      <c r="DG239" s="24"/>
      <c r="DH239" s="24"/>
      <c r="DI239" s="24"/>
      <c r="DJ239" s="24"/>
      <c r="DK239" s="24"/>
      <c r="DL239" s="24"/>
      <c r="DM239" s="24"/>
      <c r="DN239" s="24"/>
      <c r="DO239" s="24"/>
      <c r="DP239" s="24"/>
      <c r="DQ239" s="24"/>
      <c r="DR239" s="24"/>
      <c r="DS239" s="24"/>
      <c r="DT239" s="24"/>
      <c r="DU239" s="24"/>
      <c r="DV239" s="24"/>
      <c r="DW239" s="24"/>
      <c r="DX239" s="24"/>
      <c r="DY239" s="24"/>
      <c r="DZ239" s="24"/>
      <c r="EA239" s="24"/>
      <c r="EB239" s="24"/>
      <c r="EC239" s="24"/>
      <c r="ED239" s="24"/>
      <c r="EE239" s="24"/>
      <c r="EF239" s="24"/>
      <c r="EG239" s="24"/>
      <c r="EH239" s="24"/>
      <c r="EI239" s="24"/>
      <c r="EJ239" s="24"/>
      <c r="EK239" s="24"/>
      <c r="EL239" s="24"/>
      <c r="EM239" s="3"/>
      <c r="EN239" s="3"/>
      <c r="EO239" s="3"/>
      <c r="EP239" s="3"/>
      <c r="EQ239" s="3"/>
      <c r="ER239" s="3"/>
      <c r="ES239" s="3"/>
      <c r="ET239" s="3"/>
      <c r="EU239" s="3"/>
      <c r="EV239" s="3"/>
      <c r="EW239" s="3"/>
      <c r="EX239" s="3"/>
      <c r="EY239" s="3"/>
      <c r="EZ239" s="3"/>
      <c r="FA239" s="3"/>
      <c r="FB239" s="3"/>
      <c r="FC239" s="3"/>
      <c r="FD239" s="3"/>
      <c r="FE239" s="3"/>
      <c r="FF239" s="3"/>
      <c r="FG239" s="3"/>
      <c r="FH239" s="3"/>
      <c r="FI239" s="3"/>
      <c r="FJ239" s="3"/>
      <c r="FK239" s="3"/>
      <c r="FL239" s="3"/>
      <c r="FM239" s="3"/>
      <c r="FN239" s="3"/>
      <c r="FO239" s="3"/>
      <c r="FP239" s="3"/>
      <c r="FQ239" s="3"/>
      <c r="FR239" s="3"/>
      <c r="FS239" s="3"/>
      <c r="FT239" s="3"/>
      <c r="FU239" s="3"/>
      <c r="FV239" s="3"/>
      <c r="FW239" s="3"/>
      <c r="FX239" s="3"/>
      <c r="FY239" s="3"/>
      <c r="FZ239" s="3"/>
      <c r="GA239" s="3"/>
      <c r="GB239" s="3"/>
      <c r="GC239" s="3"/>
      <c r="GD239" s="3"/>
      <c r="GE239" s="3"/>
      <c r="GF239" s="3"/>
      <c r="GG239" s="3"/>
      <c r="GH239" s="3"/>
      <c r="GI239" s="3"/>
      <c r="GJ239" s="3"/>
      <c r="GK239" s="3"/>
      <c r="GL239" s="3"/>
      <c r="GM239" s="3"/>
      <c r="GN239" s="3"/>
      <c r="GO239" s="3"/>
      <c r="GP239" s="3"/>
      <c r="GQ239" s="3"/>
      <c r="GR239" s="3"/>
      <c r="GS239" s="3"/>
      <c r="GT239" s="3"/>
      <c r="GU239" s="3"/>
      <c r="GV239" s="3"/>
      <c r="GW239" s="3"/>
      <c r="GX239" s="3"/>
      <c r="GY239" s="3"/>
      <c r="GZ239" s="3"/>
      <c r="HA239" s="3"/>
      <c r="HB239" s="3"/>
      <c r="HC239" s="3"/>
      <c r="HD239" s="3"/>
      <c r="HE239" s="3"/>
      <c r="HF239" s="3"/>
      <c r="HG239" s="3"/>
      <c r="HH239" s="3"/>
      <c r="HI239" s="3"/>
      <c r="HJ239" s="3"/>
      <c r="HK239" s="3"/>
      <c r="HL239" s="3"/>
      <c r="HM239" s="3"/>
      <c r="HN239" s="3"/>
      <c r="HO239" s="3"/>
      <c r="HP239" s="3"/>
      <c r="HQ239" s="3"/>
      <c r="HR239" s="3"/>
      <c r="HS239" s="3"/>
      <c r="HT239" s="3"/>
      <c r="HU239" s="3"/>
      <c r="HV239" s="3"/>
      <c r="HW239" s="3"/>
      <c r="HX239" s="3"/>
      <c r="HY239" s="3"/>
      <c r="HZ239" s="3"/>
      <c r="IA239" s="3"/>
      <c r="IB239" s="3"/>
      <c r="IC239" s="3"/>
      <c r="ID239" s="3"/>
      <c r="IE239" s="3"/>
      <c r="IF239" s="3"/>
      <c r="IG239" s="3"/>
      <c r="IH239" s="3"/>
      <c r="II239" s="3"/>
      <c r="IJ239" s="3"/>
      <c r="IK239" s="3"/>
      <c r="IL239" s="3"/>
      <c r="IM239" s="3"/>
      <c r="IN239" s="3"/>
      <c r="IO239" s="3"/>
      <c r="IP239" s="3"/>
      <c r="IQ239" s="3"/>
      <c r="IR239" s="3"/>
      <c r="IS239" s="3"/>
      <c r="IT239" s="3"/>
      <c r="IU239" s="3"/>
      <c r="IV239" s="3"/>
      <c r="IW239" s="3"/>
    </row>
    <row r="240" customFormat="false" ht="12.75" hidden="false" customHeight="false" outlineLevel="0" collapsed="false">
      <c r="A240" s="23"/>
      <c r="B240" s="373" t="s">
        <v>341</v>
      </c>
      <c r="C240" s="374"/>
      <c r="D240" s="3"/>
      <c r="E240" s="375" t="n">
        <v>360</v>
      </c>
      <c r="F240" s="22"/>
      <c r="G240" s="376"/>
      <c r="H240" s="376"/>
      <c r="I240" s="376"/>
      <c r="J240" s="376"/>
      <c r="K240" s="376"/>
      <c r="L240" s="376"/>
      <c r="M240" s="376"/>
      <c r="N240" s="376"/>
      <c r="O240" s="376"/>
      <c r="P240" s="376"/>
      <c r="Q240" s="376"/>
      <c r="R240" s="376"/>
      <c r="S240" s="376"/>
      <c r="T240" s="376"/>
      <c r="U240" s="376"/>
      <c r="V240" s="376"/>
      <c r="W240" s="376"/>
      <c r="X240" s="376"/>
      <c r="Y240" s="376"/>
      <c r="Z240" s="376"/>
      <c r="AA240" s="376"/>
      <c r="AB240" s="376"/>
      <c r="AC240" s="376"/>
      <c r="AD240" s="376"/>
      <c r="AE240" s="376"/>
      <c r="AF240" s="376"/>
      <c r="AG240" s="376"/>
      <c r="AH240" s="376"/>
      <c r="AI240" s="376"/>
      <c r="AJ240" s="376"/>
      <c r="AK240" s="376"/>
      <c r="AL240" s="376"/>
      <c r="AM240" s="376"/>
      <c r="AN240" s="23"/>
      <c r="AO240" s="23"/>
      <c r="AP240" s="23"/>
      <c r="AQ240" s="23"/>
      <c r="AR240" s="23"/>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24"/>
      <c r="BY240" s="24"/>
      <c r="BZ240" s="24"/>
      <c r="CA240" s="24"/>
      <c r="CB240" s="24"/>
      <c r="CC240" s="24"/>
      <c r="CD240" s="24"/>
      <c r="CE240" s="24"/>
      <c r="CF240" s="24"/>
      <c r="CG240" s="24"/>
      <c r="CH240" s="24"/>
      <c r="CI240" s="24"/>
      <c r="CJ240" s="24"/>
      <c r="CK240" s="24"/>
      <c r="CL240" s="24"/>
      <c r="CM240" s="24"/>
      <c r="CN240" s="24"/>
      <c r="CO240" s="24"/>
      <c r="CP240" s="24"/>
      <c r="CQ240" s="24"/>
      <c r="CR240" s="24"/>
      <c r="CS240" s="24"/>
      <c r="CT240" s="24"/>
      <c r="CU240" s="24"/>
      <c r="CV240" s="24"/>
      <c r="CW240" s="24"/>
      <c r="CX240" s="24"/>
      <c r="CY240" s="24"/>
      <c r="CZ240" s="24"/>
      <c r="DA240" s="24"/>
      <c r="DB240" s="24"/>
      <c r="DC240" s="24"/>
      <c r="DD240" s="24"/>
      <c r="DE240" s="24"/>
      <c r="DF240" s="24"/>
      <c r="DG240" s="24"/>
      <c r="DH240" s="24"/>
      <c r="DI240" s="24"/>
      <c r="DJ240" s="24"/>
      <c r="DK240" s="24"/>
      <c r="DL240" s="24"/>
      <c r="DM240" s="24"/>
      <c r="DN240" s="24"/>
      <c r="DO240" s="24"/>
      <c r="DP240" s="24"/>
      <c r="DQ240" s="24"/>
      <c r="DR240" s="24"/>
      <c r="DS240" s="24"/>
      <c r="DT240" s="24"/>
      <c r="DU240" s="24"/>
      <c r="DV240" s="24"/>
      <c r="DW240" s="24"/>
      <c r="DX240" s="24"/>
      <c r="DY240" s="24"/>
      <c r="DZ240" s="24"/>
      <c r="EA240" s="24"/>
      <c r="EB240" s="24"/>
      <c r="EC240" s="24"/>
      <c r="ED240" s="24"/>
      <c r="EE240" s="24"/>
      <c r="EF240" s="24"/>
      <c r="EG240" s="24"/>
      <c r="EH240" s="24"/>
      <c r="EI240" s="24"/>
      <c r="EJ240" s="24"/>
      <c r="EK240" s="24"/>
      <c r="EL240" s="24"/>
      <c r="EM240" s="3"/>
      <c r="EN240" s="3"/>
      <c r="EO240" s="3"/>
      <c r="EP240" s="3"/>
      <c r="EQ240" s="3"/>
      <c r="ER240" s="3"/>
      <c r="ES240" s="3"/>
      <c r="ET240" s="3"/>
      <c r="EU240" s="3"/>
      <c r="EV240" s="3"/>
      <c r="EW240" s="3"/>
      <c r="EX240" s="3"/>
      <c r="EY240" s="3"/>
      <c r="EZ240" s="3"/>
      <c r="FA240" s="3"/>
      <c r="FB240" s="3"/>
      <c r="FC240" s="3"/>
      <c r="FD240" s="3"/>
      <c r="FE240" s="3"/>
      <c r="FF240" s="3"/>
      <c r="FG240" s="3"/>
      <c r="FH240" s="3"/>
      <c r="FI240" s="3"/>
      <c r="FJ240" s="3"/>
      <c r="FK240" s="3"/>
      <c r="FL240" s="3"/>
      <c r="FM240" s="3"/>
      <c r="FN240" s="3"/>
      <c r="FO240" s="3"/>
      <c r="FP240" s="3"/>
      <c r="FQ240" s="3"/>
      <c r="FR240" s="3"/>
      <c r="FS240" s="3"/>
      <c r="FT240" s="3"/>
      <c r="FU240" s="3"/>
      <c r="FV240" s="3"/>
      <c r="FW240" s="3"/>
      <c r="FX240" s="3"/>
      <c r="FY240" s="3"/>
      <c r="FZ240" s="3"/>
      <c r="GA240" s="3"/>
      <c r="GB240" s="3"/>
      <c r="GC240" s="3"/>
      <c r="GD240" s="3"/>
      <c r="GE240" s="3"/>
      <c r="GF240" s="3"/>
      <c r="GG240" s="3"/>
      <c r="GH240" s="3"/>
      <c r="GI240" s="3"/>
      <c r="GJ240" s="3"/>
      <c r="GK240" s="3"/>
      <c r="GL240" s="3"/>
      <c r="GM240" s="3"/>
      <c r="GN240" s="3"/>
      <c r="GO240" s="3"/>
      <c r="GP240" s="3"/>
      <c r="GQ240" s="3"/>
      <c r="GR240" s="3"/>
      <c r="GS240" s="3"/>
      <c r="GT240" s="3"/>
      <c r="GU240" s="3"/>
      <c r="GV240" s="3"/>
      <c r="GW240" s="3"/>
      <c r="GX240" s="3"/>
      <c r="GY240" s="3"/>
      <c r="GZ240" s="3"/>
      <c r="HA240" s="3"/>
      <c r="HB240" s="3"/>
      <c r="HC240" s="3"/>
      <c r="HD240" s="3"/>
      <c r="HE240" s="3"/>
      <c r="HF240" s="3"/>
      <c r="HG240" s="3"/>
      <c r="HH240" s="3"/>
      <c r="HI240" s="3"/>
      <c r="HJ240" s="3"/>
      <c r="HK240" s="3"/>
      <c r="HL240" s="3"/>
      <c r="HM240" s="3"/>
      <c r="HN240" s="3"/>
      <c r="HO240" s="3"/>
      <c r="HP240" s="3"/>
      <c r="HQ240" s="3"/>
      <c r="HR240" s="3"/>
      <c r="HS240" s="3"/>
      <c r="HT240" s="3"/>
      <c r="HU240" s="3"/>
      <c r="HV240" s="3"/>
      <c r="HW240" s="3"/>
      <c r="HX240" s="3"/>
      <c r="HY240" s="3"/>
      <c r="HZ240" s="3"/>
      <c r="IA240" s="3"/>
      <c r="IB240" s="3"/>
      <c r="IC240" s="3"/>
      <c r="ID240" s="3"/>
      <c r="IE240" s="3"/>
      <c r="IF240" s="3"/>
      <c r="IG240" s="3"/>
      <c r="IH240" s="3"/>
      <c r="II240" s="3"/>
      <c r="IJ240" s="3"/>
      <c r="IK240" s="3"/>
      <c r="IL240" s="3"/>
      <c r="IM240" s="3"/>
      <c r="IN240" s="3"/>
      <c r="IO240" s="3"/>
      <c r="IP240" s="3"/>
      <c r="IQ240" s="3"/>
      <c r="IR240" s="3"/>
      <c r="IS240" s="3"/>
      <c r="IT240" s="3"/>
      <c r="IU240" s="3"/>
      <c r="IV240" s="3"/>
      <c r="IW240" s="3"/>
    </row>
    <row r="241" customFormat="false" ht="12.75" hidden="false" customHeight="false" outlineLevel="0" collapsed="false">
      <c r="A241" s="23"/>
      <c r="B241" s="373" t="s">
        <v>342</v>
      </c>
      <c r="C241" s="374"/>
      <c r="D241" s="3"/>
      <c r="E241" s="377" t="n">
        <f aca="false">EDATE(F24,6)-1</f>
        <v>35975</v>
      </c>
      <c r="F241" s="22" t="s">
        <v>343</v>
      </c>
      <c r="G241" s="376"/>
      <c r="H241" s="376"/>
      <c r="I241" s="376"/>
      <c r="J241" s="376"/>
      <c r="K241" s="376"/>
      <c r="L241" s="376"/>
      <c r="M241" s="376"/>
      <c r="N241" s="376"/>
      <c r="O241" s="376"/>
      <c r="P241" s="376"/>
      <c r="Q241" s="376"/>
      <c r="R241" s="376"/>
      <c r="S241" s="376"/>
      <c r="T241" s="376"/>
      <c r="U241" s="376"/>
      <c r="V241" s="376"/>
      <c r="W241" s="376"/>
      <c r="X241" s="376"/>
      <c r="Y241" s="376"/>
      <c r="Z241" s="376"/>
      <c r="AA241" s="376"/>
      <c r="AB241" s="376"/>
      <c r="AC241" s="376"/>
      <c r="AD241" s="376"/>
      <c r="AE241" s="376"/>
      <c r="AF241" s="376"/>
      <c r="AG241" s="376"/>
      <c r="AH241" s="376"/>
      <c r="AI241" s="376"/>
      <c r="AJ241" s="376"/>
      <c r="AK241" s="376"/>
      <c r="AL241" s="376"/>
      <c r="AM241" s="376"/>
      <c r="AN241" s="23"/>
      <c r="AO241" s="23"/>
      <c r="AP241" s="23"/>
      <c r="AQ241" s="23"/>
      <c r="AR241" s="23"/>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c r="BT241" s="24"/>
      <c r="BU241" s="24"/>
      <c r="BV241" s="24"/>
      <c r="BW241" s="24"/>
      <c r="BX241" s="24"/>
      <c r="BY241" s="24"/>
      <c r="BZ241" s="24"/>
      <c r="CA241" s="24"/>
      <c r="CB241" s="24"/>
      <c r="CC241" s="24"/>
      <c r="CD241" s="24"/>
      <c r="CE241" s="24"/>
      <c r="CF241" s="24"/>
      <c r="CG241" s="24"/>
      <c r="CH241" s="24"/>
      <c r="CI241" s="24"/>
      <c r="CJ241" s="24"/>
      <c r="CK241" s="24"/>
      <c r="CL241" s="24"/>
      <c r="CM241" s="24"/>
      <c r="CN241" s="24"/>
      <c r="CO241" s="24"/>
      <c r="CP241" s="24"/>
      <c r="CQ241" s="24"/>
      <c r="CR241" s="24"/>
      <c r="CS241" s="24"/>
      <c r="CT241" s="24"/>
      <c r="CU241" s="24"/>
      <c r="CV241" s="24"/>
      <c r="CW241" s="24"/>
      <c r="CX241" s="24"/>
      <c r="CY241" s="24"/>
      <c r="CZ241" s="24"/>
      <c r="DA241" s="24"/>
      <c r="DB241" s="24"/>
      <c r="DC241" s="24"/>
      <c r="DD241" s="24"/>
      <c r="DE241" s="24"/>
      <c r="DF241" s="24"/>
      <c r="DG241" s="24"/>
      <c r="DH241" s="24"/>
      <c r="DI241" s="24"/>
      <c r="DJ241" s="24"/>
      <c r="DK241" s="24"/>
      <c r="DL241" s="24"/>
      <c r="DM241" s="24"/>
      <c r="DN241" s="24"/>
      <c r="DO241" s="24"/>
      <c r="DP241" s="24"/>
      <c r="DQ241" s="24"/>
      <c r="DR241" s="24"/>
      <c r="DS241" s="24"/>
      <c r="DT241" s="24"/>
      <c r="DU241" s="24"/>
      <c r="DV241" s="24"/>
      <c r="DW241" s="24"/>
      <c r="DX241" s="24"/>
      <c r="DY241" s="24"/>
      <c r="DZ241" s="24"/>
      <c r="EA241" s="24"/>
      <c r="EB241" s="24"/>
      <c r="EC241" s="24"/>
      <c r="ED241" s="24"/>
      <c r="EE241" s="24"/>
      <c r="EF241" s="24"/>
      <c r="EG241" s="24"/>
      <c r="EH241" s="24"/>
      <c r="EI241" s="24"/>
      <c r="EJ241" s="24"/>
      <c r="EK241" s="24"/>
      <c r="EL241" s="24"/>
      <c r="EM241" s="3"/>
      <c r="EN241" s="3"/>
      <c r="EO241" s="3"/>
      <c r="EP241" s="3"/>
      <c r="EQ241" s="3"/>
      <c r="ER241" s="3"/>
      <c r="ES241" s="3"/>
      <c r="ET241" s="3"/>
      <c r="EU241" s="3"/>
      <c r="EV241" s="3"/>
      <c r="EW241" s="3"/>
      <c r="EX241" s="3"/>
      <c r="EY241" s="3"/>
      <c r="EZ241" s="3"/>
      <c r="FA241" s="3"/>
      <c r="FB241" s="3"/>
      <c r="FC241" s="3"/>
      <c r="FD241" s="3"/>
      <c r="FE241" s="3"/>
      <c r="FF241" s="3"/>
      <c r="FG241" s="3"/>
      <c r="FH241" s="3"/>
      <c r="FI241" s="3"/>
      <c r="FJ241" s="3"/>
      <c r="FK241" s="3"/>
      <c r="FL241" s="3"/>
      <c r="FM241" s="3"/>
      <c r="FN241" s="3"/>
      <c r="FO241" s="3"/>
      <c r="FP241" s="3"/>
      <c r="FQ241" s="3"/>
      <c r="FR241" s="3"/>
      <c r="FS241" s="3"/>
      <c r="FT241" s="3"/>
      <c r="FU241" s="3"/>
      <c r="FV241" s="3"/>
      <c r="FW241" s="3"/>
      <c r="FX241" s="3"/>
      <c r="FY241" s="3"/>
      <c r="FZ241" s="3"/>
      <c r="GA241" s="3"/>
      <c r="GB241" s="3"/>
      <c r="GC241" s="3"/>
      <c r="GD241" s="3"/>
      <c r="GE241" s="3"/>
      <c r="GF241" s="3"/>
      <c r="GG241" s="3"/>
      <c r="GH241" s="3"/>
      <c r="GI241" s="3"/>
      <c r="GJ241" s="3"/>
      <c r="GK241" s="3"/>
      <c r="GL241" s="3"/>
      <c r="GM241" s="3"/>
      <c r="GN241" s="3"/>
      <c r="GO241" s="3"/>
      <c r="GP241" s="3"/>
      <c r="GQ241" s="3"/>
      <c r="GR241" s="3"/>
      <c r="GS241" s="3"/>
      <c r="GT241" s="3"/>
      <c r="GU241" s="3"/>
      <c r="GV241" s="3"/>
      <c r="GW241" s="3"/>
      <c r="GX241" s="3"/>
      <c r="GY241" s="3"/>
      <c r="GZ241" s="3"/>
      <c r="HA241" s="3"/>
      <c r="HB241" s="3"/>
      <c r="HC241" s="3"/>
      <c r="HD241" s="3"/>
      <c r="HE241" s="3"/>
      <c r="HF241" s="3"/>
      <c r="HG241" s="3"/>
      <c r="HH241" s="3"/>
      <c r="HI241" s="3"/>
      <c r="HJ241" s="3"/>
      <c r="HK241" s="3"/>
      <c r="HL241" s="3"/>
      <c r="HM241" s="3"/>
      <c r="HN241" s="3"/>
      <c r="HO241" s="3"/>
      <c r="HP241" s="3"/>
      <c r="HQ241" s="3"/>
      <c r="HR241" s="3"/>
      <c r="HS241" s="3"/>
      <c r="HT241" s="3"/>
      <c r="HU241" s="3"/>
      <c r="HV241" s="3"/>
      <c r="HW241" s="3"/>
      <c r="HX241" s="3"/>
      <c r="HY241" s="3"/>
      <c r="HZ241" s="3"/>
      <c r="IA241" s="3"/>
      <c r="IB241" s="3"/>
      <c r="IC241" s="3"/>
      <c r="ID241" s="3"/>
      <c r="IE241" s="3"/>
      <c r="IF241" s="3"/>
      <c r="IG241" s="3"/>
      <c r="IH241" s="3"/>
      <c r="II241" s="3"/>
      <c r="IJ241" s="3"/>
      <c r="IK241" s="3"/>
      <c r="IL241" s="3"/>
      <c r="IM241" s="3"/>
      <c r="IN241" s="3"/>
      <c r="IO241" s="3"/>
      <c r="IP241" s="3"/>
      <c r="IQ241" s="3"/>
      <c r="IR241" s="3"/>
      <c r="IS241" s="3"/>
      <c r="IT241" s="3"/>
      <c r="IU241" s="3"/>
      <c r="IV241" s="3"/>
      <c r="IW241" s="3"/>
    </row>
    <row r="242" customFormat="false" ht="12.75" hidden="false" customHeight="false" outlineLevel="0" collapsed="false">
      <c r="A242" s="23"/>
      <c r="B242" s="373" t="s">
        <v>344</v>
      </c>
      <c r="C242" s="374"/>
      <c r="D242" s="3"/>
      <c r="E242" s="377" t="n">
        <f aca="false">EDATE(E241,6)</f>
        <v>36158</v>
      </c>
      <c r="F242" s="22" t="s">
        <v>345</v>
      </c>
      <c r="G242" s="376"/>
      <c r="H242" s="376"/>
      <c r="I242" s="376"/>
      <c r="J242" s="376"/>
      <c r="K242" s="376"/>
      <c r="L242" s="376"/>
      <c r="M242" s="376"/>
      <c r="N242" s="376"/>
      <c r="O242" s="376"/>
      <c r="P242" s="376"/>
      <c r="Q242" s="376"/>
      <c r="R242" s="376"/>
      <c r="S242" s="376"/>
      <c r="T242" s="376"/>
      <c r="U242" s="376"/>
      <c r="V242" s="376"/>
      <c r="W242" s="376"/>
      <c r="X242" s="376"/>
      <c r="Y242" s="376"/>
      <c r="Z242" s="376"/>
      <c r="AA242" s="376"/>
      <c r="AB242" s="376"/>
      <c r="AC242" s="376"/>
      <c r="AD242" s="376"/>
      <c r="AE242" s="376"/>
      <c r="AF242" s="376"/>
      <c r="AG242" s="376"/>
      <c r="AH242" s="376"/>
      <c r="AI242" s="376"/>
      <c r="AJ242" s="376"/>
      <c r="AK242" s="376"/>
      <c r="AL242" s="376"/>
      <c r="AM242" s="376"/>
      <c r="AN242" s="23"/>
      <c r="AO242" s="23"/>
      <c r="AP242" s="23"/>
      <c r="AQ242" s="23"/>
      <c r="AR242" s="23"/>
      <c r="AS242" s="24"/>
      <c r="AT242" s="24"/>
      <c r="AU242" s="24"/>
      <c r="AV242" s="24"/>
      <c r="AW242" s="24"/>
      <c r="AX242" s="24"/>
      <c r="AY242" s="24"/>
      <c r="AZ242" s="24"/>
      <c r="BA242" s="24"/>
      <c r="BB242" s="24"/>
      <c r="BC242" s="24"/>
      <c r="BD242" s="24"/>
      <c r="BE242" s="24"/>
      <c r="BF242" s="24"/>
      <c r="BG242" s="24"/>
      <c r="BH242" s="24"/>
      <c r="BI242" s="24"/>
      <c r="BJ242" s="24"/>
      <c r="BK242" s="24"/>
      <c r="BL242" s="24"/>
      <c r="BM242" s="24"/>
      <c r="BN242" s="24"/>
      <c r="BO242" s="24"/>
      <c r="BP242" s="24"/>
      <c r="BQ242" s="24"/>
      <c r="BR242" s="24"/>
      <c r="BS242" s="24"/>
      <c r="BT242" s="24"/>
      <c r="BU242" s="24"/>
      <c r="BV242" s="24"/>
      <c r="BW242" s="24"/>
      <c r="BX242" s="24"/>
      <c r="BY242" s="24"/>
      <c r="BZ242" s="24"/>
      <c r="CA242" s="24"/>
      <c r="CB242" s="24"/>
      <c r="CC242" s="24"/>
      <c r="CD242" s="24"/>
      <c r="CE242" s="24"/>
      <c r="CF242" s="24"/>
      <c r="CG242" s="24"/>
      <c r="CH242" s="24"/>
      <c r="CI242" s="24"/>
      <c r="CJ242" s="24"/>
      <c r="CK242" s="24"/>
      <c r="CL242" s="24"/>
      <c r="CM242" s="24"/>
      <c r="CN242" s="24"/>
      <c r="CO242" s="24"/>
      <c r="CP242" s="24"/>
      <c r="CQ242" s="24"/>
      <c r="CR242" s="24"/>
      <c r="CS242" s="24"/>
      <c r="CT242" s="24"/>
      <c r="CU242" s="24"/>
      <c r="CV242" s="24"/>
      <c r="CW242" s="24"/>
      <c r="CX242" s="24"/>
      <c r="CY242" s="24"/>
      <c r="CZ242" s="24"/>
      <c r="DA242" s="24"/>
      <c r="DB242" s="24"/>
      <c r="DC242" s="24"/>
      <c r="DD242" s="24"/>
      <c r="DE242" s="24"/>
      <c r="DF242" s="24"/>
      <c r="DG242" s="24"/>
      <c r="DH242" s="24"/>
      <c r="DI242" s="24"/>
      <c r="DJ242" s="24"/>
      <c r="DK242" s="24"/>
      <c r="DL242" s="24"/>
      <c r="DM242" s="24"/>
      <c r="DN242" s="24"/>
      <c r="DO242" s="24"/>
      <c r="DP242" s="24"/>
      <c r="DQ242" s="24"/>
      <c r="DR242" s="24"/>
      <c r="DS242" s="24"/>
      <c r="DT242" s="24"/>
      <c r="DU242" s="24"/>
      <c r="DV242" s="24"/>
      <c r="DW242" s="24"/>
      <c r="DX242" s="24"/>
      <c r="DY242" s="24"/>
      <c r="DZ242" s="24"/>
      <c r="EA242" s="24"/>
      <c r="EB242" s="24"/>
      <c r="EC242" s="24"/>
      <c r="ED242" s="24"/>
      <c r="EE242" s="24"/>
      <c r="EF242" s="24"/>
      <c r="EG242" s="24"/>
      <c r="EH242" s="24"/>
      <c r="EI242" s="24"/>
      <c r="EJ242" s="24"/>
      <c r="EK242" s="24"/>
      <c r="EL242" s="24"/>
      <c r="EM242" s="3"/>
      <c r="EN242" s="3"/>
      <c r="EO242" s="3"/>
      <c r="EP242" s="3"/>
      <c r="EQ242" s="3"/>
      <c r="ER242" s="3"/>
      <c r="ES242" s="3"/>
      <c r="ET242" s="3"/>
      <c r="EU242" s="3"/>
      <c r="EV242" s="3"/>
      <c r="EW242" s="3"/>
      <c r="EX242" s="3"/>
      <c r="EY242" s="3"/>
      <c r="EZ242" s="3"/>
      <c r="FA242" s="3"/>
      <c r="FB242" s="3"/>
      <c r="FC242" s="3"/>
      <c r="FD242" s="3"/>
      <c r="FE242" s="3"/>
      <c r="FF242" s="3"/>
      <c r="FG242" s="3"/>
      <c r="FH242" s="3"/>
      <c r="FI242" s="3"/>
      <c r="FJ242" s="3"/>
      <c r="FK242" s="3"/>
      <c r="FL242" s="3"/>
      <c r="FM242" s="3"/>
      <c r="FN242" s="3"/>
      <c r="FO242" s="3"/>
      <c r="FP242" s="3"/>
      <c r="FQ242" s="3"/>
      <c r="FR242" s="3"/>
      <c r="FS242" s="3"/>
      <c r="FT242" s="3"/>
      <c r="FU242" s="3"/>
      <c r="FV242" s="3"/>
      <c r="FW242" s="3"/>
      <c r="FX242" s="3"/>
      <c r="FY242" s="3"/>
      <c r="FZ242" s="3"/>
      <c r="GA242" s="3"/>
      <c r="GB242" s="3"/>
      <c r="GC242" s="3"/>
      <c r="GD242" s="3"/>
      <c r="GE242" s="3"/>
      <c r="GF242" s="3"/>
      <c r="GG242" s="3"/>
      <c r="GH242" s="3"/>
      <c r="GI242" s="3"/>
      <c r="GJ242" s="3"/>
      <c r="GK242" s="3"/>
      <c r="GL242" s="3"/>
      <c r="GM242" s="3"/>
      <c r="GN242" s="3"/>
      <c r="GO242" s="3"/>
      <c r="GP242" s="3"/>
      <c r="GQ242" s="3"/>
      <c r="GR242" s="3"/>
      <c r="GS242" s="3"/>
      <c r="GT242" s="3"/>
      <c r="GU242" s="3"/>
      <c r="GV242" s="3"/>
      <c r="GW242" s="3"/>
      <c r="GX242" s="3"/>
      <c r="GY242" s="3"/>
      <c r="GZ242" s="3"/>
      <c r="HA242" s="3"/>
      <c r="HB242" s="3"/>
      <c r="HC242" s="3"/>
      <c r="HD242" s="3"/>
      <c r="HE242" s="3"/>
      <c r="HF242" s="3"/>
      <c r="HG242" s="3"/>
      <c r="HH242" s="3"/>
      <c r="HI242" s="3"/>
      <c r="HJ242" s="3"/>
      <c r="HK242" s="3"/>
      <c r="HL242" s="3"/>
      <c r="HM242" s="3"/>
      <c r="HN242" s="3"/>
      <c r="HO242" s="3"/>
      <c r="HP242" s="3"/>
      <c r="HQ242" s="3"/>
      <c r="HR242" s="3"/>
      <c r="HS242" s="3"/>
      <c r="HT242" s="3"/>
      <c r="HU242" s="3"/>
      <c r="HV242" s="3"/>
      <c r="HW242" s="3"/>
      <c r="HX242" s="3"/>
      <c r="HY242" s="3"/>
      <c r="HZ242" s="3"/>
      <c r="IA242" s="3"/>
      <c r="IB242" s="3"/>
      <c r="IC242" s="3"/>
      <c r="ID242" s="3"/>
      <c r="IE242" s="3"/>
      <c r="IF242" s="3"/>
      <c r="IG242" s="3"/>
      <c r="IH242" s="3"/>
      <c r="II242" s="3"/>
      <c r="IJ242" s="3"/>
      <c r="IK242" s="3"/>
      <c r="IL242" s="3"/>
      <c r="IM242" s="3"/>
      <c r="IN242" s="3"/>
      <c r="IO242" s="3"/>
      <c r="IP242" s="3"/>
      <c r="IQ242" s="3"/>
      <c r="IR242" s="3"/>
      <c r="IS242" s="3"/>
      <c r="IT242" s="3"/>
      <c r="IU242" s="3"/>
      <c r="IV242" s="3"/>
      <c r="IW242" s="3"/>
    </row>
    <row r="243" customFormat="false" ht="12.75" hidden="false" customHeight="false" outlineLevel="0" collapsed="false">
      <c r="A243" s="23"/>
      <c r="B243" s="373" t="s">
        <v>346</v>
      </c>
      <c r="C243" s="374"/>
      <c r="D243" s="3"/>
      <c r="E243" s="378" t="n">
        <v>0.5</v>
      </c>
      <c r="F243" s="22"/>
      <c r="G243" s="376"/>
      <c r="H243" s="376"/>
      <c r="I243" s="376"/>
      <c r="J243" s="376"/>
      <c r="K243" s="376"/>
      <c r="L243" s="376"/>
      <c r="M243" s="376"/>
      <c r="N243" s="376"/>
      <c r="O243" s="376"/>
      <c r="P243" s="376"/>
      <c r="Q243" s="376"/>
      <c r="R243" s="376"/>
      <c r="S243" s="376"/>
      <c r="T243" s="376"/>
      <c r="U243" s="376"/>
      <c r="V243" s="376"/>
      <c r="W243" s="376"/>
      <c r="X243" s="376"/>
      <c r="Y243" s="376"/>
      <c r="Z243" s="376"/>
      <c r="AA243" s="376"/>
      <c r="AB243" s="376"/>
      <c r="AC243" s="376"/>
      <c r="AD243" s="376"/>
      <c r="AE243" s="376"/>
      <c r="AF243" s="376"/>
      <c r="AG243" s="376"/>
      <c r="AH243" s="376"/>
      <c r="AI243" s="376"/>
      <c r="AJ243" s="376"/>
      <c r="AK243" s="376"/>
      <c r="AL243" s="376"/>
      <c r="AM243" s="376"/>
      <c r="AN243" s="23"/>
      <c r="AO243" s="23"/>
      <c r="AP243" s="23"/>
      <c r="AQ243" s="23"/>
      <c r="AR243" s="23"/>
      <c r="AS243" s="24"/>
      <c r="AT243" s="24"/>
      <c r="AU243" s="24"/>
      <c r="AV243" s="24"/>
      <c r="AW243" s="24"/>
      <c r="AX243" s="24"/>
      <c r="AY243" s="24"/>
      <c r="AZ243" s="24"/>
      <c r="BA243" s="24"/>
      <c r="BB243" s="24"/>
      <c r="BC243" s="24"/>
      <c r="BD243" s="24"/>
      <c r="BE243" s="24"/>
      <c r="BF243" s="24"/>
      <c r="BG243" s="24"/>
      <c r="BH243" s="24"/>
      <c r="BI243" s="24"/>
      <c r="BJ243" s="24"/>
      <c r="BK243" s="24"/>
      <c r="BL243" s="24"/>
      <c r="BM243" s="24"/>
      <c r="BN243" s="24"/>
      <c r="BO243" s="24"/>
      <c r="BP243" s="24"/>
      <c r="BQ243" s="24"/>
      <c r="BR243" s="24"/>
      <c r="BS243" s="24"/>
      <c r="BT243" s="24"/>
      <c r="BU243" s="24"/>
      <c r="BV243" s="24"/>
      <c r="BW243" s="24"/>
      <c r="BX243" s="24"/>
      <c r="BY243" s="24"/>
      <c r="BZ243" s="24"/>
      <c r="CA243" s="24"/>
      <c r="CB243" s="24"/>
      <c r="CC243" s="24"/>
      <c r="CD243" s="24"/>
      <c r="CE243" s="24"/>
      <c r="CF243" s="24"/>
      <c r="CG243" s="24"/>
      <c r="CH243" s="24"/>
      <c r="CI243" s="24"/>
      <c r="CJ243" s="24"/>
      <c r="CK243" s="24"/>
      <c r="CL243" s="24"/>
      <c r="CM243" s="24"/>
      <c r="CN243" s="24"/>
      <c r="CO243" s="24"/>
      <c r="CP243" s="24"/>
      <c r="CQ243" s="24"/>
      <c r="CR243" s="24"/>
      <c r="CS243" s="24"/>
      <c r="CT243" s="24"/>
      <c r="CU243" s="24"/>
      <c r="CV243" s="24"/>
      <c r="CW243" s="24"/>
      <c r="CX243" s="24"/>
      <c r="CY243" s="24"/>
      <c r="CZ243" s="24"/>
      <c r="DA243" s="24"/>
      <c r="DB243" s="24"/>
      <c r="DC243" s="24"/>
      <c r="DD243" s="24"/>
      <c r="DE243" s="24"/>
      <c r="DF243" s="24"/>
      <c r="DG243" s="24"/>
      <c r="DH243" s="24"/>
      <c r="DI243" s="24"/>
      <c r="DJ243" s="24"/>
      <c r="DK243" s="24"/>
      <c r="DL243" s="24"/>
      <c r="DM243" s="24"/>
      <c r="DN243" s="24"/>
      <c r="DO243" s="24"/>
      <c r="DP243" s="24"/>
      <c r="DQ243" s="24"/>
      <c r="DR243" s="24"/>
      <c r="DS243" s="24"/>
      <c r="DT243" s="24"/>
      <c r="DU243" s="24"/>
      <c r="DV243" s="24"/>
      <c r="DW243" s="24"/>
      <c r="DX243" s="24"/>
      <c r="DY243" s="24"/>
      <c r="DZ243" s="24"/>
      <c r="EA243" s="24"/>
      <c r="EB243" s="24"/>
      <c r="EC243" s="24"/>
      <c r="ED243" s="24"/>
      <c r="EE243" s="24"/>
      <c r="EF243" s="24"/>
      <c r="EG243" s="24"/>
      <c r="EH243" s="24"/>
      <c r="EI243" s="24"/>
      <c r="EJ243" s="24"/>
      <c r="EK243" s="24"/>
      <c r="EL243" s="24"/>
      <c r="EM243" s="3"/>
      <c r="EN243" s="3"/>
      <c r="EO243" s="3"/>
      <c r="EP243" s="3"/>
      <c r="EQ243" s="3"/>
      <c r="ER243" s="3"/>
      <c r="ES243" s="3"/>
      <c r="ET243" s="3"/>
      <c r="EU243" s="3"/>
      <c r="EV243" s="3"/>
      <c r="EW243" s="3"/>
      <c r="EX243" s="3"/>
      <c r="EY243" s="3"/>
      <c r="EZ243" s="3"/>
      <c r="FA243" s="3"/>
      <c r="FB243" s="3"/>
      <c r="FC243" s="3"/>
      <c r="FD243" s="3"/>
      <c r="FE243" s="3"/>
      <c r="FF243" s="3"/>
      <c r="FG243" s="3"/>
      <c r="FH243" s="3"/>
      <c r="FI243" s="3"/>
      <c r="FJ243" s="3"/>
      <c r="FK243" s="3"/>
      <c r="FL243" s="3"/>
      <c r="FM243" s="3"/>
      <c r="FN243" s="3"/>
      <c r="FO243" s="3"/>
      <c r="FP243" s="3"/>
      <c r="FQ243" s="3"/>
      <c r="FR243" s="3"/>
      <c r="FS243" s="3"/>
      <c r="FT243" s="3"/>
      <c r="FU243" s="3"/>
      <c r="FV243" s="3"/>
      <c r="FW243" s="3"/>
      <c r="FX243" s="3"/>
      <c r="FY243" s="3"/>
      <c r="FZ243" s="3"/>
      <c r="GA243" s="3"/>
      <c r="GB243" s="3"/>
      <c r="GC243" s="3"/>
      <c r="GD243" s="3"/>
      <c r="GE243" s="3"/>
      <c r="GF243" s="3"/>
      <c r="GG243" s="3"/>
      <c r="GH243" s="3"/>
      <c r="GI243" s="3"/>
      <c r="GJ243" s="3"/>
      <c r="GK243" s="3"/>
      <c r="GL243" s="3"/>
      <c r="GM243" s="3"/>
      <c r="GN243" s="3"/>
      <c r="GO243" s="3"/>
      <c r="GP243" s="3"/>
      <c r="GQ243" s="3"/>
      <c r="GR243" s="3"/>
      <c r="GS243" s="3"/>
      <c r="GT243" s="3"/>
      <c r="GU243" s="3"/>
      <c r="GV243" s="3"/>
      <c r="GW243" s="3"/>
      <c r="GX243" s="3"/>
      <c r="GY243" s="3"/>
      <c r="GZ243" s="3"/>
      <c r="HA243" s="3"/>
      <c r="HB243" s="3"/>
      <c r="HC243" s="3"/>
      <c r="HD243" s="3"/>
      <c r="HE243" s="3"/>
      <c r="HF243" s="3"/>
      <c r="HG243" s="3"/>
      <c r="HH243" s="3"/>
      <c r="HI243" s="3"/>
      <c r="HJ243" s="3"/>
      <c r="HK243" s="3"/>
      <c r="HL243" s="3"/>
      <c r="HM243" s="3"/>
      <c r="HN243" s="3"/>
      <c r="HO243" s="3"/>
      <c r="HP243" s="3"/>
      <c r="HQ243" s="3"/>
      <c r="HR243" s="3"/>
      <c r="HS243" s="3"/>
      <c r="HT243" s="3"/>
      <c r="HU243" s="3"/>
      <c r="HV243" s="3"/>
      <c r="HW243" s="3"/>
      <c r="HX243" s="3"/>
      <c r="HY243" s="3"/>
      <c r="HZ243" s="3"/>
      <c r="IA243" s="3"/>
      <c r="IB243" s="3"/>
      <c r="IC243" s="3"/>
      <c r="ID243" s="3"/>
      <c r="IE243" s="3"/>
      <c r="IF243" s="3"/>
      <c r="IG243" s="3"/>
      <c r="IH243" s="3"/>
      <c r="II243" s="3"/>
      <c r="IJ243" s="3"/>
      <c r="IK243" s="3"/>
      <c r="IL243" s="3"/>
      <c r="IM243" s="3"/>
      <c r="IN243" s="3"/>
      <c r="IO243" s="3"/>
      <c r="IP243" s="3"/>
      <c r="IQ243" s="3"/>
      <c r="IR243" s="3"/>
      <c r="IS243" s="3"/>
      <c r="IT243" s="3"/>
      <c r="IU243" s="3"/>
      <c r="IV243" s="3"/>
      <c r="IW243" s="3"/>
    </row>
    <row r="244" customFormat="false" ht="12.75" hidden="false" customHeight="false" outlineLevel="0" collapsed="false">
      <c r="A244" s="23"/>
      <c r="B244" s="0" t="s">
        <v>347</v>
      </c>
      <c r="C244" s="21"/>
      <c r="D244" s="3"/>
      <c r="E244" s="379" t="n">
        <v>2</v>
      </c>
      <c r="F244" s="22"/>
      <c r="G244" s="376"/>
      <c r="H244" s="376"/>
      <c r="I244" s="376"/>
      <c r="J244" s="376"/>
      <c r="K244" s="376"/>
      <c r="L244" s="376"/>
      <c r="M244" s="376"/>
      <c r="N244" s="376"/>
      <c r="O244" s="376"/>
      <c r="P244" s="376"/>
      <c r="Q244" s="376"/>
      <c r="R244" s="376"/>
      <c r="S244" s="376"/>
      <c r="T244" s="376"/>
      <c r="U244" s="376"/>
      <c r="V244" s="376"/>
      <c r="W244" s="376"/>
      <c r="X244" s="376"/>
      <c r="Y244" s="376"/>
      <c r="Z244" s="376"/>
      <c r="AA244" s="376"/>
      <c r="AB244" s="376"/>
      <c r="AC244" s="376"/>
      <c r="AD244" s="376"/>
      <c r="AE244" s="376"/>
      <c r="AF244" s="376"/>
      <c r="AG244" s="376"/>
      <c r="AH244" s="376"/>
      <c r="AI244" s="376"/>
      <c r="AJ244" s="376"/>
      <c r="AK244" s="376"/>
      <c r="AL244" s="376"/>
      <c r="AM244" s="376"/>
      <c r="AN244" s="23"/>
      <c r="AO244" s="23"/>
      <c r="AP244" s="23"/>
      <c r="AQ244" s="23"/>
      <c r="AR244" s="23"/>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c r="BZ244" s="24"/>
      <c r="CA244" s="24"/>
      <c r="CB244" s="24"/>
      <c r="CC244" s="24"/>
      <c r="CD244" s="24"/>
      <c r="CE244" s="24"/>
      <c r="CF244" s="24"/>
      <c r="CG244" s="24"/>
      <c r="CH244" s="24"/>
      <c r="CI244" s="24"/>
      <c r="CJ244" s="24"/>
      <c r="CK244" s="24"/>
      <c r="CL244" s="24"/>
      <c r="CM244" s="24"/>
      <c r="CN244" s="24"/>
      <c r="CO244" s="24"/>
      <c r="CP244" s="24"/>
      <c r="CQ244" s="24"/>
      <c r="CR244" s="24"/>
      <c r="CS244" s="24"/>
      <c r="CT244" s="24"/>
      <c r="CU244" s="24"/>
      <c r="CV244" s="24"/>
      <c r="CW244" s="24"/>
      <c r="CX244" s="24"/>
      <c r="CY244" s="24"/>
      <c r="CZ244" s="24"/>
      <c r="DA244" s="24"/>
      <c r="DB244" s="24"/>
      <c r="DC244" s="24"/>
      <c r="DD244" s="24"/>
      <c r="DE244" s="24"/>
      <c r="DF244" s="24"/>
      <c r="DG244" s="24"/>
      <c r="DH244" s="24"/>
      <c r="DI244" s="24"/>
      <c r="DJ244" s="24"/>
      <c r="DK244" s="24"/>
      <c r="DL244" s="24"/>
      <c r="DM244" s="24"/>
      <c r="DN244" s="24"/>
      <c r="DO244" s="24"/>
      <c r="DP244" s="24"/>
      <c r="DQ244" s="24"/>
      <c r="DR244" s="24"/>
      <c r="DS244" s="24"/>
      <c r="DT244" s="24"/>
      <c r="DU244" s="24"/>
      <c r="DV244" s="24"/>
      <c r="DW244" s="24"/>
      <c r="DX244" s="24"/>
      <c r="DY244" s="24"/>
      <c r="DZ244" s="24"/>
      <c r="EA244" s="24"/>
      <c r="EB244" s="24"/>
      <c r="EC244" s="24"/>
      <c r="ED244" s="24"/>
      <c r="EE244" s="24"/>
      <c r="EF244" s="24"/>
      <c r="EG244" s="24"/>
      <c r="EH244" s="24"/>
      <c r="EI244" s="24"/>
      <c r="EJ244" s="24"/>
      <c r="EK244" s="24"/>
      <c r="EL244" s="24"/>
      <c r="EM244" s="3"/>
      <c r="EN244" s="3"/>
      <c r="EO244" s="3"/>
      <c r="EP244" s="3"/>
      <c r="EQ244" s="3"/>
      <c r="ER244" s="3"/>
      <c r="ES244" s="3"/>
      <c r="ET244" s="3"/>
      <c r="EU244" s="3"/>
      <c r="EV244" s="3"/>
      <c r="EW244" s="3"/>
      <c r="EX244" s="3"/>
      <c r="EY244" s="3"/>
      <c r="EZ244" s="3"/>
      <c r="FA244" s="3"/>
      <c r="FB244" s="3"/>
      <c r="FC244" s="3"/>
      <c r="FD244" s="3"/>
      <c r="FE244" s="3"/>
      <c r="FF244" s="3"/>
      <c r="FG244" s="3"/>
      <c r="FH244" s="3"/>
      <c r="FI244" s="3"/>
      <c r="FJ244" s="3"/>
      <c r="FK244" s="3"/>
      <c r="FL244" s="3"/>
      <c r="FM244" s="3"/>
      <c r="FN244" s="3"/>
      <c r="FO244" s="3"/>
      <c r="FP244" s="3"/>
      <c r="FQ244" s="3"/>
      <c r="FR244" s="3"/>
      <c r="FS244" s="3"/>
      <c r="FT244" s="3"/>
      <c r="FU244" s="3"/>
      <c r="FV244" s="3"/>
      <c r="FW244" s="3"/>
      <c r="FX244" s="3"/>
      <c r="FY244" s="3"/>
      <c r="FZ244" s="3"/>
      <c r="GA244" s="3"/>
      <c r="GB244" s="3"/>
      <c r="GC244" s="3"/>
      <c r="GD244" s="3"/>
      <c r="GE244" s="3"/>
      <c r="GF244" s="3"/>
      <c r="GG244" s="3"/>
      <c r="GH244" s="3"/>
      <c r="GI244" s="3"/>
      <c r="GJ244" s="3"/>
      <c r="GK244" s="3"/>
      <c r="GL244" s="3"/>
      <c r="GM244" s="3"/>
      <c r="GN244" s="3"/>
      <c r="GO244" s="3"/>
      <c r="GP244" s="3"/>
      <c r="GQ244" s="3"/>
      <c r="GR244" s="3"/>
      <c r="GS244" s="3"/>
      <c r="GT244" s="3"/>
      <c r="GU244" s="3"/>
      <c r="GV244" s="3"/>
      <c r="GW244" s="3"/>
      <c r="GX244" s="3"/>
      <c r="GY244" s="3"/>
      <c r="GZ244" s="3"/>
      <c r="HA244" s="3"/>
      <c r="HB244" s="3"/>
      <c r="HC244" s="3"/>
      <c r="HD244" s="3"/>
      <c r="HE244" s="3"/>
      <c r="HF244" s="3"/>
      <c r="HG244" s="3"/>
      <c r="HH244" s="3"/>
      <c r="HI244" s="3"/>
      <c r="HJ244" s="3"/>
      <c r="HK244" s="3"/>
      <c r="HL244" s="3"/>
      <c r="HM244" s="3"/>
      <c r="HN244" s="3"/>
      <c r="HO244" s="3"/>
      <c r="HP244" s="3"/>
      <c r="HQ244" s="3"/>
      <c r="HR244" s="3"/>
      <c r="HS244" s="3"/>
      <c r="HT244" s="3"/>
      <c r="HU244" s="3"/>
      <c r="HV244" s="3"/>
      <c r="HW244" s="3"/>
      <c r="HX244" s="3"/>
      <c r="HY244" s="3"/>
      <c r="HZ244" s="3"/>
      <c r="IA244" s="3"/>
      <c r="IB244" s="3"/>
      <c r="IC244" s="3"/>
      <c r="ID244" s="3"/>
      <c r="IE244" s="3"/>
      <c r="IF244" s="3"/>
      <c r="IG244" s="3"/>
      <c r="IH244" s="3"/>
      <c r="II244" s="3"/>
      <c r="IJ244" s="3"/>
      <c r="IK244" s="3"/>
      <c r="IL244" s="3"/>
      <c r="IM244" s="3"/>
      <c r="IN244" s="3"/>
      <c r="IO244" s="3"/>
      <c r="IP244" s="3"/>
      <c r="IQ244" s="3"/>
      <c r="IR244" s="3"/>
      <c r="IS244" s="3"/>
      <c r="IT244" s="3"/>
      <c r="IU244" s="3"/>
      <c r="IV244" s="3"/>
      <c r="IW244" s="3"/>
    </row>
    <row r="245" customFormat="false" ht="12.75" hidden="false" customHeight="false" outlineLevel="0" collapsed="false">
      <c r="A245" s="23"/>
      <c r="B245" s="39" t="s">
        <v>348</v>
      </c>
      <c r="C245" s="89" t="s">
        <v>349</v>
      </c>
      <c r="D245" s="39"/>
      <c r="E245" s="96" t="n">
        <v>1.4</v>
      </c>
      <c r="F245" s="96" t="n">
        <f aca="false">E245</f>
        <v>1.4</v>
      </c>
      <c r="G245" s="96" t="n">
        <f aca="false">F245</f>
        <v>1.4</v>
      </c>
      <c r="H245" s="96" t="n">
        <f aca="false">G245</f>
        <v>1.4</v>
      </c>
      <c r="I245" s="96" t="n">
        <f aca="false">H245</f>
        <v>1.4</v>
      </c>
      <c r="J245" s="96" t="n">
        <f aca="false">I245</f>
        <v>1.4</v>
      </c>
      <c r="K245" s="96" t="n">
        <f aca="false">J245</f>
        <v>1.4</v>
      </c>
      <c r="L245" s="96" t="n">
        <f aca="false">K245</f>
        <v>1.4</v>
      </c>
      <c r="M245" s="96" t="n">
        <f aca="false">L245</f>
        <v>1.4</v>
      </c>
      <c r="N245" s="96" t="n">
        <f aca="false">M245</f>
        <v>1.4</v>
      </c>
      <c r="O245" s="96" t="n">
        <f aca="false">N245</f>
        <v>1.4</v>
      </c>
      <c r="P245" s="96" t="n">
        <f aca="false">O245</f>
        <v>1.4</v>
      </c>
      <c r="Q245" s="96" t="n">
        <f aca="false">P245</f>
        <v>1.4</v>
      </c>
      <c r="R245" s="96" t="n">
        <f aca="false">Q245</f>
        <v>1.4</v>
      </c>
      <c r="S245" s="96" t="n">
        <f aca="false">R245</f>
        <v>1.4</v>
      </c>
      <c r="T245" s="96" t="n">
        <f aca="false">S245</f>
        <v>1.4</v>
      </c>
      <c r="U245" s="96" t="n">
        <f aca="false">T245</f>
        <v>1.4</v>
      </c>
      <c r="V245" s="96" t="n">
        <f aca="false">U245</f>
        <v>1.4</v>
      </c>
      <c r="W245" s="96" t="n">
        <f aca="false">V245</f>
        <v>1.4</v>
      </c>
      <c r="X245" s="96" t="n">
        <f aca="false">W245</f>
        <v>1.4</v>
      </c>
      <c r="Y245" s="96" t="n">
        <f aca="false">X245</f>
        <v>1.4</v>
      </c>
      <c r="Z245" s="96" t="n">
        <f aca="false">Y245</f>
        <v>1.4</v>
      </c>
      <c r="AA245" s="96" t="n">
        <f aca="false">Z245</f>
        <v>1.4</v>
      </c>
      <c r="AB245" s="96" t="n">
        <f aca="false">AA245</f>
        <v>1.4</v>
      </c>
      <c r="AC245" s="96" t="n">
        <f aca="false">AB245</f>
        <v>1.4</v>
      </c>
      <c r="AD245" s="96" t="n">
        <f aca="false">AC245</f>
        <v>1.4</v>
      </c>
      <c r="AE245" s="96" t="n">
        <f aca="false">AD245</f>
        <v>1.4</v>
      </c>
      <c r="AF245" s="96" t="n">
        <f aca="false">AE245</f>
        <v>1.4</v>
      </c>
      <c r="AG245" s="96" t="n">
        <f aca="false">AF245</f>
        <v>1.4</v>
      </c>
      <c r="AH245" s="96" t="n">
        <f aca="false">AG245</f>
        <v>1.4</v>
      </c>
      <c r="AI245" s="96" t="n">
        <f aca="false">AH245</f>
        <v>1.4</v>
      </c>
      <c r="AJ245" s="96" t="n">
        <f aca="false">AI245</f>
        <v>1.4</v>
      </c>
      <c r="AK245" s="96" t="n">
        <f aca="false">AJ245</f>
        <v>1.4</v>
      </c>
      <c r="AL245" s="96" t="n">
        <f aca="false">AK245</f>
        <v>1.4</v>
      </c>
      <c r="AM245" s="96" t="n">
        <f aca="false">AL245</f>
        <v>1.4</v>
      </c>
      <c r="AN245" s="23"/>
      <c r="AO245" s="23"/>
      <c r="AP245" s="23"/>
      <c r="AQ245" s="23"/>
      <c r="AR245" s="23"/>
      <c r="AS245" s="24"/>
      <c r="AT245" s="24"/>
      <c r="AU245" s="24"/>
      <c r="AV245" s="24"/>
      <c r="AW245" s="24"/>
      <c r="AX245" s="24"/>
      <c r="AY245" s="24"/>
      <c r="AZ245" s="24"/>
      <c r="BA245" s="24"/>
      <c r="BB245" s="24"/>
      <c r="BC245" s="24"/>
      <c r="BD245" s="24"/>
      <c r="BE245" s="24"/>
      <c r="BF245" s="24"/>
      <c r="BG245" s="24"/>
      <c r="BH245" s="24"/>
      <c r="BI245" s="24"/>
      <c r="BJ245" s="24"/>
      <c r="BK245" s="24"/>
      <c r="BL245" s="24"/>
      <c r="BM245" s="24"/>
      <c r="BN245" s="24"/>
      <c r="BO245" s="24"/>
      <c r="BP245" s="24"/>
      <c r="BQ245" s="24"/>
      <c r="BR245" s="24"/>
      <c r="BS245" s="24"/>
      <c r="BT245" s="24"/>
      <c r="BU245" s="24"/>
      <c r="BV245" s="24"/>
      <c r="BW245" s="24"/>
      <c r="BX245" s="24"/>
      <c r="BY245" s="24"/>
      <c r="BZ245" s="24"/>
      <c r="CA245" s="24"/>
      <c r="CB245" s="24"/>
      <c r="CC245" s="24"/>
      <c r="CD245" s="24"/>
      <c r="CE245" s="24"/>
      <c r="CF245" s="24"/>
      <c r="CG245" s="24"/>
      <c r="CH245" s="24"/>
      <c r="CI245" s="24"/>
      <c r="CJ245" s="24"/>
      <c r="CK245" s="24"/>
      <c r="CL245" s="24"/>
      <c r="CM245" s="24"/>
      <c r="CN245" s="24"/>
      <c r="CO245" s="24"/>
      <c r="CP245" s="24"/>
      <c r="CQ245" s="24"/>
      <c r="CR245" s="24"/>
      <c r="CS245" s="24"/>
      <c r="CT245" s="24"/>
      <c r="CU245" s="24"/>
      <c r="CV245" s="24"/>
      <c r="CW245" s="24"/>
      <c r="CX245" s="24"/>
      <c r="CY245" s="24"/>
      <c r="CZ245" s="24"/>
      <c r="DA245" s="24"/>
      <c r="DB245" s="24"/>
      <c r="DC245" s="24"/>
      <c r="DD245" s="24"/>
      <c r="DE245" s="24"/>
      <c r="DF245" s="24"/>
      <c r="DG245" s="24"/>
      <c r="DH245" s="24"/>
      <c r="DI245" s="24"/>
      <c r="DJ245" s="24"/>
      <c r="DK245" s="24"/>
      <c r="DL245" s="24"/>
      <c r="DM245" s="24"/>
      <c r="DN245" s="24"/>
      <c r="DO245" s="24"/>
      <c r="DP245" s="24"/>
      <c r="DQ245" s="24"/>
      <c r="DR245" s="24"/>
      <c r="DS245" s="24"/>
      <c r="DT245" s="24"/>
      <c r="DU245" s="24"/>
      <c r="DV245" s="24"/>
      <c r="DW245" s="24"/>
      <c r="DX245" s="24"/>
      <c r="DY245" s="24"/>
      <c r="DZ245" s="24"/>
      <c r="EA245" s="24"/>
      <c r="EB245" s="24"/>
      <c r="EC245" s="24"/>
      <c r="ED245" s="24"/>
      <c r="EE245" s="24"/>
      <c r="EF245" s="24"/>
      <c r="EG245" s="24"/>
      <c r="EH245" s="24"/>
      <c r="EI245" s="24"/>
      <c r="EJ245" s="24"/>
      <c r="EK245" s="24"/>
      <c r="EL245" s="24"/>
      <c r="EM245" s="3"/>
      <c r="EN245" s="3"/>
      <c r="EO245" s="3"/>
      <c r="EP245" s="3"/>
      <c r="EQ245" s="3"/>
      <c r="ER245" s="3"/>
      <c r="ES245" s="3"/>
      <c r="ET245" s="3"/>
      <c r="EU245" s="3"/>
      <c r="EV245" s="3"/>
      <c r="EW245" s="3"/>
      <c r="EX245" s="3"/>
      <c r="EY245" s="3"/>
      <c r="EZ245" s="3"/>
      <c r="FA245" s="3"/>
      <c r="FB245" s="3"/>
      <c r="FC245" s="3"/>
      <c r="FD245" s="3"/>
      <c r="FE245" s="3"/>
      <c r="FF245" s="3"/>
      <c r="FG245" s="3"/>
      <c r="FH245" s="3"/>
      <c r="FI245" s="3"/>
      <c r="FJ245" s="3"/>
      <c r="FK245" s="3"/>
      <c r="FL245" s="3"/>
      <c r="FM245" s="3"/>
      <c r="FN245" s="3"/>
      <c r="FO245" s="3"/>
      <c r="FP245" s="3"/>
      <c r="FQ245" s="3"/>
      <c r="FR245" s="3"/>
      <c r="FS245" s="3"/>
      <c r="FT245" s="3"/>
      <c r="FU245" s="3"/>
      <c r="FV245" s="3"/>
      <c r="FW245" s="3"/>
      <c r="FX245" s="3"/>
      <c r="FY245" s="3"/>
      <c r="FZ245" s="3"/>
      <c r="GA245" s="3"/>
      <c r="GB245" s="3"/>
      <c r="GC245" s="3"/>
      <c r="GD245" s="3"/>
      <c r="GE245" s="3"/>
      <c r="GF245" s="3"/>
      <c r="GG245" s="3"/>
      <c r="GH245" s="3"/>
      <c r="GI245" s="3"/>
      <c r="GJ245" s="3"/>
      <c r="GK245" s="3"/>
      <c r="GL245" s="3"/>
      <c r="GM245" s="3"/>
      <c r="GN245" s="3"/>
      <c r="GO245" s="3"/>
      <c r="GP245" s="3"/>
      <c r="GQ245" s="3"/>
      <c r="GR245" s="3"/>
      <c r="GS245" s="3"/>
      <c r="GT245" s="3"/>
      <c r="GU245" s="3"/>
      <c r="GV245" s="3"/>
      <c r="GW245" s="3"/>
      <c r="GX245" s="3"/>
      <c r="GY245" s="3"/>
      <c r="GZ245" s="3"/>
      <c r="HA245" s="3"/>
      <c r="HB245" s="3"/>
      <c r="HC245" s="3"/>
      <c r="HD245" s="3"/>
      <c r="HE245" s="3"/>
      <c r="HF245" s="3"/>
      <c r="HG245" s="3"/>
      <c r="HH245" s="3"/>
      <c r="HI245" s="3"/>
      <c r="HJ245" s="3"/>
      <c r="HK245" s="3"/>
      <c r="HL245" s="3"/>
      <c r="HM245" s="3"/>
      <c r="HN245" s="3"/>
      <c r="HO245" s="3"/>
      <c r="HP245" s="3"/>
      <c r="HQ245" s="3"/>
      <c r="HR245" s="3"/>
      <c r="HS245" s="3"/>
      <c r="HT245" s="3"/>
      <c r="HU245" s="3"/>
      <c r="HV245" s="3"/>
      <c r="HW245" s="3"/>
      <c r="HX245" s="3"/>
      <c r="HY245" s="3"/>
      <c r="HZ245" s="3"/>
      <c r="IA245" s="3"/>
      <c r="IB245" s="3"/>
      <c r="IC245" s="3"/>
      <c r="ID245" s="3"/>
      <c r="IE245" s="3"/>
      <c r="IF245" s="3"/>
      <c r="IG245" s="3"/>
      <c r="IH245" s="3"/>
      <c r="II245" s="3"/>
      <c r="IJ245" s="3"/>
      <c r="IK245" s="3"/>
      <c r="IL245" s="3"/>
      <c r="IM245" s="3"/>
      <c r="IN245" s="3"/>
      <c r="IO245" s="3"/>
      <c r="IP245" s="3"/>
      <c r="IQ245" s="3"/>
      <c r="IR245" s="3"/>
      <c r="IS245" s="3"/>
      <c r="IT245" s="3"/>
      <c r="IU245" s="3"/>
      <c r="IV245" s="3"/>
      <c r="IW245" s="3"/>
    </row>
    <row r="246" customFormat="false" ht="12.75" hidden="false" customHeight="false" outlineLevel="0" collapsed="false">
      <c r="A246" s="23"/>
      <c r="B246" s="39" t="s">
        <v>157</v>
      </c>
      <c r="C246" s="39" t="s">
        <v>350</v>
      </c>
      <c r="D246" s="39"/>
      <c r="E246" s="56" t="n">
        <f aca="false">TABLE</f>
        <v>0.0776964324443545</v>
      </c>
      <c r="F246" s="56" t="n">
        <f aca="false">E246</f>
        <v>0.0776964324443545</v>
      </c>
      <c r="G246" s="56" t="n">
        <f aca="false">F246</f>
        <v>0.0776964324443545</v>
      </c>
      <c r="H246" s="56" t="n">
        <f aca="false">G246</f>
        <v>0.0776964324443545</v>
      </c>
      <c r="I246" s="56" t="n">
        <f aca="false">H246</f>
        <v>0.0776964324443545</v>
      </c>
      <c r="J246" s="56" t="n">
        <f aca="false">I246</f>
        <v>0.0776964324443545</v>
      </c>
      <c r="K246" s="56" t="n">
        <f aca="false">J246</f>
        <v>0.0776964324443545</v>
      </c>
      <c r="L246" s="56" t="n">
        <f aca="false">K246</f>
        <v>0.0776964324443545</v>
      </c>
      <c r="M246" s="56" t="n">
        <f aca="false">L246</f>
        <v>0.0776964324443545</v>
      </c>
      <c r="N246" s="56" t="n">
        <f aca="false">M246</f>
        <v>0.0776964324443545</v>
      </c>
      <c r="O246" s="56" t="n">
        <f aca="false">N246</f>
        <v>0.0776964324443545</v>
      </c>
      <c r="P246" s="56" t="n">
        <f aca="false">O246</f>
        <v>0.0776964324443545</v>
      </c>
      <c r="Q246" s="56" t="n">
        <f aca="false">P246</f>
        <v>0.0776964324443545</v>
      </c>
      <c r="R246" s="56" t="n">
        <f aca="false">Q246</f>
        <v>0.0776964324443545</v>
      </c>
      <c r="S246" s="56" t="n">
        <f aca="false">R246</f>
        <v>0.0776964324443545</v>
      </c>
      <c r="T246" s="56" t="n">
        <f aca="false">S246</f>
        <v>0.0776964324443545</v>
      </c>
      <c r="U246" s="56" t="n">
        <f aca="false">T246</f>
        <v>0.0776964324443545</v>
      </c>
      <c r="V246" s="56" t="n">
        <f aca="false">U246</f>
        <v>0.0776964324443545</v>
      </c>
      <c r="W246" s="56" t="n">
        <f aca="false">V246</f>
        <v>0.0776964324443545</v>
      </c>
      <c r="X246" s="56" t="n">
        <f aca="false">W246</f>
        <v>0.0776964324443545</v>
      </c>
      <c r="Y246" s="56" t="n">
        <f aca="false">X246</f>
        <v>0.0776964324443545</v>
      </c>
      <c r="Z246" s="56" t="n">
        <f aca="false">Y246</f>
        <v>0.0776964324443545</v>
      </c>
      <c r="AA246" s="56" t="n">
        <f aca="false">Z246</f>
        <v>0.0776964324443545</v>
      </c>
      <c r="AB246" s="56" t="n">
        <f aca="false">AA246</f>
        <v>0.0776964324443545</v>
      </c>
      <c r="AC246" s="56" t="n">
        <f aca="false">AB246</f>
        <v>0.0776964324443545</v>
      </c>
      <c r="AD246" s="56" t="n">
        <f aca="false">AC246</f>
        <v>0.0776964324443545</v>
      </c>
      <c r="AE246" s="56" t="n">
        <f aca="false">AD246</f>
        <v>0.0776964324443545</v>
      </c>
      <c r="AF246" s="56" t="n">
        <f aca="false">AE246</f>
        <v>0.0776964324443545</v>
      </c>
      <c r="AG246" s="56" t="n">
        <f aca="false">AF246</f>
        <v>0.0776964324443545</v>
      </c>
      <c r="AH246" s="56" t="n">
        <f aca="false">AG246</f>
        <v>0.0776964324443545</v>
      </c>
      <c r="AI246" s="56" t="n">
        <f aca="false">AH246</f>
        <v>0.0776964324443545</v>
      </c>
      <c r="AJ246" s="56" t="n">
        <f aca="false">AI246</f>
        <v>0.0776964324443545</v>
      </c>
      <c r="AK246" s="56" t="n">
        <f aca="false">AJ246</f>
        <v>0.0776964324443545</v>
      </c>
      <c r="AL246" s="56" t="n">
        <f aca="false">AK246</f>
        <v>0.0776964324443545</v>
      </c>
      <c r="AM246" s="56" t="n">
        <f aca="false">AL246</f>
        <v>0.0776964324443545</v>
      </c>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c r="BZ246" s="24"/>
      <c r="CA246" s="24"/>
      <c r="CB246" s="24"/>
      <c r="CC246" s="24"/>
      <c r="CD246" s="24"/>
      <c r="CE246" s="24"/>
      <c r="CF246" s="24"/>
      <c r="CG246" s="24"/>
      <c r="CH246" s="24"/>
      <c r="CI246" s="24"/>
      <c r="CJ246" s="24"/>
      <c r="CK246" s="24"/>
      <c r="CL246" s="24"/>
      <c r="CM246" s="24"/>
      <c r="CN246" s="24"/>
      <c r="CO246" s="24"/>
      <c r="CP246" s="24"/>
      <c r="CQ246" s="24"/>
      <c r="CR246" s="24"/>
      <c r="CS246" s="24"/>
      <c r="CT246" s="24"/>
      <c r="CU246" s="24"/>
      <c r="CV246" s="24"/>
      <c r="CW246" s="24"/>
      <c r="CX246" s="24"/>
      <c r="CY246" s="24"/>
      <c r="CZ246" s="24"/>
      <c r="DA246" s="24"/>
      <c r="DB246" s="24"/>
      <c r="DC246" s="24"/>
      <c r="DD246" s="24"/>
      <c r="DE246" s="24"/>
      <c r="DF246" s="24"/>
      <c r="DG246" s="24"/>
      <c r="DH246" s="24"/>
      <c r="DI246" s="24"/>
      <c r="DJ246" s="24"/>
      <c r="DK246" s="24"/>
      <c r="DL246" s="24"/>
      <c r="DM246" s="24"/>
      <c r="DN246" s="24"/>
      <c r="DO246" s="24"/>
      <c r="DP246" s="24"/>
      <c r="DQ246" s="24"/>
      <c r="DR246" s="24"/>
      <c r="DS246" s="24"/>
      <c r="DT246" s="24"/>
      <c r="DU246" s="24"/>
      <c r="DV246" s="24"/>
      <c r="DW246" s="24"/>
      <c r="DX246" s="24"/>
      <c r="DY246" s="24"/>
      <c r="DZ246" s="24"/>
      <c r="EA246" s="24"/>
      <c r="EB246" s="24"/>
      <c r="EC246" s="24"/>
      <c r="ED246" s="24"/>
      <c r="EE246" s="24"/>
      <c r="EF246" s="24"/>
      <c r="EG246" s="24"/>
      <c r="EH246" s="24"/>
      <c r="EI246" s="24"/>
      <c r="EJ246" s="24"/>
      <c r="EK246" s="24"/>
      <c r="EL246" s="24"/>
      <c r="EM246" s="3"/>
      <c r="EN246" s="3"/>
      <c r="EO246" s="3"/>
      <c r="EP246" s="3"/>
      <c r="EQ246" s="3"/>
      <c r="ER246" s="3"/>
      <c r="ES246" s="3"/>
      <c r="ET246" s="3"/>
      <c r="EU246" s="3"/>
      <c r="EV246" s="3"/>
      <c r="EW246" s="3"/>
      <c r="EX246" s="3"/>
      <c r="EY246" s="3"/>
      <c r="EZ246" s="3"/>
      <c r="FA246" s="3"/>
      <c r="FB246" s="3"/>
      <c r="FC246" s="3"/>
      <c r="FD246" s="3"/>
      <c r="FE246" s="3"/>
      <c r="FF246" s="3"/>
      <c r="FG246" s="3"/>
      <c r="FH246" s="3"/>
      <c r="FI246" s="3"/>
      <c r="FJ246" s="3"/>
      <c r="FK246" s="3"/>
      <c r="FL246" s="3"/>
      <c r="FM246" s="3"/>
      <c r="FN246" s="3"/>
      <c r="FO246" s="3"/>
      <c r="FP246" s="3"/>
      <c r="FQ246" s="3"/>
      <c r="FR246" s="3"/>
      <c r="FS246" s="3"/>
      <c r="FT246" s="3"/>
      <c r="FU246" s="3"/>
      <c r="FV246" s="3"/>
      <c r="FW246" s="3"/>
      <c r="FX246" s="3"/>
      <c r="FY246" s="3"/>
      <c r="FZ246" s="3"/>
      <c r="GA246" s="3"/>
      <c r="GB246" s="3"/>
      <c r="GC246" s="3"/>
      <c r="GD246" s="3"/>
      <c r="GE246" s="3"/>
      <c r="GF246" s="3"/>
      <c r="GG246" s="3"/>
      <c r="GH246" s="3"/>
      <c r="GI246" s="3"/>
      <c r="GJ246" s="3"/>
      <c r="GK246" s="3"/>
      <c r="GL246" s="3"/>
      <c r="GM246" s="3"/>
      <c r="GN246" s="3"/>
      <c r="GO246" s="3"/>
      <c r="GP246" s="3"/>
      <c r="GQ246" s="3"/>
      <c r="GR246" s="3"/>
      <c r="GS246" s="3"/>
      <c r="GT246" s="3"/>
      <c r="GU246" s="3"/>
      <c r="GV246" s="3"/>
      <c r="GW246" s="3"/>
      <c r="GX246" s="3"/>
      <c r="GY246" s="3"/>
      <c r="GZ246" s="3"/>
      <c r="HA246" s="3"/>
      <c r="HB246" s="3"/>
      <c r="HC246" s="3"/>
      <c r="HD246" s="3"/>
      <c r="HE246" s="3"/>
      <c r="HF246" s="3"/>
      <c r="HG246" s="3"/>
      <c r="HH246" s="3"/>
      <c r="HI246" s="3"/>
      <c r="HJ246" s="3"/>
      <c r="HK246" s="3"/>
      <c r="HL246" s="3"/>
      <c r="HM246" s="3"/>
      <c r="HN246" s="3"/>
      <c r="HO246" s="3"/>
      <c r="HP246" s="3"/>
      <c r="HQ246" s="3"/>
      <c r="HR246" s="3"/>
      <c r="HS246" s="3"/>
      <c r="HT246" s="3"/>
      <c r="HU246" s="3"/>
      <c r="HV246" s="3"/>
      <c r="HW246" s="3"/>
      <c r="HX246" s="3"/>
      <c r="HY246" s="3"/>
      <c r="HZ246" s="3"/>
      <c r="IA246" s="3"/>
      <c r="IB246" s="3"/>
      <c r="IC246" s="3"/>
      <c r="ID246" s="3"/>
      <c r="IE246" s="3"/>
      <c r="IF246" s="3"/>
      <c r="IG246" s="3"/>
      <c r="IH246" s="3"/>
      <c r="II246" s="3"/>
      <c r="IJ246" s="3"/>
      <c r="IK246" s="3"/>
      <c r="IL246" s="3"/>
      <c r="IM246" s="3"/>
      <c r="IN246" s="3"/>
      <c r="IO246" s="3"/>
      <c r="IP246" s="3"/>
      <c r="IQ246" s="3"/>
      <c r="IR246" s="3"/>
      <c r="IS246" s="3"/>
      <c r="IT246" s="3"/>
      <c r="IU246" s="3"/>
      <c r="IV246" s="3"/>
      <c r="IW246" s="3"/>
    </row>
    <row r="247" customFormat="false" ht="12.75" hidden="false" customHeight="false" outlineLevel="0" collapsed="false">
      <c r="A247" s="23"/>
      <c r="B247" s="39" t="s">
        <v>351</v>
      </c>
      <c r="C247" s="89" t="s">
        <v>349</v>
      </c>
      <c r="D247" s="39"/>
      <c r="E247" s="380" t="n">
        <v>0.0075</v>
      </c>
      <c r="F247" s="380" t="n">
        <f aca="false">E247</f>
        <v>0.0075</v>
      </c>
      <c r="G247" s="380" t="n">
        <f aca="false">F247</f>
        <v>0.0075</v>
      </c>
      <c r="H247" s="380" t="n">
        <f aca="false">G247</f>
        <v>0.0075</v>
      </c>
      <c r="I247" s="380" t="n">
        <f aca="false">H247</f>
        <v>0.0075</v>
      </c>
      <c r="J247" s="380" t="n">
        <f aca="false">I247</f>
        <v>0.0075</v>
      </c>
      <c r="K247" s="380" t="n">
        <f aca="false">J247</f>
        <v>0.0075</v>
      </c>
      <c r="L247" s="380" t="n">
        <f aca="false">K247</f>
        <v>0.0075</v>
      </c>
      <c r="M247" s="380" t="n">
        <f aca="false">L247</f>
        <v>0.0075</v>
      </c>
      <c r="N247" s="380" t="n">
        <f aca="false">M247</f>
        <v>0.0075</v>
      </c>
      <c r="O247" s="380" t="n">
        <f aca="false">N247</f>
        <v>0.0075</v>
      </c>
      <c r="P247" s="380" t="n">
        <f aca="false">O247</f>
        <v>0.0075</v>
      </c>
      <c r="Q247" s="380" t="n">
        <f aca="false">P247</f>
        <v>0.0075</v>
      </c>
      <c r="R247" s="380" t="n">
        <f aca="false">Q247</f>
        <v>0.0075</v>
      </c>
      <c r="S247" s="380" t="n">
        <f aca="false">R247</f>
        <v>0.0075</v>
      </c>
      <c r="T247" s="380" t="n">
        <f aca="false">S247</f>
        <v>0.0075</v>
      </c>
      <c r="U247" s="380" t="n">
        <f aca="false">T247</f>
        <v>0.0075</v>
      </c>
      <c r="V247" s="380" t="n">
        <f aca="false">U247</f>
        <v>0.0075</v>
      </c>
      <c r="W247" s="380" t="n">
        <f aca="false">V247</f>
        <v>0.0075</v>
      </c>
      <c r="X247" s="380" t="n">
        <f aca="false">W247</f>
        <v>0.0075</v>
      </c>
      <c r="Y247" s="380" t="n">
        <f aca="false">X247</f>
        <v>0.0075</v>
      </c>
      <c r="Z247" s="380" t="n">
        <f aca="false">Y247</f>
        <v>0.0075</v>
      </c>
      <c r="AA247" s="380" t="n">
        <f aca="false">Z247</f>
        <v>0.0075</v>
      </c>
      <c r="AB247" s="380" t="n">
        <f aca="false">AA247</f>
        <v>0.0075</v>
      </c>
      <c r="AC247" s="380" t="n">
        <f aca="false">AB247</f>
        <v>0.0075</v>
      </c>
      <c r="AD247" s="380" t="n">
        <f aca="false">AC247</f>
        <v>0.0075</v>
      </c>
      <c r="AE247" s="380" t="n">
        <f aca="false">AD247</f>
        <v>0.0075</v>
      </c>
      <c r="AF247" s="380" t="n">
        <f aca="false">AE247</f>
        <v>0.0075</v>
      </c>
      <c r="AG247" s="380" t="n">
        <f aca="false">AF247</f>
        <v>0.0075</v>
      </c>
      <c r="AH247" s="380" t="n">
        <f aca="false">AG247</f>
        <v>0.0075</v>
      </c>
      <c r="AI247" s="380" t="n">
        <f aca="false">AH247</f>
        <v>0.0075</v>
      </c>
      <c r="AJ247" s="380" t="n">
        <f aca="false">AI247</f>
        <v>0.0075</v>
      </c>
      <c r="AK247" s="380" t="n">
        <f aca="false">AJ247</f>
        <v>0.0075</v>
      </c>
      <c r="AL247" s="380" t="n">
        <f aca="false">AK247</f>
        <v>0.0075</v>
      </c>
      <c r="AM247" s="380" t="n">
        <f aca="false">AL247</f>
        <v>0.0075</v>
      </c>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c r="BZ247" s="24"/>
      <c r="CA247" s="24"/>
      <c r="CB247" s="24"/>
      <c r="CC247" s="24"/>
      <c r="CD247" s="24"/>
      <c r="CE247" s="24"/>
      <c r="CF247" s="24"/>
      <c r="CG247" s="24"/>
      <c r="CH247" s="24"/>
      <c r="CI247" s="24"/>
      <c r="CJ247" s="24"/>
      <c r="CK247" s="24"/>
      <c r="CL247" s="24"/>
      <c r="CM247" s="24"/>
      <c r="CN247" s="24"/>
      <c r="CO247" s="24"/>
      <c r="CP247" s="24"/>
      <c r="CQ247" s="24"/>
      <c r="CR247" s="24"/>
      <c r="CS247" s="24"/>
      <c r="CT247" s="24"/>
      <c r="CU247" s="24"/>
      <c r="CV247" s="24"/>
      <c r="CW247" s="24"/>
      <c r="CX247" s="24"/>
      <c r="CY247" s="24"/>
      <c r="CZ247" s="24"/>
      <c r="DA247" s="24"/>
      <c r="DB247" s="24"/>
      <c r="DC247" s="24"/>
      <c r="DD247" s="24"/>
      <c r="DE247" s="24"/>
      <c r="DF247" s="24"/>
      <c r="DG247" s="24"/>
      <c r="DH247" s="24"/>
      <c r="DI247" s="24"/>
      <c r="DJ247" s="24"/>
      <c r="DK247" s="24"/>
      <c r="DL247" s="24"/>
      <c r="DM247" s="24"/>
      <c r="DN247" s="24"/>
      <c r="DO247" s="24"/>
      <c r="DP247" s="24"/>
      <c r="DQ247" s="24"/>
      <c r="DR247" s="24"/>
      <c r="DS247" s="24"/>
      <c r="DT247" s="24"/>
      <c r="DU247" s="24"/>
      <c r="DV247" s="24"/>
      <c r="DW247" s="24"/>
      <c r="DX247" s="24"/>
      <c r="DY247" s="24"/>
      <c r="DZ247" s="24"/>
      <c r="EA247" s="24"/>
      <c r="EB247" s="24"/>
      <c r="EC247" s="24"/>
      <c r="ED247" s="24"/>
      <c r="EE247" s="24"/>
      <c r="EF247" s="24"/>
      <c r="EG247" s="24"/>
      <c r="EH247" s="24"/>
      <c r="EI247" s="24"/>
      <c r="EJ247" s="24"/>
      <c r="EK247" s="24"/>
      <c r="EL247" s="24"/>
      <c r="EM247" s="3"/>
      <c r="EN247" s="3"/>
      <c r="EO247" s="3"/>
      <c r="EP247" s="3"/>
      <c r="EQ247" s="3"/>
      <c r="ER247" s="3"/>
      <c r="ES247" s="3"/>
      <c r="ET247" s="3"/>
      <c r="EU247" s="3"/>
      <c r="EV247" s="3"/>
      <c r="EW247" s="3"/>
      <c r="EX247" s="3"/>
      <c r="EY247" s="3"/>
      <c r="EZ247" s="3"/>
      <c r="FA247" s="3"/>
      <c r="FB247" s="3"/>
      <c r="FC247" s="3"/>
      <c r="FD247" s="3"/>
      <c r="FE247" s="3"/>
      <c r="FF247" s="3"/>
      <c r="FG247" s="3"/>
      <c r="FH247" s="3"/>
      <c r="FI247" s="3"/>
      <c r="FJ247" s="3"/>
      <c r="FK247" s="3"/>
      <c r="FL247" s="3"/>
      <c r="FM247" s="3"/>
      <c r="FN247" s="3"/>
      <c r="FO247" s="3"/>
      <c r="FP247" s="3"/>
      <c r="FQ247" s="3"/>
      <c r="FR247" s="3"/>
      <c r="FS247" s="3"/>
      <c r="FT247" s="3"/>
      <c r="FU247" s="3"/>
      <c r="FV247" s="3"/>
      <c r="FW247" s="3"/>
      <c r="FX247" s="3"/>
      <c r="FY247" s="3"/>
      <c r="FZ247" s="3"/>
      <c r="GA247" s="3"/>
      <c r="GB247" s="3"/>
      <c r="GC247" s="3"/>
      <c r="GD247" s="3"/>
      <c r="GE247" s="3"/>
      <c r="GF247" s="3"/>
      <c r="GG247" s="3"/>
      <c r="GH247" s="3"/>
      <c r="GI247" s="3"/>
      <c r="GJ247" s="3"/>
      <c r="GK247" s="3"/>
      <c r="GL247" s="3"/>
      <c r="GM247" s="3"/>
      <c r="GN247" s="3"/>
      <c r="GO247" s="3"/>
      <c r="GP247" s="3"/>
      <c r="GQ247" s="3"/>
      <c r="GR247" s="3"/>
      <c r="GS247" s="3"/>
      <c r="GT247" s="3"/>
      <c r="GU247" s="3"/>
      <c r="GV247" s="3"/>
      <c r="GW247" s="3"/>
      <c r="GX247" s="3"/>
      <c r="GY247" s="3"/>
      <c r="GZ247" s="3"/>
      <c r="HA247" s="3"/>
      <c r="HB247" s="3"/>
      <c r="HC247" s="3"/>
      <c r="HD247" s="3"/>
      <c r="HE247" s="3"/>
      <c r="HF247" s="3"/>
      <c r="HG247" s="3"/>
      <c r="HH247" s="3"/>
      <c r="HI247" s="3"/>
      <c r="HJ247" s="3"/>
      <c r="HK247" s="3"/>
      <c r="HL247" s="3"/>
      <c r="HM247" s="3"/>
      <c r="HN247" s="3"/>
      <c r="HO247" s="3"/>
      <c r="HP247" s="3"/>
      <c r="HQ247" s="3"/>
      <c r="HR247" s="3"/>
      <c r="HS247" s="3"/>
      <c r="HT247" s="3"/>
      <c r="HU247" s="3"/>
      <c r="HV247" s="3"/>
      <c r="HW247" s="3"/>
      <c r="HX247" s="3"/>
      <c r="HY247" s="3"/>
      <c r="HZ247" s="3"/>
      <c r="IA247" s="3"/>
      <c r="IB247" s="3"/>
      <c r="IC247" s="3"/>
      <c r="ID247" s="3"/>
      <c r="IE247" s="3"/>
      <c r="IF247" s="3"/>
      <c r="IG247" s="3"/>
      <c r="IH247" s="3"/>
      <c r="II247" s="3"/>
      <c r="IJ247" s="3"/>
      <c r="IK247" s="3"/>
      <c r="IL247" s="3"/>
      <c r="IM247" s="3"/>
      <c r="IN247" s="3"/>
      <c r="IO247" s="3"/>
      <c r="IP247" s="3"/>
      <c r="IQ247" s="3"/>
      <c r="IR247" s="3"/>
      <c r="IS247" s="3"/>
      <c r="IT247" s="3"/>
      <c r="IU247" s="3"/>
      <c r="IV247" s="3"/>
      <c r="IW247" s="3"/>
    </row>
    <row r="248" customFormat="false" ht="12.75" hidden="false" customHeight="false" outlineLevel="0" collapsed="false">
      <c r="A248" s="23"/>
      <c r="B248" s="39" t="s">
        <v>352</v>
      </c>
      <c r="C248" s="89" t="s">
        <v>349</v>
      </c>
      <c r="D248" s="39"/>
      <c r="E248" s="56" t="n">
        <v>0.015</v>
      </c>
      <c r="F248" s="56" t="n">
        <f aca="false">E248</f>
        <v>0.015</v>
      </c>
      <c r="G248" s="56" t="n">
        <f aca="false">F248</f>
        <v>0.015</v>
      </c>
      <c r="H248" s="56" t="n">
        <f aca="false">G248</f>
        <v>0.015</v>
      </c>
      <c r="I248" s="56" t="n">
        <f aca="false">H248</f>
        <v>0.015</v>
      </c>
      <c r="J248" s="56" t="n">
        <f aca="false">I248</f>
        <v>0.015</v>
      </c>
      <c r="K248" s="56" t="n">
        <f aca="false">J248</f>
        <v>0.015</v>
      </c>
      <c r="L248" s="56" t="n">
        <f aca="false">K248</f>
        <v>0.015</v>
      </c>
      <c r="M248" s="56" t="n">
        <f aca="false">L248</f>
        <v>0.015</v>
      </c>
      <c r="N248" s="56" t="n">
        <f aca="false">M248</f>
        <v>0.015</v>
      </c>
      <c r="O248" s="56" t="n">
        <f aca="false">N248</f>
        <v>0.015</v>
      </c>
      <c r="P248" s="56" t="n">
        <f aca="false">O248</f>
        <v>0.015</v>
      </c>
      <c r="Q248" s="56" t="n">
        <f aca="false">P248</f>
        <v>0.015</v>
      </c>
      <c r="R248" s="56" t="n">
        <f aca="false">Q248</f>
        <v>0.015</v>
      </c>
      <c r="S248" s="56" t="n">
        <f aca="false">R248</f>
        <v>0.015</v>
      </c>
      <c r="T248" s="56" t="n">
        <f aca="false">S248</f>
        <v>0.015</v>
      </c>
      <c r="U248" s="56" t="n">
        <f aca="false">T248</f>
        <v>0.015</v>
      </c>
      <c r="V248" s="56" t="n">
        <f aca="false">U248</f>
        <v>0.015</v>
      </c>
      <c r="W248" s="56" t="n">
        <f aca="false">V248</f>
        <v>0.015</v>
      </c>
      <c r="X248" s="56" t="n">
        <f aca="false">W248</f>
        <v>0.015</v>
      </c>
      <c r="Y248" s="56" t="n">
        <f aca="false">X248</f>
        <v>0.015</v>
      </c>
      <c r="Z248" s="56" t="n">
        <f aca="false">Y248</f>
        <v>0.015</v>
      </c>
      <c r="AA248" s="56" t="n">
        <f aca="false">Z248</f>
        <v>0.015</v>
      </c>
      <c r="AB248" s="56" t="n">
        <f aca="false">AA248</f>
        <v>0.015</v>
      </c>
      <c r="AC248" s="56" t="n">
        <f aca="false">AB248</f>
        <v>0.015</v>
      </c>
      <c r="AD248" s="56" t="n">
        <f aca="false">AC248</f>
        <v>0.015</v>
      </c>
      <c r="AE248" s="56" t="n">
        <f aca="false">AD248</f>
        <v>0.015</v>
      </c>
      <c r="AF248" s="56" t="n">
        <f aca="false">AE248</f>
        <v>0.015</v>
      </c>
      <c r="AG248" s="56" t="n">
        <f aca="false">AF248</f>
        <v>0.015</v>
      </c>
      <c r="AH248" s="56" t="n">
        <f aca="false">AG248</f>
        <v>0.015</v>
      </c>
      <c r="AI248" s="56" t="n">
        <f aca="false">AH248</f>
        <v>0.015</v>
      </c>
      <c r="AJ248" s="56" t="n">
        <f aca="false">AI248</f>
        <v>0.015</v>
      </c>
      <c r="AK248" s="56" t="n">
        <f aca="false">AJ248</f>
        <v>0.015</v>
      </c>
      <c r="AL248" s="56" t="n">
        <f aca="false">AK248</f>
        <v>0.015</v>
      </c>
      <c r="AM248" s="56" t="n">
        <f aca="false">AL248</f>
        <v>0.015</v>
      </c>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24"/>
      <c r="BY248" s="24"/>
      <c r="BZ248" s="24"/>
      <c r="CA248" s="24"/>
      <c r="CB248" s="24"/>
      <c r="CC248" s="24"/>
      <c r="CD248" s="24"/>
      <c r="CE248" s="24"/>
      <c r="CF248" s="24"/>
      <c r="CG248" s="24"/>
      <c r="CH248" s="24"/>
      <c r="CI248" s="24"/>
      <c r="CJ248" s="24"/>
      <c r="CK248" s="24"/>
      <c r="CL248" s="24"/>
      <c r="CM248" s="24"/>
      <c r="CN248" s="24"/>
      <c r="CO248" s="24"/>
      <c r="CP248" s="24"/>
      <c r="CQ248" s="24"/>
      <c r="CR248" s="24"/>
      <c r="CS248" s="24"/>
      <c r="CT248" s="24"/>
      <c r="CU248" s="24"/>
      <c r="CV248" s="24"/>
      <c r="CW248" s="24"/>
      <c r="CX248" s="24"/>
      <c r="CY248" s="24"/>
      <c r="CZ248" s="24"/>
      <c r="DA248" s="24"/>
      <c r="DB248" s="24"/>
      <c r="DC248" s="24"/>
      <c r="DD248" s="24"/>
      <c r="DE248" s="24"/>
      <c r="DF248" s="24"/>
      <c r="DG248" s="24"/>
      <c r="DH248" s="24"/>
      <c r="DI248" s="24"/>
      <c r="DJ248" s="24"/>
      <c r="DK248" s="24"/>
      <c r="DL248" s="24"/>
      <c r="DM248" s="24"/>
      <c r="DN248" s="24"/>
      <c r="DO248" s="24"/>
      <c r="DP248" s="24"/>
      <c r="DQ248" s="24"/>
      <c r="DR248" s="24"/>
      <c r="DS248" s="24"/>
      <c r="DT248" s="24"/>
      <c r="DU248" s="24"/>
      <c r="DV248" s="24"/>
      <c r="DW248" s="24"/>
      <c r="DX248" s="24"/>
      <c r="DY248" s="24"/>
      <c r="DZ248" s="24"/>
      <c r="EA248" s="24"/>
      <c r="EB248" s="24"/>
      <c r="EC248" s="24"/>
      <c r="ED248" s="24"/>
      <c r="EE248" s="24"/>
      <c r="EF248" s="24"/>
      <c r="EG248" s="24"/>
      <c r="EH248" s="24"/>
      <c r="EI248" s="24"/>
      <c r="EJ248" s="24"/>
      <c r="EK248" s="24"/>
      <c r="EL248" s="24"/>
      <c r="EM248" s="3"/>
      <c r="EN248" s="3"/>
      <c r="EO248" s="3"/>
      <c r="EP248" s="3"/>
      <c r="EQ248" s="3"/>
      <c r="ER248" s="3"/>
      <c r="ES248" s="3"/>
      <c r="ET248" s="3"/>
      <c r="EU248" s="3"/>
      <c r="EV248" s="3"/>
      <c r="EW248" s="3"/>
      <c r="EX248" s="3"/>
      <c r="EY248" s="3"/>
      <c r="EZ248" s="3"/>
      <c r="FA248" s="3"/>
      <c r="FB248" s="3"/>
      <c r="FC248" s="3"/>
      <c r="FD248" s="3"/>
      <c r="FE248" s="3"/>
      <c r="FF248" s="3"/>
      <c r="FG248" s="3"/>
      <c r="FH248" s="3"/>
      <c r="FI248" s="3"/>
      <c r="FJ248" s="3"/>
      <c r="FK248" s="3"/>
      <c r="FL248" s="3"/>
      <c r="FM248" s="3"/>
      <c r="FN248" s="3"/>
      <c r="FO248" s="3"/>
      <c r="FP248" s="3"/>
      <c r="FQ248" s="3"/>
      <c r="FR248" s="3"/>
      <c r="FS248" s="3"/>
      <c r="FT248" s="3"/>
      <c r="FU248" s="3"/>
      <c r="FV248" s="3"/>
      <c r="FW248" s="3"/>
      <c r="FX248" s="3"/>
      <c r="FY248" s="3"/>
      <c r="FZ248" s="3"/>
      <c r="GA248" s="3"/>
      <c r="GB248" s="3"/>
      <c r="GC248" s="3"/>
      <c r="GD248" s="3"/>
      <c r="GE248" s="3"/>
      <c r="GF248" s="3"/>
      <c r="GG248" s="3"/>
      <c r="GH248" s="3"/>
      <c r="GI248" s="3"/>
      <c r="GJ248" s="3"/>
      <c r="GK248" s="3"/>
      <c r="GL248" s="3"/>
      <c r="GM248" s="3"/>
      <c r="GN248" s="3"/>
      <c r="GO248" s="3"/>
      <c r="GP248" s="3"/>
      <c r="GQ248" s="3"/>
      <c r="GR248" s="3"/>
      <c r="GS248" s="3"/>
      <c r="GT248" s="3"/>
      <c r="GU248" s="3"/>
      <c r="GV248" s="3"/>
      <c r="GW248" s="3"/>
      <c r="GX248" s="3"/>
      <c r="GY248" s="3"/>
      <c r="GZ248" s="3"/>
      <c r="HA248" s="3"/>
      <c r="HB248" s="3"/>
      <c r="HC248" s="3"/>
      <c r="HD248" s="3"/>
      <c r="HE248" s="3"/>
      <c r="HF248" s="3"/>
      <c r="HG248" s="3"/>
      <c r="HH248" s="3"/>
      <c r="HI248" s="3"/>
      <c r="HJ248" s="3"/>
      <c r="HK248" s="3"/>
      <c r="HL248" s="3"/>
      <c r="HM248" s="3"/>
      <c r="HN248" s="3"/>
      <c r="HO248" s="3"/>
      <c r="HP248" s="3"/>
      <c r="HQ248" s="3"/>
      <c r="HR248" s="3"/>
      <c r="HS248" s="3"/>
      <c r="HT248" s="3"/>
      <c r="HU248" s="3"/>
      <c r="HV248" s="3"/>
      <c r="HW248" s="3"/>
      <c r="HX248" s="3"/>
      <c r="HY248" s="3"/>
      <c r="HZ248" s="3"/>
      <c r="IA248" s="3"/>
      <c r="IB248" s="3"/>
      <c r="IC248" s="3"/>
      <c r="ID248" s="3"/>
      <c r="IE248" s="3"/>
      <c r="IF248" s="3"/>
      <c r="IG248" s="3"/>
      <c r="IH248" s="3"/>
      <c r="II248" s="3"/>
      <c r="IJ248" s="3"/>
      <c r="IK248" s="3"/>
      <c r="IL248" s="3"/>
      <c r="IM248" s="3"/>
      <c r="IN248" s="3"/>
      <c r="IO248" s="3"/>
      <c r="IP248" s="3"/>
      <c r="IQ248" s="3"/>
      <c r="IR248" s="3"/>
      <c r="IS248" s="3"/>
      <c r="IT248" s="3"/>
      <c r="IU248" s="3"/>
      <c r="IV248" s="3"/>
      <c r="IW248" s="3"/>
    </row>
    <row r="249" customFormat="false" ht="12.75" hidden="false" customHeight="false" outlineLevel="0" collapsed="false">
      <c r="A249" s="23"/>
      <c r="B249" s="39" t="s">
        <v>353</v>
      </c>
      <c r="C249" s="39"/>
      <c r="D249" s="39"/>
      <c r="E249" s="381" t="n">
        <f aca="false">SUM(E246:E248)</f>
        <v>0.100196432444355</v>
      </c>
      <c r="F249" s="381" t="n">
        <f aca="false">SUM(F246:F248)</f>
        <v>0.100196432444354</v>
      </c>
      <c r="G249" s="381" t="n">
        <f aca="false">SUM(G246:G248)</f>
        <v>0.100196432444354</v>
      </c>
      <c r="H249" s="381" t="n">
        <f aca="false">SUM(H246:H248)</f>
        <v>0.100196432444354</v>
      </c>
      <c r="I249" s="381" t="n">
        <f aca="false">SUM(I246:I248)</f>
        <v>0.100196432444354</v>
      </c>
      <c r="J249" s="381" t="n">
        <f aca="false">SUM(J246:J248)</f>
        <v>0.100196432444354</v>
      </c>
      <c r="K249" s="381" t="n">
        <f aca="false">SUM(K246:K248)</f>
        <v>0.100196432444354</v>
      </c>
      <c r="L249" s="381" t="n">
        <f aca="false">SUM(L246:L248)</f>
        <v>0.100196432444354</v>
      </c>
      <c r="M249" s="381" t="n">
        <f aca="false">SUM(M246:M248)</f>
        <v>0.100196432444354</v>
      </c>
      <c r="N249" s="381" t="n">
        <f aca="false">SUM(N246:N248)</f>
        <v>0.100196432444354</v>
      </c>
      <c r="O249" s="381" t="n">
        <f aca="false">SUM(O246:O248)</f>
        <v>0.100196432444354</v>
      </c>
      <c r="P249" s="381" t="n">
        <f aca="false">SUM(P246:P248)</f>
        <v>0.100196432444354</v>
      </c>
      <c r="Q249" s="381" t="n">
        <f aca="false">SUM(Q246:Q248)</f>
        <v>0.100196432444354</v>
      </c>
      <c r="R249" s="381" t="n">
        <f aca="false">SUM(R246:R248)</f>
        <v>0.100196432444354</v>
      </c>
      <c r="S249" s="381" t="n">
        <f aca="false">SUM(S246:S248)</f>
        <v>0.100196432444354</v>
      </c>
      <c r="T249" s="381" t="n">
        <f aca="false">SUM(T246:T248)</f>
        <v>0.100196432444354</v>
      </c>
      <c r="U249" s="381" t="n">
        <f aca="false">SUM(U246:U248)</f>
        <v>0.100196432444354</v>
      </c>
      <c r="V249" s="381" t="n">
        <f aca="false">SUM(V246:V248)</f>
        <v>0.100196432444354</v>
      </c>
      <c r="W249" s="381" t="n">
        <f aca="false">SUM(W246:W248)</f>
        <v>0.100196432444354</v>
      </c>
      <c r="X249" s="381" t="n">
        <f aca="false">SUM(X246:X248)</f>
        <v>0.100196432444354</v>
      </c>
      <c r="Y249" s="381" t="n">
        <f aca="false">SUM(Y246:Y248)</f>
        <v>0.100196432444354</v>
      </c>
      <c r="Z249" s="381" t="n">
        <f aca="false">SUM(Z246:Z248)</f>
        <v>0.100196432444354</v>
      </c>
      <c r="AA249" s="381" t="n">
        <f aca="false">SUM(AA246:AA248)</f>
        <v>0.100196432444354</v>
      </c>
      <c r="AB249" s="381" t="n">
        <f aca="false">SUM(AB246:AB248)</f>
        <v>0.100196432444354</v>
      </c>
      <c r="AC249" s="381" t="n">
        <f aca="false">SUM(AC246:AC248)</f>
        <v>0.100196432444354</v>
      </c>
      <c r="AD249" s="381" t="n">
        <f aca="false">SUM(AD246:AD248)</f>
        <v>0.100196432444354</v>
      </c>
      <c r="AE249" s="381" t="n">
        <f aca="false">SUM(AE246:AE248)</f>
        <v>0.100196432444354</v>
      </c>
      <c r="AF249" s="381" t="n">
        <f aca="false">SUM(AF246:AF248)</f>
        <v>0.100196432444354</v>
      </c>
      <c r="AG249" s="381" t="n">
        <f aca="false">SUM(AG246:AG248)</f>
        <v>0.100196432444354</v>
      </c>
      <c r="AH249" s="381" t="n">
        <f aca="false">SUM(AH246:AH248)</f>
        <v>0.100196432444354</v>
      </c>
      <c r="AI249" s="381" t="n">
        <f aca="false">SUM(AI246:AI248)</f>
        <v>0.100196432444354</v>
      </c>
      <c r="AJ249" s="381" t="n">
        <f aca="false">SUM(AJ246:AJ248)</f>
        <v>0.100196432444354</v>
      </c>
      <c r="AK249" s="381" t="n">
        <f aca="false">SUM(AK246:AK248)</f>
        <v>0.100196432444354</v>
      </c>
      <c r="AL249" s="381" t="n">
        <f aca="false">SUM(AL246:AL248)</f>
        <v>0.100196432444354</v>
      </c>
      <c r="AM249" s="381" t="n">
        <f aca="false">SUM(AM246:AM248)</f>
        <v>0.100196432444354</v>
      </c>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c r="BZ249" s="24"/>
      <c r="CA249" s="24"/>
      <c r="CB249" s="24"/>
      <c r="CC249" s="24"/>
      <c r="CD249" s="24"/>
      <c r="CE249" s="24"/>
      <c r="CF249" s="24"/>
      <c r="CG249" s="24"/>
      <c r="CH249" s="24"/>
      <c r="CI249" s="24"/>
      <c r="CJ249" s="24"/>
      <c r="CK249" s="24"/>
      <c r="CL249" s="24"/>
      <c r="CM249" s="24"/>
      <c r="CN249" s="24"/>
      <c r="CO249" s="24"/>
      <c r="CP249" s="24"/>
      <c r="CQ249" s="24"/>
      <c r="CR249" s="24"/>
      <c r="CS249" s="24"/>
      <c r="CT249" s="24"/>
      <c r="CU249" s="24"/>
      <c r="CV249" s="24"/>
      <c r="CW249" s="24"/>
      <c r="CX249" s="24"/>
      <c r="CY249" s="24"/>
      <c r="CZ249" s="24"/>
      <c r="DA249" s="24"/>
      <c r="DB249" s="24"/>
      <c r="DC249" s="24"/>
      <c r="DD249" s="24"/>
      <c r="DE249" s="24"/>
      <c r="DF249" s="24"/>
      <c r="DG249" s="24"/>
      <c r="DH249" s="24"/>
      <c r="DI249" s="24"/>
      <c r="DJ249" s="24"/>
      <c r="DK249" s="24"/>
      <c r="DL249" s="24"/>
      <c r="DM249" s="24"/>
      <c r="DN249" s="24"/>
      <c r="DO249" s="24"/>
      <c r="DP249" s="24"/>
      <c r="DQ249" s="24"/>
      <c r="DR249" s="24"/>
      <c r="DS249" s="24"/>
      <c r="DT249" s="24"/>
      <c r="DU249" s="24"/>
      <c r="DV249" s="24"/>
      <c r="DW249" s="24"/>
      <c r="DX249" s="24"/>
      <c r="DY249" s="24"/>
      <c r="DZ249" s="24"/>
      <c r="EA249" s="24"/>
      <c r="EB249" s="24"/>
      <c r="EC249" s="24"/>
      <c r="ED249" s="24"/>
      <c r="EE249" s="24"/>
      <c r="EF249" s="24"/>
      <c r="EG249" s="24"/>
      <c r="EH249" s="24"/>
      <c r="EI249" s="24"/>
      <c r="EJ249" s="24"/>
      <c r="EK249" s="24"/>
      <c r="EL249" s="24"/>
      <c r="EM249" s="3"/>
      <c r="EN249" s="3"/>
      <c r="EO249" s="3"/>
      <c r="EP249" s="3"/>
      <c r="EQ249" s="3"/>
      <c r="ER249" s="3"/>
      <c r="ES249" s="3"/>
      <c r="ET249" s="3"/>
      <c r="EU249" s="3"/>
      <c r="EV249" s="3"/>
      <c r="EW249" s="3"/>
      <c r="EX249" s="3"/>
      <c r="EY249" s="3"/>
      <c r="EZ249" s="3"/>
      <c r="FA249" s="3"/>
      <c r="FB249" s="3"/>
      <c r="FC249" s="3"/>
      <c r="FD249" s="3"/>
      <c r="FE249" s="3"/>
      <c r="FF249" s="3"/>
      <c r="FG249" s="3"/>
      <c r="FH249" s="3"/>
      <c r="FI249" s="3"/>
      <c r="FJ249" s="3"/>
      <c r="FK249" s="3"/>
      <c r="FL249" s="3"/>
      <c r="FM249" s="3"/>
      <c r="FN249" s="3"/>
      <c r="FO249" s="3"/>
      <c r="FP249" s="3"/>
      <c r="FQ249" s="3"/>
      <c r="FR249" s="3"/>
      <c r="FS249" s="3"/>
      <c r="FT249" s="3"/>
      <c r="FU249" s="3"/>
      <c r="FV249" s="3"/>
      <c r="FW249" s="3"/>
      <c r="FX249" s="3"/>
      <c r="FY249" s="3"/>
      <c r="FZ249" s="3"/>
      <c r="GA249" s="3"/>
      <c r="GB249" s="3"/>
      <c r="GC249" s="3"/>
      <c r="GD249" s="3"/>
      <c r="GE249" s="3"/>
      <c r="GF249" s="3"/>
      <c r="GG249" s="3"/>
      <c r="GH249" s="3"/>
      <c r="GI249" s="3"/>
      <c r="GJ249" s="3"/>
      <c r="GK249" s="3"/>
      <c r="GL249" s="3"/>
      <c r="GM249" s="3"/>
      <c r="GN249" s="3"/>
      <c r="GO249" s="3"/>
      <c r="GP249" s="3"/>
      <c r="GQ249" s="3"/>
      <c r="GR249" s="3"/>
      <c r="GS249" s="3"/>
      <c r="GT249" s="3"/>
      <c r="GU249" s="3"/>
      <c r="GV249" s="3"/>
      <c r="GW249" s="3"/>
      <c r="GX249" s="3"/>
      <c r="GY249" s="3"/>
      <c r="GZ249" s="3"/>
      <c r="HA249" s="3"/>
      <c r="HB249" s="3"/>
      <c r="HC249" s="3"/>
      <c r="HD249" s="3"/>
      <c r="HE249" s="3"/>
      <c r="HF249" s="3"/>
      <c r="HG249" s="3"/>
      <c r="HH249" s="3"/>
      <c r="HI249" s="3"/>
      <c r="HJ249" s="3"/>
      <c r="HK249" s="3"/>
      <c r="HL249" s="3"/>
      <c r="HM249" s="3"/>
      <c r="HN249" s="3"/>
      <c r="HO249" s="3"/>
      <c r="HP249" s="3"/>
      <c r="HQ249" s="3"/>
      <c r="HR249" s="3"/>
      <c r="HS249" s="3"/>
      <c r="HT249" s="3"/>
      <c r="HU249" s="3"/>
      <c r="HV249" s="3"/>
      <c r="HW249" s="3"/>
      <c r="HX249" s="3"/>
      <c r="HY249" s="3"/>
      <c r="HZ249" s="3"/>
      <c r="IA249" s="3"/>
      <c r="IB249" s="3"/>
      <c r="IC249" s="3"/>
      <c r="ID249" s="3"/>
      <c r="IE249" s="3"/>
      <c r="IF249" s="3"/>
      <c r="IG249" s="3"/>
      <c r="IH249" s="3"/>
      <c r="II249" s="3"/>
      <c r="IJ249" s="3"/>
      <c r="IK249" s="3"/>
      <c r="IL249" s="3"/>
      <c r="IM249" s="3"/>
      <c r="IN249" s="3"/>
      <c r="IO249" s="3"/>
      <c r="IP249" s="3"/>
      <c r="IQ249" s="3"/>
      <c r="IR249" s="3"/>
      <c r="IS249" s="3"/>
      <c r="IT249" s="3"/>
      <c r="IU249" s="3"/>
      <c r="IV249" s="3"/>
      <c r="IW249" s="3"/>
    </row>
    <row r="250" customFormat="false" ht="12.75" hidden="false" customHeight="false" outlineLevel="0" collapsed="false">
      <c r="A250" s="22"/>
      <c r="B250" s="39"/>
      <c r="C250" s="39"/>
      <c r="D250" s="39"/>
      <c r="E250" s="39"/>
      <c r="F250" s="39"/>
      <c r="G250" s="39"/>
      <c r="H250" s="382" t="s">
        <v>354</v>
      </c>
      <c r="I250" s="39"/>
      <c r="J250" s="39"/>
      <c r="K250" s="39"/>
      <c r="L250" s="39"/>
      <c r="M250" s="39"/>
      <c r="N250" s="39"/>
      <c r="O250" s="39"/>
      <c r="P250" s="39"/>
      <c r="Q250" s="39"/>
      <c r="R250" s="39"/>
      <c r="S250" s="39"/>
      <c r="T250" s="39"/>
      <c r="U250" s="39"/>
      <c r="V250" s="39"/>
      <c r="W250" s="39"/>
      <c r="X250" s="39"/>
      <c r="Y250" s="39"/>
      <c r="Z250" s="39"/>
      <c r="AA250" s="39"/>
      <c r="AB250" s="39"/>
      <c r="AC250" s="39"/>
      <c r="AD250" s="39"/>
      <c r="AE250" s="39"/>
      <c r="AF250" s="39"/>
      <c r="AG250" s="39"/>
      <c r="AH250" s="39"/>
      <c r="AI250" s="39"/>
      <c r="AJ250" s="39"/>
      <c r="AK250" s="39"/>
      <c r="AL250" s="39"/>
      <c r="AM250" s="39"/>
      <c r="AN250" s="22"/>
      <c r="AO250" s="22"/>
      <c r="AP250" s="22"/>
      <c r="AQ250" s="22"/>
      <c r="AR250" s="22"/>
      <c r="AS250" s="22"/>
      <c r="AT250" s="22"/>
      <c r="AU250" s="22"/>
      <c r="AV250" s="22"/>
      <c r="AW250" s="22"/>
      <c r="AX250" s="22"/>
      <c r="AY250" s="22"/>
      <c r="AZ250" s="22"/>
      <c r="BA250" s="22"/>
      <c r="BB250" s="22"/>
      <c r="BC250" s="22"/>
      <c r="BD250" s="22"/>
      <c r="BE250" s="22"/>
      <c r="BF250" s="22"/>
      <c r="BG250" s="22"/>
      <c r="BH250" s="22"/>
      <c r="BI250" s="22"/>
      <c r="BJ250" s="22"/>
      <c r="BK250" s="22"/>
      <c r="BL250" s="22"/>
      <c r="BM250" s="22"/>
      <c r="BN250" s="22"/>
      <c r="BO250" s="22"/>
      <c r="BP250" s="22"/>
      <c r="BQ250" s="22"/>
      <c r="BR250" s="22"/>
      <c r="BS250" s="22"/>
      <c r="BT250" s="22"/>
      <c r="BU250" s="22"/>
      <c r="BV250" s="22"/>
      <c r="BW250" s="22"/>
      <c r="BX250" s="22"/>
      <c r="BY250" s="22"/>
      <c r="BZ250" s="22"/>
      <c r="CA250" s="22"/>
      <c r="CB250" s="22"/>
      <c r="CC250" s="22"/>
      <c r="CD250" s="22"/>
      <c r="CE250" s="22"/>
      <c r="CF250" s="22"/>
      <c r="CG250" s="22"/>
      <c r="CH250" s="22"/>
      <c r="CI250" s="22"/>
      <c r="CJ250" s="22"/>
      <c r="CK250" s="22"/>
      <c r="CL250" s="22"/>
      <c r="CM250" s="22"/>
      <c r="CN250" s="22"/>
      <c r="CO250" s="22"/>
      <c r="CP250" s="22"/>
      <c r="CQ250" s="22"/>
      <c r="CR250" s="22"/>
      <c r="CS250" s="22"/>
      <c r="CT250" s="22"/>
      <c r="CU250" s="22"/>
      <c r="CV250" s="22"/>
      <c r="CW250" s="22"/>
      <c r="CX250" s="22"/>
      <c r="CY250" s="22"/>
      <c r="CZ250" s="22"/>
      <c r="DA250" s="22"/>
      <c r="DB250" s="22"/>
      <c r="DC250" s="22"/>
      <c r="DD250" s="22"/>
      <c r="DE250" s="22"/>
      <c r="DF250" s="22"/>
      <c r="DG250" s="22"/>
      <c r="DH250" s="22"/>
      <c r="DI250" s="22"/>
      <c r="DJ250" s="22"/>
      <c r="DK250" s="22"/>
      <c r="DL250" s="22"/>
      <c r="DM250" s="22"/>
      <c r="DN250" s="22"/>
      <c r="DO250" s="22"/>
      <c r="DP250" s="22"/>
      <c r="DQ250" s="22"/>
      <c r="DR250" s="22"/>
      <c r="DS250" s="22"/>
      <c r="DT250" s="22"/>
      <c r="DU250" s="22"/>
      <c r="DV250" s="22"/>
      <c r="DW250" s="22"/>
      <c r="DX250" s="22"/>
      <c r="DY250" s="22"/>
      <c r="DZ250" s="22"/>
      <c r="EA250" s="22"/>
      <c r="EB250" s="22"/>
      <c r="EC250" s="22"/>
      <c r="ED250" s="22"/>
      <c r="EE250" s="22"/>
      <c r="EF250" s="22"/>
      <c r="EG250" s="22"/>
      <c r="EH250" s="22"/>
      <c r="EI250" s="22"/>
      <c r="EJ250" s="22"/>
      <c r="EK250" s="22"/>
      <c r="EL250" s="22"/>
      <c r="EM250" s="3"/>
      <c r="EN250" s="3"/>
      <c r="EO250" s="3"/>
      <c r="EP250" s="3"/>
      <c r="EQ250" s="3"/>
      <c r="ER250" s="3"/>
      <c r="ES250" s="3"/>
      <c r="ET250" s="3"/>
      <c r="EU250" s="3"/>
      <c r="EV250" s="3"/>
      <c r="EW250" s="3"/>
      <c r="EX250" s="3"/>
      <c r="EY250" s="3"/>
      <c r="EZ250" s="3"/>
      <c r="FA250" s="3"/>
      <c r="FB250" s="3"/>
      <c r="FC250" s="3"/>
      <c r="FD250" s="3"/>
      <c r="FE250" s="3"/>
      <c r="FF250" s="3"/>
      <c r="FG250" s="3"/>
      <c r="FH250" s="3"/>
      <c r="FI250" s="3"/>
      <c r="FJ250" s="3"/>
      <c r="FK250" s="3"/>
      <c r="FL250" s="3"/>
      <c r="FM250" s="3"/>
      <c r="FN250" s="3"/>
      <c r="FO250" s="3"/>
      <c r="FP250" s="3"/>
      <c r="FQ250" s="3"/>
      <c r="FR250" s="3"/>
      <c r="FS250" s="3"/>
      <c r="FT250" s="3"/>
      <c r="FU250" s="3"/>
      <c r="FV250" s="3"/>
      <c r="FW250" s="3"/>
      <c r="FX250" s="3"/>
      <c r="FY250" s="3"/>
      <c r="FZ250" s="3"/>
      <c r="GA250" s="3"/>
      <c r="GB250" s="3"/>
      <c r="GC250" s="3"/>
      <c r="GD250" s="3"/>
      <c r="GE250" s="3"/>
      <c r="GF250" s="3"/>
      <c r="GG250" s="3"/>
      <c r="GH250" s="3"/>
      <c r="GI250" s="3"/>
      <c r="GJ250" s="3"/>
      <c r="GK250" s="3"/>
      <c r="GL250" s="3"/>
      <c r="GM250" s="3"/>
      <c r="GN250" s="3"/>
      <c r="GO250" s="3"/>
      <c r="GP250" s="3"/>
      <c r="GQ250" s="3"/>
      <c r="GR250" s="3"/>
      <c r="GS250" s="3"/>
      <c r="GT250" s="3"/>
      <c r="GU250" s="3"/>
      <c r="GV250" s="3"/>
      <c r="GW250" s="3"/>
      <c r="GX250" s="3"/>
      <c r="GY250" s="3"/>
      <c r="GZ250" s="3"/>
      <c r="HA250" s="3"/>
      <c r="HB250" s="3"/>
      <c r="HC250" s="3"/>
      <c r="HD250" s="3"/>
      <c r="HE250" s="3"/>
      <c r="HF250" s="3"/>
      <c r="HG250" s="3"/>
      <c r="HH250" s="3"/>
      <c r="HI250" s="3"/>
      <c r="HJ250" s="3"/>
      <c r="HK250" s="3"/>
      <c r="HL250" s="3"/>
      <c r="HM250" s="3"/>
      <c r="HN250" s="3"/>
      <c r="HO250" s="3"/>
      <c r="HP250" s="3"/>
      <c r="HQ250" s="3"/>
      <c r="HR250" s="3"/>
      <c r="HS250" s="3"/>
      <c r="HT250" s="3"/>
      <c r="HU250" s="3"/>
      <c r="HV250" s="3"/>
      <c r="HW250" s="3"/>
      <c r="HX250" s="3"/>
      <c r="HY250" s="3"/>
      <c r="HZ250" s="3"/>
      <c r="IA250" s="3"/>
      <c r="IB250" s="3"/>
      <c r="IC250" s="3"/>
      <c r="ID250" s="3"/>
      <c r="IE250" s="3"/>
      <c r="IF250" s="3"/>
      <c r="IG250" s="3"/>
      <c r="IH250" s="3"/>
      <c r="II250" s="3"/>
      <c r="IJ250" s="3"/>
      <c r="IK250" s="3"/>
      <c r="IL250" s="3"/>
      <c r="IM250" s="3"/>
      <c r="IN250" s="3"/>
      <c r="IO250" s="3"/>
      <c r="IP250" s="3"/>
      <c r="IQ250" s="3"/>
      <c r="IR250" s="3"/>
      <c r="IS250" s="3"/>
      <c r="IT250" s="3"/>
      <c r="IU250" s="3"/>
      <c r="IV250" s="3"/>
      <c r="IW250" s="3"/>
    </row>
    <row r="252" customFormat="false" ht="12.75" hidden="false" customHeight="false" outlineLevel="0" collapsed="false">
      <c r="A252" s="23"/>
      <c r="B252" s="39"/>
      <c r="D252" s="39"/>
      <c r="E252" s="325"/>
      <c r="F252" s="325"/>
      <c r="G252" s="325"/>
      <c r="H252" s="325"/>
      <c r="I252" s="325"/>
      <c r="J252" s="325"/>
      <c r="K252" s="325"/>
      <c r="L252" s="325"/>
      <c r="M252" s="325"/>
      <c r="N252" s="325"/>
      <c r="O252" s="325"/>
      <c r="P252" s="325"/>
      <c r="Q252" s="325"/>
      <c r="R252" s="325"/>
      <c r="S252" s="325"/>
      <c r="T252" s="325"/>
      <c r="U252" s="325"/>
      <c r="V252" s="325"/>
      <c r="W252" s="325"/>
      <c r="X252" s="325"/>
      <c r="Y252" s="325"/>
      <c r="Z252" s="325"/>
      <c r="AA252" s="325"/>
      <c r="AB252" s="325"/>
      <c r="AC252" s="325"/>
      <c r="AD252" s="325"/>
      <c r="AE252" s="325"/>
      <c r="AF252" s="325"/>
      <c r="AG252" s="325"/>
      <c r="AH252" s="325"/>
      <c r="AI252" s="325"/>
      <c r="AJ252" s="325"/>
      <c r="AK252" s="325"/>
      <c r="AL252" s="325"/>
      <c r="AM252" s="325"/>
      <c r="AN252" s="23"/>
      <c r="AO252" s="23"/>
      <c r="AP252" s="23"/>
      <c r="AQ252" s="23"/>
      <c r="AR252" s="23"/>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c r="BZ252" s="24"/>
      <c r="CA252" s="24"/>
      <c r="CB252" s="24"/>
      <c r="CC252" s="24"/>
      <c r="CD252" s="24"/>
      <c r="CE252" s="24"/>
      <c r="CF252" s="24"/>
      <c r="CG252" s="24"/>
      <c r="CH252" s="24"/>
      <c r="CI252" s="24"/>
      <c r="CJ252" s="24"/>
      <c r="CK252" s="24"/>
      <c r="CL252" s="24"/>
      <c r="CM252" s="24"/>
      <c r="CN252" s="24"/>
      <c r="CO252" s="24"/>
      <c r="CP252" s="24"/>
      <c r="CQ252" s="24"/>
      <c r="CR252" s="24"/>
      <c r="CS252" s="24"/>
      <c r="CT252" s="24"/>
      <c r="CU252" s="24"/>
      <c r="CV252" s="24"/>
      <c r="CW252" s="24"/>
      <c r="CX252" s="24"/>
      <c r="CY252" s="24"/>
      <c r="CZ252" s="24"/>
      <c r="DA252" s="24"/>
      <c r="DB252" s="24"/>
      <c r="DC252" s="24"/>
      <c r="DD252" s="24"/>
      <c r="DE252" s="24"/>
      <c r="DF252" s="24"/>
      <c r="DG252" s="24"/>
      <c r="DH252" s="24"/>
      <c r="DI252" s="24"/>
      <c r="DJ252" s="24"/>
      <c r="DK252" s="24"/>
      <c r="DL252" s="24"/>
      <c r="DM252" s="24"/>
      <c r="DN252" s="24"/>
      <c r="DO252" s="24"/>
      <c r="DP252" s="24"/>
      <c r="DQ252" s="24"/>
      <c r="DR252" s="24"/>
      <c r="DS252" s="24"/>
      <c r="DT252" s="24"/>
      <c r="DU252" s="24"/>
      <c r="DV252" s="24"/>
      <c r="DW252" s="24"/>
      <c r="DX252" s="24"/>
      <c r="DY252" s="24"/>
      <c r="DZ252" s="24"/>
      <c r="EA252" s="24"/>
      <c r="EB252" s="24"/>
      <c r="EC252" s="24"/>
      <c r="ED252" s="24"/>
      <c r="EE252" s="24"/>
      <c r="EF252" s="24"/>
      <c r="EG252" s="24"/>
      <c r="EH252" s="24"/>
      <c r="EI252" s="24"/>
      <c r="EJ252" s="24"/>
      <c r="EK252" s="24"/>
      <c r="EL252" s="24"/>
      <c r="EM252" s="3"/>
      <c r="EN252" s="3"/>
      <c r="EO252" s="3"/>
      <c r="EP252" s="3"/>
      <c r="EQ252" s="3"/>
      <c r="ER252" s="3"/>
      <c r="ES252" s="3"/>
      <c r="ET252" s="3"/>
      <c r="EU252" s="3"/>
      <c r="EV252" s="3"/>
      <c r="EW252" s="3"/>
      <c r="EX252" s="3"/>
      <c r="EY252" s="3"/>
      <c r="EZ252" s="3"/>
      <c r="FA252" s="3"/>
      <c r="FB252" s="3"/>
      <c r="FC252" s="3"/>
      <c r="FD252" s="3"/>
      <c r="FE252" s="3"/>
      <c r="FF252" s="3"/>
      <c r="FG252" s="3"/>
      <c r="FH252" s="3"/>
      <c r="FI252" s="3"/>
      <c r="FJ252" s="3"/>
      <c r="FK252" s="3"/>
      <c r="FL252" s="3"/>
      <c r="FM252" s="3"/>
      <c r="FN252" s="3"/>
      <c r="FO252" s="3"/>
      <c r="FP252" s="3"/>
      <c r="FQ252" s="3"/>
      <c r="FR252" s="3"/>
      <c r="FS252" s="3"/>
      <c r="FT252" s="3"/>
      <c r="FU252" s="3"/>
      <c r="FV252" s="3"/>
      <c r="FW252" s="3"/>
      <c r="FX252" s="3"/>
      <c r="FY252" s="3"/>
      <c r="FZ252" s="3"/>
      <c r="GA252" s="3"/>
      <c r="GB252" s="3"/>
      <c r="GC252" s="3"/>
      <c r="GD252" s="3"/>
      <c r="GE252" s="3"/>
      <c r="GF252" s="3"/>
      <c r="GG252" s="3"/>
      <c r="GH252" s="3"/>
      <c r="GI252" s="3"/>
      <c r="GJ252" s="3"/>
      <c r="GK252" s="3"/>
      <c r="GL252" s="3"/>
      <c r="GM252" s="3"/>
      <c r="GN252" s="3"/>
      <c r="GO252" s="3"/>
      <c r="GP252" s="3"/>
      <c r="GQ252" s="3"/>
      <c r="GR252" s="3"/>
      <c r="GS252" s="3"/>
      <c r="GT252" s="3"/>
      <c r="GU252" s="3"/>
      <c r="GV252" s="3"/>
      <c r="GW252" s="3"/>
      <c r="GX252" s="3"/>
      <c r="GY252" s="3"/>
      <c r="GZ252" s="3"/>
      <c r="HA252" s="3"/>
      <c r="HB252" s="3"/>
      <c r="HC252" s="3"/>
      <c r="HD252" s="3"/>
      <c r="HE252" s="3"/>
      <c r="HF252" s="3"/>
      <c r="HG252" s="3"/>
      <c r="HH252" s="3"/>
      <c r="HI252" s="3"/>
      <c r="HJ252" s="3"/>
      <c r="HK252" s="3"/>
      <c r="HL252" s="3"/>
      <c r="HM252" s="3"/>
      <c r="HN252" s="3"/>
      <c r="HO252" s="3"/>
      <c r="HP252" s="3"/>
      <c r="HQ252" s="3"/>
      <c r="HR252" s="3"/>
      <c r="HS252" s="3"/>
      <c r="HT252" s="3"/>
      <c r="HU252" s="3"/>
      <c r="HV252" s="3"/>
      <c r="HW252" s="3"/>
      <c r="HX252" s="3"/>
      <c r="HY252" s="3"/>
      <c r="HZ252" s="3"/>
      <c r="IA252" s="3"/>
      <c r="IB252" s="3"/>
      <c r="IC252" s="3"/>
      <c r="ID252" s="3"/>
      <c r="IE252" s="3"/>
      <c r="IF252" s="3"/>
      <c r="IG252" s="3"/>
      <c r="IH252" s="3"/>
      <c r="II252" s="3"/>
      <c r="IJ252" s="3"/>
      <c r="IK252" s="3"/>
      <c r="IL252" s="3"/>
      <c r="IM252" s="3"/>
      <c r="IN252" s="3"/>
      <c r="IO252" s="3"/>
      <c r="IP252" s="3"/>
      <c r="IQ252" s="3"/>
      <c r="IR252" s="3"/>
      <c r="IS252" s="3"/>
      <c r="IT252" s="3"/>
      <c r="IU252" s="3"/>
      <c r="IV252" s="3"/>
      <c r="IW252" s="3"/>
    </row>
    <row r="253" customFormat="false" ht="12.75" hidden="false" customHeight="false" outlineLevel="0" collapsed="false">
      <c r="A253" s="23"/>
      <c r="B253" s="383"/>
      <c r="C253" s="383"/>
      <c r="D253" s="383"/>
      <c r="E253" s="384" t="s">
        <v>327</v>
      </c>
      <c r="F253" s="384" t="s">
        <v>328</v>
      </c>
      <c r="G253" s="325"/>
      <c r="H253" s="325"/>
      <c r="I253" s="325"/>
      <c r="J253" s="325"/>
      <c r="K253" s="325"/>
      <c r="L253" s="325"/>
      <c r="M253" s="325"/>
      <c r="N253" s="325"/>
      <c r="O253" s="325"/>
      <c r="P253" s="325"/>
      <c r="Q253" s="325"/>
      <c r="R253" s="325"/>
      <c r="S253" s="325"/>
      <c r="T253" s="325"/>
      <c r="U253" s="325"/>
      <c r="V253" s="325"/>
      <c r="W253" s="325"/>
      <c r="X253" s="325"/>
      <c r="Y253" s="325"/>
      <c r="Z253" s="325"/>
      <c r="AA253" s="325"/>
      <c r="AB253" s="325"/>
      <c r="AC253" s="325"/>
      <c r="AD253" s="325"/>
      <c r="AE253" s="325"/>
      <c r="AF253" s="325"/>
      <c r="AG253" s="325"/>
      <c r="AH253" s="325"/>
      <c r="AI253" s="325"/>
      <c r="AJ253" s="325"/>
      <c r="AK253" s="325"/>
      <c r="AL253" s="325"/>
      <c r="AM253" s="325"/>
      <c r="AN253" s="23"/>
      <c r="AO253" s="23"/>
      <c r="AP253" s="23"/>
      <c r="AQ253" s="23"/>
      <c r="AR253" s="23"/>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c r="BO253" s="24"/>
      <c r="BP253" s="24"/>
      <c r="BQ253" s="24"/>
      <c r="BR253" s="24"/>
      <c r="BS253" s="24"/>
      <c r="BT253" s="24"/>
      <c r="BU253" s="24"/>
      <c r="BV253" s="24"/>
      <c r="BW253" s="24"/>
      <c r="BX253" s="24"/>
      <c r="BY253" s="24"/>
      <c r="BZ253" s="24"/>
      <c r="CA253" s="24"/>
      <c r="CB253" s="24"/>
      <c r="CC253" s="24"/>
      <c r="CD253" s="24"/>
      <c r="CE253" s="24"/>
      <c r="CF253" s="24"/>
      <c r="CG253" s="24"/>
      <c r="CH253" s="24"/>
      <c r="CI253" s="24"/>
      <c r="CJ253" s="24"/>
      <c r="CK253" s="24"/>
      <c r="CL253" s="24"/>
      <c r="CM253" s="24"/>
      <c r="CN253" s="24"/>
      <c r="CO253" s="24"/>
      <c r="CP253" s="24"/>
      <c r="CQ253" s="24"/>
      <c r="CR253" s="24"/>
      <c r="CS253" s="24"/>
      <c r="CT253" s="24"/>
      <c r="CU253" s="24"/>
      <c r="CV253" s="24"/>
      <c r="CW253" s="24"/>
      <c r="CX253" s="24"/>
      <c r="CY253" s="24"/>
      <c r="CZ253" s="24"/>
      <c r="DA253" s="24"/>
      <c r="DB253" s="24"/>
      <c r="DC253" s="24"/>
      <c r="DD253" s="24"/>
      <c r="DE253" s="24"/>
      <c r="DF253" s="24"/>
      <c r="DG253" s="24"/>
      <c r="DH253" s="24"/>
      <c r="DI253" s="24"/>
      <c r="DJ253" s="24"/>
      <c r="DK253" s="24"/>
      <c r="DL253" s="24"/>
      <c r="DM253" s="24"/>
      <c r="DN253" s="24"/>
      <c r="DO253" s="24"/>
      <c r="DP253" s="24"/>
      <c r="DQ253" s="24"/>
      <c r="DR253" s="24"/>
      <c r="DS253" s="24"/>
      <c r="DT253" s="24"/>
      <c r="DU253" s="24"/>
      <c r="DV253" s="24"/>
      <c r="DW253" s="24"/>
      <c r="DX253" s="24"/>
      <c r="DY253" s="24"/>
      <c r="DZ253" s="24"/>
      <c r="EA253" s="24"/>
      <c r="EB253" s="24"/>
      <c r="EC253" s="24"/>
      <c r="ED253" s="24"/>
      <c r="EE253" s="24"/>
      <c r="EF253" s="24"/>
      <c r="EG253" s="24"/>
      <c r="EH253" s="24"/>
      <c r="EI253" s="24"/>
      <c r="EJ253" s="24"/>
      <c r="EK253" s="24"/>
      <c r="EL253" s="24"/>
      <c r="EM253" s="3"/>
      <c r="EN253" s="3"/>
      <c r="EO253" s="3"/>
      <c r="EP253" s="3"/>
      <c r="EQ253" s="3"/>
      <c r="ER253" s="3"/>
      <c r="ES253" s="3"/>
      <c r="ET253" s="3"/>
      <c r="EU253" s="3"/>
      <c r="EV253" s="3"/>
      <c r="EW253" s="3"/>
      <c r="EX253" s="3"/>
      <c r="EY253" s="3"/>
      <c r="EZ253" s="3"/>
      <c r="FA253" s="3"/>
      <c r="FB253" s="3"/>
      <c r="FC253" s="3"/>
      <c r="FD253" s="3"/>
      <c r="FE253" s="3"/>
      <c r="FF253" s="3"/>
      <c r="FG253" s="3"/>
      <c r="FH253" s="3"/>
      <c r="FI253" s="3"/>
      <c r="FJ253" s="3"/>
      <c r="FK253" s="3"/>
      <c r="FL253" s="3"/>
      <c r="FM253" s="3"/>
      <c r="FN253" s="3"/>
      <c r="FO253" s="3"/>
      <c r="FP253" s="3"/>
      <c r="FQ253" s="3"/>
      <c r="FR253" s="3"/>
      <c r="FS253" s="3"/>
      <c r="FT253" s="3"/>
      <c r="FU253" s="3"/>
      <c r="FV253" s="3"/>
      <c r="FW253" s="3"/>
      <c r="FX253" s="3"/>
      <c r="FY253" s="3"/>
      <c r="FZ253" s="3"/>
      <c r="GA253" s="3"/>
      <c r="GB253" s="3"/>
      <c r="GC253" s="3"/>
      <c r="GD253" s="3"/>
      <c r="GE253" s="3"/>
      <c r="GF253" s="3"/>
      <c r="GG253" s="3"/>
      <c r="GH253" s="3"/>
      <c r="GI253" s="3"/>
      <c r="GJ253" s="3"/>
      <c r="GK253" s="3"/>
      <c r="GL253" s="3"/>
      <c r="GM253" s="3"/>
      <c r="GN253" s="3"/>
      <c r="GO253" s="3"/>
      <c r="GP253" s="3"/>
      <c r="GQ253" s="3"/>
      <c r="GR253" s="3"/>
      <c r="GS253" s="3"/>
      <c r="GT253" s="3"/>
      <c r="GU253" s="3"/>
      <c r="GV253" s="3"/>
      <c r="GW253" s="3"/>
      <c r="GX253" s="3"/>
      <c r="GY253" s="3"/>
      <c r="GZ253" s="3"/>
      <c r="HA253" s="3"/>
      <c r="HB253" s="3"/>
      <c r="HC253" s="3"/>
      <c r="HD253" s="3"/>
      <c r="HE253" s="3"/>
      <c r="HF253" s="3"/>
      <c r="HG253" s="3"/>
      <c r="HH253" s="3"/>
      <c r="HI253" s="3"/>
      <c r="HJ253" s="3"/>
      <c r="HK253" s="3"/>
      <c r="HL253" s="3"/>
      <c r="HM253" s="3"/>
      <c r="HN253" s="3"/>
      <c r="HO253" s="3"/>
      <c r="HP253" s="3"/>
      <c r="HQ253" s="3"/>
      <c r="HR253" s="3"/>
      <c r="HS253" s="3"/>
      <c r="HT253" s="3"/>
      <c r="HU253" s="3"/>
      <c r="HV253" s="3"/>
      <c r="HW253" s="3"/>
      <c r="HX253" s="3"/>
      <c r="HY253" s="3"/>
      <c r="HZ253" s="3"/>
      <c r="IA253" s="3"/>
      <c r="IB253" s="3"/>
      <c r="IC253" s="3"/>
      <c r="ID253" s="3"/>
      <c r="IE253" s="3"/>
      <c r="IF253" s="3"/>
      <c r="IG253" s="3"/>
      <c r="IH253" s="3"/>
      <c r="II253" s="3"/>
      <c r="IJ253" s="3"/>
      <c r="IK253" s="3"/>
      <c r="IL253" s="3"/>
      <c r="IM253" s="3"/>
      <c r="IN253" s="3"/>
      <c r="IO253" s="3"/>
      <c r="IP253" s="3"/>
      <c r="IQ253" s="3"/>
      <c r="IR253" s="3"/>
      <c r="IS253" s="3"/>
      <c r="IT253" s="3"/>
      <c r="IU253" s="3"/>
      <c r="IV253" s="3"/>
      <c r="IW253" s="3"/>
    </row>
    <row r="254" customFormat="false" ht="12.75" hidden="false" customHeight="false" outlineLevel="0" collapsed="false">
      <c r="A254" s="23"/>
      <c r="B254" s="383" t="s">
        <v>355</v>
      </c>
      <c r="C254" s="383"/>
      <c r="D254" s="383"/>
      <c r="E254" s="385" t="n">
        <v>1</v>
      </c>
      <c r="F254" s="384" t="n">
        <f aca="false">1-E254</f>
        <v>0</v>
      </c>
      <c r="G254" s="325"/>
      <c r="H254" s="325"/>
      <c r="I254" s="325"/>
      <c r="J254" s="325"/>
      <c r="K254" s="325"/>
      <c r="L254" s="325"/>
      <c r="M254" s="325"/>
      <c r="N254" s="325"/>
      <c r="O254" s="325"/>
      <c r="P254" s="325"/>
      <c r="Q254" s="325"/>
      <c r="R254" s="325"/>
      <c r="S254" s="325"/>
      <c r="T254" s="325"/>
      <c r="U254" s="325"/>
      <c r="V254" s="325"/>
      <c r="W254" s="325"/>
      <c r="X254" s="325"/>
      <c r="Y254" s="325"/>
      <c r="Z254" s="325"/>
      <c r="AA254" s="325"/>
      <c r="AB254" s="325"/>
      <c r="AC254" s="325"/>
      <c r="AD254" s="325"/>
      <c r="AE254" s="325"/>
      <c r="AF254" s="325"/>
      <c r="AG254" s="325"/>
      <c r="AH254" s="325"/>
      <c r="AI254" s="325"/>
      <c r="AJ254" s="325"/>
      <c r="AK254" s="325"/>
      <c r="AL254" s="325"/>
      <c r="AM254" s="325"/>
      <c r="AN254" s="23"/>
      <c r="AO254" s="23"/>
      <c r="AP254" s="23"/>
      <c r="AQ254" s="23"/>
      <c r="AR254" s="23"/>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24"/>
      <c r="BY254" s="24"/>
      <c r="BZ254" s="24"/>
      <c r="CA254" s="24"/>
      <c r="CB254" s="24"/>
      <c r="CC254" s="24"/>
      <c r="CD254" s="24"/>
      <c r="CE254" s="24"/>
      <c r="CF254" s="24"/>
      <c r="CG254" s="24"/>
      <c r="CH254" s="24"/>
      <c r="CI254" s="24"/>
      <c r="CJ254" s="24"/>
      <c r="CK254" s="24"/>
      <c r="CL254" s="24"/>
      <c r="CM254" s="24"/>
      <c r="CN254" s="24"/>
      <c r="CO254" s="24"/>
      <c r="CP254" s="24"/>
      <c r="CQ254" s="24"/>
      <c r="CR254" s="24"/>
      <c r="CS254" s="24"/>
      <c r="CT254" s="24"/>
      <c r="CU254" s="24"/>
      <c r="CV254" s="24"/>
      <c r="CW254" s="24"/>
      <c r="CX254" s="24"/>
      <c r="CY254" s="24"/>
      <c r="CZ254" s="24"/>
      <c r="DA254" s="24"/>
      <c r="DB254" s="24"/>
      <c r="DC254" s="24"/>
      <c r="DD254" s="24"/>
      <c r="DE254" s="24"/>
      <c r="DF254" s="24"/>
      <c r="DG254" s="24"/>
      <c r="DH254" s="24"/>
      <c r="DI254" s="24"/>
      <c r="DJ254" s="24"/>
      <c r="DK254" s="24"/>
      <c r="DL254" s="24"/>
      <c r="DM254" s="24"/>
      <c r="DN254" s="24"/>
      <c r="DO254" s="24"/>
      <c r="DP254" s="24"/>
      <c r="DQ254" s="24"/>
      <c r="DR254" s="24"/>
      <c r="DS254" s="24"/>
      <c r="DT254" s="24"/>
      <c r="DU254" s="24"/>
      <c r="DV254" s="24"/>
      <c r="DW254" s="24"/>
      <c r="DX254" s="24"/>
      <c r="DY254" s="24"/>
      <c r="DZ254" s="24"/>
      <c r="EA254" s="24"/>
      <c r="EB254" s="24"/>
      <c r="EC254" s="24"/>
      <c r="ED254" s="24"/>
      <c r="EE254" s="24"/>
      <c r="EF254" s="24"/>
      <c r="EG254" s="24"/>
      <c r="EH254" s="24"/>
      <c r="EI254" s="24"/>
      <c r="EJ254" s="24"/>
      <c r="EK254" s="24"/>
      <c r="EL254" s="24"/>
      <c r="EM254" s="3"/>
      <c r="EN254" s="3"/>
      <c r="EO254" s="3"/>
      <c r="EP254" s="3"/>
      <c r="EQ254" s="3"/>
      <c r="ER254" s="3"/>
      <c r="ES254" s="3"/>
      <c r="ET254" s="3"/>
      <c r="EU254" s="3"/>
      <c r="EV254" s="3"/>
      <c r="EW254" s="3"/>
      <c r="EX254" s="3"/>
      <c r="EY254" s="3"/>
      <c r="EZ254" s="3"/>
      <c r="FA254" s="3"/>
      <c r="FB254" s="3"/>
      <c r="FC254" s="3"/>
      <c r="FD254" s="3"/>
      <c r="FE254" s="3"/>
      <c r="FF254" s="3"/>
      <c r="FG254" s="3"/>
      <c r="FH254" s="3"/>
      <c r="FI254" s="3"/>
      <c r="FJ254" s="3"/>
      <c r="FK254" s="3"/>
      <c r="FL254" s="3"/>
      <c r="FM254" s="3"/>
      <c r="FN254" s="3"/>
      <c r="FO254" s="3"/>
      <c r="FP254" s="3"/>
      <c r="FQ254" s="3"/>
      <c r="FR254" s="3"/>
      <c r="FS254" s="3"/>
      <c r="FT254" s="3"/>
      <c r="FU254" s="3"/>
      <c r="FV254" s="3"/>
      <c r="FW254" s="3"/>
      <c r="FX254" s="3"/>
      <c r="FY254" s="3"/>
      <c r="FZ254" s="3"/>
      <c r="GA254" s="3"/>
      <c r="GB254" s="3"/>
      <c r="GC254" s="3"/>
      <c r="GD254" s="3"/>
      <c r="GE254" s="3"/>
      <c r="GF254" s="3"/>
      <c r="GG254" s="3"/>
      <c r="GH254" s="3"/>
      <c r="GI254" s="3"/>
      <c r="GJ254" s="3"/>
      <c r="GK254" s="3"/>
      <c r="GL254" s="3"/>
      <c r="GM254" s="3"/>
      <c r="GN254" s="3"/>
      <c r="GO254" s="3"/>
      <c r="GP254" s="3"/>
      <c r="GQ254" s="3"/>
      <c r="GR254" s="3"/>
      <c r="GS254" s="3"/>
      <c r="GT254" s="3"/>
      <c r="GU254" s="3"/>
      <c r="GV254" s="3"/>
      <c r="GW254" s="3"/>
      <c r="GX254" s="3"/>
      <c r="GY254" s="3"/>
      <c r="GZ254" s="3"/>
      <c r="HA254" s="3"/>
      <c r="HB254" s="3"/>
      <c r="HC254" s="3"/>
      <c r="HD254" s="3"/>
      <c r="HE254" s="3"/>
      <c r="HF254" s="3"/>
      <c r="HG254" s="3"/>
      <c r="HH254" s="3"/>
      <c r="HI254" s="3"/>
      <c r="HJ254" s="3"/>
      <c r="HK254" s="3"/>
      <c r="HL254" s="3"/>
      <c r="HM254" s="3"/>
      <c r="HN254" s="3"/>
      <c r="HO254" s="3"/>
      <c r="HP254" s="3"/>
      <c r="HQ254" s="3"/>
      <c r="HR254" s="3"/>
      <c r="HS254" s="3"/>
      <c r="HT254" s="3"/>
      <c r="HU254" s="3"/>
      <c r="HV254" s="3"/>
      <c r="HW254" s="3"/>
      <c r="HX254" s="3"/>
      <c r="HY254" s="3"/>
      <c r="HZ254" s="3"/>
      <c r="IA254" s="3"/>
      <c r="IB254" s="3"/>
      <c r="IC254" s="3"/>
      <c r="ID254" s="3"/>
      <c r="IE254" s="3"/>
      <c r="IF254" s="3"/>
      <c r="IG254" s="3"/>
      <c r="IH254" s="3"/>
      <c r="II254" s="3"/>
      <c r="IJ254" s="3"/>
      <c r="IK254" s="3"/>
      <c r="IL254" s="3"/>
      <c r="IM254" s="3"/>
      <c r="IN254" s="3"/>
      <c r="IO254" s="3"/>
      <c r="IP254" s="3"/>
      <c r="IQ254" s="3"/>
      <c r="IR254" s="3"/>
      <c r="IS254" s="3"/>
      <c r="IT254" s="3"/>
      <c r="IU254" s="3"/>
      <c r="IV254" s="3"/>
      <c r="IW254" s="3"/>
    </row>
    <row r="255" customFormat="false" ht="13.5" hidden="false" customHeight="false" outlineLevel="0" collapsed="false">
      <c r="A255" s="23"/>
      <c r="B255" s="39"/>
      <c r="C255" s="39"/>
      <c r="D255" s="39"/>
      <c r="E255" s="325"/>
      <c r="F255" s="325"/>
      <c r="G255" s="325"/>
      <c r="H255" s="325"/>
      <c r="I255" s="325"/>
      <c r="J255" s="325"/>
      <c r="K255" s="325"/>
      <c r="L255" s="325"/>
      <c r="M255" s="325"/>
      <c r="N255" s="325"/>
      <c r="O255" s="325"/>
      <c r="P255" s="325"/>
      <c r="Q255" s="325"/>
      <c r="R255" s="325"/>
      <c r="S255" s="325"/>
      <c r="T255" s="325"/>
      <c r="U255" s="325"/>
      <c r="V255" s="325"/>
      <c r="W255" s="325"/>
      <c r="X255" s="325"/>
      <c r="Y255" s="325"/>
      <c r="Z255" s="325"/>
      <c r="AA255" s="325"/>
      <c r="AB255" s="325"/>
      <c r="AC255" s="325"/>
      <c r="AD255" s="325"/>
      <c r="AE255" s="325"/>
      <c r="AF255" s="325"/>
      <c r="AG255" s="325"/>
      <c r="AH255" s="325"/>
      <c r="AI255" s="325"/>
      <c r="AJ255" s="325"/>
      <c r="AK255" s="325"/>
      <c r="AL255" s="325"/>
      <c r="AM255" s="325"/>
      <c r="AN255" s="23"/>
      <c r="AO255" s="23"/>
      <c r="AP255" s="23"/>
      <c r="AQ255" s="23"/>
      <c r="AR255" s="23"/>
      <c r="AS255" s="24"/>
      <c r="AT255" s="24"/>
      <c r="AU255" s="24"/>
      <c r="AV255" s="24"/>
      <c r="AW255" s="24"/>
      <c r="AX255" s="24"/>
      <c r="AY255" s="24"/>
      <c r="AZ255" s="24"/>
      <c r="BA255" s="24"/>
      <c r="BB255" s="24"/>
      <c r="BC255" s="24"/>
      <c r="BD255" s="24"/>
      <c r="BE255" s="24"/>
      <c r="BF255" s="24"/>
      <c r="BG255" s="24"/>
      <c r="BH255" s="24"/>
      <c r="BI255" s="24"/>
      <c r="BJ255" s="24"/>
      <c r="BK255" s="24"/>
      <c r="BL255" s="24"/>
      <c r="BM255" s="24"/>
      <c r="BN255" s="24"/>
      <c r="BO255" s="24"/>
      <c r="BP255" s="24"/>
      <c r="BQ255" s="24"/>
      <c r="BR255" s="24"/>
      <c r="BS255" s="24"/>
      <c r="BT255" s="24"/>
      <c r="BU255" s="24"/>
      <c r="BV255" s="24"/>
      <c r="BW255" s="24"/>
      <c r="BX255" s="24"/>
      <c r="BY255" s="24"/>
      <c r="BZ255" s="24"/>
      <c r="CA255" s="24"/>
      <c r="CB255" s="24"/>
      <c r="CC255" s="24"/>
      <c r="CD255" s="24"/>
      <c r="CE255" s="24"/>
      <c r="CF255" s="24"/>
      <c r="CG255" s="24"/>
      <c r="CH255" s="24"/>
      <c r="CI255" s="24"/>
      <c r="CJ255" s="24"/>
      <c r="CK255" s="24"/>
      <c r="CL255" s="24"/>
      <c r="CM255" s="24"/>
      <c r="CN255" s="24"/>
      <c r="CO255" s="24"/>
      <c r="CP255" s="24"/>
      <c r="CQ255" s="24"/>
      <c r="CR255" s="24"/>
      <c r="CS255" s="24"/>
      <c r="CT255" s="24"/>
      <c r="CU255" s="24"/>
      <c r="CV255" s="24"/>
      <c r="CW255" s="24"/>
      <c r="CX255" s="24"/>
      <c r="CY255" s="24"/>
      <c r="CZ255" s="24"/>
      <c r="DA255" s="24"/>
      <c r="DB255" s="24"/>
      <c r="DC255" s="24"/>
      <c r="DD255" s="24"/>
      <c r="DE255" s="24"/>
      <c r="DF255" s="24"/>
      <c r="DG255" s="24"/>
      <c r="DH255" s="24"/>
      <c r="DI255" s="24"/>
      <c r="DJ255" s="24"/>
      <c r="DK255" s="24"/>
      <c r="DL255" s="24"/>
      <c r="DM255" s="24"/>
      <c r="DN255" s="24"/>
      <c r="DO255" s="24"/>
      <c r="DP255" s="24"/>
      <c r="DQ255" s="24"/>
      <c r="DR255" s="24"/>
      <c r="DS255" s="24"/>
      <c r="DT255" s="24"/>
      <c r="DU255" s="24"/>
      <c r="DV255" s="24"/>
      <c r="DW255" s="24"/>
      <c r="DX255" s="24"/>
      <c r="DY255" s="24"/>
      <c r="DZ255" s="24"/>
      <c r="EA255" s="24"/>
      <c r="EB255" s="24"/>
      <c r="EC255" s="24"/>
      <c r="ED255" s="24"/>
      <c r="EE255" s="24"/>
      <c r="EF255" s="24"/>
      <c r="EG255" s="24"/>
      <c r="EH255" s="24"/>
      <c r="EI255" s="24"/>
      <c r="EJ255" s="24"/>
      <c r="EK255" s="24"/>
      <c r="EL255" s="24"/>
      <c r="EM255" s="3"/>
      <c r="EN255" s="3"/>
      <c r="EO255" s="3"/>
      <c r="EP255" s="3"/>
      <c r="EQ255" s="3"/>
      <c r="ER255" s="3"/>
      <c r="ES255" s="3"/>
      <c r="ET255" s="3"/>
      <c r="EU255" s="3"/>
      <c r="EV255" s="3"/>
      <c r="EW255" s="3"/>
      <c r="EX255" s="3"/>
      <c r="EY255" s="3"/>
      <c r="EZ255" s="3"/>
      <c r="FA255" s="3"/>
      <c r="FB255" s="3"/>
      <c r="FC255" s="3"/>
      <c r="FD255" s="3"/>
      <c r="FE255" s="3"/>
      <c r="FF255" s="3"/>
      <c r="FG255" s="3"/>
      <c r="FH255" s="3"/>
      <c r="FI255" s="3"/>
      <c r="FJ255" s="3"/>
      <c r="FK255" s="3"/>
      <c r="FL255" s="3"/>
      <c r="FM255" s="3"/>
      <c r="FN255" s="3"/>
      <c r="FO255" s="3"/>
      <c r="FP255" s="3"/>
      <c r="FQ255" s="3"/>
      <c r="FR255" s="3"/>
      <c r="FS255" s="3"/>
      <c r="FT255" s="3"/>
      <c r="FU255" s="3"/>
      <c r="FV255" s="3"/>
      <c r="FW255" s="3"/>
      <c r="FX255" s="3"/>
      <c r="FY255" s="3"/>
      <c r="FZ255" s="3"/>
      <c r="GA255" s="3"/>
      <c r="GB255" s="3"/>
      <c r="GC255" s="3"/>
      <c r="GD255" s="3"/>
      <c r="GE255" s="3"/>
      <c r="GF255" s="3"/>
      <c r="GG255" s="3"/>
      <c r="GH255" s="3"/>
      <c r="GI255" s="3"/>
      <c r="GJ255" s="3"/>
      <c r="GK255" s="3"/>
      <c r="GL255" s="3"/>
      <c r="GM255" s="3"/>
      <c r="GN255" s="3"/>
      <c r="GO255" s="3"/>
      <c r="GP255" s="3"/>
      <c r="GQ255" s="3"/>
      <c r="GR255" s="3"/>
      <c r="GS255" s="3"/>
      <c r="GT255" s="3"/>
      <c r="GU255" s="3"/>
      <c r="GV255" s="3"/>
      <c r="GW255" s="3"/>
      <c r="GX255" s="3"/>
      <c r="GY255" s="3"/>
      <c r="GZ255" s="3"/>
      <c r="HA255" s="3"/>
      <c r="HB255" s="3"/>
      <c r="HC255" s="3"/>
      <c r="HD255" s="3"/>
      <c r="HE255" s="3"/>
      <c r="HF255" s="3"/>
      <c r="HG255" s="3"/>
      <c r="HH255" s="3"/>
      <c r="HI255" s="3"/>
      <c r="HJ255" s="3"/>
      <c r="HK255" s="3"/>
      <c r="HL255" s="3"/>
      <c r="HM255" s="3"/>
      <c r="HN255" s="3"/>
      <c r="HO255" s="3"/>
      <c r="HP255" s="3"/>
      <c r="HQ255" s="3"/>
      <c r="HR255" s="3"/>
      <c r="HS255" s="3"/>
      <c r="HT255" s="3"/>
      <c r="HU255" s="3"/>
      <c r="HV255" s="3"/>
      <c r="HW255" s="3"/>
      <c r="HX255" s="3"/>
      <c r="HY255" s="3"/>
      <c r="HZ255" s="3"/>
      <c r="IA255" s="3"/>
      <c r="IB255" s="3"/>
      <c r="IC255" s="3"/>
      <c r="ID255" s="3"/>
      <c r="IE255" s="3"/>
      <c r="IF255" s="3"/>
      <c r="IG255" s="3"/>
      <c r="IH255" s="3"/>
      <c r="II255" s="3"/>
      <c r="IJ255" s="3"/>
      <c r="IK255" s="3"/>
      <c r="IL255" s="3"/>
      <c r="IM255" s="3"/>
      <c r="IN255" s="3"/>
      <c r="IO255" s="3"/>
      <c r="IP255" s="3"/>
      <c r="IQ255" s="3"/>
      <c r="IR255" s="3"/>
      <c r="IS255" s="3"/>
      <c r="IT255" s="3"/>
      <c r="IU255" s="3"/>
      <c r="IV255" s="3"/>
      <c r="IW255" s="3"/>
    </row>
    <row r="256" customFormat="false" ht="13.5" hidden="false" customHeight="false" outlineLevel="0" collapsed="false">
      <c r="A256" s="23"/>
      <c r="B256" s="386" t="s">
        <v>328</v>
      </c>
      <c r="C256" s="22"/>
      <c r="D256" s="22"/>
      <c r="E256" s="3"/>
      <c r="F256" s="22"/>
      <c r="G256" s="23"/>
      <c r="H256" s="24"/>
      <c r="I256" s="24"/>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c r="BZ256" s="24"/>
      <c r="CA256" s="24"/>
      <c r="CB256" s="24"/>
      <c r="CC256" s="24"/>
      <c r="CD256" s="24"/>
      <c r="CE256" s="24"/>
      <c r="CF256" s="24"/>
      <c r="CG256" s="24"/>
      <c r="CH256" s="24"/>
      <c r="CI256" s="24"/>
      <c r="CJ256" s="24"/>
      <c r="CK256" s="24"/>
      <c r="CL256" s="24"/>
      <c r="CM256" s="24"/>
      <c r="CN256" s="24"/>
      <c r="CO256" s="24"/>
      <c r="CP256" s="24"/>
      <c r="CQ256" s="24"/>
      <c r="CR256" s="24"/>
      <c r="CS256" s="24"/>
      <c r="CT256" s="24"/>
      <c r="CU256" s="24"/>
      <c r="CV256" s="24"/>
      <c r="CW256" s="24"/>
      <c r="CX256" s="24"/>
      <c r="CY256" s="24"/>
      <c r="CZ256" s="24"/>
      <c r="DA256" s="24"/>
      <c r="DB256" s="24"/>
      <c r="DC256" s="24"/>
      <c r="DD256" s="24"/>
      <c r="DE256" s="24"/>
      <c r="DF256" s="24"/>
      <c r="DG256" s="24"/>
      <c r="DH256" s="24"/>
      <c r="DI256" s="24"/>
      <c r="DJ256" s="24"/>
      <c r="DK256" s="24"/>
      <c r="DL256" s="24"/>
      <c r="DM256" s="24"/>
      <c r="DN256" s="24"/>
      <c r="DO256" s="24"/>
      <c r="DP256" s="24"/>
      <c r="DQ256" s="24"/>
      <c r="DR256" s="24"/>
      <c r="DS256" s="24"/>
      <c r="DT256" s="24"/>
      <c r="DU256" s="24"/>
      <c r="DV256" s="24"/>
      <c r="DW256" s="24"/>
      <c r="DX256" s="24"/>
      <c r="DY256" s="24"/>
      <c r="DZ256" s="24"/>
      <c r="EA256" s="24"/>
      <c r="EB256" s="24"/>
      <c r="EC256" s="24"/>
      <c r="ED256" s="24"/>
      <c r="EE256" s="24"/>
      <c r="EF256" s="24"/>
      <c r="EG256" s="24"/>
      <c r="EH256" s="24"/>
      <c r="EI256" s="24"/>
      <c r="EJ256" s="24"/>
      <c r="EK256" s="24"/>
      <c r="EL256" s="24"/>
      <c r="EM256" s="3"/>
      <c r="EN256" s="3"/>
      <c r="EO256" s="3"/>
      <c r="EP256" s="3"/>
      <c r="EQ256" s="3"/>
      <c r="ER256" s="3"/>
      <c r="ES256" s="3"/>
      <c r="ET256" s="3"/>
      <c r="EU256" s="3"/>
      <c r="EV256" s="3"/>
      <c r="EW256" s="3"/>
      <c r="EX256" s="3"/>
      <c r="EY256" s="3"/>
      <c r="EZ256" s="3"/>
      <c r="FA256" s="3"/>
      <c r="FB256" s="3"/>
      <c r="FC256" s="3"/>
      <c r="FD256" s="3"/>
      <c r="FE256" s="3"/>
      <c r="FF256" s="3"/>
      <c r="FG256" s="3"/>
      <c r="FH256" s="3"/>
      <c r="FI256" s="3"/>
      <c r="FJ256" s="3"/>
      <c r="FK256" s="3"/>
      <c r="FL256" s="3"/>
      <c r="FM256" s="3"/>
      <c r="FN256" s="3"/>
      <c r="FO256" s="3"/>
      <c r="FP256" s="3"/>
      <c r="FQ256" s="3"/>
      <c r="FR256" s="3"/>
      <c r="FS256" s="3"/>
      <c r="FT256" s="3"/>
      <c r="FU256" s="3"/>
      <c r="FV256" s="3"/>
      <c r="FW256" s="3"/>
      <c r="FX256" s="3"/>
      <c r="FY256" s="3"/>
      <c r="FZ256" s="3"/>
      <c r="GA256" s="3"/>
      <c r="GB256" s="3"/>
      <c r="GC256" s="3"/>
      <c r="GD256" s="3"/>
      <c r="GE256" s="3"/>
      <c r="GF256" s="3"/>
      <c r="GG256" s="3"/>
      <c r="GH256" s="3"/>
      <c r="GI256" s="3"/>
      <c r="GJ256" s="3"/>
      <c r="GK256" s="3"/>
      <c r="GL256" s="3"/>
      <c r="GM256" s="3"/>
      <c r="GN256" s="3"/>
      <c r="GO256" s="3"/>
      <c r="GP256" s="3"/>
      <c r="GQ256" s="3"/>
      <c r="GR256" s="3"/>
      <c r="GS256" s="3"/>
      <c r="GT256" s="3"/>
      <c r="GU256" s="3"/>
      <c r="GV256" s="3"/>
      <c r="GW256" s="3"/>
      <c r="GX256" s="3"/>
      <c r="GY256" s="3"/>
      <c r="GZ256" s="3"/>
      <c r="HA256" s="3"/>
      <c r="HB256" s="3"/>
      <c r="HC256" s="3"/>
      <c r="HD256" s="3"/>
      <c r="HE256" s="3"/>
      <c r="HF256" s="3"/>
      <c r="HG256" s="3"/>
      <c r="HH256" s="3"/>
      <c r="HI256" s="3"/>
      <c r="HJ256" s="3"/>
      <c r="HK256" s="3"/>
      <c r="HL256" s="3"/>
      <c r="HM256" s="3"/>
      <c r="HN256" s="3"/>
      <c r="HO256" s="3"/>
      <c r="HP256" s="3"/>
      <c r="HQ256" s="3"/>
      <c r="HR256" s="3"/>
      <c r="HS256" s="3"/>
      <c r="HT256" s="3"/>
      <c r="HU256" s="3"/>
      <c r="HV256" s="3"/>
      <c r="HW256" s="3"/>
      <c r="HX256" s="3"/>
      <c r="HY256" s="3"/>
      <c r="HZ256" s="3"/>
      <c r="IA256" s="3"/>
      <c r="IB256" s="3"/>
      <c r="IC256" s="3"/>
      <c r="ID256" s="3"/>
      <c r="IE256" s="3"/>
      <c r="IF256" s="3"/>
      <c r="IG256" s="3"/>
      <c r="IH256" s="3"/>
      <c r="II256" s="3"/>
      <c r="IJ256" s="3"/>
      <c r="IK256" s="3"/>
      <c r="IL256" s="3"/>
      <c r="IM256" s="3"/>
      <c r="IN256" s="3"/>
      <c r="IO256" s="3"/>
      <c r="IP256" s="3"/>
      <c r="IQ256" s="3"/>
      <c r="IR256" s="3"/>
      <c r="IS256" s="3"/>
      <c r="IT256" s="3"/>
      <c r="IU256" s="3"/>
      <c r="IV256" s="3"/>
      <c r="IW256" s="3"/>
    </row>
    <row r="257" customFormat="false" ht="12.75" hidden="false" customHeight="false" outlineLevel="0" collapsed="false">
      <c r="A257" s="23"/>
      <c r="B257" s="369" t="s">
        <v>338</v>
      </c>
      <c r="C257" s="369"/>
      <c r="D257" s="39"/>
      <c r="E257" s="370" t="n">
        <v>18</v>
      </c>
      <c r="F257" s="22"/>
      <c r="G257" s="371"/>
      <c r="H257" s="372"/>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c r="BZ257" s="24"/>
      <c r="CA257" s="24"/>
      <c r="CB257" s="24"/>
      <c r="CC257" s="24"/>
      <c r="CD257" s="24"/>
      <c r="CE257" s="24"/>
      <c r="CF257" s="24"/>
      <c r="CG257" s="24"/>
      <c r="CH257" s="24"/>
      <c r="CI257" s="24"/>
      <c r="CJ257" s="24"/>
      <c r="CK257" s="24"/>
      <c r="CL257" s="24"/>
      <c r="CM257" s="24"/>
      <c r="CN257" s="24"/>
      <c r="CO257" s="24"/>
      <c r="CP257" s="24"/>
      <c r="CQ257" s="24"/>
      <c r="CR257" s="24"/>
      <c r="CS257" s="24"/>
      <c r="CT257" s="24"/>
      <c r="CU257" s="24"/>
      <c r="CV257" s="24"/>
      <c r="CW257" s="24"/>
      <c r="CX257" s="24"/>
      <c r="CY257" s="24"/>
      <c r="CZ257" s="24"/>
      <c r="DA257" s="24"/>
      <c r="DB257" s="24"/>
      <c r="DC257" s="24"/>
      <c r="DD257" s="24"/>
      <c r="DE257" s="24"/>
      <c r="DF257" s="24"/>
      <c r="DG257" s="24"/>
      <c r="DH257" s="24"/>
      <c r="DI257" s="24"/>
      <c r="DJ257" s="24"/>
      <c r="DK257" s="24"/>
      <c r="DL257" s="24"/>
      <c r="DM257" s="24"/>
      <c r="DN257" s="24"/>
      <c r="DO257" s="24"/>
      <c r="DP257" s="24"/>
      <c r="DQ257" s="24"/>
      <c r="DR257" s="24"/>
      <c r="DS257" s="24"/>
      <c r="DT257" s="24"/>
      <c r="DU257" s="24"/>
      <c r="DV257" s="24"/>
      <c r="DW257" s="24"/>
      <c r="DX257" s="24"/>
      <c r="DY257" s="24"/>
      <c r="DZ257" s="24"/>
      <c r="EA257" s="24"/>
      <c r="EB257" s="24"/>
      <c r="EC257" s="24"/>
      <c r="ED257" s="24"/>
      <c r="EE257" s="24"/>
      <c r="EF257" s="24"/>
      <c r="EG257" s="24"/>
      <c r="EH257" s="24"/>
      <c r="EI257" s="24"/>
      <c r="EJ257" s="24"/>
      <c r="EK257" s="24"/>
      <c r="EL257" s="24"/>
      <c r="EM257" s="3"/>
      <c r="EN257" s="3"/>
      <c r="EO257" s="3"/>
      <c r="EP257" s="3"/>
      <c r="EQ257" s="3"/>
      <c r="ER257" s="3"/>
      <c r="ES257" s="3"/>
      <c r="ET257" s="3"/>
      <c r="EU257" s="3"/>
      <c r="EV257" s="3"/>
      <c r="EW257" s="3"/>
      <c r="EX257" s="3"/>
      <c r="EY257" s="3"/>
      <c r="EZ257" s="3"/>
      <c r="FA257" s="3"/>
      <c r="FB257" s="3"/>
      <c r="FC257" s="3"/>
      <c r="FD257" s="3"/>
      <c r="FE257" s="3"/>
      <c r="FF257" s="3"/>
      <c r="FG257" s="3"/>
      <c r="FH257" s="3"/>
      <c r="FI257" s="3"/>
      <c r="FJ257" s="3"/>
      <c r="FK257" s="3"/>
      <c r="FL257" s="3"/>
      <c r="FM257" s="3"/>
      <c r="FN257" s="3"/>
      <c r="FO257" s="3"/>
      <c r="FP257" s="3"/>
      <c r="FQ257" s="3"/>
      <c r="FR257" s="3"/>
      <c r="FS257" s="3"/>
      <c r="FT257" s="3"/>
      <c r="FU257" s="3"/>
      <c r="FV257" s="3"/>
      <c r="FW257" s="3"/>
      <c r="FX257" s="3"/>
      <c r="FY257" s="3"/>
      <c r="FZ257" s="3"/>
      <c r="GA257" s="3"/>
      <c r="GB257" s="3"/>
      <c r="GC257" s="3"/>
      <c r="GD257" s="3"/>
      <c r="GE257" s="3"/>
      <c r="GF257" s="3"/>
      <c r="GG257" s="3"/>
      <c r="GH257" s="3"/>
      <c r="GI257" s="3"/>
      <c r="GJ257" s="3"/>
      <c r="GK257" s="3"/>
      <c r="GL257" s="3"/>
      <c r="GM257" s="3"/>
      <c r="GN257" s="3"/>
      <c r="GO257" s="3"/>
      <c r="GP257" s="3"/>
      <c r="GQ257" s="3"/>
      <c r="GR257" s="3"/>
      <c r="GS257" s="3"/>
      <c r="GT257" s="3"/>
      <c r="GU257" s="3"/>
      <c r="GV257" s="3"/>
      <c r="GW257" s="3"/>
      <c r="GX257" s="3"/>
      <c r="GY257" s="3"/>
      <c r="GZ257" s="3"/>
      <c r="HA257" s="3"/>
      <c r="HB257" s="3"/>
      <c r="HC257" s="3"/>
      <c r="HD257" s="3"/>
      <c r="HE257" s="3"/>
      <c r="HF257" s="3"/>
      <c r="HG257" s="3"/>
      <c r="HH257" s="3"/>
      <c r="HI257" s="3"/>
      <c r="HJ257" s="3"/>
      <c r="HK257" s="3"/>
      <c r="HL257" s="3"/>
      <c r="HM257" s="3"/>
      <c r="HN257" s="3"/>
      <c r="HO257" s="3"/>
      <c r="HP257" s="3"/>
      <c r="HQ257" s="3"/>
      <c r="HR257" s="3"/>
      <c r="HS257" s="3"/>
      <c r="HT257" s="3"/>
      <c r="HU257" s="3"/>
      <c r="HV257" s="3"/>
      <c r="HW257" s="3"/>
      <c r="HX257" s="3"/>
      <c r="HY257" s="3"/>
      <c r="HZ257" s="3"/>
      <c r="IA257" s="3"/>
      <c r="IB257" s="3"/>
      <c r="IC257" s="3"/>
      <c r="ID257" s="3"/>
      <c r="IE257" s="3"/>
      <c r="IF257" s="3"/>
      <c r="IG257" s="3"/>
      <c r="IH257" s="3"/>
      <c r="II257" s="3"/>
      <c r="IJ257" s="3"/>
      <c r="IK257" s="3"/>
      <c r="IL257" s="3"/>
      <c r="IM257" s="3"/>
      <c r="IN257" s="3"/>
      <c r="IO257" s="3"/>
      <c r="IP257" s="3"/>
      <c r="IQ257" s="3"/>
      <c r="IR257" s="3"/>
      <c r="IS257" s="3"/>
      <c r="IT257" s="3"/>
      <c r="IU257" s="3"/>
      <c r="IV257" s="3"/>
      <c r="IW257" s="3"/>
    </row>
    <row r="258" customFormat="false" ht="12.75" hidden="false" customHeight="false" outlineLevel="0" collapsed="false">
      <c r="A258" s="23"/>
      <c r="B258" s="369" t="s">
        <v>340</v>
      </c>
      <c r="C258" s="369"/>
      <c r="D258" s="39"/>
      <c r="E258" s="370" t="n">
        <v>0</v>
      </c>
      <c r="F258" s="22"/>
      <c r="G258" s="40"/>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24"/>
      <c r="AO258" s="24"/>
      <c r="AP258" s="24"/>
      <c r="AQ258" s="24"/>
      <c r="AR258" s="24"/>
      <c r="AS258" s="24"/>
      <c r="AT258" s="24"/>
      <c r="AU258" s="24"/>
      <c r="AV258" s="24"/>
      <c r="AW258" s="24"/>
      <c r="AX258" s="24"/>
      <c r="AY258" s="24"/>
      <c r="AZ258" s="24"/>
      <c r="BA258" s="24"/>
      <c r="BB258" s="24"/>
      <c r="BC258" s="24"/>
      <c r="BD258" s="24"/>
      <c r="BE258" s="24"/>
      <c r="BF258" s="24"/>
      <c r="BG258" s="24"/>
      <c r="BH258" s="24"/>
      <c r="BI258" s="24"/>
      <c r="BJ258" s="24"/>
      <c r="BK258" s="24"/>
      <c r="BL258" s="24"/>
      <c r="BM258" s="24"/>
      <c r="BN258" s="24"/>
      <c r="BO258" s="24"/>
      <c r="BP258" s="24"/>
      <c r="BQ258" s="24"/>
      <c r="BR258" s="24"/>
      <c r="BS258" s="24"/>
      <c r="BT258" s="24"/>
      <c r="BU258" s="24"/>
      <c r="BV258" s="24"/>
      <c r="BW258" s="24"/>
      <c r="BX258" s="24"/>
      <c r="BY258" s="24"/>
      <c r="BZ258" s="24"/>
      <c r="CA258" s="24"/>
      <c r="CB258" s="24"/>
      <c r="CC258" s="24"/>
      <c r="CD258" s="24"/>
      <c r="CE258" s="24"/>
      <c r="CF258" s="24"/>
      <c r="CG258" s="24"/>
      <c r="CH258" s="24"/>
      <c r="CI258" s="24"/>
      <c r="CJ258" s="24"/>
      <c r="CK258" s="24"/>
      <c r="CL258" s="24"/>
      <c r="CM258" s="24"/>
      <c r="CN258" s="24"/>
      <c r="CO258" s="24"/>
      <c r="CP258" s="24"/>
      <c r="CQ258" s="24"/>
      <c r="CR258" s="24"/>
      <c r="CS258" s="24"/>
      <c r="CT258" s="24"/>
      <c r="CU258" s="24"/>
      <c r="CV258" s="24"/>
      <c r="CW258" s="24"/>
      <c r="CX258" s="24"/>
      <c r="CY258" s="24"/>
      <c r="CZ258" s="24"/>
      <c r="DA258" s="24"/>
      <c r="DB258" s="24"/>
      <c r="DC258" s="24"/>
      <c r="DD258" s="24"/>
      <c r="DE258" s="24"/>
      <c r="DF258" s="24"/>
      <c r="DG258" s="24"/>
      <c r="DH258" s="24"/>
      <c r="DI258" s="24"/>
      <c r="DJ258" s="24"/>
      <c r="DK258" s="24"/>
      <c r="DL258" s="24"/>
      <c r="DM258" s="24"/>
      <c r="DN258" s="24"/>
      <c r="DO258" s="24"/>
      <c r="DP258" s="24"/>
      <c r="DQ258" s="24"/>
      <c r="DR258" s="24"/>
      <c r="DS258" s="24"/>
      <c r="DT258" s="24"/>
      <c r="DU258" s="24"/>
      <c r="DV258" s="24"/>
      <c r="DW258" s="24"/>
      <c r="DX258" s="24"/>
      <c r="DY258" s="24"/>
      <c r="DZ258" s="24"/>
      <c r="EA258" s="24"/>
      <c r="EB258" s="24"/>
      <c r="EC258" s="24"/>
      <c r="ED258" s="24"/>
      <c r="EE258" s="24"/>
      <c r="EF258" s="24"/>
      <c r="EG258" s="24"/>
      <c r="EH258" s="24"/>
      <c r="EI258" s="24"/>
      <c r="EJ258" s="24"/>
      <c r="EK258" s="24"/>
      <c r="EL258" s="24"/>
      <c r="EM258" s="3"/>
      <c r="EN258" s="3"/>
      <c r="EO258" s="3"/>
      <c r="EP258" s="3"/>
      <c r="EQ258" s="3"/>
      <c r="ER258" s="3"/>
      <c r="ES258" s="3"/>
      <c r="ET258" s="3"/>
      <c r="EU258" s="3"/>
      <c r="EV258" s="3"/>
      <c r="EW258" s="3"/>
      <c r="EX258" s="3"/>
      <c r="EY258" s="3"/>
      <c r="EZ258" s="3"/>
      <c r="FA258" s="3"/>
      <c r="FB258" s="3"/>
      <c r="FC258" s="3"/>
      <c r="FD258" s="3"/>
      <c r="FE258" s="3"/>
      <c r="FF258" s="3"/>
      <c r="FG258" s="3"/>
      <c r="FH258" s="3"/>
      <c r="FI258" s="3"/>
      <c r="FJ258" s="3"/>
      <c r="FK258" s="3"/>
      <c r="FL258" s="3"/>
      <c r="FM258" s="3"/>
      <c r="FN258" s="3"/>
      <c r="FO258" s="3"/>
      <c r="FP258" s="3"/>
      <c r="FQ258" s="3"/>
      <c r="FR258" s="3"/>
      <c r="FS258" s="3"/>
      <c r="FT258" s="3"/>
      <c r="FU258" s="3"/>
      <c r="FV258" s="3"/>
      <c r="FW258" s="3"/>
      <c r="FX258" s="3"/>
      <c r="FY258" s="3"/>
      <c r="FZ258" s="3"/>
      <c r="GA258" s="3"/>
      <c r="GB258" s="3"/>
      <c r="GC258" s="3"/>
      <c r="GD258" s="3"/>
      <c r="GE258" s="3"/>
      <c r="GF258" s="3"/>
      <c r="GG258" s="3"/>
      <c r="GH258" s="3"/>
      <c r="GI258" s="3"/>
      <c r="GJ258" s="3"/>
      <c r="GK258" s="3"/>
      <c r="GL258" s="3"/>
      <c r="GM258" s="3"/>
      <c r="GN258" s="3"/>
      <c r="GO258" s="3"/>
      <c r="GP258" s="3"/>
      <c r="GQ258" s="3"/>
      <c r="GR258" s="3"/>
      <c r="GS258" s="3"/>
      <c r="GT258" s="3"/>
      <c r="GU258" s="3"/>
      <c r="GV258" s="3"/>
      <c r="GW258" s="3"/>
      <c r="GX258" s="3"/>
      <c r="GY258" s="3"/>
      <c r="GZ258" s="3"/>
      <c r="HA258" s="3"/>
      <c r="HB258" s="3"/>
      <c r="HC258" s="3"/>
      <c r="HD258" s="3"/>
      <c r="HE258" s="3"/>
      <c r="HF258" s="3"/>
      <c r="HG258" s="3"/>
      <c r="HH258" s="3"/>
      <c r="HI258" s="3"/>
      <c r="HJ258" s="3"/>
      <c r="HK258" s="3"/>
      <c r="HL258" s="3"/>
      <c r="HM258" s="3"/>
      <c r="HN258" s="3"/>
      <c r="HO258" s="3"/>
      <c r="HP258" s="3"/>
      <c r="HQ258" s="3"/>
      <c r="HR258" s="3"/>
      <c r="HS258" s="3"/>
      <c r="HT258" s="3"/>
      <c r="HU258" s="3"/>
      <c r="HV258" s="3"/>
      <c r="HW258" s="3"/>
      <c r="HX258" s="3"/>
      <c r="HY258" s="3"/>
      <c r="HZ258" s="3"/>
      <c r="IA258" s="3"/>
      <c r="IB258" s="3"/>
      <c r="IC258" s="3"/>
      <c r="ID258" s="3"/>
      <c r="IE258" s="3"/>
      <c r="IF258" s="3"/>
      <c r="IG258" s="3"/>
      <c r="IH258" s="3"/>
      <c r="II258" s="3"/>
      <c r="IJ258" s="3"/>
      <c r="IK258" s="3"/>
      <c r="IL258" s="3"/>
      <c r="IM258" s="3"/>
      <c r="IN258" s="3"/>
      <c r="IO258" s="3"/>
      <c r="IP258" s="3"/>
      <c r="IQ258" s="3"/>
      <c r="IR258" s="3"/>
      <c r="IS258" s="3"/>
      <c r="IT258" s="3"/>
      <c r="IU258" s="3"/>
      <c r="IV258" s="3"/>
      <c r="IW258" s="3"/>
    </row>
    <row r="259" customFormat="false" ht="12.75" hidden="false" customHeight="false" outlineLevel="0" collapsed="false">
      <c r="A259" s="23"/>
      <c r="B259" s="373" t="s">
        <v>341</v>
      </c>
      <c r="C259" s="374"/>
      <c r="D259" s="3"/>
      <c r="E259" s="375" t="n">
        <v>360</v>
      </c>
      <c r="F259" s="22"/>
      <c r="G259" s="376"/>
      <c r="H259" s="376"/>
      <c r="I259" s="376"/>
      <c r="J259" s="376"/>
      <c r="K259" s="376"/>
      <c r="L259" s="376"/>
      <c r="M259" s="376"/>
      <c r="N259" s="376"/>
      <c r="O259" s="376"/>
      <c r="P259" s="376"/>
      <c r="Q259" s="376"/>
      <c r="R259" s="376"/>
      <c r="S259" s="376"/>
      <c r="T259" s="376"/>
      <c r="U259" s="376"/>
      <c r="V259" s="376"/>
      <c r="W259" s="376"/>
      <c r="X259" s="376"/>
      <c r="Y259" s="376"/>
      <c r="Z259" s="376"/>
      <c r="AA259" s="376"/>
      <c r="AB259" s="376"/>
      <c r="AC259" s="376"/>
      <c r="AD259" s="376"/>
      <c r="AE259" s="376"/>
      <c r="AF259" s="376"/>
      <c r="AG259" s="376"/>
      <c r="AH259" s="376"/>
      <c r="AI259" s="376"/>
      <c r="AJ259" s="376"/>
      <c r="AK259" s="376"/>
      <c r="AL259" s="376"/>
      <c r="AM259" s="376"/>
      <c r="AN259" s="23"/>
      <c r="AO259" s="23"/>
      <c r="AP259" s="23"/>
      <c r="AQ259" s="23"/>
      <c r="AR259" s="23"/>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c r="BO259" s="24"/>
      <c r="BP259" s="24"/>
      <c r="BQ259" s="24"/>
      <c r="BR259" s="24"/>
      <c r="BS259" s="24"/>
      <c r="BT259" s="24"/>
      <c r="BU259" s="24"/>
      <c r="BV259" s="24"/>
      <c r="BW259" s="24"/>
      <c r="BX259" s="24"/>
      <c r="BY259" s="24"/>
      <c r="BZ259" s="24"/>
      <c r="CA259" s="24"/>
      <c r="CB259" s="24"/>
      <c r="CC259" s="24"/>
      <c r="CD259" s="24"/>
      <c r="CE259" s="24"/>
      <c r="CF259" s="24"/>
      <c r="CG259" s="24"/>
      <c r="CH259" s="24"/>
      <c r="CI259" s="24"/>
      <c r="CJ259" s="24"/>
      <c r="CK259" s="24"/>
      <c r="CL259" s="24"/>
      <c r="CM259" s="24"/>
      <c r="CN259" s="24"/>
      <c r="CO259" s="24"/>
      <c r="CP259" s="24"/>
      <c r="CQ259" s="24"/>
      <c r="CR259" s="24"/>
      <c r="CS259" s="24"/>
      <c r="CT259" s="24"/>
      <c r="CU259" s="24"/>
      <c r="CV259" s="24"/>
      <c r="CW259" s="24"/>
      <c r="CX259" s="24"/>
      <c r="CY259" s="24"/>
      <c r="CZ259" s="24"/>
      <c r="DA259" s="24"/>
      <c r="DB259" s="24"/>
      <c r="DC259" s="24"/>
      <c r="DD259" s="24"/>
      <c r="DE259" s="24"/>
      <c r="DF259" s="24"/>
      <c r="DG259" s="24"/>
      <c r="DH259" s="24"/>
      <c r="DI259" s="24"/>
      <c r="DJ259" s="24"/>
      <c r="DK259" s="24"/>
      <c r="DL259" s="24"/>
      <c r="DM259" s="24"/>
      <c r="DN259" s="24"/>
      <c r="DO259" s="24"/>
      <c r="DP259" s="24"/>
      <c r="DQ259" s="24"/>
      <c r="DR259" s="24"/>
      <c r="DS259" s="24"/>
      <c r="DT259" s="24"/>
      <c r="DU259" s="24"/>
      <c r="DV259" s="24"/>
      <c r="DW259" s="24"/>
      <c r="DX259" s="24"/>
      <c r="DY259" s="24"/>
      <c r="DZ259" s="24"/>
      <c r="EA259" s="24"/>
      <c r="EB259" s="24"/>
      <c r="EC259" s="24"/>
      <c r="ED259" s="24"/>
      <c r="EE259" s="24"/>
      <c r="EF259" s="24"/>
      <c r="EG259" s="24"/>
      <c r="EH259" s="24"/>
      <c r="EI259" s="24"/>
      <c r="EJ259" s="24"/>
      <c r="EK259" s="24"/>
      <c r="EL259" s="24"/>
      <c r="EM259" s="3"/>
      <c r="EN259" s="3"/>
      <c r="EO259" s="3"/>
      <c r="EP259" s="3"/>
      <c r="EQ259" s="3"/>
      <c r="ER259" s="3"/>
      <c r="ES259" s="3"/>
      <c r="ET259" s="3"/>
      <c r="EU259" s="3"/>
      <c r="EV259" s="3"/>
      <c r="EW259" s="3"/>
      <c r="EX259" s="3"/>
      <c r="EY259" s="3"/>
      <c r="EZ259" s="3"/>
      <c r="FA259" s="3"/>
      <c r="FB259" s="3"/>
      <c r="FC259" s="3"/>
      <c r="FD259" s="3"/>
      <c r="FE259" s="3"/>
      <c r="FF259" s="3"/>
      <c r="FG259" s="3"/>
      <c r="FH259" s="3"/>
      <c r="FI259" s="3"/>
      <c r="FJ259" s="3"/>
      <c r="FK259" s="3"/>
      <c r="FL259" s="3"/>
      <c r="FM259" s="3"/>
      <c r="FN259" s="3"/>
      <c r="FO259" s="3"/>
      <c r="FP259" s="3"/>
      <c r="FQ259" s="3"/>
      <c r="FR259" s="3"/>
      <c r="FS259" s="3"/>
      <c r="FT259" s="3"/>
      <c r="FU259" s="3"/>
      <c r="FV259" s="3"/>
      <c r="FW259" s="3"/>
      <c r="FX259" s="3"/>
      <c r="FY259" s="3"/>
      <c r="FZ259" s="3"/>
      <c r="GA259" s="3"/>
      <c r="GB259" s="3"/>
      <c r="GC259" s="3"/>
      <c r="GD259" s="3"/>
      <c r="GE259" s="3"/>
      <c r="GF259" s="3"/>
      <c r="GG259" s="3"/>
      <c r="GH259" s="3"/>
      <c r="GI259" s="3"/>
      <c r="GJ259" s="3"/>
      <c r="GK259" s="3"/>
      <c r="GL259" s="3"/>
      <c r="GM259" s="3"/>
      <c r="GN259" s="3"/>
      <c r="GO259" s="3"/>
      <c r="GP259" s="3"/>
      <c r="GQ259" s="3"/>
      <c r="GR259" s="3"/>
      <c r="GS259" s="3"/>
      <c r="GT259" s="3"/>
      <c r="GU259" s="3"/>
      <c r="GV259" s="3"/>
      <c r="GW259" s="3"/>
      <c r="GX259" s="3"/>
      <c r="GY259" s="3"/>
      <c r="GZ259" s="3"/>
      <c r="HA259" s="3"/>
      <c r="HB259" s="3"/>
      <c r="HC259" s="3"/>
      <c r="HD259" s="3"/>
      <c r="HE259" s="3"/>
      <c r="HF259" s="3"/>
      <c r="HG259" s="3"/>
      <c r="HH259" s="3"/>
      <c r="HI259" s="3"/>
      <c r="HJ259" s="3"/>
      <c r="HK259" s="3"/>
      <c r="HL259" s="3"/>
      <c r="HM259" s="3"/>
      <c r="HN259" s="3"/>
      <c r="HO259" s="3"/>
      <c r="HP259" s="3"/>
      <c r="HQ259" s="3"/>
      <c r="HR259" s="3"/>
      <c r="HS259" s="3"/>
      <c r="HT259" s="3"/>
      <c r="HU259" s="3"/>
      <c r="HV259" s="3"/>
      <c r="HW259" s="3"/>
      <c r="HX259" s="3"/>
      <c r="HY259" s="3"/>
      <c r="HZ259" s="3"/>
      <c r="IA259" s="3"/>
      <c r="IB259" s="3"/>
      <c r="IC259" s="3"/>
      <c r="ID259" s="3"/>
      <c r="IE259" s="3"/>
      <c r="IF259" s="3"/>
      <c r="IG259" s="3"/>
      <c r="IH259" s="3"/>
      <c r="II259" s="3"/>
      <c r="IJ259" s="3"/>
      <c r="IK259" s="3"/>
      <c r="IL259" s="3"/>
      <c r="IM259" s="3"/>
      <c r="IN259" s="3"/>
      <c r="IO259" s="3"/>
      <c r="IP259" s="3"/>
      <c r="IQ259" s="3"/>
      <c r="IR259" s="3"/>
      <c r="IS259" s="3"/>
      <c r="IT259" s="3"/>
      <c r="IU259" s="3"/>
      <c r="IV259" s="3"/>
      <c r="IW259" s="3"/>
    </row>
    <row r="260" customFormat="false" ht="12.75" hidden="false" customHeight="false" outlineLevel="0" collapsed="false">
      <c r="A260" s="23"/>
      <c r="B260" s="373" t="s">
        <v>342</v>
      </c>
      <c r="C260" s="374"/>
      <c r="D260" s="3"/>
      <c r="E260" s="377" t="n">
        <f aca="false">E241</f>
        <v>35975</v>
      </c>
      <c r="F260" s="22" t="s">
        <v>343</v>
      </c>
      <c r="G260" s="376"/>
      <c r="H260" s="376"/>
      <c r="I260" s="376"/>
      <c r="J260" s="376"/>
      <c r="K260" s="376"/>
      <c r="L260" s="376"/>
      <c r="M260" s="376"/>
      <c r="N260" s="376"/>
      <c r="O260" s="376"/>
      <c r="P260" s="376"/>
      <c r="Q260" s="376"/>
      <c r="R260" s="376"/>
      <c r="S260" s="376"/>
      <c r="T260" s="376"/>
      <c r="U260" s="376"/>
      <c r="V260" s="376"/>
      <c r="W260" s="376"/>
      <c r="X260" s="376"/>
      <c r="Y260" s="376"/>
      <c r="Z260" s="376"/>
      <c r="AA260" s="376"/>
      <c r="AB260" s="376"/>
      <c r="AC260" s="376"/>
      <c r="AD260" s="376"/>
      <c r="AE260" s="376"/>
      <c r="AF260" s="376"/>
      <c r="AG260" s="376"/>
      <c r="AH260" s="376"/>
      <c r="AI260" s="376"/>
      <c r="AJ260" s="376"/>
      <c r="AK260" s="376"/>
      <c r="AL260" s="376"/>
      <c r="AM260" s="376"/>
      <c r="AN260" s="23"/>
      <c r="AO260" s="23"/>
      <c r="AP260" s="23"/>
      <c r="AQ260" s="23"/>
      <c r="AR260" s="23"/>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24"/>
      <c r="BY260" s="24"/>
      <c r="BZ260" s="24"/>
      <c r="CA260" s="24"/>
      <c r="CB260" s="24"/>
      <c r="CC260" s="24"/>
      <c r="CD260" s="24"/>
      <c r="CE260" s="24"/>
      <c r="CF260" s="24"/>
      <c r="CG260" s="24"/>
      <c r="CH260" s="24"/>
      <c r="CI260" s="24"/>
      <c r="CJ260" s="24"/>
      <c r="CK260" s="24"/>
      <c r="CL260" s="24"/>
      <c r="CM260" s="24"/>
      <c r="CN260" s="24"/>
      <c r="CO260" s="24"/>
      <c r="CP260" s="24"/>
      <c r="CQ260" s="24"/>
      <c r="CR260" s="24"/>
      <c r="CS260" s="24"/>
      <c r="CT260" s="24"/>
      <c r="CU260" s="24"/>
      <c r="CV260" s="24"/>
      <c r="CW260" s="24"/>
      <c r="CX260" s="24"/>
      <c r="CY260" s="24"/>
      <c r="CZ260" s="24"/>
      <c r="DA260" s="24"/>
      <c r="DB260" s="24"/>
      <c r="DC260" s="24"/>
      <c r="DD260" s="24"/>
      <c r="DE260" s="24"/>
      <c r="DF260" s="24"/>
      <c r="DG260" s="24"/>
      <c r="DH260" s="24"/>
      <c r="DI260" s="24"/>
      <c r="DJ260" s="24"/>
      <c r="DK260" s="24"/>
      <c r="DL260" s="24"/>
      <c r="DM260" s="24"/>
      <c r="DN260" s="24"/>
      <c r="DO260" s="24"/>
      <c r="DP260" s="24"/>
      <c r="DQ260" s="24"/>
      <c r="DR260" s="24"/>
      <c r="DS260" s="24"/>
      <c r="DT260" s="24"/>
      <c r="DU260" s="24"/>
      <c r="DV260" s="24"/>
      <c r="DW260" s="24"/>
      <c r="DX260" s="24"/>
      <c r="DY260" s="24"/>
      <c r="DZ260" s="24"/>
      <c r="EA260" s="24"/>
      <c r="EB260" s="24"/>
      <c r="EC260" s="24"/>
      <c r="ED260" s="24"/>
      <c r="EE260" s="24"/>
      <c r="EF260" s="24"/>
      <c r="EG260" s="24"/>
      <c r="EH260" s="24"/>
      <c r="EI260" s="24"/>
      <c r="EJ260" s="24"/>
      <c r="EK260" s="24"/>
      <c r="EL260" s="24"/>
      <c r="EM260" s="3"/>
      <c r="EN260" s="3"/>
      <c r="EO260" s="3"/>
      <c r="EP260" s="3"/>
      <c r="EQ260" s="3"/>
      <c r="ER260" s="3"/>
      <c r="ES260" s="3"/>
      <c r="ET260" s="3"/>
      <c r="EU260" s="3"/>
      <c r="EV260" s="3"/>
      <c r="EW260" s="3"/>
      <c r="EX260" s="3"/>
      <c r="EY260" s="3"/>
      <c r="EZ260" s="3"/>
      <c r="FA260" s="3"/>
      <c r="FB260" s="3"/>
      <c r="FC260" s="3"/>
      <c r="FD260" s="3"/>
      <c r="FE260" s="3"/>
      <c r="FF260" s="3"/>
      <c r="FG260" s="3"/>
      <c r="FH260" s="3"/>
      <c r="FI260" s="3"/>
      <c r="FJ260" s="3"/>
      <c r="FK260" s="3"/>
      <c r="FL260" s="3"/>
      <c r="FM260" s="3"/>
      <c r="FN260" s="3"/>
      <c r="FO260" s="3"/>
      <c r="FP260" s="3"/>
      <c r="FQ260" s="3"/>
      <c r="FR260" s="3"/>
      <c r="FS260" s="3"/>
      <c r="FT260" s="3"/>
      <c r="FU260" s="3"/>
      <c r="FV260" s="3"/>
      <c r="FW260" s="3"/>
      <c r="FX260" s="3"/>
      <c r="FY260" s="3"/>
      <c r="FZ260" s="3"/>
      <c r="GA260" s="3"/>
      <c r="GB260" s="3"/>
      <c r="GC260" s="3"/>
      <c r="GD260" s="3"/>
      <c r="GE260" s="3"/>
      <c r="GF260" s="3"/>
      <c r="GG260" s="3"/>
      <c r="GH260" s="3"/>
      <c r="GI260" s="3"/>
      <c r="GJ260" s="3"/>
      <c r="GK260" s="3"/>
      <c r="GL260" s="3"/>
      <c r="GM260" s="3"/>
      <c r="GN260" s="3"/>
      <c r="GO260" s="3"/>
      <c r="GP260" s="3"/>
      <c r="GQ260" s="3"/>
      <c r="GR260" s="3"/>
      <c r="GS260" s="3"/>
      <c r="GT260" s="3"/>
      <c r="GU260" s="3"/>
      <c r="GV260" s="3"/>
      <c r="GW260" s="3"/>
      <c r="GX260" s="3"/>
      <c r="GY260" s="3"/>
      <c r="GZ260" s="3"/>
      <c r="HA260" s="3"/>
      <c r="HB260" s="3"/>
      <c r="HC260" s="3"/>
      <c r="HD260" s="3"/>
      <c r="HE260" s="3"/>
      <c r="HF260" s="3"/>
      <c r="HG260" s="3"/>
      <c r="HH260" s="3"/>
      <c r="HI260" s="3"/>
      <c r="HJ260" s="3"/>
      <c r="HK260" s="3"/>
      <c r="HL260" s="3"/>
      <c r="HM260" s="3"/>
      <c r="HN260" s="3"/>
      <c r="HO260" s="3"/>
      <c r="HP260" s="3"/>
      <c r="HQ260" s="3"/>
      <c r="HR260" s="3"/>
      <c r="HS260" s="3"/>
      <c r="HT260" s="3"/>
      <c r="HU260" s="3"/>
      <c r="HV260" s="3"/>
      <c r="HW260" s="3"/>
      <c r="HX260" s="3"/>
      <c r="HY260" s="3"/>
      <c r="HZ260" s="3"/>
      <c r="IA260" s="3"/>
      <c r="IB260" s="3"/>
      <c r="IC260" s="3"/>
      <c r="ID260" s="3"/>
      <c r="IE260" s="3"/>
      <c r="IF260" s="3"/>
      <c r="IG260" s="3"/>
      <c r="IH260" s="3"/>
      <c r="II260" s="3"/>
      <c r="IJ260" s="3"/>
      <c r="IK260" s="3"/>
      <c r="IL260" s="3"/>
      <c r="IM260" s="3"/>
      <c r="IN260" s="3"/>
      <c r="IO260" s="3"/>
      <c r="IP260" s="3"/>
      <c r="IQ260" s="3"/>
      <c r="IR260" s="3"/>
      <c r="IS260" s="3"/>
      <c r="IT260" s="3"/>
      <c r="IU260" s="3"/>
      <c r="IV260" s="3"/>
      <c r="IW260" s="3"/>
    </row>
    <row r="261" customFormat="false" ht="12.75" hidden="false" customHeight="false" outlineLevel="0" collapsed="false">
      <c r="A261" s="23"/>
      <c r="B261" s="373" t="s">
        <v>344</v>
      </c>
      <c r="C261" s="374"/>
      <c r="D261" s="3"/>
      <c r="E261" s="377" t="n">
        <f aca="false">EDATE(E260,6)</f>
        <v>36158</v>
      </c>
      <c r="F261" s="22" t="s">
        <v>345</v>
      </c>
      <c r="G261" s="376"/>
      <c r="H261" s="376"/>
      <c r="I261" s="376"/>
      <c r="J261" s="376"/>
      <c r="K261" s="376"/>
      <c r="L261" s="376"/>
      <c r="M261" s="376"/>
      <c r="N261" s="376"/>
      <c r="O261" s="376"/>
      <c r="P261" s="376"/>
      <c r="Q261" s="376"/>
      <c r="R261" s="376"/>
      <c r="S261" s="376"/>
      <c r="T261" s="376"/>
      <c r="U261" s="376"/>
      <c r="V261" s="376"/>
      <c r="W261" s="376"/>
      <c r="X261" s="376"/>
      <c r="Y261" s="376"/>
      <c r="Z261" s="376"/>
      <c r="AA261" s="376"/>
      <c r="AB261" s="376"/>
      <c r="AC261" s="376"/>
      <c r="AD261" s="376"/>
      <c r="AE261" s="376"/>
      <c r="AF261" s="376"/>
      <c r="AG261" s="376"/>
      <c r="AH261" s="376"/>
      <c r="AI261" s="376"/>
      <c r="AJ261" s="376"/>
      <c r="AK261" s="376"/>
      <c r="AL261" s="376"/>
      <c r="AM261" s="376"/>
      <c r="AN261" s="23"/>
      <c r="AO261" s="23"/>
      <c r="AP261" s="23"/>
      <c r="AQ261" s="23"/>
      <c r="AR261" s="23"/>
      <c r="AS261" s="24"/>
      <c r="AT261" s="24"/>
      <c r="AU261" s="24"/>
      <c r="AV261" s="24"/>
      <c r="AW261" s="24"/>
      <c r="AX261" s="24"/>
      <c r="AY261" s="24"/>
      <c r="AZ261" s="24"/>
      <c r="BA261" s="24"/>
      <c r="BB261" s="24"/>
      <c r="BC261" s="24"/>
      <c r="BD261" s="24"/>
      <c r="BE261" s="24"/>
      <c r="BF261" s="24"/>
      <c r="BG261" s="24"/>
      <c r="BH261" s="24"/>
      <c r="BI261" s="24"/>
      <c r="BJ261" s="24"/>
      <c r="BK261" s="24"/>
      <c r="BL261" s="24"/>
      <c r="BM261" s="24"/>
      <c r="BN261" s="24"/>
      <c r="BO261" s="24"/>
      <c r="BP261" s="24"/>
      <c r="BQ261" s="24"/>
      <c r="BR261" s="24"/>
      <c r="BS261" s="24"/>
      <c r="BT261" s="24"/>
      <c r="BU261" s="24"/>
      <c r="BV261" s="24"/>
      <c r="BW261" s="24"/>
      <c r="BX261" s="24"/>
      <c r="BY261" s="24"/>
      <c r="BZ261" s="24"/>
      <c r="CA261" s="24"/>
      <c r="CB261" s="24"/>
      <c r="CC261" s="24"/>
      <c r="CD261" s="24"/>
      <c r="CE261" s="24"/>
      <c r="CF261" s="24"/>
      <c r="CG261" s="24"/>
      <c r="CH261" s="24"/>
      <c r="CI261" s="24"/>
      <c r="CJ261" s="24"/>
      <c r="CK261" s="24"/>
      <c r="CL261" s="24"/>
      <c r="CM261" s="24"/>
      <c r="CN261" s="24"/>
      <c r="CO261" s="24"/>
      <c r="CP261" s="24"/>
      <c r="CQ261" s="24"/>
      <c r="CR261" s="24"/>
      <c r="CS261" s="24"/>
      <c r="CT261" s="24"/>
      <c r="CU261" s="24"/>
      <c r="CV261" s="24"/>
      <c r="CW261" s="24"/>
      <c r="CX261" s="24"/>
      <c r="CY261" s="24"/>
      <c r="CZ261" s="24"/>
      <c r="DA261" s="24"/>
      <c r="DB261" s="24"/>
      <c r="DC261" s="24"/>
      <c r="DD261" s="24"/>
      <c r="DE261" s="24"/>
      <c r="DF261" s="24"/>
      <c r="DG261" s="24"/>
      <c r="DH261" s="24"/>
      <c r="DI261" s="24"/>
      <c r="DJ261" s="24"/>
      <c r="DK261" s="24"/>
      <c r="DL261" s="24"/>
      <c r="DM261" s="24"/>
      <c r="DN261" s="24"/>
      <c r="DO261" s="24"/>
      <c r="DP261" s="24"/>
      <c r="DQ261" s="24"/>
      <c r="DR261" s="24"/>
      <c r="DS261" s="24"/>
      <c r="DT261" s="24"/>
      <c r="DU261" s="24"/>
      <c r="DV261" s="24"/>
      <c r="DW261" s="24"/>
      <c r="DX261" s="24"/>
      <c r="DY261" s="24"/>
      <c r="DZ261" s="24"/>
      <c r="EA261" s="24"/>
      <c r="EB261" s="24"/>
      <c r="EC261" s="24"/>
      <c r="ED261" s="24"/>
      <c r="EE261" s="24"/>
      <c r="EF261" s="24"/>
      <c r="EG261" s="24"/>
      <c r="EH261" s="24"/>
      <c r="EI261" s="24"/>
      <c r="EJ261" s="24"/>
      <c r="EK261" s="24"/>
      <c r="EL261" s="24"/>
      <c r="EM261" s="3"/>
      <c r="EN261" s="3"/>
      <c r="EO261" s="3"/>
      <c r="EP261" s="3"/>
      <c r="EQ261" s="3"/>
      <c r="ER261" s="3"/>
      <c r="ES261" s="3"/>
      <c r="ET261" s="3"/>
      <c r="EU261" s="3"/>
      <c r="EV261" s="3"/>
      <c r="EW261" s="3"/>
      <c r="EX261" s="3"/>
      <c r="EY261" s="3"/>
      <c r="EZ261" s="3"/>
      <c r="FA261" s="3"/>
      <c r="FB261" s="3"/>
      <c r="FC261" s="3"/>
      <c r="FD261" s="3"/>
      <c r="FE261" s="3"/>
      <c r="FF261" s="3"/>
      <c r="FG261" s="3"/>
      <c r="FH261" s="3"/>
      <c r="FI261" s="3"/>
      <c r="FJ261" s="3"/>
      <c r="FK261" s="3"/>
      <c r="FL261" s="3"/>
      <c r="FM261" s="3"/>
      <c r="FN261" s="3"/>
      <c r="FO261" s="3"/>
      <c r="FP261" s="3"/>
      <c r="FQ261" s="3"/>
      <c r="FR261" s="3"/>
      <c r="FS261" s="3"/>
      <c r="FT261" s="3"/>
      <c r="FU261" s="3"/>
      <c r="FV261" s="3"/>
      <c r="FW261" s="3"/>
      <c r="FX261" s="3"/>
      <c r="FY261" s="3"/>
      <c r="FZ261" s="3"/>
      <c r="GA261" s="3"/>
      <c r="GB261" s="3"/>
      <c r="GC261" s="3"/>
      <c r="GD261" s="3"/>
      <c r="GE261" s="3"/>
      <c r="GF261" s="3"/>
      <c r="GG261" s="3"/>
      <c r="GH261" s="3"/>
      <c r="GI261" s="3"/>
      <c r="GJ261" s="3"/>
      <c r="GK261" s="3"/>
      <c r="GL261" s="3"/>
      <c r="GM261" s="3"/>
      <c r="GN261" s="3"/>
      <c r="GO261" s="3"/>
      <c r="GP261" s="3"/>
      <c r="GQ261" s="3"/>
      <c r="GR261" s="3"/>
      <c r="GS261" s="3"/>
      <c r="GT261" s="3"/>
      <c r="GU261" s="3"/>
      <c r="GV261" s="3"/>
      <c r="GW261" s="3"/>
      <c r="GX261" s="3"/>
      <c r="GY261" s="3"/>
      <c r="GZ261" s="3"/>
      <c r="HA261" s="3"/>
      <c r="HB261" s="3"/>
      <c r="HC261" s="3"/>
      <c r="HD261" s="3"/>
      <c r="HE261" s="3"/>
      <c r="HF261" s="3"/>
      <c r="HG261" s="3"/>
      <c r="HH261" s="3"/>
      <c r="HI261" s="3"/>
      <c r="HJ261" s="3"/>
      <c r="HK261" s="3"/>
      <c r="HL261" s="3"/>
      <c r="HM261" s="3"/>
      <c r="HN261" s="3"/>
      <c r="HO261" s="3"/>
      <c r="HP261" s="3"/>
      <c r="HQ261" s="3"/>
      <c r="HR261" s="3"/>
      <c r="HS261" s="3"/>
      <c r="HT261" s="3"/>
      <c r="HU261" s="3"/>
      <c r="HV261" s="3"/>
      <c r="HW261" s="3"/>
      <c r="HX261" s="3"/>
      <c r="HY261" s="3"/>
      <c r="HZ261" s="3"/>
      <c r="IA261" s="3"/>
      <c r="IB261" s="3"/>
      <c r="IC261" s="3"/>
      <c r="ID261" s="3"/>
      <c r="IE261" s="3"/>
      <c r="IF261" s="3"/>
      <c r="IG261" s="3"/>
      <c r="IH261" s="3"/>
      <c r="II261" s="3"/>
      <c r="IJ261" s="3"/>
      <c r="IK261" s="3"/>
      <c r="IL261" s="3"/>
      <c r="IM261" s="3"/>
      <c r="IN261" s="3"/>
      <c r="IO261" s="3"/>
      <c r="IP261" s="3"/>
      <c r="IQ261" s="3"/>
      <c r="IR261" s="3"/>
      <c r="IS261" s="3"/>
      <c r="IT261" s="3"/>
      <c r="IU261" s="3"/>
      <c r="IV261" s="3"/>
      <c r="IW261" s="3"/>
    </row>
    <row r="262" customFormat="false" ht="12.75" hidden="false" customHeight="false" outlineLevel="0" collapsed="false">
      <c r="A262" s="23"/>
      <c r="B262" s="373" t="s">
        <v>346</v>
      </c>
      <c r="C262" s="374"/>
      <c r="D262" s="3"/>
      <c r="E262" s="378" t="n">
        <f aca="false">E243</f>
        <v>0.5</v>
      </c>
      <c r="F262" s="22" t="s">
        <v>356</v>
      </c>
      <c r="G262" s="376"/>
      <c r="H262" s="376"/>
      <c r="I262" s="376"/>
      <c r="J262" s="376"/>
      <c r="K262" s="376"/>
      <c r="L262" s="376"/>
      <c r="M262" s="376"/>
      <c r="N262" s="376"/>
      <c r="O262" s="376"/>
      <c r="P262" s="376"/>
      <c r="Q262" s="376"/>
      <c r="R262" s="376"/>
      <c r="S262" s="376"/>
      <c r="T262" s="376"/>
      <c r="U262" s="376"/>
      <c r="V262" s="376"/>
      <c r="W262" s="376"/>
      <c r="X262" s="376"/>
      <c r="Y262" s="376"/>
      <c r="Z262" s="376"/>
      <c r="AA262" s="376"/>
      <c r="AB262" s="376"/>
      <c r="AC262" s="376"/>
      <c r="AD262" s="376"/>
      <c r="AE262" s="376"/>
      <c r="AF262" s="376"/>
      <c r="AG262" s="376"/>
      <c r="AH262" s="376"/>
      <c r="AI262" s="376"/>
      <c r="AJ262" s="376"/>
      <c r="AK262" s="376"/>
      <c r="AL262" s="376"/>
      <c r="AM262" s="376"/>
      <c r="AN262" s="23"/>
      <c r="AO262" s="23"/>
      <c r="AP262" s="23"/>
      <c r="AQ262" s="23"/>
      <c r="AR262" s="23"/>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24"/>
      <c r="BY262" s="24"/>
      <c r="BZ262" s="24"/>
      <c r="CA262" s="24"/>
      <c r="CB262" s="24"/>
      <c r="CC262" s="24"/>
      <c r="CD262" s="24"/>
      <c r="CE262" s="24"/>
      <c r="CF262" s="24"/>
      <c r="CG262" s="24"/>
      <c r="CH262" s="24"/>
      <c r="CI262" s="24"/>
      <c r="CJ262" s="24"/>
      <c r="CK262" s="24"/>
      <c r="CL262" s="24"/>
      <c r="CM262" s="24"/>
      <c r="CN262" s="24"/>
      <c r="CO262" s="24"/>
      <c r="CP262" s="24"/>
      <c r="CQ262" s="24"/>
      <c r="CR262" s="24"/>
      <c r="CS262" s="24"/>
      <c r="CT262" s="24"/>
      <c r="CU262" s="24"/>
      <c r="CV262" s="24"/>
      <c r="CW262" s="24"/>
      <c r="CX262" s="24"/>
      <c r="CY262" s="24"/>
      <c r="CZ262" s="24"/>
      <c r="DA262" s="24"/>
      <c r="DB262" s="24"/>
      <c r="DC262" s="24"/>
      <c r="DD262" s="24"/>
      <c r="DE262" s="24"/>
      <c r="DF262" s="24"/>
      <c r="DG262" s="24"/>
      <c r="DH262" s="24"/>
      <c r="DI262" s="24"/>
      <c r="DJ262" s="24"/>
      <c r="DK262" s="24"/>
      <c r="DL262" s="24"/>
      <c r="DM262" s="24"/>
      <c r="DN262" s="24"/>
      <c r="DO262" s="24"/>
      <c r="DP262" s="24"/>
      <c r="DQ262" s="24"/>
      <c r="DR262" s="24"/>
      <c r="DS262" s="24"/>
      <c r="DT262" s="24"/>
      <c r="DU262" s="24"/>
      <c r="DV262" s="24"/>
      <c r="DW262" s="24"/>
      <c r="DX262" s="24"/>
      <c r="DY262" s="24"/>
      <c r="DZ262" s="24"/>
      <c r="EA262" s="24"/>
      <c r="EB262" s="24"/>
      <c r="EC262" s="24"/>
      <c r="ED262" s="24"/>
      <c r="EE262" s="24"/>
      <c r="EF262" s="24"/>
      <c r="EG262" s="24"/>
      <c r="EH262" s="24"/>
      <c r="EI262" s="24"/>
      <c r="EJ262" s="24"/>
      <c r="EK262" s="24"/>
      <c r="EL262" s="24"/>
      <c r="EM262" s="3"/>
      <c r="EN262" s="3"/>
      <c r="EO262" s="3"/>
      <c r="EP262" s="3"/>
      <c r="EQ262" s="3"/>
      <c r="ER262" s="3"/>
      <c r="ES262" s="3"/>
      <c r="ET262" s="3"/>
      <c r="EU262" s="3"/>
      <c r="EV262" s="3"/>
      <c r="EW262" s="3"/>
      <c r="EX262" s="3"/>
      <c r="EY262" s="3"/>
      <c r="EZ262" s="3"/>
      <c r="FA262" s="3"/>
      <c r="FB262" s="3"/>
      <c r="FC262" s="3"/>
      <c r="FD262" s="3"/>
      <c r="FE262" s="3"/>
      <c r="FF262" s="3"/>
      <c r="FG262" s="3"/>
      <c r="FH262" s="3"/>
      <c r="FI262" s="3"/>
      <c r="FJ262" s="3"/>
      <c r="FK262" s="3"/>
      <c r="FL262" s="3"/>
      <c r="FM262" s="3"/>
      <c r="FN262" s="3"/>
      <c r="FO262" s="3"/>
      <c r="FP262" s="3"/>
      <c r="FQ262" s="3"/>
      <c r="FR262" s="3"/>
      <c r="FS262" s="3"/>
      <c r="FT262" s="3"/>
      <c r="FU262" s="3"/>
      <c r="FV262" s="3"/>
      <c r="FW262" s="3"/>
      <c r="FX262" s="3"/>
      <c r="FY262" s="3"/>
      <c r="FZ262" s="3"/>
      <c r="GA262" s="3"/>
      <c r="GB262" s="3"/>
      <c r="GC262" s="3"/>
      <c r="GD262" s="3"/>
      <c r="GE262" s="3"/>
      <c r="GF262" s="3"/>
      <c r="GG262" s="3"/>
      <c r="GH262" s="3"/>
      <c r="GI262" s="3"/>
      <c r="GJ262" s="3"/>
      <c r="GK262" s="3"/>
      <c r="GL262" s="3"/>
      <c r="GM262" s="3"/>
      <c r="GN262" s="3"/>
      <c r="GO262" s="3"/>
      <c r="GP262" s="3"/>
      <c r="GQ262" s="3"/>
      <c r="GR262" s="3"/>
      <c r="GS262" s="3"/>
      <c r="GT262" s="3"/>
      <c r="GU262" s="3"/>
      <c r="GV262" s="3"/>
      <c r="GW262" s="3"/>
      <c r="GX262" s="3"/>
      <c r="GY262" s="3"/>
      <c r="GZ262" s="3"/>
      <c r="HA262" s="3"/>
      <c r="HB262" s="3"/>
      <c r="HC262" s="3"/>
      <c r="HD262" s="3"/>
      <c r="HE262" s="3"/>
      <c r="HF262" s="3"/>
      <c r="HG262" s="3"/>
      <c r="HH262" s="3"/>
      <c r="HI262" s="3"/>
      <c r="HJ262" s="3"/>
      <c r="HK262" s="3"/>
      <c r="HL262" s="3"/>
      <c r="HM262" s="3"/>
      <c r="HN262" s="3"/>
      <c r="HO262" s="3"/>
      <c r="HP262" s="3"/>
      <c r="HQ262" s="3"/>
      <c r="HR262" s="3"/>
      <c r="HS262" s="3"/>
      <c r="HT262" s="3"/>
      <c r="HU262" s="3"/>
      <c r="HV262" s="3"/>
      <c r="HW262" s="3"/>
      <c r="HX262" s="3"/>
      <c r="HY262" s="3"/>
      <c r="HZ262" s="3"/>
      <c r="IA262" s="3"/>
      <c r="IB262" s="3"/>
      <c r="IC262" s="3"/>
      <c r="ID262" s="3"/>
      <c r="IE262" s="3"/>
      <c r="IF262" s="3"/>
      <c r="IG262" s="3"/>
      <c r="IH262" s="3"/>
      <c r="II262" s="3"/>
      <c r="IJ262" s="3"/>
      <c r="IK262" s="3"/>
      <c r="IL262" s="3"/>
      <c r="IM262" s="3"/>
      <c r="IN262" s="3"/>
      <c r="IO262" s="3"/>
      <c r="IP262" s="3"/>
      <c r="IQ262" s="3"/>
      <c r="IR262" s="3"/>
      <c r="IS262" s="3"/>
      <c r="IT262" s="3"/>
      <c r="IU262" s="3"/>
      <c r="IV262" s="3"/>
      <c r="IW262" s="3"/>
    </row>
    <row r="263" customFormat="false" ht="12.75" hidden="false" customHeight="false" outlineLevel="0" collapsed="false">
      <c r="A263" s="23"/>
      <c r="B263" s="0" t="s">
        <v>347</v>
      </c>
      <c r="C263" s="21"/>
      <c r="D263" s="3"/>
      <c r="E263" s="379" t="n">
        <v>2</v>
      </c>
      <c r="F263" s="22"/>
      <c r="G263" s="376"/>
      <c r="H263" s="376"/>
      <c r="I263" s="376"/>
      <c r="J263" s="376"/>
      <c r="K263" s="376"/>
      <c r="L263" s="376"/>
      <c r="M263" s="376"/>
      <c r="N263" s="376"/>
      <c r="O263" s="376"/>
      <c r="P263" s="376"/>
      <c r="Q263" s="376"/>
      <c r="R263" s="376"/>
      <c r="S263" s="376"/>
      <c r="T263" s="376"/>
      <c r="U263" s="376"/>
      <c r="V263" s="376"/>
      <c r="W263" s="376"/>
      <c r="X263" s="376"/>
      <c r="Y263" s="376"/>
      <c r="Z263" s="376"/>
      <c r="AA263" s="376"/>
      <c r="AB263" s="376"/>
      <c r="AC263" s="376"/>
      <c r="AD263" s="376"/>
      <c r="AE263" s="376"/>
      <c r="AF263" s="376"/>
      <c r="AG263" s="376"/>
      <c r="AH263" s="376"/>
      <c r="AI263" s="376"/>
      <c r="AJ263" s="376"/>
      <c r="AK263" s="376"/>
      <c r="AL263" s="376"/>
      <c r="AM263" s="376"/>
      <c r="AN263" s="23"/>
      <c r="AO263" s="23"/>
      <c r="AP263" s="23"/>
      <c r="AQ263" s="23"/>
      <c r="AR263" s="23"/>
      <c r="AS263" s="24"/>
      <c r="AT263" s="24"/>
      <c r="AU263" s="24"/>
      <c r="AV263" s="24"/>
      <c r="AW263" s="24"/>
      <c r="AX263" s="24"/>
      <c r="AY263" s="24"/>
      <c r="AZ263" s="24"/>
      <c r="BA263" s="24"/>
      <c r="BB263" s="24"/>
      <c r="BC263" s="24"/>
      <c r="BD263" s="24"/>
      <c r="BE263" s="24"/>
      <c r="BF263" s="24"/>
      <c r="BG263" s="24"/>
      <c r="BH263" s="24"/>
      <c r="BI263" s="24"/>
      <c r="BJ263" s="24"/>
      <c r="BK263" s="24"/>
      <c r="BL263" s="24"/>
      <c r="BM263" s="24"/>
      <c r="BN263" s="24"/>
      <c r="BO263" s="24"/>
      <c r="BP263" s="24"/>
      <c r="BQ263" s="24"/>
      <c r="BR263" s="24"/>
      <c r="BS263" s="24"/>
      <c r="BT263" s="24"/>
      <c r="BU263" s="24"/>
      <c r="BV263" s="24"/>
      <c r="BW263" s="24"/>
      <c r="BX263" s="24"/>
      <c r="BY263" s="24"/>
      <c r="BZ263" s="24"/>
      <c r="CA263" s="24"/>
      <c r="CB263" s="24"/>
      <c r="CC263" s="24"/>
      <c r="CD263" s="24"/>
      <c r="CE263" s="24"/>
      <c r="CF263" s="24"/>
      <c r="CG263" s="24"/>
      <c r="CH263" s="24"/>
      <c r="CI263" s="24"/>
      <c r="CJ263" s="24"/>
      <c r="CK263" s="24"/>
      <c r="CL263" s="24"/>
      <c r="CM263" s="24"/>
      <c r="CN263" s="24"/>
      <c r="CO263" s="24"/>
      <c r="CP263" s="24"/>
      <c r="CQ263" s="24"/>
      <c r="CR263" s="24"/>
      <c r="CS263" s="24"/>
      <c r="CT263" s="24"/>
      <c r="CU263" s="24"/>
      <c r="CV263" s="24"/>
      <c r="CW263" s="24"/>
      <c r="CX263" s="24"/>
      <c r="CY263" s="24"/>
      <c r="CZ263" s="24"/>
      <c r="DA263" s="24"/>
      <c r="DB263" s="24"/>
      <c r="DC263" s="24"/>
      <c r="DD263" s="24"/>
      <c r="DE263" s="24"/>
      <c r="DF263" s="24"/>
      <c r="DG263" s="24"/>
      <c r="DH263" s="24"/>
      <c r="DI263" s="24"/>
      <c r="DJ263" s="24"/>
      <c r="DK263" s="24"/>
      <c r="DL263" s="24"/>
      <c r="DM263" s="24"/>
      <c r="DN263" s="24"/>
      <c r="DO263" s="24"/>
      <c r="DP263" s="24"/>
      <c r="DQ263" s="24"/>
      <c r="DR263" s="24"/>
      <c r="DS263" s="24"/>
      <c r="DT263" s="24"/>
      <c r="DU263" s="24"/>
      <c r="DV263" s="24"/>
      <c r="DW263" s="24"/>
      <c r="DX263" s="24"/>
      <c r="DY263" s="24"/>
      <c r="DZ263" s="24"/>
      <c r="EA263" s="24"/>
      <c r="EB263" s="24"/>
      <c r="EC263" s="24"/>
      <c r="ED263" s="24"/>
      <c r="EE263" s="24"/>
      <c r="EF263" s="24"/>
      <c r="EG263" s="24"/>
      <c r="EH263" s="24"/>
      <c r="EI263" s="24"/>
      <c r="EJ263" s="24"/>
      <c r="EK263" s="24"/>
      <c r="EL263" s="24"/>
      <c r="EM263" s="3"/>
      <c r="EN263" s="3"/>
      <c r="EO263" s="3"/>
      <c r="EP263" s="3"/>
      <c r="EQ263" s="3"/>
      <c r="ER263" s="3"/>
      <c r="ES263" s="3"/>
      <c r="ET263" s="3"/>
      <c r="EU263" s="3"/>
      <c r="EV263" s="3"/>
      <c r="EW263" s="3"/>
      <c r="EX263" s="3"/>
      <c r="EY263" s="3"/>
      <c r="EZ263" s="3"/>
      <c r="FA263" s="3"/>
      <c r="FB263" s="3"/>
      <c r="FC263" s="3"/>
      <c r="FD263" s="3"/>
      <c r="FE263" s="3"/>
      <c r="FF263" s="3"/>
      <c r="FG263" s="3"/>
      <c r="FH263" s="3"/>
      <c r="FI263" s="3"/>
      <c r="FJ263" s="3"/>
      <c r="FK263" s="3"/>
      <c r="FL263" s="3"/>
      <c r="FM263" s="3"/>
      <c r="FN263" s="3"/>
      <c r="FO263" s="3"/>
      <c r="FP263" s="3"/>
      <c r="FQ263" s="3"/>
      <c r="FR263" s="3"/>
      <c r="FS263" s="3"/>
      <c r="FT263" s="3"/>
      <c r="FU263" s="3"/>
      <c r="FV263" s="3"/>
      <c r="FW263" s="3"/>
      <c r="FX263" s="3"/>
      <c r="FY263" s="3"/>
      <c r="FZ263" s="3"/>
      <c r="GA263" s="3"/>
      <c r="GB263" s="3"/>
      <c r="GC263" s="3"/>
      <c r="GD263" s="3"/>
      <c r="GE263" s="3"/>
      <c r="GF263" s="3"/>
      <c r="GG263" s="3"/>
      <c r="GH263" s="3"/>
      <c r="GI263" s="3"/>
      <c r="GJ263" s="3"/>
      <c r="GK263" s="3"/>
      <c r="GL263" s="3"/>
      <c r="GM263" s="3"/>
      <c r="GN263" s="3"/>
      <c r="GO263" s="3"/>
      <c r="GP263" s="3"/>
      <c r="GQ263" s="3"/>
      <c r="GR263" s="3"/>
      <c r="GS263" s="3"/>
      <c r="GT263" s="3"/>
      <c r="GU263" s="3"/>
      <c r="GV263" s="3"/>
      <c r="GW263" s="3"/>
      <c r="GX263" s="3"/>
      <c r="GY263" s="3"/>
      <c r="GZ263" s="3"/>
      <c r="HA263" s="3"/>
      <c r="HB263" s="3"/>
      <c r="HC263" s="3"/>
      <c r="HD263" s="3"/>
      <c r="HE263" s="3"/>
      <c r="HF263" s="3"/>
      <c r="HG263" s="3"/>
      <c r="HH263" s="3"/>
      <c r="HI263" s="3"/>
      <c r="HJ263" s="3"/>
      <c r="HK263" s="3"/>
      <c r="HL263" s="3"/>
      <c r="HM263" s="3"/>
      <c r="HN263" s="3"/>
      <c r="HO263" s="3"/>
      <c r="HP263" s="3"/>
      <c r="HQ263" s="3"/>
      <c r="HR263" s="3"/>
      <c r="HS263" s="3"/>
      <c r="HT263" s="3"/>
      <c r="HU263" s="3"/>
      <c r="HV263" s="3"/>
      <c r="HW263" s="3"/>
      <c r="HX263" s="3"/>
      <c r="HY263" s="3"/>
      <c r="HZ263" s="3"/>
      <c r="IA263" s="3"/>
      <c r="IB263" s="3"/>
      <c r="IC263" s="3"/>
      <c r="ID263" s="3"/>
      <c r="IE263" s="3"/>
      <c r="IF263" s="3"/>
      <c r="IG263" s="3"/>
      <c r="IH263" s="3"/>
      <c r="II263" s="3"/>
      <c r="IJ263" s="3"/>
      <c r="IK263" s="3"/>
      <c r="IL263" s="3"/>
      <c r="IM263" s="3"/>
      <c r="IN263" s="3"/>
      <c r="IO263" s="3"/>
      <c r="IP263" s="3"/>
      <c r="IQ263" s="3"/>
      <c r="IR263" s="3"/>
      <c r="IS263" s="3"/>
      <c r="IT263" s="3"/>
      <c r="IU263" s="3"/>
      <c r="IV263" s="3"/>
      <c r="IW263" s="3"/>
    </row>
    <row r="264" customFormat="false" ht="12.75" hidden="false" customHeight="false" outlineLevel="0" collapsed="false">
      <c r="A264" s="23"/>
      <c r="B264" s="39" t="s">
        <v>357</v>
      </c>
      <c r="C264" s="382" t="s">
        <v>354</v>
      </c>
      <c r="D264" s="39"/>
      <c r="E264" s="96" t="n">
        <v>1.4</v>
      </c>
      <c r="F264" s="96" t="n">
        <f aca="false">E264</f>
        <v>1.4</v>
      </c>
      <c r="G264" s="96" t="n">
        <f aca="false">F264</f>
        <v>1.4</v>
      </c>
      <c r="H264" s="96" t="n">
        <f aca="false">G264</f>
        <v>1.4</v>
      </c>
      <c r="I264" s="96" t="n">
        <f aca="false">H264</f>
        <v>1.4</v>
      </c>
      <c r="J264" s="96" t="n">
        <f aca="false">I264</f>
        <v>1.4</v>
      </c>
      <c r="K264" s="96" t="n">
        <f aca="false">J264</f>
        <v>1.4</v>
      </c>
      <c r="L264" s="96" t="n">
        <f aca="false">K264</f>
        <v>1.4</v>
      </c>
      <c r="M264" s="96" t="n">
        <f aca="false">L264</f>
        <v>1.4</v>
      </c>
      <c r="N264" s="96" t="n">
        <f aca="false">M264</f>
        <v>1.4</v>
      </c>
      <c r="O264" s="96" t="n">
        <f aca="false">N264</f>
        <v>1.4</v>
      </c>
      <c r="P264" s="96" t="n">
        <f aca="false">O264</f>
        <v>1.4</v>
      </c>
      <c r="Q264" s="96" t="n">
        <f aca="false">P264</f>
        <v>1.4</v>
      </c>
      <c r="R264" s="96" t="n">
        <f aca="false">Q264</f>
        <v>1.4</v>
      </c>
      <c r="S264" s="96" t="n">
        <f aca="false">R264</f>
        <v>1.4</v>
      </c>
      <c r="T264" s="96" t="n">
        <f aca="false">S264</f>
        <v>1.4</v>
      </c>
      <c r="U264" s="96" t="n">
        <f aca="false">T264</f>
        <v>1.4</v>
      </c>
      <c r="V264" s="96" t="n">
        <f aca="false">U264</f>
        <v>1.4</v>
      </c>
      <c r="W264" s="96" t="n">
        <f aca="false">V264</f>
        <v>1.4</v>
      </c>
      <c r="X264" s="96" t="n">
        <f aca="false">W264</f>
        <v>1.4</v>
      </c>
      <c r="Y264" s="96" t="n">
        <f aca="false">X264</f>
        <v>1.4</v>
      </c>
      <c r="Z264" s="96" t="n">
        <f aca="false">Y264</f>
        <v>1.4</v>
      </c>
      <c r="AA264" s="96" t="n">
        <f aca="false">Z264</f>
        <v>1.4</v>
      </c>
      <c r="AB264" s="96" t="n">
        <f aca="false">AA264</f>
        <v>1.4</v>
      </c>
      <c r="AC264" s="96" t="n">
        <f aca="false">AB264</f>
        <v>1.4</v>
      </c>
      <c r="AD264" s="96" t="n">
        <f aca="false">AC264</f>
        <v>1.4</v>
      </c>
      <c r="AE264" s="96" t="n">
        <f aca="false">AD264</f>
        <v>1.4</v>
      </c>
      <c r="AF264" s="96" t="n">
        <f aca="false">AE264</f>
        <v>1.4</v>
      </c>
      <c r="AG264" s="96" t="n">
        <f aca="false">AF264</f>
        <v>1.4</v>
      </c>
      <c r="AH264" s="96" t="n">
        <f aca="false">AG264</f>
        <v>1.4</v>
      </c>
      <c r="AI264" s="96" t="n">
        <f aca="false">AH264</f>
        <v>1.4</v>
      </c>
      <c r="AJ264" s="96" t="n">
        <f aca="false">AI264</f>
        <v>1.4</v>
      </c>
      <c r="AK264" s="96" t="n">
        <f aca="false">AJ264</f>
        <v>1.4</v>
      </c>
      <c r="AL264" s="96" t="n">
        <f aca="false">AK264</f>
        <v>1.4</v>
      </c>
      <c r="AM264" s="96" t="n">
        <f aca="false">AL264</f>
        <v>1.4</v>
      </c>
      <c r="AN264" s="23"/>
      <c r="AO264" s="23"/>
      <c r="AP264" s="23"/>
      <c r="AQ264" s="23"/>
      <c r="AR264" s="23"/>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c r="BZ264" s="24"/>
      <c r="CA264" s="24"/>
      <c r="CB264" s="24"/>
      <c r="CC264" s="24"/>
      <c r="CD264" s="24"/>
      <c r="CE264" s="24"/>
      <c r="CF264" s="24"/>
      <c r="CG264" s="24"/>
      <c r="CH264" s="24"/>
      <c r="CI264" s="24"/>
      <c r="CJ264" s="24"/>
      <c r="CK264" s="24"/>
      <c r="CL264" s="24"/>
      <c r="CM264" s="24"/>
      <c r="CN264" s="24"/>
      <c r="CO264" s="24"/>
      <c r="CP264" s="24"/>
      <c r="CQ264" s="24"/>
      <c r="CR264" s="24"/>
      <c r="CS264" s="24"/>
      <c r="CT264" s="24"/>
      <c r="CU264" s="24"/>
      <c r="CV264" s="24"/>
      <c r="CW264" s="24"/>
      <c r="CX264" s="24"/>
      <c r="CY264" s="24"/>
      <c r="CZ264" s="24"/>
      <c r="DA264" s="24"/>
      <c r="DB264" s="24"/>
      <c r="DC264" s="24"/>
      <c r="DD264" s="24"/>
      <c r="DE264" s="24"/>
      <c r="DF264" s="24"/>
      <c r="DG264" s="24"/>
      <c r="DH264" s="24"/>
      <c r="DI264" s="24"/>
      <c r="DJ264" s="24"/>
      <c r="DK264" s="24"/>
      <c r="DL264" s="24"/>
      <c r="DM264" s="24"/>
      <c r="DN264" s="24"/>
      <c r="DO264" s="24"/>
      <c r="DP264" s="24"/>
      <c r="DQ264" s="24"/>
      <c r="DR264" s="24"/>
      <c r="DS264" s="24"/>
      <c r="DT264" s="24"/>
      <c r="DU264" s="24"/>
      <c r="DV264" s="24"/>
      <c r="DW264" s="24"/>
      <c r="DX264" s="24"/>
      <c r="DY264" s="24"/>
      <c r="DZ264" s="24"/>
      <c r="EA264" s="24"/>
      <c r="EB264" s="24"/>
      <c r="EC264" s="24"/>
      <c r="ED264" s="24"/>
      <c r="EE264" s="24"/>
      <c r="EF264" s="24"/>
      <c r="EG264" s="24"/>
      <c r="EH264" s="24"/>
      <c r="EI264" s="24"/>
      <c r="EJ264" s="24"/>
      <c r="EK264" s="24"/>
      <c r="EL264" s="24"/>
      <c r="EM264" s="3"/>
      <c r="EN264" s="3"/>
      <c r="EO264" s="3"/>
      <c r="EP264" s="3"/>
      <c r="EQ264" s="3"/>
      <c r="ER264" s="3"/>
      <c r="ES264" s="3"/>
      <c r="ET264" s="3"/>
      <c r="EU264" s="3"/>
      <c r="EV264" s="3"/>
      <c r="EW264" s="3"/>
      <c r="EX264" s="3"/>
      <c r="EY264" s="3"/>
      <c r="EZ264" s="3"/>
      <c r="FA264" s="3"/>
      <c r="FB264" s="3"/>
      <c r="FC264" s="3"/>
      <c r="FD264" s="3"/>
      <c r="FE264" s="3"/>
      <c r="FF264" s="3"/>
      <c r="FG264" s="3"/>
      <c r="FH264" s="3"/>
      <c r="FI264" s="3"/>
      <c r="FJ264" s="3"/>
      <c r="FK264" s="3"/>
      <c r="FL264" s="3"/>
      <c r="FM264" s="3"/>
      <c r="FN264" s="3"/>
      <c r="FO264" s="3"/>
      <c r="FP264" s="3"/>
      <c r="FQ264" s="3"/>
      <c r="FR264" s="3"/>
      <c r="FS264" s="3"/>
      <c r="FT264" s="3"/>
      <c r="FU264" s="3"/>
      <c r="FV264" s="3"/>
      <c r="FW264" s="3"/>
      <c r="FX264" s="3"/>
      <c r="FY264" s="3"/>
      <c r="FZ264" s="3"/>
      <c r="GA264" s="3"/>
      <c r="GB264" s="3"/>
      <c r="GC264" s="3"/>
      <c r="GD264" s="3"/>
      <c r="GE264" s="3"/>
      <c r="GF264" s="3"/>
      <c r="GG264" s="3"/>
      <c r="GH264" s="3"/>
      <c r="GI264" s="3"/>
      <c r="GJ264" s="3"/>
      <c r="GK264" s="3"/>
      <c r="GL264" s="3"/>
      <c r="GM264" s="3"/>
      <c r="GN264" s="3"/>
      <c r="GO264" s="3"/>
      <c r="GP264" s="3"/>
      <c r="GQ264" s="3"/>
      <c r="GR264" s="3"/>
      <c r="GS264" s="3"/>
      <c r="GT264" s="3"/>
      <c r="GU264" s="3"/>
      <c r="GV264" s="3"/>
      <c r="GW264" s="3"/>
      <c r="GX264" s="3"/>
      <c r="GY264" s="3"/>
      <c r="GZ264" s="3"/>
      <c r="HA264" s="3"/>
      <c r="HB264" s="3"/>
      <c r="HC264" s="3"/>
      <c r="HD264" s="3"/>
      <c r="HE264" s="3"/>
      <c r="HF264" s="3"/>
      <c r="HG264" s="3"/>
      <c r="HH264" s="3"/>
      <c r="HI264" s="3"/>
      <c r="HJ264" s="3"/>
      <c r="HK264" s="3"/>
      <c r="HL264" s="3"/>
      <c r="HM264" s="3"/>
      <c r="HN264" s="3"/>
      <c r="HO264" s="3"/>
      <c r="HP264" s="3"/>
      <c r="HQ264" s="3"/>
      <c r="HR264" s="3"/>
      <c r="HS264" s="3"/>
      <c r="HT264" s="3"/>
      <c r="HU264" s="3"/>
      <c r="HV264" s="3"/>
      <c r="HW264" s="3"/>
      <c r="HX264" s="3"/>
      <c r="HY264" s="3"/>
      <c r="HZ264" s="3"/>
      <c r="IA264" s="3"/>
      <c r="IB264" s="3"/>
      <c r="IC264" s="3"/>
      <c r="ID264" s="3"/>
      <c r="IE264" s="3"/>
      <c r="IF264" s="3"/>
      <c r="IG264" s="3"/>
      <c r="IH264" s="3"/>
      <c r="II264" s="3"/>
      <c r="IJ264" s="3"/>
      <c r="IK264" s="3"/>
      <c r="IL264" s="3"/>
      <c r="IM264" s="3"/>
      <c r="IN264" s="3"/>
      <c r="IO264" s="3"/>
      <c r="IP264" s="3"/>
      <c r="IQ264" s="3"/>
      <c r="IR264" s="3"/>
      <c r="IS264" s="3"/>
      <c r="IT264" s="3"/>
      <c r="IU264" s="3"/>
      <c r="IV264" s="3"/>
      <c r="IW264" s="3"/>
    </row>
    <row r="265" customFormat="false" ht="12.75" hidden="false" customHeight="false" outlineLevel="0" collapsed="false">
      <c r="A265" s="23"/>
      <c r="B265" s="39" t="s">
        <v>157</v>
      </c>
      <c r="C265" s="39" t="s">
        <v>358</v>
      </c>
      <c r="D265" s="39"/>
      <c r="E265" s="56" t="n">
        <v>0.055</v>
      </c>
      <c r="F265" s="56" t="n">
        <v>0.055</v>
      </c>
      <c r="G265" s="56" t="n">
        <v>0.055</v>
      </c>
      <c r="H265" s="56" t="n">
        <v>0.055</v>
      </c>
      <c r="I265" s="56" t="n">
        <v>0.055</v>
      </c>
      <c r="J265" s="56" t="n">
        <v>0.055</v>
      </c>
      <c r="K265" s="56" t="n">
        <v>0.055</v>
      </c>
      <c r="L265" s="56" t="n">
        <v>0.055</v>
      </c>
      <c r="M265" s="56" t="n">
        <v>0.055</v>
      </c>
      <c r="N265" s="56" t="n">
        <v>0.055</v>
      </c>
      <c r="O265" s="56" t="n">
        <v>0.055</v>
      </c>
      <c r="P265" s="56" t="n">
        <v>0.055</v>
      </c>
      <c r="Q265" s="56" t="n">
        <v>0.055</v>
      </c>
      <c r="R265" s="56" t="n">
        <v>0.055</v>
      </c>
      <c r="S265" s="56" t="n">
        <v>0.055</v>
      </c>
      <c r="T265" s="56" t="n">
        <v>0.055</v>
      </c>
      <c r="U265" s="56" t="n">
        <v>0.055</v>
      </c>
      <c r="V265" s="56" t="n">
        <v>0.055</v>
      </c>
      <c r="W265" s="56" t="n">
        <v>0.055</v>
      </c>
      <c r="X265" s="56" t="n">
        <v>0.055</v>
      </c>
      <c r="Y265" s="56" t="n">
        <v>0.055</v>
      </c>
      <c r="Z265" s="56" t="n">
        <v>0.055</v>
      </c>
      <c r="AA265" s="56" t="n">
        <v>0.055</v>
      </c>
      <c r="AB265" s="56" t="n">
        <v>0.055</v>
      </c>
      <c r="AC265" s="56" t="n">
        <v>0.055</v>
      </c>
      <c r="AD265" s="56" t="n">
        <v>0.055</v>
      </c>
      <c r="AE265" s="56" t="n">
        <v>0.055</v>
      </c>
      <c r="AF265" s="56" t="n">
        <v>0.055</v>
      </c>
      <c r="AG265" s="56" t="n">
        <v>0.055</v>
      </c>
      <c r="AH265" s="56" t="n">
        <v>0.055</v>
      </c>
      <c r="AI265" s="56" t="n">
        <v>0.055</v>
      </c>
      <c r="AJ265" s="56" t="n">
        <v>0.055</v>
      </c>
      <c r="AK265" s="56" t="n">
        <v>0.055</v>
      </c>
      <c r="AL265" s="56" t="n">
        <v>0.055</v>
      </c>
      <c r="AM265" s="56" t="n">
        <v>0.055</v>
      </c>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c r="BZ265" s="24"/>
      <c r="CA265" s="24"/>
      <c r="CB265" s="24"/>
      <c r="CC265" s="24"/>
      <c r="CD265" s="24"/>
      <c r="CE265" s="24"/>
      <c r="CF265" s="24"/>
      <c r="CG265" s="24"/>
      <c r="CH265" s="24"/>
      <c r="CI265" s="24"/>
      <c r="CJ265" s="24"/>
      <c r="CK265" s="24"/>
      <c r="CL265" s="24"/>
      <c r="CM265" s="24"/>
      <c r="CN265" s="24"/>
      <c r="CO265" s="24"/>
      <c r="CP265" s="24"/>
      <c r="CQ265" s="24"/>
      <c r="CR265" s="24"/>
      <c r="CS265" s="24"/>
      <c r="CT265" s="24"/>
      <c r="CU265" s="24"/>
      <c r="CV265" s="24"/>
      <c r="CW265" s="24"/>
      <c r="CX265" s="24"/>
      <c r="CY265" s="24"/>
      <c r="CZ265" s="24"/>
      <c r="DA265" s="24"/>
      <c r="DB265" s="24"/>
      <c r="DC265" s="24"/>
      <c r="DD265" s="24"/>
      <c r="DE265" s="24"/>
      <c r="DF265" s="24"/>
      <c r="DG265" s="24"/>
      <c r="DH265" s="24"/>
      <c r="DI265" s="24"/>
      <c r="DJ265" s="24"/>
      <c r="DK265" s="24"/>
      <c r="DL265" s="24"/>
      <c r="DM265" s="24"/>
      <c r="DN265" s="24"/>
      <c r="DO265" s="24"/>
      <c r="DP265" s="24"/>
      <c r="DQ265" s="24"/>
      <c r="DR265" s="24"/>
      <c r="DS265" s="24"/>
      <c r="DT265" s="24"/>
      <c r="DU265" s="24"/>
      <c r="DV265" s="24"/>
      <c r="DW265" s="24"/>
      <c r="DX265" s="24"/>
      <c r="DY265" s="24"/>
      <c r="DZ265" s="24"/>
      <c r="EA265" s="24"/>
      <c r="EB265" s="24"/>
      <c r="EC265" s="24"/>
      <c r="ED265" s="24"/>
      <c r="EE265" s="24"/>
      <c r="EF265" s="24"/>
      <c r="EG265" s="24"/>
      <c r="EH265" s="24"/>
      <c r="EI265" s="24"/>
      <c r="EJ265" s="24"/>
      <c r="EK265" s="24"/>
      <c r="EL265" s="24"/>
      <c r="EM265" s="3"/>
      <c r="EN265" s="3"/>
      <c r="EO265" s="3"/>
      <c r="EP265" s="3"/>
      <c r="EQ265" s="3"/>
      <c r="ER265" s="3"/>
      <c r="ES265" s="3"/>
      <c r="ET265" s="3"/>
      <c r="EU265" s="3"/>
      <c r="EV265" s="3"/>
      <c r="EW265" s="3"/>
      <c r="EX265" s="3"/>
      <c r="EY265" s="3"/>
      <c r="EZ265" s="3"/>
      <c r="FA265" s="3"/>
      <c r="FB265" s="3"/>
      <c r="FC265" s="3"/>
      <c r="FD265" s="3"/>
      <c r="FE265" s="3"/>
      <c r="FF265" s="3"/>
      <c r="FG265" s="3"/>
      <c r="FH265" s="3"/>
      <c r="FI265" s="3"/>
      <c r="FJ265" s="3"/>
      <c r="FK265" s="3"/>
      <c r="FL265" s="3"/>
      <c r="FM265" s="3"/>
      <c r="FN265" s="3"/>
      <c r="FO265" s="3"/>
      <c r="FP265" s="3"/>
      <c r="FQ265" s="3"/>
      <c r="FR265" s="3"/>
      <c r="FS265" s="3"/>
      <c r="FT265" s="3"/>
      <c r="FU265" s="3"/>
      <c r="FV265" s="3"/>
      <c r="FW265" s="3"/>
      <c r="FX265" s="3"/>
      <c r="FY265" s="3"/>
      <c r="FZ265" s="3"/>
      <c r="GA265" s="3"/>
      <c r="GB265" s="3"/>
      <c r="GC265" s="3"/>
      <c r="GD265" s="3"/>
      <c r="GE265" s="3"/>
      <c r="GF265" s="3"/>
      <c r="GG265" s="3"/>
      <c r="GH265" s="3"/>
      <c r="GI265" s="3"/>
      <c r="GJ265" s="3"/>
      <c r="GK265" s="3"/>
      <c r="GL265" s="3"/>
      <c r="GM265" s="3"/>
      <c r="GN265" s="3"/>
      <c r="GO265" s="3"/>
      <c r="GP265" s="3"/>
      <c r="GQ265" s="3"/>
      <c r="GR265" s="3"/>
      <c r="GS265" s="3"/>
      <c r="GT265" s="3"/>
      <c r="GU265" s="3"/>
      <c r="GV265" s="3"/>
      <c r="GW265" s="3"/>
      <c r="GX265" s="3"/>
      <c r="GY265" s="3"/>
      <c r="GZ265" s="3"/>
      <c r="HA265" s="3"/>
      <c r="HB265" s="3"/>
      <c r="HC265" s="3"/>
      <c r="HD265" s="3"/>
      <c r="HE265" s="3"/>
      <c r="HF265" s="3"/>
      <c r="HG265" s="3"/>
      <c r="HH265" s="3"/>
      <c r="HI265" s="3"/>
      <c r="HJ265" s="3"/>
      <c r="HK265" s="3"/>
      <c r="HL265" s="3"/>
      <c r="HM265" s="3"/>
      <c r="HN265" s="3"/>
      <c r="HO265" s="3"/>
      <c r="HP265" s="3"/>
      <c r="HQ265" s="3"/>
      <c r="HR265" s="3"/>
      <c r="HS265" s="3"/>
      <c r="HT265" s="3"/>
      <c r="HU265" s="3"/>
      <c r="HV265" s="3"/>
      <c r="HW265" s="3"/>
      <c r="HX265" s="3"/>
      <c r="HY265" s="3"/>
      <c r="HZ265" s="3"/>
      <c r="IA265" s="3"/>
      <c r="IB265" s="3"/>
      <c r="IC265" s="3"/>
      <c r="ID265" s="3"/>
      <c r="IE265" s="3"/>
      <c r="IF265" s="3"/>
      <c r="IG265" s="3"/>
      <c r="IH265" s="3"/>
      <c r="II265" s="3"/>
      <c r="IJ265" s="3"/>
      <c r="IK265" s="3"/>
      <c r="IL265" s="3"/>
      <c r="IM265" s="3"/>
      <c r="IN265" s="3"/>
      <c r="IO265" s="3"/>
      <c r="IP265" s="3"/>
      <c r="IQ265" s="3"/>
      <c r="IR265" s="3"/>
      <c r="IS265" s="3"/>
      <c r="IT265" s="3"/>
      <c r="IU265" s="3"/>
      <c r="IV265" s="3"/>
      <c r="IW265" s="3"/>
    </row>
    <row r="266" customFormat="false" ht="12.75" hidden="false" customHeight="false" outlineLevel="0" collapsed="false">
      <c r="A266" s="23"/>
      <c r="B266" s="39" t="s">
        <v>351</v>
      </c>
      <c r="C266" s="382" t="s">
        <v>354</v>
      </c>
      <c r="D266" s="39"/>
      <c r="E266" s="380" t="n">
        <v>0</v>
      </c>
      <c r="F266" s="380" t="n">
        <f aca="false">E266</f>
        <v>0</v>
      </c>
      <c r="G266" s="380" t="n">
        <f aca="false">F266</f>
        <v>0</v>
      </c>
      <c r="H266" s="380" t="n">
        <f aca="false">G266</f>
        <v>0</v>
      </c>
      <c r="I266" s="380" t="n">
        <f aca="false">H266</f>
        <v>0</v>
      </c>
      <c r="J266" s="380" t="n">
        <f aca="false">I266</f>
        <v>0</v>
      </c>
      <c r="K266" s="380" t="n">
        <f aca="false">J266</f>
        <v>0</v>
      </c>
      <c r="L266" s="380" t="n">
        <f aca="false">K266</f>
        <v>0</v>
      </c>
      <c r="M266" s="380" t="n">
        <f aca="false">L266</f>
        <v>0</v>
      </c>
      <c r="N266" s="380" t="n">
        <f aca="false">M266</f>
        <v>0</v>
      </c>
      <c r="O266" s="380" t="n">
        <f aca="false">N266</f>
        <v>0</v>
      </c>
      <c r="P266" s="380" t="n">
        <f aca="false">O266</f>
        <v>0</v>
      </c>
      <c r="Q266" s="380" t="n">
        <f aca="false">P266</f>
        <v>0</v>
      </c>
      <c r="R266" s="380" t="n">
        <f aca="false">Q266</f>
        <v>0</v>
      </c>
      <c r="S266" s="380" t="n">
        <f aca="false">R266</f>
        <v>0</v>
      </c>
      <c r="T266" s="380" t="n">
        <f aca="false">S266</f>
        <v>0</v>
      </c>
      <c r="U266" s="380" t="n">
        <f aca="false">T266</f>
        <v>0</v>
      </c>
      <c r="V266" s="380" t="n">
        <f aca="false">U266</f>
        <v>0</v>
      </c>
      <c r="W266" s="380" t="n">
        <f aca="false">V266</f>
        <v>0</v>
      </c>
      <c r="X266" s="380" t="n">
        <f aca="false">W266</f>
        <v>0</v>
      </c>
      <c r="Y266" s="380" t="n">
        <f aca="false">X266</f>
        <v>0</v>
      </c>
      <c r="Z266" s="380" t="n">
        <f aca="false">Y266</f>
        <v>0</v>
      </c>
      <c r="AA266" s="380" t="n">
        <f aca="false">Z266</f>
        <v>0</v>
      </c>
      <c r="AB266" s="380" t="n">
        <f aca="false">AA266</f>
        <v>0</v>
      </c>
      <c r="AC266" s="380" t="n">
        <f aca="false">AB266</f>
        <v>0</v>
      </c>
      <c r="AD266" s="380" t="n">
        <f aca="false">AC266</f>
        <v>0</v>
      </c>
      <c r="AE266" s="380" t="n">
        <f aca="false">AD266</f>
        <v>0</v>
      </c>
      <c r="AF266" s="380" t="n">
        <f aca="false">AE266</f>
        <v>0</v>
      </c>
      <c r="AG266" s="380" t="n">
        <f aca="false">AF266</f>
        <v>0</v>
      </c>
      <c r="AH266" s="380" t="n">
        <f aca="false">AG266</f>
        <v>0</v>
      </c>
      <c r="AI266" s="380" t="n">
        <f aca="false">AH266</f>
        <v>0</v>
      </c>
      <c r="AJ266" s="380" t="n">
        <f aca="false">AI266</f>
        <v>0</v>
      </c>
      <c r="AK266" s="380" t="n">
        <f aca="false">AJ266</f>
        <v>0</v>
      </c>
      <c r="AL266" s="380" t="n">
        <f aca="false">AK266</f>
        <v>0</v>
      </c>
      <c r="AM266" s="380" t="n">
        <f aca="false">AL266</f>
        <v>0</v>
      </c>
      <c r="AN266" s="24"/>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c r="BZ266" s="24"/>
      <c r="CA266" s="24"/>
      <c r="CB266" s="24"/>
      <c r="CC266" s="24"/>
      <c r="CD266" s="24"/>
      <c r="CE266" s="24"/>
      <c r="CF266" s="24"/>
      <c r="CG266" s="24"/>
      <c r="CH266" s="24"/>
      <c r="CI266" s="24"/>
      <c r="CJ266" s="24"/>
      <c r="CK266" s="24"/>
      <c r="CL266" s="24"/>
      <c r="CM266" s="24"/>
      <c r="CN266" s="24"/>
      <c r="CO266" s="24"/>
      <c r="CP266" s="24"/>
      <c r="CQ266" s="24"/>
      <c r="CR266" s="24"/>
      <c r="CS266" s="24"/>
      <c r="CT266" s="24"/>
      <c r="CU266" s="24"/>
      <c r="CV266" s="24"/>
      <c r="CW266" s="24"/>
      <c r="CX266" s="24"/>
      <c r="CY266" s="24"/>
      <c r="CZ266" s="24"/>
      <c r="DA266" s="24"/>
      <c r="DB266" s="24"/>
      <c r="DC266" s="24"/>
      <c r="DD266" s="24"/>
      <c r="DE266" s="24"/>
      <c r="DF266" s="24"/>
      <c r="DG266" s="24"/>
      <c r="DH266" s="24"/>
      <c r="DI266" s="24"/>
      <c r="DJ266" s="24"/>
      <c r="DK266" s="24"/>
      <c r="DL266" s="24"/>
      <c r="DM266" s="24"/>
      <c r="DN266" s="24"/>
      <c r="DO266" s="24"/>
      <c r="DP266" s="24"/>
      <c r="DQ266" s="24"/>
      <c r="DR266" s="24"/>
      <c r="DS266" s="24"/>
      <c r="DT266" s="24"/>
      <c r="DU266" s="24"/>
      <c r="DV266" s="24"/>
      <c r="DW266" s="24"/>
      <c r="DX266" s="24"/>
      <c r="DY266" s="24"/>
      <c r="DZ266" s="24"/>
      <c r="EA266" s="24"/>
      <c r="EB266" s="24"/>
      <c r="EC266" s="24"/>
      <c r="ED266" s="24"/>
      <c r="EE266" s="24"/>
      <c r="EF266" s="24"/>
      <c r="EG266" s="24"/>
      <c r="EH266" s="24"/>
      <c r="EI266" s="24"/>
      <c r="EJ266" s="24"/>
      <c r="EK266" s="24"/>
      <c r="EL266" s="24"/>
      <c r="EM266" s="3"/>
      <c r="EN266" s="3"/>
      <c r="EO266" s="3"/>
      <c r="EP266" s="3"/>
      <c r="EQ266" s="3"/>
      <c r="ER266" s="3"/>
      <c r="ES266" s="3"/>
      <c r="ET266" s="3"/>
      <c r="EU266" s="3"/>
      <c r="EV266" s="3"/>
      <c r="EW266" s="3"/>
      <c r="EX266" s="3"/>
      <c r="EY266" s="3"/>
      <c r="EZ266" s="3"/>
      <c r="FA266" s="3"/>
      <c r="FB266" s="3"/>
      <c r="FC266" s="3"/>
      <c r="FD266" s="3"/>
      <c r="FE266" s="3"/>
      <c r="FF266" s="3"/>
      <c r="FG266" s="3"/>
      <c r="FH266" s="3"/>
      <c r="FI266" s="3"/>
      <c r="FJ266" s="3"/>
      <c r="FK266" s="3"/>
      <c r="FL266" s="3"/>
      <c r="FM266" s="3"/>
      <c r="FN266" s="3"/>
      <c r="FO266" s="3"/>
      <c r="FP266" s="3"/>
      <c r="FQ266" s="3"/>
      <c r="FR266" s="3"/>
      <c r="FS266" s="3"/>
      <c r="FT266" s="3"/>
      <c r="FU266" s="3"/>
      <c r="FV266" s="3"/>
      <c r="FW266" s="3"/>
      <c r="FX266" s="3"/>
      <c r="FY266" s="3"/>
      <c r="FZ266" s="3"/>
      <c r="GA266" s="3"/>
      <c r="GB266" s="3"/>
      <c r="GC266" s="3"/>
      <c r="GD266" s="3"/>
      <c r="GE266" s="3"/>
      <c r="GF266" s="3"/>
      <c r="GG266" s="3"/>
      <c r="GH266" s="3"/>
      <c r="GI266" s="3"/>
      <c r="GJ266" s="3"/>
      <c r="GK266" s="3"/>
      <c r="GL266" s="3"/>
      <c r="GM266" s="3"/>
      <c r="GN266" s="3"/>
      <c r="GO266" s="3"/>
      <c r="GP266" s="3"/>
      <c r="GQ266" s="3"/>
      <c r="GR266" s="3"/>
      <c r="GS266" s="3"/>
      <c r="GT266" s="3"/>
      <c r="GU266" s="3"/>
      <c r="GV266" s="3"/>
      <c r="GW266" s="3"/>
      <c r="GX266" s="3"/>
      <c r="GY266" s="3"/>
      <c r="GZ266" s="3"/>
      <c r="HA266" s="3"/>
      <c r="HB266" s="3"/>
      <c r="HC266" s="3"/>
      <c r="HD266" s="3"/>
      <c r="HE266" s="3"/>
      <c r="HF266" s="3"/>
      <c r="HG266" s="3"/>
      <c r="HH266" s="3"/>
      <c r="HI266" s="3"/>
      <c r="HJ266" s="3"/>
      <c r="HK266" s="3"/>
      <c r="HL266" s="3"/>
      <c r="HM266" s="3"/>
      <c r="HN266" s="3"/>
      <c r="HO266" s="3"/>
      <c r="HP266" s="3"/>
      <c r="HQ266" s="3"/>
      <c r="HR266" s="3"/>
      <c r="HS266" s="3"/>
      <c r="HT266" s="3"/>
      <c r="HU266" s="3"/>
      <c r="HV266" s="3"/>
      <c r="HW266" s="3"/>
      <c r="HX266" s="3"/>
      <c r="HY266" s="3"/>
      <c r="HZ266" s="3"/>
      <c r="IA266" s="3"/>
      <c r="IB266" s="3"/>
      <c r="IC266" s="3"/>
      <c r="ID266" s="3"/>
      <c r="IE266" s="3"/>
      <c r="IF266" s="3"/>
      <c r="IG266" s="3"/>
      <c r="IH266" s="3"/>
      <c r="II266" s="3"/>
      <c r="IJ266" s="3"/>
      <c r="IK266" s="3"/>
      <c r="IL266" s="3"/>
      <c r="IM266" s="3"/>
      <c r="IN266" s="3"/>
      <c r="IO266" s="3"/>
      <c r="IP266" s="3"/>
      <c r="IQ266" s="3"/>
      <c r="IR266" s="3"/>
      <c r="IS266" s="3"/>
      <c r="IT266" s="3"/>
      <c r="IU266" s="3"/>
      <c r="IV266" s="3"/>
      <c r="IW266" s="3"/>
    </row>
    <row r="267" customFormat="false" ht="12.75" hidden="false" customHeight="false" outlineLevel="0" collapsed="false">
      <c r="A267" s="23"/>
      <c r="B267" s="39" t="s">
        <v>352</v>
      </c>
      <c r="C267" s="39"/>
      <c r="D267" s="39"/>
      <c r="E267" s="56" t="n">
        <v>0.015</v>
      </c>
      <c r="F267" s="56" t="n">
        <f aca="false">E267</f>
        <v>0.015</v>
      </c>
      <c r="G267" s="56" t="n">
        <f aca="false">F267</f>
        <v>0.015</v>
      </c>
      <c r="H267" s="56" t="n">
        <f aca="false">G267</f>
        <v>0.015</v>
      </c>
      <c r="I267" s="56" t="n">
        <f aca="false">H267</f>
        <v>0.015</v>
      </c>
      <c r="J267" s="56" t="n">
        <f aca="false">I267</f>
        <v>0.015</v>
      </c>
      <c r="K267" s="56" t="n">
        <f aca="false">J267</f>
        <v>0.015</v>
      </c>
      <c r="L267" s="56" t="n">
        <f aca="false">K267</f>
        <v>0.015</v>
      </c>
      <c r="M267" s="56" t="n">
        <f aca="false">L267</f>
        <v>0.015</v>
      </c>
      <c r="N267" s="56" t="n">
        <f aca="false">M267</f>
        <v>0.015</v>
      </c>
      <c r="O267" s="56" t="n">
        <f aca="false">N267</f>
        <v>0.015</v>
      </c>
      <c r="P267" s="56" t="n">
        <f aca="false">O267</f>
        <v>0.015</v>
      </c>
      <c r="Q267" s="56" t="n">
        <f aca="false">P267</f>
        <v>0.015</v>
      </c>
      <c r="R267" s="56" t="n">
        <f aca="false">Q267</f>
        <v>0.015</v>
      </c>
      <c r="S267" s="56" t="n">
        <f aca="false">R267</f>
        <v>0.015</v>
      </c>
      <c r="T267" s="56" t="n">
        <f aca="false">S267</f>
        <v>0.015</v>
      </c>
      <c r="U267" s="56" t="n">
        <f aca="false">T267</f>
        <v>0.015</v>
      </c>
      <c r="V267" s="56" t="n">
        <f aca="false">U267</f>
        <v>0.015</v>
      </c>
      <c r="W267" s="56" t="n">
        <f aca="false">V267</f>
        <v>0.015</v>
      </c>
      <c r="X267" s="56" t="n">
        <f aca="false">W267</f>
        <v>0.015</v>
      </c>
      <c r="Y267" s="56" t="n">
        <f aca="false">X267</f>
        <v>0.015</v>
      </c>
      <c r="Z267" s="56" t="n">
        <f aca="false">Y267</f>
        <v>0.015</v>
      </c>
      <c r="AA267" s="56" t="n">
        <f aca="false">Z267</f>
        <v>0.015</v>
      </c>
      <c r="AB267" s="56" t="n">
        <f aca="false">AA267</f>
        <v>0.015</v>
      </c>
      <c r="AC267" s="56" t="n">
        <f aca="false">AB267</f>
        <v>0.015</v>
      </c>
      <c r="AD267" s="56" t="n">
        <f aca="false">AC267</f>
        <v>0.015</v>
      </c>
      <c r="AE267" s="56" t="n">
        <f aca="false">AD267</f>
        <v>0.015</v>
      </c>
      <c r="AF267" s="56" t="n">
        <f aca="false">AE267</f>
        <v>0.015</v>
      </c>
      <c r="AG267" s="56" t="n">
        <f aca="false">AF267</f>
        <v>0.015</v>
      </c>
      <c r="AH267" s="56" t="n">
        <f aca="false">AG267</f>
        <v>0.015</v>
      </c>
      <c r="AI267" s="56" t="n">
        <f aca="false">AH267</f>
        <v>0.015</v>
      </c>
      <c r="AJ267" s="56" t="n">
        <f aca="false">AI267</f>
        <v>0.015</v>
      </c>
      <c r="AK267" s="56" t="n">
        <f aca="false">AJ267</f>
        <v>0.015</v>
      </c>
      <c r="AL267" s="56" t="n">
        <f aca="false">AK267</f>
        <v>0.015</v>
      </c>
      <c r="AM267" s="56" t="n">
        <f aca="false">AL267</f>
        <v>0.015</v>
      </c>
      <c r="AN267" s="24"/>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c r="BZ267" s="24"/>
      <c r="CA267" s="24"/>
      <c r="CB267" s="24"/>
      <c r="CC267" s="24"/>
      <c r="CD267" s="24"/>
      <c r="CE267" s="24"/>
      <c r="CF267" s="24"/>
      <c r="CG267" s="24"/>
      <c r="CH267" s="24"/>
      <c r="CI267" s="24"/>
      <c r="CJ267" s="24"/>
      <c r="CK267" s="24"/>
      <c r="CL267" s="24"/>
      <c r="CM267" s="24"/>
      <c r="CN267" s="24"/>
      <c r="CO267" s="24"/>
      <c r="CP267" s="24"/>
      <c r="CQ267" s="24"/>
      <c r="CR267" s="24"/>
      <c r="CS267" s="24"/>
      <c r="CT267" s="24"/>
      <c r="CU267" s="24"/>
      <c r="CV267" s="24"/>
      <c r="CW267" s="24"/>
      <c r="CX267" s="24"/>
      <c r="CY267" s="24"/>
      <c r="CZ267" s="24"/>
      <c r="DA267" s="24"/>
      <c r="DB267" s="24"/>
      <c r="DC267" s="24"/>
      <c r="DD267" s="24"/>
      <c r="DE267" s="24"/>
      <c r="DF267" s="24"/>
      <c r="DG267" s="24"/>
      <c r="DH267" s="24"/>
      <c r="DI267" s="24"/>
      <c r="DJ267" s="24"/>
      <c r="DK267" s="24"/>
      <c r="DL267" s="24"/>
      <c r="DM267" s="24"/>
      <c r="DN267" s="24"/>
      <c r="DO267" s="24"/>
      <c r="DP267" s="24"/>
      <c r="DQ267" s="24"/>
      <c r="DR267" s="24"/>
      <c r="DS267" s="24"/>
      <c r="DT267" s="24"/>
      <c r="DU267" s="24"/>
      <c r="DV267" s="24"/>
      <c r="DW267" s="24"/>
      <c r="DX267" s="24"/>
      <c r="DY267" s="24"/>
      <c r="DZ267" s="24"/>
      <c r="EA267" s="24"/>
      <c r="EB267" s="24"/>
      <c r="EC267" s="24"/>
      <c r="ED267" s="24"/>
      <c r="EE267" s="24"/>
      <c r="EF267" s="24"/>
      <c r="EG267" s="24"/>
      <c r="EH267" s="24"/>
      <c r="EI267" s="24"/>
      <c r="EJ267" s="24"/>
      <c r="EK267" s="24"/>
      <c r="EL267" s="24"/>
      <c r="EM267" s="3"/>
      <c r="EN267" s="3"/>
      <c r="EO267" s="3"/>
      <c r="EP267" s="3"/>
      <c r="EQ267" s="3"/>
      <c r="ER267" s="3"/>
      <c r="ES267" s="3"/>
      <c r="ET267" s="3"/>
      <c r="EU267" s="3"/>
      <c r="EV267" s="3"/>
      <c r="EW267" s="3"/>
      <c r="EX267" s="3"/>
      <c r="EY267" s="3"/>
      <c r="EZ267" s="3"/>
      <c r="FA267" s="3"/>
      <c r="FB267" s="3"/>
      <c r="FC267" s="3"/>
      <c r="FD267" s="3"/>
      <c r="FE267" s="3"/>
      <c r="FF267" s="3"/>
      <c r="FG267" s="3"/>
      <c r="FH267" s="3"/>
      <c r="FI267" s="3"/>
      <c r="FJ267" s="3"/>
      <c r="FK267" s="3"/>
      <c r="FL267" s="3"/>
      <c r="FM267" s="3"/>
      <c r="FN267" s="3"/>
      <c r="FO267" s="3"/>
      <c r="FP267" s="3"/>
      <c r="FQ267" s="3"/>
      <c r="FR267" s="3"/>
      <c r="FS267" s="3"/>
      <c r="FT267" s="3"/>
      <c r="FU267" s="3"/>
      <c r="FV267" s="3"/>
      <c r="FW267" s="3"/>
      <c r="FX267" s="3"/>
      <c r="FY267" s="3"/>
      <c r="FZ267" s="3"/>
      <c r="GA267" s="3"/>
      <c r="GB267" s="3"/>
      <c r="GC267" s="3"/>
      <c r="GD267" s="3"/>
      <c r="GE267" s="3"/>
      <c r="GF267" s="3"/>
      <c r="GG267" s="3"/>
      <c r="GH267" s="3"/>
      <c r="GI267" s="3"/>
      <c r="GJ267" s="3"/>
      <c r="GK267" s="3"/>
      <c r="GL267" s="3"/>
      <c r="GM267" s="3"/>
      <c r="GN267" s="3"/>
      <c r="GO267" s="3"/>
      <c r="GP267" s="3"/>
      <c r="GQ267" s="3"/>
      <c r="GR267" s="3"/>
      <c r="GS267" s="3"/>
      <c r="GT267" s="3"/>
      <c r="GU267" s="3"/>
      <c r="GV267" s="3"/>
      <c r="GW267" s="3"/>
      <c r="GX267" s="3"/>
      <c r="GY267" s="3"/>
      <c r="GZ267" s="3"/>
      <c r="HA267" s="3"/>
      <c r="HB267" s="3"/>
      <c r="HC267" s="3"/>
      <c r="HD267" s="3"/>
      <c r="HE267" s="3"/>
      <c r="HF267" s="3"/>
      <c r="HG267" s="3"/>
      <c r="HH267" s="3"/>
      <c r="HI267" s="3"/>
      <c r="HJ267" s="3"/>
      <c r="HK267" s="3"/>
      <c r="HL267" s="3"/>
      <c r="HM267" s="3"/>
      <c r="HN267" s="3"/>
      <c r="HO267" s="3"/>
      <c r="HP267" s="3"/>
      <c r="HQ267" s="3"/>
      <c r="HR267" s="3"/>
      <c r="HS267" s="3"/>
      <c r="HT267" s="3"/>
      <c r="HU267" s="3"/>
      <c r="HV267" s="3"/>
      <c r="HW267" s="3"/>
      <c r="HX267" s="3"/>
      <c r="HY267" s="3"/>
      <c r="HZ267" s="3"/>
      <c r="IA267" s="3"/>
      <c r="IB267" s="3"/>
      <c r="IC267" s="3"/>
      <c r="ID267" s="3"/>
      <c r="IE267" s="3"/>
      <c r="IF267" s="3"/>
      <c r="IG267" s="3"/>
      <c r="IH267" s="3"/>
      <c r="II267" s="3"/>
      <c r="IJ267" s="3"/>
      <c r="IK267" s="3"/>
      <c r="IL267" s="3"/>
      <c r="IM267" s="3"/>
      <c r="IN267" s="3"/>
      <c r="IO267" s="3"/>
      <c r="IP267" s="3"/>
      <c r="IQ267" s="3"/>
      <c r="IR267" s="3"/>
      <c r="IS267" s="3"/>
      <c r="IT267" s="3"/>
      <c r="IU267" s="3"/>
      <c r="IV267" s="3"/>
      <c r="IW267" s="3"/>
    </row>
    <row r="268" customFormat="false" ht="12.75" hidden="false" customHeight="false" outlineLevel="0" collapsed="false">
      <c r="A268" s="23"/>
      <c r="B268" s="39" t="s">
        <v>353</v>
      </c>
      <c r="C268" s="39"/>
      <c r="D268" s="39"/>
      <c r="E268" s="381" t="n">
        <f aca="false">SUM(E265:E267)</f>
        <v>0.07</v>
      </c>
      <c r="F268" s="381" t="n">
        <f aca="false">SUM(F265:F267)</f>
        <v>0.07</v>
      </c>
      <c r="G268" s="381" t="n">
        <f aca="false">SUM(G265:G267)</f>
        <v>0.07</v>
      </c>
      <c r="H268" s="381" t="n">
        <f aca="false">SUM(H265:H267)</f>
        <v>0.07</v>
      </c>
      <c r="I268" s="381" t="n">
        <f aca="false">SUM(I265:I267)</f>
        <v>0.07</v>
      </c>
      <c r="J268" s="381" t="n">
        <f aca="false">SUM(J265:J267)</f>
        <v>0.07</v>
      </c>
      <c r="K268" s="381" t="n">
        <f aca="false">SUM(K265:K267)</f>
        <v>0.07</v>
      </c>
      <c r="L268" s="381" t="n">
        <f aca="false">SUM(L265:L267)</f>
        <v>0.07</v>
      </c>
      <c r="M268" s="381" t="n">
        <f aca="false">SUM(M265:M267)</f>
        <v>0.07</v>
      </c>
      <c r="N268" s="381" t="n">
        <f aca="false">SUM(N265:N267)</f>
        <v>0.07</v>
      </c>
      <c r="O268" s="381" t="n">
        <f aca="false">SUM(O265:O267)</f>
        <v>0.07</v>
      </c>
      <c r="P268" s="381" t="n">
        <f aca="false">SUM(P265:P267)</f>
        <v>0.07</v>
      </c>
      <c r="Q268" s="381" t="n">
        <f aca="false">SUM(Q265:Q267)</f>
        <v>0.07</v>
      </c>
      <c r="R268" s="381" t="n">
        <f aca="false">SUM(R265:R267)</f>
        <v>0.07</v>
      </c>
      <c r="S268" s="381" t="n">
        <f aca="false">SUM(S265:S267)</f>
        <v>0.07</v>
      </c>
      <c r="T268" s="381" t="n">
        <f aca="false">SUM(T265:T267)</f>
        <v>0.07</v>
      </c>
      <c r="U268" s="381" t="n">
        <f aca="false">SUM(U265:U267)</f>
        <v>0.07</v>
      </c>
      <c r="V268" s="381" t="n">
        <f aca="false">SUM(V265:V267)</f>
        <v>0.07</v>
      </c>
      <c r="W268" s="381" t="n">
        <f aca="false">SUM(W265:W267)</f>
        <v>0.07</v>
      </c>
      <c r="X268" s="381" t="n">
        <f aca="false">SUM(X265:X267)</f>
        <v>0.07</v>
      </c>
      <c r="Y268" s="381" t="n">
        <f aca="false">SUM(Y265:Y267)</f>
        <v>0.07</v>
      </c>
      <c r="Z268" s="381" t="n">
        <f aca="false">SUM(Z265:Z267)</f>
        <v>0.07</v>
      </c>
      <c r="AA268" s="381" t="n">
        <f aca="false">SUM(AA265:AA267)</f>
        <v>0.07</v>
      </c>
      <c r="AB268" s="381" t="n">
        <f aca="false">SUM(AB265:AB267)</f>
        <v>0.07</v>
      </c>
      <c r="AC268" s="381" t="n">
        <f aca="false">SUM(AC265:AC267)</f>
        <v>0.07</v>
      </c>
      <c r="AD268" s="381" t="n">
        <f aca="false">SUM(AD265:AD267)</f>
        <v>0.07</v>
      </c>
      <c r="AE268" s="381" t="n">
        <f aca="false">SUM(AE265:AE267)</f>
        <v>0.07</v>
      </c>
      <c r="AF268" s="381" t="n">
        <f aca="false">SUM(AF265:AF267)</f>
        <v>0.07</v>
      </c>
      <c r="AG268" s="381" t="n">
        <f aca="false">SUM(AG265:AG267)</f>
        <v>0.07</v>
      </c>
      <c r="AH268" s="381" t="n">
        <f aca="false">SUM(AH265:AH267)</f>
        <v>0.07</v>
      </c>
      <c r="AI268" s="381" t="n">
        <f aca="false">SUM(AI265:AI267)</f>
        <v>0.07</v>
      </c>
      <c r="AJ268" s="381" t="n">
        <f aca="false">SUM(AJ265:AJ267)</f>
        <v>0.07</v>
      </c>
      <c r="AK268" s="381" t="n">
        <f aca="false">SUM(AK265:AK267)</f>
        <v>0.07</v>
      </c>
      <c r="AL268" s="381" t="n">
        <f aca="false">SUM(AL265:AL267)</f>
        <v>0.07</v>
      </c>
      <c r="AM268" s="381" t="n">
        <f aca="false">SUM(AM265:AM267)</f>
        <v>0.07</v>
      </c>
      <c r="AN268" s="24"/>
      <c r="AO268" s="24"/>
      <c r="AP268" s="24"/>
      <c r="AQ268" s="24"/>
      <c r="AR268" s="24"/>
      <c r="AS268" s="24"/>
      <c r="AT268" s="24"/>
      <c r="AU268" s="24"/>
      <c r="AV268" s="24"/>
      <c r="AW268" s="24"/>
      <c r="AX268" s="24"/>
      <c r="AY268" s="24"/>
      <c r="AZ268" s="24"/>
      <c r="BA268" s="24"/>
      <c r="BB268" s="24"/>
      <c r="BC268" s="24"/>
      <c r="BD268" s="24"/>
      <c r="BE268" s="24"/>
      <c r="BF268" s="24"/>
      <c r="BG268" s="24"/>
      <c r="BH268" s="24"/>
      <c r="BI268" s="24"/>
      <c r="BJ268" s="24"/>
      <c r="BK268" s="24"/>
      <c r="BL268" s="24"/>
      <c r="BM268" s="24"/>
      <c r="BN268" s="24"/>
      <c r="BO268" s="24"/>
      <c r="BP268" s="24"/>
      <c r="BQ268" s="24"/>
      <c r="BR268" s="24"/>
      <c r="BS268" s="24"/>
      <c r="BT268" s="24"/>
      <c r="BU268" s="24"/>
      <c r="BV268" s="24"/>
      <c r="BW268" s="24"/>
      <c r="BX268" s="24"/>
      <c r="BY268" s="24"/>
      <c r="BZ268" s="24"/>
      <c r="CA268" s="24"/>
      <c r="CB268" s="24"/>
      <c r="CC268" s="24"/>
      <c r="CD268" s="24"/>
      <c r="CE268" s="24"/>
      <c r="CF268" s="24"/>
      <c r="CG268" s="24"/>
      <c r="CH268" s="24"/>
      <c r="CI268" s="24"/>
      <c r="CJ268" s="24"/>
      <c r="CK268" s="24"/>
      <c r="CL268" s="24"/>
      <c r="CM268" s="24"/>
      <c r="CN268" s="24"/>
      <c r="CO268" s="24"/>
      <c r="CP268" s="24"/>
      <c r="CQ268" s="24"/>
      <c r="CR268" s="24"/>
      <c r="CS268" s="24"/>
      <c r="CT268" s="24"/>
      <c r="CU268" s="24"/>
      <c r="CV268" s="24"/>
      <c r="CW268" s="24"/>
      <c r="CX268" s="24"/>
      <c r="CY268" s="24"/>
      <c r="CZ268" s="24"/>
      <c r="DA268" s="24"/>
      <c r="DB268" s="24"/>
      <c r="DC268" s="24"/>
      <c r="DD268" s="24"/>
      <c r="DE268" s="24"/>
      <c r="DF268" s="24"/>
      <c r="DG268" s="24"/>
      <c r="DH268" s="24"/>
      <c r="DI268" s="24"/>
      <c r="DJ268" s="24"/>
      <c r="DK268" s="24"/>
      <c r="DL268" s="24"/>
      <c r="DM268" s="24"/>
      <c r="DN268" s="24"/>
      <c r="DO268" s="24"/>
      <c r="DP268" s="24"/>
      <c r="DQ268" s="24"/>
      <c r="DR268" s="24"/>
      <c r="DS268" s="24"/>
      <c r="DT268" s="24"/>
      <c r="DU268" s="24"/>
      <c r="DV268" s="24"/>
      <c r="DW268" s="24"/>
      <c r="DX268" s="24"/>
      <c r="DY268" s="24"/>
      <c r="DZ268" s="24"/>
      <c r="EA268" s="24"/>
      <c r="EB268" s="24"/>
      <c r="EC268" s="24"/>
      <c r="ED268" s="24"/>
      <c r="EE268" s="24"/>
      <c r="EF268" s="24"/>
      <c r="EG268" s="24"/>
      <c r="EH268" s="24"/>
      <c r="EI268" s="24"/>
      <c r="EJ268" s="24"/>
      <c r="EK268" s="24"/>
      <c r="EL268" s="24"/>
      <c r="EM268" s="3"/>
      <c r="EN268" s="3"/>
      <c r="EO268" s="3"/>
      <c r="EP268" s="3"/>
      <c r="EQ268" s="3"/>
      <c r="ER268" s="3"/>
      <c r="ES268" s="3"/>
      <c r="ET268" s="3"/>
      <c r="EU268" s="3"/>
      <c r="EV268" s="3"/>
      <c r="EW268" s="3"/>
      <c r="EX268" s="3"/>
      <c r="EY268" s="3"/>
      <c r="EZ268" s="3"/>
      <c r="FA268" s="3"/>
      <c r="FB268" s="3"/>
      <c r="FC268" s="3"/>
      <c r="FD268" s="3"/>
      <c r="FE268" s="3"/>
      <c r="FF268" s="3"/>
      <c r="FG268" s="3"/>
      <c r="FH268" s="3"/>
      <c r="FI268" s="3"/>
      <c r="FJ268" s="3"/>
      <c r="FK268" s="3"/>
      <c r="FL268" s="3"/>
      <c r="FM268" s="3"/>
      <c r="FN268" s="3"/>
      <c r="FO268" s="3"/>
      <c r="FP268" s="3"/>
      <c r="FQ268" s="3"/>
      <c r="FR268" s="3"/>
      <c r="FS268" s="3"/>
      <c r="FT268" s="3"/>
      <c r="FU268" s="3"/>
      <c r="FV268" s="3"/>
      <c r="FW268" s="3"/>
      <c r="FX268" s="3"/>
      <c r="FY268" s="3"/>
      <c r="FZ268" s="3"/>
      <c r="GA268" s="3"/>
      <c r="GB268" s="3"/>
      <c r="GC268" s="3"/>
      <c r="GD268" s="3"/>
      <c r="GE268" s="3"/>
      <c r="GF268" s="3"/>
      <c r="GG268" s="3"/>
      <c r="GH268" s="3"/>
      <c r="GI268" s="3"/>
      <c r="GJ268" s="3"/>
      <c r="GK268" s="3"/>
      <c r="GL268" s="3"/>
      <c r="GM268" s="3"/>
      <c r="GN268" s="3"/>
      <c r="GO268" s="3"/>
      <c r="GP268" s="3"/>
      <c r="GQ268" s="3"/>
      <c r="GR268" s="3"/>
      <c r="GS268" s="3"/>
      <c r="GT268" s="3"/>
      <c r="GU268" s="3"/>
      <c r="GV268" s="3"/>
      <c r="GW268" s="3"/>
      <c r="GX268" s="3"/>
      <c r="GY268" s="3"/>
      <c r="GZ268" s="3"/>
      <c r="HA268" s="3"/>
      <c r="HB268" s="3"/>
      <c r="HC268" s="3"/>
      <c r="HD268" s="3"/>
      <c r="HE268" s="3"/>
      <c r="HF268" s="3"/>
      <c r="HG268" s="3"/>
      <c r="HH268" s="3"/>
      <c r="HI268" s="3"/>
      <c r="HJ268" s="3"/>
      <c r="HK268" s="3"/>
      <c r="HL268" s="3"/>
      <c r="HM268" s="3"/>
      <c r="HN268" s="3"/>
      <c r="HO268" s="3"/>
      <c r="HP268" s="3"/>
      <c r="HQ268" s="3"/>
      <c r="HR268" s="3"/>
      <c r="HS268" s="3"/>
      <c r="HT268" s="3"/>
      <c r="HU268" s="3"/>
      <c r="HV268" s="3"/>
      <c r="HW268" s="3"/>
      <c r="HX268" s="3"/>
      <c r="HY268" s="3"/>
      <c r="HZ268" s="3"/>
      <c r="IA268" s="3"/>
      <c r="IB268" s="3"/>
      <c r="IC268" s="3"/>
      <c r="ID268" s="3"/>
      <c r="IE268" s="3"/>
      <c r="IF268" s="3"/>
      <c r="IG268" s="3"/>
      <c r="IH268" s="3"/>
      <c r="II268" s="3"/>
      <c r="IJ268" s="3"/>
      <c r="IK268" s="3"/>
      <c r="IL268" s="3"/>
      <c r="IM268" s="3"/>
      <c r="IN268" s="3"/>
      <c r="IO268" s="3"/>
      <c r="IP268" s="3"/>
      <c r="IQ268" s="3"/>
      <c r="IR268" s="3"/>
      <c r="IS268" s="3"/>
      <c r="IT268" s="3"/>
      <c r="IU268" s="3"/>
      <c r="IV268" s="3"/>
      <c r="IW268" s="3"/>
    </row>
    <row r="269" customFormat="false" ht="12.75" hidden="false" customHeight="false" outlineLevel="0" collapsed="false">
      <c r="A269" s="22"/>
      <c r="B269" s="39"/>
      <c r="C269" s="39"/>
      <c r="D269" s="39"/>
      <c r="E269" s="39"/>
      <c r="F269" s="39"/>
      <c r="G269" s="39"/>
      <c r="H269" s="3"/>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c r="AG269" s="39"/>
      <c r="AH269" s="39"/>
      <c r="AI269" s="39"/>
      <c r="AJ269" s="39"/>
      <c r="AK269" s="39"/>
      <c r="AL269" s="39"/>
      <c r="AM269" s="39"/>
      <c r="AN269" s="22"/>
      <c r="AO269" s="22"/>
      <c r="AP269" s="22"/>
      <c r="AQ269" s="22"/>
      <c r="AR269" s="22"/>
      <c r="AS269" s="22"/>
      <c r="AT269" s="22"/>
      <c r="AU269" s="22"/>
      <c r="AV269" s="22"/>
      <c r="AW269" s="22"/>
      <c r="AX269" s="22"/>
      <c r="AY269" s="22"/>
      <c r="AZ269" s="22"/>
      <c r="BA269" s="22"/>
      <c r="BB269" s="22"/>
      <c r="BC269" s="22"/>
      <c r="BD269" s="22"/>
      <c r="BE269" s="22"/>
      <c r="BF269" s="22"/>
      <c r="BG269" s="22"/>
      <c r="BH269" s="22"/>
      <c r="BI269" s="22"/>
      <c r="BJ269" s="22"/>
      <c r="BK269" s="22"/>
      <c r="BL269" s="22"/>
      <c r="BM269" s="22"/>
      <c r="BN269" s="22"/>
      <c r="BO269" s="22"/>
      <c r="BP269" s="22"/>
      <c r="BQ269" s="22"/>
      <c r="BR269" s="22"/>
      <c r="BS269" s="22"/>
      <c r="BT269" s="22"/>
      <c r="BU269" s="22"/>
      <c r="BV269" s="22"/>
      <c r="BW269" s="22"/>
      <c r="BX269" s="22"/>
      <c r="BY269" s="22"/>
      <c r="BZ269" s="22"/>
      <c r="CA269" s="22"/>
      <c r="CB269" s="22"/>
      <c r="CC269" s="22"/>
      <c r="CD269" s="22"/>
      <c r="CE269" s="22"/>
      <c r="CF269" s="22"/>
      <c r="CG269" s="22"/>
      <c r="CH269" s="22"/>
      <c r="CI269" s="22"/>
      <c r="CJ269" s="22"/>
      <c r="CK269" s="22"/>
      <c r="CL269" s="22"/>
      <c r="CM269" s="22"/>
      <c r="CN269" s="22"/>
      <c r="CO269" s="22"/>
      <c r="CP269" s="22"/>
      <c r="CQ269" s="22"/>
      <c r="CR269" s="22"/>
      <c r="CS269" s="22"/>
      <c r="CT269" s="22"/>
      <c r="CU269" s="22"/>
      <c r="CV269" s="22"/>
      <c r="CW269" s="22"/>
      <c r="CX269" s="22"/>
      <c r="CY269" s="22"/>
      <c r="CZ269" s="22"/>
      <c r="DA269" s="22"/>
      <c r="DB269" s="22"/>
      <c r="DC269" s="22"/>
      <c r="DD269" s="22"/>
      <c r="DE269" s="22"/>
      <c r="DF269" s="22"/>
      <c r="DG269" s="22"/>
      <c r="DH269" s="22"/>
      <c r="DI269" s="22"/>
      <c r="DJ269" s="22"/>
      <c r="DK269" s="22"/>
      <c r="DL269" s="22"/>
      <c r="DM269" s="22"/>
      <c r="DN269" s="22"/>
      <c r="DO269" s="22"/>
      <c r="DP269" s="22"/>
      <c r="DQ269" s="22"/>
      <c r="DR269" s="22"/>
      <c r="DS269" s="22"/>
      <c r="DT269" s="22"/>
      <c r="DU269" s="22"/>
      <c r="DV269" s="22"/>
      <c r="DW269" s="22"/>
      <c r="DX269" s="22"/>
      <c r="DY269" s="22"/>
      <c r="DZ269" s="22"/>
      <c r="EA269" s="22"/>
      <c r="EB269" s="22"/>
      <c r="EC269" s="22"/>
      <c r="ED269" s="22"/>
      <c r="EE269" s="22"/>
      <c r="EF269" s="22"/>
      <c r="EG269" s="22"/>
      <c r="EH269" s="22"/>
      <c r="EI269" s="22"/>
      <c r="EJ269" s="22"/>
      <c r="EK269" s="22"/>
      <c r="EL269" s="22"/>
      <c r="EM269" s="3"/>
      <c r="EN269" s="3"/>
      <c r="EO269" s="3"/>
      <c r="EP269" s="3"/>
      <c r="EQ269" s="3"/>
      <c r="ER269" s="3"/>
      <c r="ES269" s="3"/>
      <c r="ET269" s="3"/>
      <c r="EU269" s="3"/>
      <c r="EV269" s="3"/>
      <c r="EW269" s="3"/>
      <c r="EX269" s="3"/>
      <c r="EY269" s="3"/>
      <c r="EZ269" s="3"/>
      <c r="FA269" s="3"/>
      <c r="FB269" s="3"/>
      <c r="FC269" s="3"/>
      <c r="FD269" s="3"/>
      <c r="FE269" s="3"/>
      <c r="FF269" s="3"/>
      <c r="FG269" s="3"/>
      <c r="FH269" s="3"/>
      <c r="FI269" s="3"/>
      <c r="FJ269" s="3"/>
      <c r="FK269" s="3"/>
      <c r="FL269" s="3"/>
      <c r="FM269" s="3"/>
      <c r="FN269" s="3"/>
      <c r="FO269" s="3"/>
      <c r="FP269" s="3"/>
      <c r="FQ269" s="3"/>
      <c r="FR269" s="3"/>
      <c r="FS269" s="3"/>
      <c r="FT269" s="3"/>
      <c r="FU269" s="3"/>
      <c r="FV269" s="3"/>
      <c r="FW269" s="3"/>
      <c r="FX269" s="3"/>
      <c r="FY269" s="3"/>
      <c r="FZ269" s="3"/>
      <c r="GA269" s="3"/>
      <c r="GB269" s="3"/>
      <c r="GC269" s="3"/>
      <c r="GD269" s="3"/>
      <c r="GE269" s="3"/>
      <c r="GF269" s="3"/>
      <c r="GG269" s="3"/>
      <c r="GH269" s="3"/>
      <c r="GI269" s="3"/>
      <c r="GJ269" s="3"/>
      <c r="GK269" s="3"/>
      <c r="GL269" s="3"/>
      <c r="GM269" s="3"/>
      <c r="GN269" s="3"/>
      <c r="GO269" s="3"/>
      <c r="GP269" s="3"/>
      <c r="GQ269" s="3"/>
      <c r="GR269" s="3"/>
      <c r="GS269" s="3"/>
      <c r="GT269" s="3"/>
      <c r="GU269" s="3"/>
      <c r="GV269" s="3"/>
      <c r="GW269" s="3"/>
      <c r="GX269" s="3"/>
      <c r="GY269" s="3"/>
      <c r="GZ269" s="3"/>
      <c r="HA269" s="3"/>
      <c r="HB269" s="3"/>
      <c r="HC269" s="3"/>
      <c r="HD269" s="3"/>
      <c r="HE269" s="3"/>
      <c r="HF269" s="3"/>
      <c r="HG269" s="3"/>
      <c r="HH269" s="3"/>
      <c r="HI269" s="3"/>
      <c r="HJ269" s="3"/>
      <c r="HK269" s="3"/>
      <c r="HL269" s="3"/>
      <c r="HM269" s="3"/>
      <c r="HN269" s="3"/>
      <c r="HO269" s="3"/>
      <c r="HP269" s="3"/>
      <c r="HQ269" s="3"/>
      <c r="HR269" s="3"/>
      <c r="HS269" s="3"/>
      <c r="HT269" s="3"/>
      <c r="HU269" s="3"/>
      <c r="HV269" s="3"/>
      <c r="HW269" s="3"/>
      <c r="HX269" s="3"/>
      <c r="HY269" s="3"/>
      <c r="HZ269" s="3"/>
      <c r="IA269" s="3"/>
      <c r="IB269" s="3"/>
      <c r="IC269" s="3"/>
      <c r="ID269" s="3"/>
      <c r="IE269" s="3"/>
      <c r="IF269" s="3"/>
      <c r="IG269" s="3"/>
      <c r="IH269" s="3"/>
      <c r="II269" s="3"/>
      <c r="IJ269" s="3"/>
      <c r="IK269" s="3"/>
      <c r="IL269" s="3"/>
      <c r="IM269" s="3"/>
      <c r="IN269" s="3"/>
      <c r="IO269" s="3"/>
      <c r="IP269" s="3"/>
      <c r="IQ269" s="3"/>
      <c r="IR269" s="3"/>
      <c r="IS269" s="3"/>
      <c r="IT269" s="3"/>
      <c r="IU269" s="3"/>
      <c r="IV269" s="3"/>
      <c r="IW269" s="3"/>
    </row>
    <row r="270" customFormat="false" ht="12.75" hidden="false" customHeight="false" outlineLevel="0" collapsed="false">
      <c r="A270" s="23"/>
      <c r="B270" s="39"/>
      <c r="C270" s="39"/>
      <c r="D270" s="39"/>
      <c r="E270" s="325"/>
      <c r="F270" s="325"/>
      <c r="G270" s="325"/>
      <c r="H270" s="325"/>
      <c r="I270" s="325"/>
      <c r="J270" s="325"/>
      <c r="K270" s="325"/>
      <c r="L270" s="325"/>
      <c r="M270" s="325"/>
      <c r="N270" s="325"/>
      <c r="O270" s="325"/>
      <c r="P270" s="325"/>
      <c r="Q270" s="325"/>
      <c r="R270" s="325"/>
      <c r="S270" s="325"/>
      <c r="T270" s="325"/>
      <c r="U270" s="325"/>
      <c r="V270" s="325"/>
      <c r="W270" s="325"/>
      <c r="X270" s="325"/>
      <c r="Y270" s="325"/>
      <c r="Z270" s="325"/>
      <c r="AA270" s="325"/>
      <c r="AB270" s="325"/>
      <c r="AC270" s="325"/>
      <c r="AD270" s="325"/>
      <c r="AE270" s="325"/>
      <c r="AF270" s="325"/>
      <c r="AG270" s="325"/>
      <c r="AH270" s="325"/>
      <c r="AI270" s="325"/>
      <c r="AJ270" s="325"/>
      <c r="AK270" s="325"/>
      <c r="AL270" s="325"/>
      <c r="AM270" s="325"/>
      <c r="AN270" s="23"/>
      <c r="AO270" s="23"/>
      <c r="AP270" s="23"/>
      <c r="AQ270" s="23"/>
      <c r="AR270" s="23"/>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c r="BZ270" s="24"/>
      <c r="CA270" s="24"/>
      <c r="CB270" s="24"/>
      <c r="CC270" s="24"/>
      <c r="CD270" s="24"/>
      <c r="CE270" s="24"/>
      <c r="CF270" s="24"/>
      <c r="CG270" s="24"/>
      <c r="CH270" s="24"/>
      <c r="CI270" s="24"/>
      <c r="CJ270" s="24"/>
      <c r="CK270" s="24"/>
      <c r="CL270" s="24"/>
      <c r="CM270" s="24"/>
      <c r="CN270" s="24"/>
      <c r="CO270" s="24"/>
      <c r="CP270" s="24"/>
      <c r="CQ270" s="24"/>
      <c r="CR270" s="24"/>
      <c r="CS270" s="24"/>
      <c r="CT270" s="24"/>
      <c r="CU270" s="24"/>
      <c r="CV270" s="24"/>
      <c r="CW270" s="24"/>
      <c r="CX270" s="24"/>
      <c r="CY270" s="24"/>
      <c r="CZ270" s="24"/>
      <c r="DA270" s="24"/>
      <c r="DB270" s="24"/>
      <c r="DC270" s="24"/>
      <c r="DD270" s="24"/>
      <c r="DE270" s="24"/>
      <c r="DF270" s="24"/>
      <c r="DG270" s="24"/>
      <c r="DH270" s="24"/>
      <c r="DI270" s="24"/>
      <c r="DJ270" s="24"/>
      <c r="DK270" s="24"/>
      <c r="DL270" s="24"/>
      <c r="DM270" s="24"/>
      <c r="DN270" s="24"/>
      <c r="DO270" s="24"/>
      <c r="DP270" s="24"/>
      <c r="DQ270" s="24"/>
      <c r="DR270" s="24"/>
      <c r="DS270" s="24"/>
      <c r="DT270" s="24"/>
      <c r="DU270" s="24"/>
      <c r="DV270" s="24"/>
      <c r="DW270" s="24"/>
      <c r="DX270" s="24"/>
      <c r="DY270" s="24"/>
      <c r="DZ270" s="24"/>
      <c r="EA270" s="24"/>
      <c r="EB270" s="24"/>
      <c r="EC270" s="24"/>
      <c r="ED270" s="24"/>
      <c r="EE270" s="24"/>
      <c r="EF270" s="24"/>
      <c r="EG270" s="24"/>
      <c r="EH270" s="24"/>
      <c r="EI270" s="24"/>
      <c r="EJ270" s="24"/>
      <c r="EK270" s="24"/>
      <c r="EL270" s="24"/>
      <c r="EM270" s="3"/>
      <c r="EN270" s="3"/>
      <c r="EO270" s="3"/>
      <c r="EP270" s="3"/>
      <c r="EQ270" s="3"/>
      <c r="ER270" s="3"/>
      <c r="ES270" s="3"/>
      <c r="ET270" s="3"/>
      <c r="EU270" s="3"/>
      <c r="EV270" s="3"/>
      <c r="EW270" s="3"/>
      <c r="EX270" s="3"/>
      <c r="EY270" s="3"/>
      <c r="EZ270" s="3"/>
      <c r="FA270" s="3"/>
      <c r="FB270" s="3"/>
      <c r="FC270" s="3"/>
      <c r="FD270" s="3"/>
      <c r="FE270" s="3"/>
      <c r="FF270" s="3"/>
      <c r="FG270" s="3"/>
      <c r="FH270" s="3"/>
      <c r="FI270" s="3"/>
      <c r="FJ270" s="3"/>
      <c r="FK270" s="3"/>
      <c r="FL270" s="3"/>
      <c r="FM270" s="3"/>
      <c r="FN270" s="3"/>
      <c r="FO270" s="3"/>
      <c r="FP270" s="3"/>
      <c r="FQ270" s="3"/>
      <c r="FR270" s="3"/>
      <c r="FS270" s="3"/>
      <c r="FT270" s="3"/>
      <c r="FU270" s="3"/>
      <c r="FV270" s="3"/>
      <c r="FW270" s="3"/>
      <c r="FX270" s="3"/>
      <c r="FY270" s="3"/>
      <c r="FZ270" s="3"/>
      <c r="GA270" s="3"/>
      <c r="GB270" s="3"/>
      <c r="GC270" s="3"/>
      <c r="GD270" s="3"/>
      <c r="GE270" s="3"/>
      <c r="GF270" s="3"/>
      <c r="GG270" s="3"/>
      <c r="GH270" s="3"/>
      <c r="GI270" s="3"/>
      <c r="GJ270" s="3"/>
      <c r="GK270" s="3"/>
      <c r="GL270" s="3"/>
      <c r="GM270" s="3"/>
      <c r="GN270" s="3"/>
      <c r="GO270" s="3"/>
      <c r="GP270" s="3"/>
      <c r="GQ270" s="3"/>
      <c r="GR270" s="3"/>
      <c r="GS270" s="3"/>
      <c r="GT270" s="3"/>
      <c r="GU270" s="3"/>
      <c r="GV270" s="3"/>
      <c r="GW270" s="3"/>
      <c r="GX270" s="3"/>
      <c r="GY270" s="3"/>
      <c r="GZ270" s="3"/>
      <c r="HA270" s="3"/>
      <c r="HB270" s="3"/>
      <c r="HC270" s="3"/>
      <c r="HD270" s="3"/>
      <c r="HE270" s="3"/>
      <c r="HF270" s="3"/>
      <c r="HG270" s="3"/>
      <c r="HH270" s="3"/>
      <c r="HI270" s="3"/>
      <c r="HJ270" s="3"/>
      <c r="HK270" s="3"/>
      <c r="HL270" s="3"/>
      <c r="HM270" s="3"/>
      <c r="HN270" s="3"/>
      <c r="HO270" s="3"/>
      <c r="HP270" s="3"/>
      <c r="HQ270" s="3"/>
      <c r="HR270" s="3"/>
      <c r="HS270" s="3"/>
      <c r="HT270" s="3"/>
      <c r="HU270" s="3"/>
      <c r="HV270" s="3"/>
      <c r="HW270" s="3"/>
      <c r="HX270" s="3"/>
      <c r="HY270" s="3"/>
      <c r="HZ270" s="3"/>
      <c r="IA270" s="3"/>
      <c r="IB270" s="3"/>
      <c r="IC270" s="3"/>
      <c r="ID270" s="3"/>
      <c r="IE270" s="3"/>
      <c r="IF270" s="3"/>
      <c r="IG270" s="3"/>
      <c r="IH270" s="3"/>
      <c r="II270" s="3"/>
      <c r="IJ270" s="3"/>
      <c r="IK270" s="3"/>
      <c r="IL270" s="3"/>
      <c r="IM270" s="3"/>
      <c r="IN270" s="3"/>
      <c r="IO270" s="3"/>
      <c r="IP270" s="3"/>
      <c r="IQ270" s="3"/>
      <c r="IR270" s="3"/>
      <c r="IS270" s="3"/>
      <c r="IT270" s="3"/>
      <c r="IU270" s="3"/>
      <c r="IV270" s="3"/>
      <c r="IW270" s="3"/>
    </row>
    <row r="271" customFormat="false" ht="12.75" hidden="false" customHeight="false" outlineLevel="0" collapsed="false">
      <c r="A271" s="23"/>
      <c r="B271" s="22"/>
      <c r="C271" s="22"/>
      <c r="D271" s="22"/>
      <c r="E271" s="3"/>
      <c r="F271" s="22"/>
      <c r="G271" s="23"/>
      <c r="H271" s="24"/>
      <c r="I271" s="24"/>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c r="BK271" s="24"/>
      <c r="BL271" s="24"/>
      <c r="BM271" s="24"/>
      <c r="BN271" s="24"/>
      <c r="BO271" s="24"/>
      <c r="BP271" s="24"/>
      <c r="BQ271" s="24"/>
      <c r="BR271" s="24"/>
      <c r="BS271" s="24"/>
      <c r="BT271" s="24"/>
      <c r="BU271" s="24"/>
      <c r="BV271" s="24"/>
      <c r="BW271" s="24"/>
      <c r="BX271" s="24"/>
      <c r="BY271" s="24"/>
      <c r="BZ271" s="24"/>
      <c r="CA271" s="24"/>
      <c r="CB271" s="24"/>
      <c r="CC271" s="24"/>
      <c r="CD271" s="24"/>
      <c r="CE271" s="24"/>
      <c r="CF271" s="24"/>
      <c r="CG271" s="24"/>
      <c r="CH271" s="24"/>
      <c r="CI271" s="24"/>
      <c r="CJ271" s="24"/>
      <c r="CK271" s="24"/>
      <c r="CL271" s="24"/>
      <c r="CM271" s="24"/>
      <c r="CN271" s="24"/>
      <c r="CO271" s="24"/>
      <c r="CP271" s="24"/>
      <c r="CQ271" s="24"/>
      <c r="CR271" s="24"/>
      <c r="CS271" s="24"/>
      <c r="CT271" s="24"/>
      <c r="CU271" s="24"/>
      <c r="CV271" s="24"/>
      <c r="CW271" s="24"/>
      <c r="CX271" s="24"/>
      <c r="CY271" s="24"/>
      <c r="CZ271" s="24"/>
      <c r="DA271" s="24"/>
      <c r="DB271" s="24"/>
      <c r="DC271" s="24"/>
      <c r="DD271" s="24"/>
      <c r="DE271" s="24"/>
      <c r="DF271" s="24"/>
      <c r="DG271" s="24"/>
      <c r="DH271" s="24"/>
      <c r="DI271" s="24"/>
      <c r="DJ271" s="24"/>
      <c r="DK271" s="24"/>
      <c r="DL271" s="24"/>
      <c r="DM271" s="24"/>
      <c r="DN271" s="24"/>
      <c r="DO271" s="24"/>
      <c r="DP271" s="24"/>
      <c r="DQ271" s="24"/>
      <c r="DR271" s="24"/>
      <c r="DS271" s="24"/>
      <c r="DT271" s="24"/>
      <c r="DU271" s="24"/>
      <c r="DV271" s="24"/>
      <c r="DW271" s="24"/>
      <c r="DX271" s="24"/>
      <c r="DY271" s="24"/>
      <c r="DZ271" s="24"/>
      <c r="EA271" s="24"/>
      <c r="EB271" s="24"/>
      <c r="EC271" s="24"/>
      <c r="ED271" s="24"/>
      <c r="EE271" s="24"/>
      <c r="EF271" s="24"/>
      <c r="EG271" s="24"/>
      <c r="EH271" s="24"/>
      <c r="EI271" s="24"/>
      <c r="EJ271" s="24"/>
      <c r="EK271" s="24"/>
      <c r="EL271" s="24"/>
      <c r="EM271" s="3"/>
      <c r="EN271" s="3"/>
      <c r="EO271" s="3"/>
      <c r="EP271" s="3"/>
      <c r="EQ271" s="3"/>
      <c r="ER271" s="3"/>
      <c r="ES271" s="3"/>
      <c r="ET271" s="3"/>
      <c r="EU271" s="3"/>
      <c r="EV271" s="3"/>
      <c r="EW271" s="3"/>
      <c r="EX271" s="3"/>
      <c r="EY271" s="3"/>
      <c r="EZ271" s="3"/>
      <c r="FA271" s="3"/>
      <c r="FB271" s="3"/>
      <c r="FC271" s="3"/>
      <c r="FD271" s="3"/>
      <c r="FE271" s="3"/>
      <c r="FF271" s="3"/>
      <c r="FG271" s="3"/>
      <c r="FH271" s="3"/>
      <c r="FI271" s="3"/>
      <c r="FJ271" s="3"/>
      <c r="FK271" s="3"/>
      <c r="FL271" s="3"/>
      <c r="FM271" s="3"/>
      <c r="FN271" s="3"/>
      <c r="FO271" s="3"/>
      <c r="FP271" s="3"/>
      <c r="FQ271" s="3"/>
      <c r="FR271" s="3"/>
      <c r="FS271" s="3"/>
      <c r="FT271" s="3"/>
      <c r="FU271" s="3"/>
      <c r="FV271" s="3"/>
      <c r="FW271" s="3"/>
      <c r="FX271" s="3"/>
      <c r="FY271" s="3"/>
      <c r="FZ271" s="3"/>
      <c r="GA271" s="3"/>
      <c r="GB271" s="3"/>
      <c r="GC271" s="3"/>
      <c r="GD271" s="3"/>
      <c r="GE271" s="3"/>
      <c r="GF271" s="3"/>
      <c r="GG271" s="3"/>
      <c r="GH271" s="3"/>
      <c r="GI271" s="3"/>
      <c r="GJ271" s="3"/>
      <c r="GK271" s="3"/>
      <c r="GL271" s="3"/>
      <c r="GM271" s="3"/>
      <c r="GN271" s="3"/>
      <c r="GO271" s="3"/>
      <c r="GP271" s="3"/>
      <c r="GQ271" s="3"/>
      <c r="GR271" s="3"/>
      <c r="GS271" s="3"/>
      <c r="GT271" s="3"/>
      <c r="GU271" s="3"/>
      <c r="GV271" s="3"/>
      <c r="GW271" s="3"/>
      <c r="GX271" s="3"/>
      <c r="GY271" s="3"/>
      <c r="GZ271" s="3"/>
      <c r="HA271" s="3"/>
      <c r="HB271" s="3"/>
      <c r="HC271" s="3"/>
      <c r="HD271" s="3"/>
      <c r="HE271" s="3"/>
      <c r="HF271" s="3"/>
      <c r="HG271" s="3"/>
      <c r="HH271" s="3"/>
      <c r="HI271" s="3"/>
      <c r="HJ271" s="3"/>
      <c r="HK271" s="3"/>
      <c r="HL271" s="3"/>
      <c r="HM271" s="3"/>
      <c r="HN271" s="3"/>
      <c r="HO271" s="3"/>
      <c r="HP271" s="3"/>
      <c r="HQ271" s="3"/>
      <c r="HR271" s="3"/>
      <c r="HS271" s="3"/>
      <c r="HT271" s="3"/>
      <c r="HU271" s="3"/>
      <c r="HV271" s="3"/>
      <c r="HW271" s="3"/>
      <c r="HX271" s="3"/>
      <c r="HY271" s="3"/>
      <c r="HZ271" s="3"/>
      <c r="IA271" s="3"/>
      <c r="IB271" s="3"/>
      <c r="IC271" s="3"/>
      <c r="ID271" s="3"/>
      <c r="IE271" s="3"/>
      <c r="IF271" s="3"/>
      <c r="IG271" s="3"/>
      <c r="IH271" s="3"/>
      <c r="II271" s="3"/>
      <c r="IJ271" s="3"/>
      <c r="IK271" s="3"/>
      <c r="IL271" s="3"/>
      <c r="IM271" s="3"/>
      <c r="IN271" s="3"/>
      <c r="IO271" s="3"/>
      <c r="IP271" s="3"/>
      <c r="IQ271" s="3"/>
      <c r="IR271" s="3"/>
      <c r="IS271" s="3"/>
      <c r="IT271" s="3"/>
      <c r="IU271" s="3"/>
      <c r="IV271" s="3"/>
      <c r="IW271" s="3"/>
    </row>
    <row r="272" customFormat="false" ht="13.5" hidden="false" customHeight="false" outlineLevel="0" collapsed="false">
      <c r="A272" s="23"/>
      <c r="B272" s="45" t="s">
        <v>359</v>
      </c>
      <c r="C272" s="45"/>
      <c r="D272" s="22"/>
      <c r="E272" s="3"/>
      <c r="F272" s="22"/>
      <c r="G272" s="23"/>
      <c r="H272" s="24"/>
      <c r="I272" s="24"/>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c r="BH272" s="24"/>
      <c r="BI272" s="24"/>
      <c r="BJ272" s="24"/>
      <c r="BK272" s="24"/>
      <c r="BL272" s="24"/>
      <c r="BM272" s="24"/>
      <c r="BN272" s="24"/>
      <c r="BO272" s="24"/>
      <c r="BP272" s="24"/>
      <c r="BQ272" s="24"/>
      <c r="BR272" s="24"/>
      <c r="BS272" s="24"/>
      <c r="BT272" s="24"/>
      <c r="BU272" s="24"/>
      <c r="BV272" s="24"/>
      <c r="BW272" s="24"/>
      <c r="BX272" s="24"/>
      <c r="BY272" s="24"/>
      <c r="BZ272" s="24"/>
      <c r="CA272" s="24"/>
      <c r="CB272" s="24"/>
      <c r="CC272" s="24"/>
      <c r="CD272" s="24"/>
      <c r="CE272" s="24"/>
      <c r="CF272" s="24"/>
      <c r="CG272" s="24"/>
      <c r="CH272" s="24"/>
      <c r="CI272" s="24"/>
      <c r="CJ272" s="24"/>
      <c r="CK272" s="24"/>
      <c r="CL272" s="24"/>
      <c r="CM272" s="24"/>
      <c r="CN272" s="24"/>
      <c r="CO272" s="24"/>
      <c r="CP272" s="24"/>
      <c r="CQ272" s="24"/>
      <c r="CR272" s="24"/>
      <c r="CS272" s="24"/>
      <c r="CT272" s="24"/>
      <c r="CU272" s="24"/>
      <c r="CV272" s="24"/>
      <c r="CW272" s="24"/>
      <c r="CX272" s="24"/>
      <c r="CY272" s="24"/>
      <c r="CZ272" s="24"/>
      <c r="DA272" s="24"/>
      <c r="DB272" s="24"/>
      <c r="DC272" s="24"/>
      <c r="DD272" s="24"/>
      <c r="DE272" s="24"/>
      <c r="DF272" s="24"/>
      <c r="DG272" s="24"/>
      <c r="DH272" s="24"/>
      <c r="DI272" s="24"/>
      <c r="DJ272" s="24"/>
      <c r="DK272" s="24"/>
      <c r="DL272" s="24"/>
      <c r="DM272" s="24"/>
      <c r="DN272" s="24"/>
      <c r="DO272" s="24"/>
      <c r="DP272" s="24"/>
      <c r="DQ272" s="24"/>
      <c r="DR272" s="24"/>
      <c r="DS272" s="24"/>
      <c r="DT272" s="24"/>
      <c r="DU272" s="24"/>
      <c r="DV272" s="24"/>
      <c r="DW272" s="24"/>
      <c r="DX272" s="24"/>
      <c r="DY272" s="24"/>
      <c r="DZ272" s="24"/>
      <c r="EA272" s="24"/>
      <c r="EB272" s="24"/>
      <c r="EC272" s="24"/>
      <c r="ED272" s="24"/>
      <c r="EE272" s="24"/>
      <c r="EF272" s="24"/>
      <c r="EG272" s="24"/>
      <c r="EH272" s="24"/>
      <c r="EI272" s="24"/>
      <c r="EJ272" s="24"/>
      <c r="EK272" s="24"/>
      <c r="EL272" s="24"/>
      <c r="EM272" s="3"/>
      <c r="EN272" s="3"/>
      <c r="EO272" s="3"/>
      <c r="EP272" s="3"/>
      <c r="EQ272" s="3"/>
      <c r="ER272" s="3"/>
      <c r="ES272" s="3"/>
      <c r="ET272" s="3"/>
      <c r="EU272" s="3"/>
      <c r="EV272" s="3"/>
      <c r="EW272" s="3"/>
      <c r="EX272" s="3"/>
      <c r="EY272" s="3"/>
      <c r="EZ272" s="3"/>
      <c r="FA272" s="3"/>
      <c r="FB272" s="3"/>
      <c r="FC272" s="3"/>
      <c r="FD272" s="3"/>
      <c r="FE272" s="3"/>
      <c r="FF272" s="3"/>
      <c r="FG272" s="3"/>
      <c r="FH272" s="3"/>
      <c r="FI272" s="3"/>
      <c r="FJ272" s="3"/>
      <c r="FK272" s="3"/>
      <c r="FL272" s="3"/>
      <c r="FM272" s="3"/>
      <c r="FN272" s="3"/>
      <c r="FO272" s="3"/>
      <c r="FP272" s="3"/>
      <c r="FQ272" s="3"/>
      <c r="FR272" s="3"/>
      <c r="FS272" s="3"/>
      <c r="FT272" s="3"/>
      <c r="FU272" s="3"/>
      <c r="FV272" s="3"/>
      <c r="FW272" s="3"/>
      <c r="FX272" s="3"/>
      <c r="FY272" s="3"/>
      <c r="FZ272" s="3"/>
      <c r="GA272" s="3"/>
      <c r="GB272" s="3"/>
      <c r="GC272" s="3"/>
      <c r="GD272" s="3"/>
      <c r="GE272" s="3"/>
      <c r="GF272" s="3"/>
      <c r="GG272" s="3"/>
      <c r="GH272" s="3"/>
      <c r="GI272" s="3"/>
      <c r="GJ272" s="3"/>
      <c r="GK272" s="3"/>
      <c r="GL272" s="3"/>
      <c r="GM272" s="3"/>
      <c r="GN272" s="3"/>
      <c r="GO272" s="3"/>
      <c r="GP272" s="3"/>
      <c r="GQ272" s="3"/>
      <c r="GR272" s="3"/>
      <c r="GS272" s="3"/>
      <c r="GT272" s="3"/>
      <c r="GU272" s="3"/>
      <c r="GV272" s="3"/>
      <c r="GW272" s="3"/>
      <c r="GX272" s="3"/>
      <c r="GY272" s="3"/>
      <c r="GZ272" s="3"/>
      <c r="HA272" s="3"/>
      <c r="HB272" s="3"/>
      <c r="HC272" s="3"/>
      <c r="HD272" s="3"/>
      <c r="HE272" s="3"/>
      <c r="HF272" s="3"/>
      <c r="HG272" s="3"/>
      <c r="HH272" s="3"/>
      <c r="HI272" s="3"/>
      <c r="HJ272" s="3"/>
      <c r="HK272" s="3"/>
      <c r="HL272" s="3"/>
      <c r="HM272" s="3"/>
      <c r="HN272" s="3"/>
      <c r="HO272" s="3"/>
      <c r="HP272" s="3"/>
      <c r="HQ272" s="3"/>
      <c r="HR272" s="3"/>
      <c r="HS272" s="3"/>
      <c r="HT272" s="3"/>
      <c r="HU272" s="3"/>
      <c r="HV272" s="3"/>
      <c r="HW272" s="3"/>
      <c r="HX272" s="3"/>
      <c r="HY272" s="3"/>
      <c r="HZ272" s="3"/>
      <c r="IA272" s="3"/>
      <c r="IB272" s="3"/>
      <c r="IC272" s="3"/>
      <c r="ID272" s="3"/>
      <c r="IE272" s="3"/>
      <c r="IF272" s="3"/>
      <c r="IG272" s="3"/>
      <c r="IH272" s="3"/>
      <c r="II272" s="3"/>
      <c r="IJ272" s="3"/>
      <c r="IK272" s="3"/>
      <c r="IL272" s="3"/>
      <c r="IM272" s="3"/>
      <c r="IN272" s="3"/>
      <c r="IO272" s="3"/>
      <c r="IP272" s="3"/>
      <c r="IQ272" s="3"/>
      <c r="IR272" s="3"/>
      <c r="IS272" s="3"/>
      <c r="IT272" s="3"/>
      <c r="IU272" s="3"/>
      <c r="IV272" s="3"/>
      <c r="IW272" s="3"/>
    </row>
    <row r="273" customFormat="false" ht="12.75" hidden="false" customHeight="false" outlineLevel="0" collapsed="false">
      <c r="A273" s="23"/>
      <c r="B273" s="343" t="str">
        <f aca="false">IF(E274&gt;E283+0.5,"----  DEBT OVERLOADED ----","")</f>
        <v/>
      </c>
      <c r="C273" s="387"/>
      <c r="D273" s="388"/>
      <c r="E273" s="389" t="str">
        <f aca="false">HLOOKUP($E$283,JR_COVRATIO,3)</f>
        <v/>
      </c>
      <c r="F273" s="389" t="str">
        <f aca="false">HLOOKUP($E$283+1,JR_COVRATIO,3)</f>
        <v/>
      </c>
      <c r="G273" s="390" t="s">
        <v>360</v>
      </c>
      <c r="H273" s="24"/>
      <c r="I273" s="24"/>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c r="BH273" s="24"/>
      <c r="BI273" s="24"/>
      <c r="BJ273" s="24"/>
      <c r="BK273" s="24"/>
      <c r="BL273" s="24"/>
      <c r="BM273" s="24"/>
      <c r="BN273" s="24"/>
      <c r="BO273" s="24"/>
      <c r="BP273" s="24"/>
      <c r="BQ273" s="24"/>
      <c r="BR273" s="24"/>
      <c r="BS273" s="24"/>
      <c r="BT273" s="24"/>
      <c r="BU273" s="24"/>
      <c r="BV273" s="24"/>
      <c r="BW273" s="24"/>
      <c r="BX273" s="24"/>
      <c r="BY273" s="24"/>
      <c r="BZ273" s="24"/>
      <c r="CA273" s="24"/>
      <c r="CB273" s="24"/>
      <c r="CC273" s="24"/>
      <c r="CD273" s="24"/>
      <c r="CE273" s="24"/>
      <c r="CF273" s="24"/>
      <c r="CG273" s="24"/>
      <c r="CH273" s="24"/>
      <c r="CI273" s="24"/>
      <c r="CJ273" s="24"/>
      <c r="CK273" s="24"/>
      <c r="CL273" s="24"/>
      <c r="CM273" s="24"/>
      <c r="CN273" s="24"/>
      <c r="CO273" s="24"/>
      <c r="CP273" s="24"/>
      <c r="CQ273" s="24"/>
      <c r="CR273" s="24"/>
      <c r="CS273" s="24"/>
      <c r="CT273" s="24"/>
      <c r="CU273" s="24"/>
      <c r="CV273" s="24"/>
      <c r="CW273" s="24"/>
      <c r="CX273" s="24"/>
      <c r="CY273" s="24"/>
      <c r="CZ273" s="24"/>
      <c r="DA273" s="24"/>
      <c r="DB273" s="24"/>
      <c r="DC273" s="24"/>
      <c r="DD273" s="24"/>
      <c r="DE273" s="24"/>
      <c r="DF273" s="24"/>
      <c r="DG273" s="24"/>
      <c r="DH273" s="24"/>
      <c r="DI273" s="24"/>
      <c r="DJ273" s="24"/>
      <c r="DK273" s="24"/>
      <c r="DL273" s="24"/>
      <c r="DM273" s="24"/>
      <c r="DN273" s="24"/>
      <c r="DO273" s="24"/>
      <c r="DP273" s="24"/>
      <c r="DQ273" s="24"/>
      <c r="DR273" s="24"/>
      <c r="DS273" s="24"/>
      <c r="DT273" s="24"/>
      <c r="DU273" s="24"/>
      <c r="DV273" s="24"/>
      <c r="DW273" s="24"/>
      <c r="DX273" s="24"/>
      <c r="DY273" s="24"/>
      <c r="DZ273" s="24"/>
      <c r="EA273" s="24"/>
      <c r="EB273" s="24"/>
      <c r="EC273" s="24"/>
      <c r="ED273" s="24"/>
      <c r="EE273" s="24"/>
      <c r="EF273" s="24"/>
      <c r="EG273" s="24"/>
      <c r="EH273" s="24"/>
      <c r="EI273" s="24"/>
      <c r="EJ273" s="24"/>
      <c r="EK273" s="24"/>
      <c r="EL273" s="24"/>
      <c r="EM273" s="3"/>
      <c r="EN273" s="3"/>
      <c r="EO273" s="3"/>
      <c r="EP273" s="3"/>
      <c r="EQ273" s="3"/>
      <c r="ER273" s="3"/>
      <c r="ES273" s="3"/>
      <c r="ET273" s="3"/>
      <c r="EU273" s="3"/>
      <c r="EV273" s="3"/>
      <c r="EW273" s="3"/>
      <c r="EX273" s="3"/>
      <c r="EY273" s="3"/>
      <c r="EZ273" s="3"/>
      <c r="FA273" s="3"/>
      <c r="FB273" s="3"/>
      <c r="FC273" s="3"/>
      <c r="FD273" s="3"/>
      <c r="FE273" s="3"/>
      <c r="FF273" s="3"/>
      <c r="FG273" s="3"/>
      <c r="FH273" s="3"/>
      <c r="FI273" s="3"/>
      <c r="FJ273" s="3"/>
      <c r="FK273" s="3"/>
      <c r="FL273" s="3"/>
      <c r="FM273" s="3"/>
      <c r="FN273" s="3"/>
      <c r="FO273" s="3"/>
      <c r="FP273" s="3"/>
      <c r="FQ273" s="3"/>
      <c r="FR273" s="3"/>
      <c r="FS273" s="3"/>
      <c r="FT273" s="3"/>
      <c r="FU273" s="3"/>
      <c r="FV273" s="3"/>
      <c r="FW273" s="3"/>
      <c r="FX273" s="3"/>
      <c r="FY273" s="3"/>
      <c r="FZ273" s="3"/>
      <c r="GA273" s="3"/>
      <c r="GB273" s="3"/>
      <c r="GC273" s="3"/>
      <c r="GD273" s="3"/>
      <c r="GE273" s="3"/>
      <c r="GF273" s="3"/>
      <c r="GG273" s="3"/>
      <c r="GH273" s="3"/>
      <c r="GI273" s="3"/>
      <c r="GJ273" s="3"/>
      <c r="GK273" s="3"/>
      <c r="GL273" s="3"/>
      <c r="GM273" s="3"/>
      <c r="GN273" s="3"/>
      <c r="GO273" s="3"/>
      <c r="GP273" s="3"/>
      <c r="GQ273" s="3"/>
      <c r="GR273" s="3"/>
      <c r="GS273" s="3"/>
      <c r="GT273" s="3"/>
      <c r="GU273" s="3"/>
      <c r="GV273" s="3"/>
      <c r="GW273" s="3"/>
      <c r="GX273" s="3"/>
      <c r="GY273" s="3"/>
      <c r="GZ273" s="3"/>
      <c r="HA273" s="3"/>
      <c r="HB273" s="3"/>
      <c r="HC273" s="3"/>
      <c r="HD273" s="3"/>
      <c r="HE273" s="3"/>
      <c r="HF273" s="3"/>
      <c r="HG273" s="3"/>
      <c r="HH273" s="3"/>
      <c r="HI273" s="3"/>
      <c r="HJ273" s="3"/>
      <c r="HK273" s="3"/>
      <c r="HL273" s="3"/>
      <c r="HM273" s="3"/>
      <c r="HN273" s="3"/>
      <c r="HO273" s="3"/>
      <c r="HP273" s="3"/>
      <c r="HQ273" s="3"/>
      <c r="HR273" s="3"/>
      <c r="HS273" s="3"/>
      <c r="HT273" s="3"/>
      <c r="HU273" s="3"/>
      <c r="HV273" s="3"/>
      <c r="HW273" s="3"/>
      <c r="HX273" s="3"/>
      <c r="HY273" s="3"/>
      <c r="HZ273" s="3"/>
      <c r="IA273" s="3"/>
      <c r="IB273" s="3"/>
      <c r="IC273" s="3"/>
      <c r="ID273" s="3"/>
      <c r="IE273" s="3"/>
      <c r="IF273" s="3"/>
      <c r="IG273" s="3"/>
      <c r="IH273" s="3"/>
      <c r="II273" s="3"/>
      <c r="IJ273" s="3"/>
      <c r="IK273" s="3"/>
      <c r="IL273" s="3"/>
      <c r="IM273" s="3"/>
      <c r="IN273" s="3"/>
      <c r="IO273" s="3"/>
      <c r="IP273" s="3"/>
      <c r="IQ273" s="3"/>
      <c r="IR273" s="3"/>
      <c r="IS273" s="3"/>
      <c r="IT273" s="3"/>
      <c r="IU273" s="3"/>
      <c r="IV273" s="3"/>
      <c r="IW273" s="3"/>
    </row>
    <row r="274" customFormat="false" ht="12.75" hidden="false" customHeight="false" outlineLevel="0" collapsed="false">
      <c r="A274" s="23"/>
      <c r="B274" s="348" t="s">
        <v>361</v>
      </c>
      <c r="C274" s="349" t="n">
        <f aca="false">JrDebt!C70</f>
        <v>0</v>
      </c>
      <c r="D274" s="391"/>
      <c r="E274" s="392" t="n">
        <f aca="false">JrDebt!G38</f>
        <v>0</v>
      </c>
      <c r="F274" s="383"/>
      <c r="G274" s="393" t="s">
        <v>362</v>
      </c>
      <c r="H274" s="24"/>
      <c r="I274" s="24"/>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c r="BH274" s="24"/>
      <c r="BI274" s="24"/>
      <c r="BJ274" s="24"/>
      <c r="BK274" s="24"/>
      <c r="BL274" s="24"/>
      <c r="BM274" s="24"/>
      <c r="BN274" s="24"/>
      <c r="BO274" s="24"/>
      <c r="BP274" s="24"/>
      <c r="BQ274" s="24"/>
      <c r="BR274" s="24"/>
      <c r="BS274" s="24"/>
      <c r="BT274" s="24"/>
      <c r="BU274" s="24"/>
      <c r="BV274" s="24"/>
      <c r="BW274" s="24"/>
      <c r="BX274" s="24"/>
      <c r="BY274" s="24"/>
      <c r="BZ274" s="24"/>
      <c r="CA274" s="24"/>
      <c r="CB274" s="24"/>
      <c r="CC274" s="24"/>
      <c r="CD274" s="24"/>
      <c r="CE274" s="24"/>
      <c r="CF274" s="24"/>
      <c r="CG274" s="24"/>
      <c r="CH274" s="24"/>
      <c r="CI274" s="24"/>
      <c r="CJ274" s="24"/>
      <c r="CK274" s="24"/>
      <c r="CL274" s="24"/>
      <c r="CM274" s="24"/>
      <c r="CN274" s="24"/>
      <c r="CO274" s="24"/>
      <c r="CP274" s="24"/>
      <c r="CQ274" s="24"/>
      <c r="CR274" s="24"/>
      <c r="CS274" s="24"/>
      <c r="CT274" s="24"/>
      <c r="CU274" s="24"/>
      <c r="CV274" s="24"/>
      <c r="CW274" s="24"/>
      <c r="CX274" s="24"/>
      <c r="CY274" s="24"/>
      <c r="CZ274" s="24"/>
      <c r="DA274" s="24"/>
      <c r="DB274" s="24"/>
      <c r="DC274" s="24"/>
      <c r="DD274" s="24"/>
      <c r="DE274" s="24"/>
      <c r="DF274" s="24"/>
      <c r="DG274" s="24"/>
      <c r="DH274" s="24"/>
      <c r="DI274" s="24"/>
      <c r="DJ274" s="24"/>
      <c r="DK274" s="24"/>
      <c r="DL274" s="24"/>
      <c r="DM274" s="24"/>
      <c r="DN274" s="24"/>
      <c r="DO274" s="24"/>
      <c r="DP274" s="24"/>
      <c r="DQ274" s="24"/>
      <c r="DR274" s="24"/>
      <c r="DS274" s="24"/>
      <c r="DT274" s="24"/>
      <c r="DU274" s="24"/>
      <c r="DV274" s="24"/>
      <c r="DW274" s="24"/>
      <c r="DX274" s="24"/>
      <c r="DY274" s="24"/>
      <c r="DZ274" s="24"/>
      <c r="EA274" s="24"/>
      <c r="EB274" s="24"/>
      <c r="EC274" s="24"/>
      <c r="ED274" s="24"/>
      <c r="EE274" s="24"/>
      <c r="EF274" s="24"/>
      <c r="EG274" s="24"/>
      <c r="EH274" s="24"/>
      <c r="EI274" s="24"/>
      <c r="EJ274" s="24"/>
      <c r="EK274" s="24"/>
      <c r="EL274" s="24"/>
      <c r="EM274" s="3"/>
      <c r="EN274" s="3"/>
      <c r="EO274" s="3"/>
      <c r="EP274" s="3"/>
      <c r="EQ274" s="3"/>
      <c r="ER274" s="3"/>
      <c r="ES274" s="3"/>
      <c r="ET274" s="3"/>
      <c r="EU274" s="3"/>
      <c r="EV274" s="3"/>
      <c r="EW274" s="3"/>
      <c r="EX274" s="3"/>
      <c r="EY274" s="3"/>
      <c r="EZ274" s="3"/>
      <c r="FA274" s="3"/>
      <c r="FB274" s="3"/>
      <c r="FC274" s="3"/>
      <c r="FD274" s="3"/>
      <c r="FE274" s="3"/>
      <c r="FF274" s="3"/>
      <c r="FG274" s="3"/>
      <c r="FH274" s="3"/>
      <c r="FI274" s="3"/>
      <c r="FJ274" s="3"/>
      <c r="FK274" s="3"/>
      <c r="FL274" s="3"/>
      <c r="FM274" s="3"/>
      <c r="FN274" s="3"/>
      <c r="FO274" s="3"/>
      <c r="FP274" s="3"/>
      <c r="FQ274" s="3"/>
      <c r="FR274" s="3"/>
      <c r="FS274" s="3"/>
      <c r="FT274" s="3"/>
      <c r="FU274" s="3"/>
      <c r="FV274" s="3"/>
      <c r="FW274" s="3"/>
      <c r="FX274" s="3"/>
      <c r="FY274" s="3"/>
      <c r="FZ274" s="3"/>
      <c r="GA274" s="3"/>
      <c r="GB274" s="3"/>
      <c r="GC274" s="3"/>
      <c r="GD274" s="3"/>
      <c r="GE274" s="3"/>
      <c r="GF274" s="3"/>
      <c r="GG274" s="3"/>
      <c r="GH274" s="3"/>
      <c r="GI274" s="3"/>
      <c r="GJ274" s="3"/>
      <c r="GK274" s="3"/>
      <c r="GL274" s="3"/>
      <c r="GM274" s="3"/>
      <c r="GN274" s="3"/>
      <c r="GO274" s="3"/>
      <c r="GP274" s="3"/>
      <c r="GQ274" s="3"/>
      <c r="GR274" s="3"/>
      <c r="GS274" s="3"/>
      <c r="GT274" s="3"/>
      <c r="GU274" s="3"/>
      <c r="GV274" s="3"/>
      <c r="GW274" s="3"/>
      <c r="GX274" s="3"/>
      <c r="GY274" s="3"/>
      <c r="GZ274" s="3"/>
      <c r="HA274" s="3"/>
      <c r="HB274" s="3"/>
      <c r="HC274" s="3"/>
      <c r="HD274" s="3"/>
      <c r="HE274" s="3"/>
      <c r="HF274" s="3"/>
      <c r="HG274" s="3"/>
      <c r="HH274" s="3"/>
      <c r="HI274" s="3"/>
      <c r="HJ274" s="3"/>
      <c r="HK274" s="3"/>
      <c r="HL274" s="3"/>
      <c r="HM274" s="3"/>
      <c r="HN274" s="3"/>
      <c r="HO274" s="3"/>
      <c r="HP274" s="3"/>
      <c r="HQ274" s="3"/>
      <c r="HR274" s="3"/>
      <c r="HS274" s="3"/>
      <c r="HT274" s="3"/>
      <c r="HU274" s="3"/>
      <c r="HV274" s="3"/>
      <c r="HW274" s="3"/>
      <c r="HX274" s="3"/>
      <c r="HY274" s="3"/>
      <c r="HZ274" s="3"/>
      <c r="IA274" s="3"/>
      <c r="IB274" s="3"/>
      <c r="IC274" s="3"/>
      <c r="ID274" s="3"/>
      <c r="IE274" s="3"/>
      <c r="IF274" s="3"/>
      <c r="IG274" s="3"/>
      <c r="IH274" s="3"/>
      <c r="II274" s="3"/>
      <c r="IJ274" s="3"/>
      <c r="IK274" s="3"/>
      <c r="IL274" s="3"/>
      <c r="IM274" s="3"/>
      <c r="IN274" s="3"/>
      <c r="IO274" s="3"/>
      <c r="IP274" s="3"/>
      <c r="IQ274" s="3"/>
      <c r="IR274" s="3"/>
      <c r="IS274" s="3"/>
      <c r="IT274" s="3"/>
      <c r="IU274" s="3"/>
      <c r="IV274" s="3"/>
      <c r="IW274" s="3"/>
    </row>
    <row r="275" customFormat="false" ht="12.75" hidden="false" customHeight="false" outlineLevel="0" collapsed="false">
      <c r="A275" s="23"/>
      <c r="B275" s="394"/>
      <c r="C275" s="395"/>
      <c r="D275" s="391"/>
      <c r="E275" s="383"/>
      <c r="F275" s="383"/>
      <c r="G275" s="396"/>
      <c r="H275" s="24"/>
      <c r="I275" s="24"/>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c r="BH275" s="24"/>
      <c r="BI275" s="24"/>
      <c r="BJ275" s="24"/>
      <c r="BK275" s="24"/>
      <c r="BL275" s="24"/>
      <c r="BM275" s="24"/>
      <c r="BN275" s="24"/>
      <c r="BO275" s="24"/>
      <c r="BP275" s="24"/>
      <c r="BQ275" s="24"/>
      <c r="BR275" s="24"/>
      <c r="BS275" s="24"/>
      <c r="BT275" s="24"/>
      <c r="BU275" s="24"/>
      <c r="BV275" s="24"/>
      <c r="BW275" s="24"/>
      <c r="BX275" s="24"/>
      <c r="BY275" s="24"/>
      <c r="BZ275" s="24"/>
      <c r="CA275" s="24"/>
      <c r="CB275" s="24"/>
      <c r="CC275" s="24"/>
      <c r="CD275" s="24"/>
      <c r="CE275" s="24"/>
      <c r="CF275" s="24"/>
      <c r="CG275" s="24"/>
      <c r="CH275" s="24"/>
      <c r="CI275" s="24"/>
      <c r="CJ275" s="24"/>
      <c r="CK275" s="24"/>
      <c r="CL275" s="24"/>
      <c r="CM275" s="24"/>
      <c r="CN275" s="24"/>
      <c r="CO275" s="24"/>
      <c r="CP275" s="24"/>
      <c r="CQ275" s="24"/>
      <c r="CR275" s="24"/>
      <c r="CS275" s="24"/>
      <c r="CT275" s="24"/>
      <c r="CU275" s="24"/>
      <c r="CV275" s="24"/>
      <c r="CW275" s="24"/>
      <c r="CX275" s="24"/>
      <c r="CY275" s="24"/>
      <c r="CZ275" s="24"/>
      <c r="DA275" s="24"/>
      <c r="DB275" s="24"/>
      <c r="DC275" s="24"/>
      <c r="DD275" s="24"/>
      <c r="DE275" s="24"/>
      <c r="DF275" s="24"/>
      <c r="DG275" s="24"/>
      <c r="DH275" s="24"/>
      <c r="DI275" s="24"/>
      <c r="DJ275" s="24"/>
      <c r="DK275" s="24"/>
      <c r="DL275" s="24"/>
      <c r="DM275" s="24"/>
      <c r="DN275" s="24"/>
      <c r="DO275" s="24"/>
      <c r="DP275" s="24"/>
      <c r="DQ275" s="24"/>
      <c r="DR275" s="24"/>
      <c r="DS275" s="24"/>
      <c r="DT275" s="24"/>
      <c r="DU275" s="24"/>
      <c r="DV275" s="24"/>
      <c r="DW275" s="24"/>
      <c r="DX275" s="24"/>
      <c r="DY275" s="24"/>
      <c r="DZ275" s="24"/>
      <c r="EA275" s="24"/>
      <c r="EB275" s="24"/>
      <c r="EC275" s="24"/>
      <c r="ED275" s="24"/>
      <c r="EE275" s="24"/>
      <c r="EF275" s="24"/>
      <c r="EG275" s="24"/>
      <c r="EH275" s="24"/>
      <c r="EI275" s="24"/>
      <c r="EJ275" s="24"/>
      <c r="EK275" s="24"/>
      <c r="EL275" s="24"/>
      <c r="EM275" s="3"/>
      <c r="EN275" s="3"/>
      <c r="EO275" s="3"/>
      <c r="EP275" s="3"/>
      <c r="EQ275" s="3"/>
      <c r="ER275" s="3"/>
      <c r="ES275" s="3"/>
      <c r="ET275" s="3"/>
      <c r="EU275" s="3"/>
      <c r="EV275" s="3"/>
      <c r="EW275" s="3"/>
      <c r="EX275" s="3"/>
      <c r="EY275" s="3"/>
      <c r="EZ275" s="3"/>
      <c r="FA275" s="3"/>
      <c r="FB275" s="3"/>
      <c r="FC275" s="3"/>
      <c r="FD275" s="3"/>
      <c r="FE275" s="3"/>
      <c r="FF275" s="3"/>
      <c r="FG275" s="3"/>
      <c r="FH275" s="3"/>
      <c r="FI275" s="3"/>
      <c r="FJ275" s="3"/>
      <c r="FK275" s="3"/>
      <c r="FL275" s="3"/>
      <c r="FM275" s="3"/>
      <c r="FN275" s="3"/>
      <c r="FO275" s="3"/>
      <c r="FP275" s="3"/>
      <c r="FQ275" s="3"/>
      <c r="FR275" s="3"/>
      <c r="FS275" s="3"/>
      <c r="FT275" s="3"/>
      <c r="FU275" s="3"/>
      <c r="FV275" s="3"/>
      <c r="FW275" s="3"/>
      <c r="FX275" s="3"/>
      <c r="FY275" s="3"/>
      <c r="FZ275" s="3"/>
      <c r="GA275" s="3"/>
      <c r="GB275" s="3"/>
      <c r="GC275" s="3"/>
      <c r="GD275" s="3"/>
      <c r="GE275" s="3"/>
      <c r="GF275" s="3"/>
      <c r="GG275" s="3"/>
      <c r="GH275" s="3"/>
      <c r="GI275" s="3"/>
      <c r="GJ275" s="3"/>
      <c r="GK275" s="3"/>
      <c r="GL275" s="3"/>
      <c r="GM275" s="3"/>
      <c r="GN275" s="3"/>
      <c r="GO275" s="3"/>
      <c r="GP275" s="3"/>
      <c r="GQ275" s="3"/>
      <c r="GR275" s="3"/>
      <c r="GS275" s="3"/>
      <c r="GT275" s="3"/>
      <c r="GU275" s="3"/>
      <c r="GV275" s="3"/>
      <c r="GW275" s="3"/>
      <c r="GX275" s="3"/>
      <c r="GY275" s="3"/>
      <c r="GZ275" s="3"/>
      <c r="HA275" s="3"/>
      <c r="HB275" s="3"/>
      <c r="HC275" s="3"/>
      <c r="HD275" s="3"/>
      <c r="HE275" s="3"/>
      <c r="HF275" s="3"/>
      <c r="HG275" s="3"/>
      <c r="HH275" s="3"/>
      <c r="HI275" s="3"/>
      <c r="HJ275" s="3"/>
      <c r="HK275" s="3"/>
      <c r="HL275" s="3"/>
      <c r="HM275" s="3"/>
      <c r="HN275" s="3"/>
      <c r="HO275" s="3"/>
      <c r="HP275" s="3"/>
      <c r="HQ275" s="3"/>
      <c r="HR275" s="3"/>
      <c r="HS275" s="3"/>
      <c r="HT275" s="3"/>
      <c r="HU275" s="3"/>
      <c r="HV275" s="3"/>
      <c r="HW275" s="3"/>
      <c r="HX275" s="3"/>
      <c r="HY275" s="3"/>
      <c r="HZ275" s="3"/>
      <c r="IA275" s="3"/>
      <c r="IB275" s="3"/>
      <c r="IC275" s="3"/>
      <c r="ID275" s="3"/>
      <c r="IE275" s="3"/>
      <c r="IF275" s="3"/>
      <c r="IG275" s="3"/>
      <c r="IH275" s="3"/>
      <c r="II275" s="3"/>
      <c r="IJ275" s="3"/>
      <c r="IK275" s="3"/>
      <c r="IL275" s="3"/>
      <c r="IM275" s="3"/>
      <c r="IN275" s="3"/>
      <c r="IO275" s="3"/>
      <c r="IP275" s="3"/>
      <c r="IQ275" s="3"/>
      <c r="IR275" s="3"/>
      <c r="IS275" s="3"/>
      <c r="IT275" s="3"/>
      <c r="IU275" s="3"/>
      <c r="IV275" s="3"/>
      <c r="IW275" s="3"/>
    </row>
    <row r="276" customFormat="false" ht="12.75" hidden="false" customHeight="false" outlineLevel="0" collapsed="false">
      <c r="A276" s="23"/>
      <c r="B276" s="397" t="s">
        <v>335</v>
      </c>
      <c r="C276" s="349" t="n">
        <f aca="false">E290</f>
        <v>1</v>
      </c>
      <c r="D276" s="391"/>
      <c r="E276" s="398" t="n">
        <f aca="false">Outside!D65</f>
        <v>0.126472759435792</v>
      </c>
      <c r="F276" s="383"/>
      <c r="G276" s="399" t="s">
        <v>363</v>
      </c>
      <c r="H276" s="24"/>
      <c r="I276" s="24"/>
      <c r="J276" s="24"/>
      <c r="K276" s="24"/>
      <c r="L276" s="24"/>
      <c r="M276" s="24"/>
      <c r="N276" s="24"/>
      <c r="O276" s="24"/>
      <c r="P276" s="24"/>
      <c r="Q276" s="24"/>
      <c r="R276" s="24"/>
      <c r="S276" s="24"/>
      <c r="T276" s="24"/>
      <c r="U276" s="24"/>
      <c r="V276" s="24"/>
      <c r="W276" s="24"/>
      <c r="X276" s="24"/>
      <c r="Y276" s="24"/>
      <c r="Z276" s="24"/>
      <c r="AA276" s="24"/>
      <c r="AB276" s="24"/>
      <c r="AC276" s="24"/>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c r="BH276" s="24"/>
      <c r="BI276" s="24"/>
      <c r="BJ276" s="24"/>
      <c r="BK276" s="24"/>
      <c r="BL276" s="24"/>
      <c r="BM276" s="24"/>
      <c r="BN276" s="24"/>
      <c r="BO276" s="24"/>
      <c r="BP276" s="24"/>
      <c r="BQ276" s="24"/>
      <c r="BR276" s="24"/>
      <c r="BS276" s="24"/>
      <c r="BT276" s="24"/>
      <c r="BU276" s="24"/>
      <c r="BV276" s="24"/>
      <c r="BW276" s="24"/>
      <c r="BX276" s="24"/>
      <c r="BY276" s="24"/>
      <c r="BZ276" s="24"/>
      <c r="CA276" s="24"/>
      <c r="CB276" s="24"/>
      <c r="CC276" s="24"/>
      <c r="CD276" s="24"/>
      <c r="CE276" s="24"/>
      <c r="CF276" s="24"/>
      <c r="CG276" s="24"/>
      <c r="CH276" s="24"/>
      <c r="CI276" s="24"/>
      <c r="CJ276" s="24"/>
      <c r="CK276" s="24"/>
      <c r="CL276" s="24"/>
      <c r="CM276" s="24"/>
      <c r="CN276" s="24"/>
      <c r="CO276" s="24"/>
      <c r="CP276" s="24"/>
      <c r="CQ276" s="24"/>
      <c r="CR276" s="24"/>
      <c r="CS276" s="24"/>
      <c r="CT276" s="24"/>
      <c r="CU276" s="24"/>
      <c r="CV276" s="24"/>
      <c r="CW276" s="24"/>
      <c r="CX276" s="24"/>
      <c r="CY276" s="24"/>
      <c r="CZ276" s="24"/>
      <c r="DA276" s="24"/>
      <c r="DB276" s="24"/>
      <c r="DC276" s="24"/>
      <c r="DD276" s="24"/>
      <c r="DE276" s="24"/>
      <c r="DF276" s="24"/>
      <c r="DG276" s="24"/>
      <c r="DH276" s="24"/>
      <c r="DI276" s="24"/>
      <c r="DJ276" s="24"/>
      <c r="DK276" s="24"/>
      <c r="DL276" s="24"/>
      <c r="DM276" s="24"/>
      <c r="DN276" s="24"/>
      <c r="DO276" s="24"/>
      <c r="DP276" s="24"/>
      <c r="DQ276" s="24"/>
      <c r="DR276" s="24"/>
      <c r="DS276" s="24"/>
      <c r="DT276" s="24"/>
      <c r="DU276" s="24"/>
      <c r="DV276" s="24"/>
      <c r="DW276" s="24"/>
      <c r="DX276" s="24"/>
      <c r="DY276" s="24"/>
      <c r="DZ276" s="24"/>
      <c r="EA276" s="24"/>
      <c r="EB276" s="24"/>
      <c r="EC276" s="24"/>
      <c r="ED276" s="24"/>
      <c r="EE276" s="24"/>
      <c r="EF276" s="24"/>
      <c r="EG276" s="24"/>
      <c r="EH276" s="24"/>
      <c r="EI276" s="24"/>
      <c r="EJ276" s="24"/>
      <c r="EK276" s="24"/>
      <c r="EL276" s="24"/>
      <c r="EM276" s="3"/>
      <c r="EN276" s="3"/>
      <c r="EO276" s="3"/>
      <c r="EP276" s="3"/>
      <c r="EQ276" s="3"/>
      <c r="ER276" s="3"/>
      <c r="ES276" s="3"/>
      <c r="ET276" s="3"/>
      <c r="EU276" s="3"/>
      <c r="EV276" s="3"/>
      <c r="EW276" s="3"/>
      <c r="EX276" s="3"/>
      <c r="EY276" s="3"/>
      <c r="EZ276" s="3"/>
      <c r="FA276" s="3"/>
      <c r="FB276" s="3"/>
      <c r="FC276" s="3"/>
      <c r="FD276" s="3"/>
      <c r="FE276" s="3"/>
      <c r="FF276" s="3"/>
      <c r="FG276" s="3"/>
      <c r="FH276" s="3"/>
      <c r="FI276" s="3"/>
      <c r="FJ276" s="3"/>
      <c r="FK276" s="3"/>
      <c r="FL276" s="3"/>
      <c r="FM276" s="3"/>
      <c r="FN276" s="3"/>
      <c r="FO276" s="3"/>
      <c r="FP276" s="3"/>
      <c r="FQ276" s="3"/>
      <c r="FR276" s="3"/>
      <c r="FS276" s="3"/>
      <c r="FT276" s="3"/>
      <c r="FU276" s="3"/>
      <c r="FV276" s="3"/>
      <c r="FW276" s="3"/>
      <c r="FX276" s="3"/>
      <c r="FY276" s="3"/>
      <c r="FZ276" s="3"/>
      <c r="GA276" s="3"/>
      <c r="GB276" s="3"/>
      <c r="GC276" s="3"/>
      <c r="GD276" s="3"/>
      <c r="GE276" s="3"/>
      <c r="GF276" s="3"/>
      <c r="GG276" s="3"/>
      <c r="GH276" s="3"/>
      <c r="GI276" s="3"/>
      <c r="GJ276" s="3"/>
      <c r="GK276" s="3"/>
      <c r="GL276" s="3"/>
      <c r="GM276" s="3"/>
      <c r="GN276" s="3"/>
      <c r="GO276" s="3"/>
      <c r="GP276" s="3"/>
      <c r="GQ276" s="3"/>
      <c r="GR276" s="3"/>
      <c r="GS276" s="3"/>
      <c r="GT276" s="3"/>
      <c r="GU276" s="3"/>
      <c r="GV276" s="3"/>
      <c r="GW276" s="3"/>
      <c r="GX276" s="3"/>
      <c r="GY276" s="3"/>
      <c r="GZ276" s="3"/>
      <c r="HA276" s="3"/>
      <c r="HB276" s="3"/>
      <c r="HC276" s="3"/>
      <c r="HD276" s="3"/>
      <c r="HE276" s="3"/>
      <c r="HF276" s="3"/>
      <c r="HG276" s="3"/>
      <c r="HH276" s="3"/>
      <c r="HI276" s="3"/>
      <c r="HJ276" s="3"/>
      <c r="HK276" s="3"/>
      <c r="HL276" s="3"/>
      <c r="HM276" s="3"/>
      <c r="HN276" s="3"/>
      <c r="HO276" s="3"/>
      <c r="HP276" s="3"/>
      <c r="HQ276" s="3"/>
      <c r="HR276" s="3"/>
      <c r="HS276" s="3"/>
      <c r="HT276" s="3"/>
      <c r="HU276" s="3"/>
      <c r="HV276" s="3"/>
      <c r="HW276" s="3"/>
      <c r="HX276" s="3"/>
      <c r="HY276" s="3"/>
      <c r="HZ276" s="3"/>
      <c r="IA276" s="3"/>
      <c r="IB276" s="3"/>
      <c r="IC276" s="3"/>
      <c r="ID276" s="3"/>
      <c r="IE276" s="3"/>
      <c r="IF276" s="3"/>
      <c r="IG276" s="3"/>
      <c r="IH276" s="3"/>
      <c r="II276" s="3"/>
      <c r="IJ276" s="3"/>
      <c r="IK276" s="3"/>
      <c r="IL276" s="3"/>
      <c r="IM276" s="3"/>
      <c r="IN276" s="3"/>
      <c r="IO276" s="3"/>
      <c r="IP276" s="3"/>
      <c r="IQ276" s="3"/>
      <c r="IR276" s="3"/>
      <c r="IS276" s="3"/>
      <c r="IT276" s="3"/>
      <c r="IU276" s="3"/>
      <c r="IV276" s="3"/>
      <c r="IW276" s="3"/>
    </row>
    <row r="277" customFormat="false" ht="12.75" hidden="false" customHeight="false" outlineLevel="0" collapsed="false">
      <c r="A277" s="23"/>
      <c r="B277" s="397" t="s">
        <v>364</v>
      </c>
      <c r="C277" s="400" t="str">
        <f aca="false">IF(E288=1,"YES","NO")</f>
        <v>YES</v>
      </c>
      <c r="D277" s="391"/>
      <c r="E277" s="401" t="n">
        <f aca="false">EWC!D65</f>
        <v>0.126472759435792</v>
      </c>
      <c r="F277" s="383"/>
      <c r="G277" s="402" t="s">
        <v>365</v>
      </c>
      <c r="H277" s="24"/>
      <c r="I277" s="24"/>
      <c r="J277" s="24"/>
      <c r="K277" s="24"/>
      <c r="L277" s="24"/>
      <c r="M277" s="24"/>
      <c r="N277" s="24"/>
      <c r="O277" s="24"/>
      <c r="P277" s="24"/>
      <c r="Q277" s="24"/>
      <c r="R277" s="24"/>
      <c r="S277" s="24"/>
      <c r="T277" s="24"/>
      <c r="U277" s="24"/>
      <c r="V277" s="24"/>
      <c r="W277" s="24"/>
      <c r="X277" s="24"/>
      <c r="Y277" s="24"/>
      <c r="Z277" s="24"/>
      <c r="AA277" s="24"/>
      <c r="AB277" s="24"/>
      <c r="AC277" s="24"/>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c r="BK277" s="24"/>
      <c r="BL277" s="24"/>
      <c r="BM277" s="24"/>
      <c r="BN277" s="24"/>
      <c r="BO277" s="24"/>
      <c r="BP277" s="24"/>
      <c r="BQ277" s="24"/>
      <c r="BR277" s="24"/>
      <c r="BS277" s="24"/>
      <c r="BT277" s="24"/>
      <c r="BU277" s="24"/>
      <c r="BV277" s="24"/>
      <c r="BW277" s="24"/>
      <c r="BX277" s="24"/>
      <c r="BY277" s="24"/>
      <c r="BZ277" s="24"/>
      <c r="CA277" s="24"/>
      <c r="CB277" s="24"/>
      <c r="CC277" s="24"/>
      <c r="CD277" s="24"/>
      <c r="CE277" s="24"/>
      <c r="CF277" s="24"/>
      <c r="CG277" s="24"/>
      <c r="CH277" s="24"/>
      <c r="CI277" s="24"/>
      <c r="CJ277" s="24"/>
      <c r="CK277" s="24"/>
      <c r="CL277" s="24"/>
      <c r="CM277" s="24"/>
      <c r="CN277" s="24"/>
      <c r="CO277" s="24"/>
      <c r="CP277" s="24"/>
      <c r="CQ277" s="24"/>
      <c r="CR277" s="24"/>
      <c r="CS277" s="24"/>
      <c r="CT277" s="24"/>
      <c r="CU277" s="24"/>
      <c r="CV277" s="24"/>
      <c r="CW277" s="24"/>
      <c r="CX277" s="24"/>
      <c r="CY277" s="24"/>
      <c r="CZ277" s="24"/>
      <c r="DA277" s="24"/>
      <c r="DB277" s="24"/>
      <c r="DC277" s="24"/>
      <c r="DD277" s="24"/>
      <c r="DE277" s="24"/>
      <c r="DF277" s="24"/>
      <c r="DG277" s="24"/>
      <c r="DH277" s="24"/>
      <c r="DI277" s="24"/>
      <c r="DJ277" s="24"/>
      <c r="DK277" s="24"/>
      <c r="DL277" s="24"/>
      <c r="DM277" s="24"/>
      <c r="DN277" s="24"/>
      <c r="DO277" s="24"/>
      <c r="DP277" s="24"/>
      <c r="DQ277" s="24"/>
      <c r="DR277" s="24"/>
      <c r="DS277" s="24"/>
      <c r="DT277" s="24"/>
      <c r="DU277" s="24"/>
      <c r="DV277" s="24"/>
      <c r="DW277" s="24"/>
      <c r="DX277" s="24"/>
      <c r="DY277" s="24"/>
      <c r="DZ277" s="24"/>
      <c r="EA277" s="24"/>
      <c r="EB277" s="24"/>
      <c r="EC277" s="24"/>
      <c r="ED277" s="24"/>
      <c r="EE277" s="24"/>
      <c r="EF277" s="24"/>
      <c r="EG277" s="24"/>
      <c r="EH277" s="24"/>
      <c r="EI277" s="24"/>
      <c r="EJ277" s="24"/>
      <c r="EK277" s="24"/>
      <c r="EL277" s="24"/>
      <c r="EM277" s="3"/>
      <c r="EN277" s="3"/>
      <c r="EO277" s="3"/>
      <c r="EP277" s="3"/>
      <c r="EQ277" s="3"/>
      <c r="ER277" s="3"/>
      <c r="ES277" s="3"/>
      <c r="ET277" s="3"/>
      <c r="EU277" s="3"/>
      <c r="EV277" s="3"/>
      <c r="EW277" s="3"/>
      <c r="EX277" s="3"/>
      <c r="EY277" s="3"/>
      <c r="EZ277" s="3"/>
      <c r="FA277" s="3"/>
      <c r="FB277" s="3"/>
      <c r="FC277" s="3"/>
      <c r="FD277" s="3"/>
      <c r="FE277" s="3"/>
      <c r="FF277" s="3"/>
      <c r="FG277" s="3"/>
      <c r="FH277" s="3"/>
      <c r="FI277" s="3"/>
      <c r="FJ277" s="3"/>
      <c r="FK277" s="3"/>
      <c r="FL277" s="3"/>
      <c r="FM277" s="3"/>
      <c r="FN277" s="3"/>
      <c r="FO277" s="3"/>
      <c r="FP277" s="3"/>
      <c r="FQ277" s="3"/>
      <c r="FR277" s="3"/>
      <c r="FS277" s="3"/>
      <c r="FT277" s="3"/>
      <c r="FU277" s="3"/>
      <c r="FV277" s="3"/>
      <c r="FW277" s="3"/>
      <c r="FX277" s="3"/>
      <c r="FY277" s="3"/>
      <c r="FZ277" s="3"/>
      <c r="GA277" s="3"/>
      <c r="GB277" s="3"/>
      <c r="GC277" s="3"/>
      <c r="GD277" s="3"/>
      <c r="GE277" s="3"/>
      <c r="GF277" s="3"/>
      <c r="GG277" s="3"/>
      <c r="GH277" s="3"/>
      <c r="GI277" s="3"/>
      <c r="GJ277" s="3"/>
      <c r="GK277" s="3"/>
      <c r="GL277" s="3"/>
      <c r="GM277" s="3"/>
      <c r="GN277" s="3"/>
      <c r="GO277" s="3"/>
      <c r="GP277" s="3"/>
      <c r="GQ277" s="3"/>
      <c r="GR277" s="3"/>
      <c r="GS277" s="3"/>
      <c r="GT277" s="3"/>
      <c r="GU277" s="3"/>
      <c r="GV277" s="3"/>
      <c r="GW277" s="3"/>
      <c r="GX277" s="3"/>
      <c r="GY277" s="3"/>
      <c r="GZ277" s="3"/>
      <c r="HA277" s="3"/>
      <c r="HB277" s="3"/>
      <c r="HC277" s="3"/>
      <c r="HD277" s="3"/>
      <c r="HE277" s="3"/>
      <c r="HF277" s="3"/>
      <c r="HG277" s="3"/>
      <c r="HH277" s="3"/>
      <c r="HI277" s="3"/>
      <c r="HJ277" s="3"/>
      <c r="HK277" s="3"/>
      <c r="HL277" s="3"/>
      <c r="HM277" s="3"/>
      <c r="HN277" s="3"/>
      <c r="HO277" s="3"/>
      <c r="HP277" s="3"/>
      <c r="HQ277" s="3"/>
      <c r="HR277" s="3"/>
      <c r="HS277" s="3"/>
      <c r="HT277" s="3"/>
      <c r="HU277" s="3"/>
      <c r="HV277" s="3"/>
      <c r="HW277" s="3"/>
      <c r="HX277" s="3"/>
      <c r="HY277" s="3"/>
      <c r="HZ277" s="3"/>
      <c r="IA277" s="3"/>
      <c r="IB277" s="3"/>
      <c r="IC277" s="3"/>
      <c r="ID277" s="3"/>
      <c r="IE277" s="3"/>
      <c r="IF277" s="3"/>
      <c r="IG277" s="3"/>
      <c r="IH277" s="3"/>
      <c r="II277" s="3"/>
      <c r="IJ277" s="3"/>
      <c r="IK277" s="3"/>
      <c r="IL277" s="3"/>
      <c r="IM277" s="3"/>
      <c r="IN277" s="3"/>
      <c r="IO277" s="3"/>
      <c r="IP277" s="3"/>
      <c r="IQ277" s="3"/>
      <c r="IR277" s="3"/>
      <c r="IS277" s="3"/>
      <c r="IT277" s="3"/>
      <c r="IU277" s="3"/>
      <c r="IV277" s="3"/>
      <c r="IW277" s="3"/>
    </row>
    <row r="278" customFormat="false" ht="12.75" hidden="false" customHeight="false" outlineLevel="0" collapsed="false">
      <c r="A278" s="23"/>
      <c r="B278" s="397"/>
      <c r="C278" s="400"/>
      <c r="D278" s="391"/>
      <c r="E278" s="401"/>
      <c r="F278" s="383"/>
      <c r="G278" s="402"/>
      <c r="H278" s="24"/>
      <c r="I278" s="24"/>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c r="CE278" s="24"/>
      <c r="CF278" s="24"/>
      <c r="CG278" s="24"/>
      <c r="CH278" s="24"/>
      <c r="CI278" s="24"/>
      <c r="CJ278" s="24"/>
      <c r="CK278" s="24"/>
      <c r="CL278" s="24"/>
      <c r="CM278" s="24"/>
      <c r="CN278" s="24"/>
      <c r="CO278" s="24"/>
      <c r="CP278" s="24"/>
      <c r="CQ278" s="24"/>
      <c r="CR278" s="24"/>
      <c r="CS278" s="24"/>
      <c r="CT278" s="24"/>
      <c r="CU278" s="24"/>
      <c r="CV278" s="24"/>
      <c r="CW278" s="24"/>
      <c r="CX278" s="24"/>
      <c r="CY278" s="24"/>
      <c r="CZ278" s="24"/>
      <c r="DA278" s="24"/>
      <c r="DB278" s="24"/>
      <c r="DC278" s="24"/>
      <c r="DD278" s="24"/>
      <c r="DE278" s="24"/>
      <c r="DF278" s="24"/>
      <c r="DG278" s="24"/>
      <c r="DH278" s="24"/>
      <c r="DI278" s="24"/>
      <c r="DJ278" s="24"/>
      <c r="DK278" s="24"/>
      <c r="DL278" s="24"/>
      <c r="DM278" s="24"/>
      <c r="DN278" s="24"/>
      <c r="DO278" s="24"/>
      <c r="DP278" s="24"/>
      <c r="DQ278" s="24"/>
      <c r="DR278" s="24"/>
      <c r="DS278" s="24"/>
      <c r="DT278" s="24"/>
      <c r="DU278" s="24"/>
      <c r="DV278" s="24"/>
      <c r="DW278" s="24"/>
      <c r="DX278" s="24"/>
      <c r="DY278" s="24"/>
      <c r="DZ278" s="24"/>
      <c r="EA278" s="24"/>
      <c r="EB278" s="24"/>
      <c r="EC278" s="24"/>
      <c r="ED278" s="24"/>
      <c r="EE278" s="24"/>
      <c r="EF278" s="24"/>
      <c r="EG278" s="24"/>
      <c r="EH278" s="24"/>
      <c r="EI278" s="24"/>
      <c r="EJ278" s="24"/>
      <c r="EK278" s="24"/>
      <c r="EL278" s="24"/>
      <c r="EM278" s="3"/>
      <c r="EN278" s="3"/>
      <c r="EO278" s="3"/>
      <c r="EP278" s="3"/>
      <c r="EQ278" s="3"/>
      <c r="ER278" s="3"/>
      <c r="ES278" s="3"/>
      <c r="ET278" s="3"/>
      <c r="EU278" s="3"/>
      <c r="EV278" s="3"/>
      <c r="EW278" s="3"/>
      <c r="EX278" s="3"/>
      <c r="EY278" s="3"/>
      <c r="EZ278" s="3"/>
      <c r="FA278" s="3"/>
      <c r="FB278" s="3"/>
      <c r="FC278" s="3"/>
      <c r="FD278" s="3"/>
      <c r="FE278" s="3"/>
      <c r="FF278" s="3"/>
      <c r="FG278" s="3"/>
      <c r="FH278" s="3"/>
      <c r="FI278" s="3"/>
      <c r="FJ278" s="3"/>
      <c r="FK278" s="3"/>
      <c r="FL278" s="3"/>
      <c r="FM278" s="3"/>
      <c r="FN278" s="3"/>
      <c r="FO278" s="3"/>
      <c r="FP278" s="3"/>
      <c r="FQ278" s="3"/>
      <c r="FR278" s="3"/>
      <c r="FS278" s="3"/>
      <c r="FT278" s="3"/>
      <c r="FU278" s="3"/>
      <c r="FV278" s="3"/>
      <c r="FW278" s="3"/>
      <c r="FX278" s="3"/>
      <c r="FY278" s="3"/>
      <c r="FZ278" s="3"/>
      <c r="GA278" s="3"/>
      <c r="GB278" s="3"/>
      <c r="GC278" s="3"/>
      <c r="GD278" s="3"/>
      <c r="GE278" s="3"/>
      <c r="GF278" s="3"/>
      <c r="GG278" s="3"/>
      <c r="GH278" s="3"/>
      <c r="GI278" s="3"/>
      <c r="GJ278" s="3"/>
      <c r="GK278" s="3"/>
      <c r="GL278" s="3"/>
      <c r="GM278" s="3"/>
      <c r="GN278" s="3"/>
      <c r="GO278" s="3"/>
      <c r="GP278" s="3"/>
      <c r="GQ278" s="3"/>
      <c r="GR278" s="3"/>
      <c r="GS278" s="3"/>
      <c r="GT278" s="3"/>
      <c r="GU278" s="3"/>
      <c r="GV278" s="3"/>
      <c r="GW278" s="3"/>
      <c r="GX278" s="3"/>
      <c r="GY278" s="3"/>
      <c r="GZ278" s="3"/>
      <c r="HA278" s="3"/>
      <c r="HB278" s="3"/>
      <c r="HC278" s="3"/>
      <c r="HD278" s="3"/>
      <c r="HE278" s="3"/>
      <c r="HF278" s="3"/>
      <c r="HG278" s="3"/>
      <c r="HH278" s="3"/>
      <c r="HI278" s="3"/>
      <c r="HJ278" s="3"/>
      <c r="HK278" s="3"/>
      <c r="HL278" s="3"/>
      <c r="HM278" s="3"/>
      <c r="HN278" s="3"/>
      <c r="HO278" s="3"/>
      <c r="HP278" s="3"/>
      <c r="HQ278" s="3"/>
      <c r="HR278" s="3"/>
      <c r="HS278" s="3"/>
      <c r="HT278" s="3"/>
      <c r="HU278" s="3"/>
      <c r="HV278" s="3"/>
      <c r="HW278" s="3"/>
      <c r="HX278" s="3"/>
      <c r="HY278" s="3"/>
      <c r="HZ278" s="3"/>
      <c r="IA278" s="3"/>
      <c r="IB278" s="3"/>
      <c r="IC278" s="3"/>
      <c r="ID278" s="3"/>
      <c r="IE278" s="3"/>
      <c r="IF278" s="3"/>
      <c r="IG278" s="3"/>
      <c r="IH278" s="3"/>
      <c r="II278" s="3"/>
      <c r="IJ278" s="3"/>
      <c r="IK278" s="3"/>
      <c r="IL278" s="3"/>
      <c r="IM278" s="3"/>
      <c r="IN278" s="3"/>
      <c r="IO278" s="3"/>
      <c r="IP278" s="3"/>
      <c r="IQ278" s="3"/>
      <c r="IR278" s="3"/>
      <c r="IS278" s="3"/>
      <c r="IT278" s="3"/>
      <c r="IU278" s="3"/>
      <c r="IV278" s="3"/>
      <c r="IW278" s="3"/>
    </row>
    <row r="279" customFormat="false" ht="13.5" hidden="false" customHeight="false" outlineLevel="0" collapsed="false">
      <c r="A279" s="23"/>
      <c r="B279" s="403"/>
      <c r="C279" s="404"/>
      <c r="D279" s="405"/>
      <c r="E279" s="406"/>
      <c r="F279" s="407"/>
      <c r="G279" s="408"/>
      <c r="H279" s="22"/>
      <c r="I279" s="22"/>
      <c r="J279" s="22"/>
      <c r="K279" s="24"/>
      <c r="L279" s="24"/>
      <c r="M279" s="24"/>
      <c r="N279" s="24"/>
      <c r="O279" s="24"/>
      <c r="P279" s="24"/>
      <c r="Q279" s="24"/>
      <c r="R279" s="24"/>
      <c r="S279" s="24"/>
      <c r="T279" s="24"/>
      <c r="U279" s="24"/>
      <c r="V279" s="24"/>
      <c r="W279" s="24"/>
      <c r="X279" s="24"/>
      <c r="Y279" s="24"/>
      <c r="Z279" s="24"/>
      <c r="AA279" s="24"/>
      <c r="AB279" s="24"/>
      <c r="AC279" s="24"/>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c r="BH279" s="24"/>
      <c r="BI279" s="24"/>
      <c r="BJ279" s="24"/>
      <c r="BK279" s="24"/>
      <c r="BL279" s="24"/>
      <c r="BM279" s="24"/>
      <c r="BN279" s="24"/>
      <c r="BO279" s="24"/>
      <c r="BP279" s="24"/>
      <c r="BQ279" s="24"/>
      <c r="BR279" s="24"/>
      <c r="BS279" s="24"/>
      <c r="BT279" s="24"/>
      <c r="BU279" s="24"/>
      <c r="BV279" s="24"/>
      <c r="BW279" s="24"/>
      <c r="BX279" s="24"/>
      <c r="BY279" s="24"/>
      <c r="BZ279" s="24"/>
      <c r="CA279" s="24"/>
      <c r="CB279" s="24"/>
      <c r="CC279" s="24"/>
      <c r="CD279" s="24"/>
      <c r="CE279" s="24"/>
      <c r="CF279" s="24"/>
      <c r="CG279" s="24"/>
      <c r="CH279" s="24"/>
      <c r="CI279" s="24"/>
      <c r="CJ279" s="24"/>
      <c r="CK279" s="24"/>
      <c r="CL279" s="24"/>
      <c r="CM279" s="24"/>
      <c r="CN279" s="24"/>
      <c r="CO279" s="24"/>
      <c r="CP279" s="24"/>
      <c r="CQ279" s="24"/>
      <c r="CR279" s="24"/>
      <c r="CS279" s="24"/>
      <c r="CT279" s="24"/>
      <c r="CU279" s="24"/>
      <c r="CV279" s="24"/>
      <c r="CW279" s="24"/>
      <c r="CX279" s="24"/>
      <c r="CY279" s="24"/>
      <c r="CZ279" s="24"/>
      <c r="DA279" s="24"/>
      <c r="DB279" s="24"/>
      <c r="DC279" s="24"/>
      <c r="DD279" s="24"/>
      <c r="DE279" s="24"/>
      <c r="DF279" s="24"/>
      <c r="DG279" s="24"/>
      <c r="DH279" s="24"/>
      <c r="DI279" s="24"/>
      <c r="DJ279" s="24"/>
      <c r="DK279" s="24"/>
      <c r="DL279" s="24"/>
      <c r="DM279" s="24"/>
      <c r="DN279" s="24"/>
      <c r="DO279" s="24"/>
      <c r="DP279" s="24"/>
      <c r="DQ279" s="24"/>
      <c r="DR279" s="24"/>
      <c r="DS279" s="24"/>
      <c r="DT279" s="24"/>
      <c r="DU279" s="24"/>
      <c r="DV279" s="24"/>
      <c r="DW279" s="24"/>
      <c r="DX279" s="24"/>
      <c r="DY279" s="24"/>
      <c r="DZ279" s="24"/>
      <c r="EA279" s="24"/>
      <c r="EB279" s="24"/>
      <c r="EC279" s="24"/>
      <c r="ED279" s="24"/>
      <c r="EE279" s="24"/>
      <c r="EF279" s="24"/>
      <c r="EG279" s="24"/>
      <c r="EH279" s="24"/>
      <c r="EI279" s="24"/>
      <c r="EJ279" s="24"/>
      <c r="EK279" s="24"/>
      <c r="EL279" s="24"/>
      <c r="EM279" s="3"/>
      <c r="EN279" s="3"/>
      <c r="EO279" s="3"/>
      <c r="EP279" s="3"/>
      <c r="EQ279" s="3"/>
      <c r="ER279" s="3"/>
      <c r="ES279" s="3"/>
      <c r="ET279" s="3"/>
      <c r="EU279" s="3"/>
      <c r="EV279" s="3"/>
      <c r="EW279" s="3"/>
      <c r="EX279" s="3"/>
      <c r="EY279" s="3"/>
      <c r="EZ279" s="3"/>
      <c r="FA279" s="3"/>
      <c r="FB279" s="3"/>
      <c r="FC279" s="3"/>
      <c r="FD279" s="3"/>
      <c r="FE279" s="3"/>
      <c r="FF279" s="3"/>
      <c r="FG279" s="3"/>
      <c r="FH279" s="3"/>
      <c r="FI279" s="3"/>
      <c r="FJ279" s="3"/>
      <c r="FK279" s="3"/>
      <c r="FL279" s="3"/>
      <c r="FM279" s="3"/>
      <c r="FN279" s="3"/>
      <c r="FO279" s="3"/>
      <c r="FP279" s="3"/>
      <c r="FQ279" s="3"/>
      <c r="FR279" s="3"/>
      <c r="FS279" s="3"/>
      <c r="FT279" s="3"/>
      <c r="FU279" s="3"/>
      <c r="FV279" s="3"/>
      <c r="FW279" s="3"/>
      <c r="FX279" s="3"/>
      <c r="FY279" s="3"/>
      <c r="FZ279" s="3"/>
      <c r="GA279" s="3"/>
      <c r="GB279" s="3"/>
      <c r="GC279" s="3"/>
      <c r="GD279" s="3"/>
      <c r="GE279" s="3"/>
      <c r="GF279" s="3"/>
      <c r="GG279" s="3"/>
      <c r="GH279" s="3"/>
      <c r="GI279" s="3"/>
      <c r="GJ279" s="3"/>
      <c r="GK279" s="3"/>
      <c r="GL279" s="3"/>
      <c r="GM279" s="3"/>
      <c r="GN279" s="3"/>
      <c r="GO279" s="3"/>
      <c r="GP279" s="3"/>
      <c r="GQ279" s="3"/>
      <c r="GR279" s="3"/>
      <c r="GS279" s="3"/>
      <c r="GT279" s="3"/>
      <c r="GU279" s="3"/>
      <c r="GV279" s="3"/>
      <c r="GW279" s="3"/>
      <c r="GX279" s="3"/>
      <c r="GY279" s="3"/>
      <c r="GZ279" s="3"/>
      <c r="HA279" s="3"/>
      <c r="HB279" s="3"/>
      <c r="HC279" s="3"/>
      <c r="HD279" s="3"/>
      <c r="HE279" s="3"/>
      <c r="HF279" s="3"/>
      <c r="HG279" s="3"/>
      <c r="HH279" s="3"/>
      <c r="HI279" s="3"/>
      <c r="HJ279" s="3"/>
      <c r="HK279" s="3"/>
      <c r="HL279" s="3"/>
      <c r="HM279" s="3"/>
      <c r="HN279" s="3"/>
      <c r="HO279" s="3"/>
      <c r="HP279" s="3"/>
      <c r="HQ279" s="3"/>
      <c r="HR279" s="3"/>
      <c r="HS279" s="3"/>
      <c r="HT279" s="3"/>
      <c r="HU279" s="3"/>
      <c r="HV279" s="3"/>
      <c r="HW279" s="3"/>
      <c r="HX279" s="3"/>
      <c r="HY279" s="3"/>
      <c r="HZ279" s="3"/>
      <c r="IA279" s="3"/>
      <c r="IB279" s="3"/>
      <c r="IC279" s="3"/>
      <c r="ID279" s="3"/>
      <c r="IE279" s="3"/>
      <c r="IF279" s="3"/>
      <c r="IG279" s="3"/>
      <c r="IH279" s="3"/>
      <c r="II279" s="3"/>
      <c r="IJ279" s="3"/>
      <c r="IK279" s="3"/>
      <c r="IL279" s="3"/>
      <c r="IM279" s="3"/>
      <c r="IN279" s="3"/>
      <c r="IO279" s="3"/>
      <c r="IP279" s="3"/>
      <c r="IQ279" s="3"/>
      <c r="IR279" s="3"/>
      <c r="IS279" s="3"/>
      <c r="IT279" s="3"/>
      <c r="IU279" s="3"/>
      <c r="IV279" s="3"/>
      <c r="IW279" s="3"/>
    </row>
    <row r="280" customFormat="false" ht="12.75" hidden="false" customHeight="false" outlineLevel="0" collapsed="false">
      <c r="A280" s="23"/>
      <c r="B280" s="3"/>
      <c r="D280" s="3"/>
      <c r="E280" s="3"/>
      <c r="F280" s="22"/>
      <c r="G280" s="22"/>
      <c r="H280" s="22"/>
      <c r="I280" s="22"/>
      <c r="J280" s="22"/>
      <c r="K280" s="24"/>
      <c r="L280" s="24"/>
      <c r="M280" s="24"/>
      <c r="N280" s="24"/>
      <c r="O280" s="24"/>
      <c r="P280" s="24"/>
      <c r="Q280" s="24"/>
      <c r="R280" s="24"/>
      <c r="S280" s="24"/>
      <c r="T280" s="24"/>
      <c r="U280" s="24"/>
      <c r="V280" s="24"/>
      <c r="W280" s="24"/>
      <c r="X280" s="24"/>
      <c r="Y280" s="24"/>
      <c r="Z280" s="24"/>
      <c r="AA280" s="24"/>
      <c r="AB280" s="24"/>
      <c r="AC280" s="24"/>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c r="BH280" s="24"/>
      <c r="BI280" s="24"/>
      <c r="BJ280" s="24"/>
      <c r="BK280" s="24"/>
      <c r="BL280" s="24"/>
      <c r="BM280" s="24"/>
      <c r="BN280" s="24"/>
      <c r="BO280" s="24"/>
      <c r="BP280" s="24"/>
      <c r="BQ280" s="24"/>
      <c r="BR280" s="24"/>
      <c r="BS280" s="24"/>
      <c r="BT280" s="24"/>
      <c r="BU280" s="24"/>
      <c r="BV280" s="24"/>
      <c r="BW280" s="24"/>
      <c r="BX280" s="24"/>
      <c r="BY280" s="24"/>
      <c r="BZ280" s="24"/>
      <c r="CA280" s="24"/>
      <c r="CB280" s="24"/>
      <c r="CC280" s="24"/>
      <c r="CD280" s="24"/>
      <c r="CE280" s="24"/>
      <c r="CF280" s="24"/>
      <c r="CG280" s="24"/>
      <c r="CH280" s="24"/>
      <c r="CI280" s="24"/>
      <c r="CJ280" s="24"/>
      <c r="CK280" s="24"/>
      <c r="CL280" s="24"/>
      <c r="CM280" s="24"/>
      <c r="CN280" s="24"/>
      <c r="CO280" s="24"/>
      <c r="CP280" s="24"/>
      <c r="CQ280" s="24"/>
      <c r="CR280" s="24"/>
      <c r="CS280" s="24"/>
      <c r="CT280" s="24"/>
      <c r="CU280" s="24"/>
      <c r="CV280" s="24"/>
      <c r="CW280" s="24"/>
      <c r="CX280" s="24"/>
      <c r="CY280" s="24"/>
      <c r="CZ280" s="24"/>
      <c r="DA280" s="24"/>
      <c r="DB280" s="24"/>
      <c r="DC280" s="24"/>
      <c r="DD280" s="24"/>
      <c r="DE280" s="24"/>
      <c r="DF280" s="24"/>
      <c r="DG280" s="24"/>
      <c r="DH280" s="24"/>
      <c r="DI280" s="24"/>
      <c r="DJ280" s="24"/>
      <c r="DK280" s="24"/>
      <c r="DL280" s="24"/>
      <c r="DM280" s="24"/>
      <c r="DN280" s="24"/>
      <c r="DO280" s="24"/>
      <c r="DP280" s="24"/>
      <c r="DQ280" s="24"/>
      <c r="DR280" s="24"/>
      <c r="DS280" s="24"/>
      <c r="DT280" s="24"/>
      <c r="DU280" s="24"/>
      <c r="DV280" s="24"/>
      <c r="DW280" s="24"/>
      <c r="DX280" s="24"/>
      <c r="DY280" s="24"/>
      <c r="DZ280" s="24"/>
      <c r="EA280" s="24"/>
      <c r="EB280" s="24"/>
      <c r="EC280" s="24"/>
      <c r="ED280" s="24"/>
      <c r="EE280" s="24"/>
      <c r="EF280" s="24"/>
      <c r="EG280" s="24"/>
      <c r="EH280" s="24"/>
      <c r="EI280" s="24"/>
      <c r="EJ280" s="24"/>
      <c r="EK280" s="24"/>
      <c r="EL280" s="24"/>
      <c r="EM280" s="3"/>
      <c r="EN280" s="3"/>
      <c r="EO280" s="3"/>
      <c r="EP280" s="3"/>
      <c r="EQ280" s="3"/>
      <c r="ER280" s="3"/>
      <c r="ES280" s="3"/>
      <c r="ET280" s="3"/>
      <c r="EU280" s="3"/>
      <c r="EV280" s="3"/>
      <c r="EW280" s="3"/>
      <c r="EX280" s="3"/>
      <c r="EY280" s="3"/>
      <c r="EZ280" s="3"/>
      <c r="FA280" s="3"/>
      <c r="FB280" s="3"/>
      <c r="FC280" s="3"/>
      <c r="FD280" s="3"/>
      <c r="FE280" s="3"/>
      <c r="FF280" s="3"/>
      <c r="FG280" s="3"/>
      <c r="FH280" s="3"/>
      <c r="FI280" s="3"/>
      <c r="FJ280" s="3"/>
      <c r="FK280" s="3"/>
      <c r="FL280" s="3"/>
      <c r="FM280" s="3"/>
      <c r="FN280" s="3"/>
      <c r="FO280" s="3"/>
      <c r="FP280" s="3"/>
      <c r="FQ280" s="3"/>
      <c r="FR280" s="3"/>
      <c r="FS280" s="3"/>
      <c r="FT280" s="3"/>
      <c r="FU280" s="3"/>
      <c r="FV280" s="3"/>
      <c r="FW280" s="3"/>
      <c r="FX280" s="3"/>
      <c r="FY280" s="3"/>
      <c r="FZ280" s="3"/>
      <c r="GA280" s="3"/>
      <c r="GB280" s="3"/>
      <c r="GC280" s="3"/>
      <c r="GD280" s="3"/>
      <c r="GE280" s="3"/>
      <c r="GF280" s="3"/>
      <c r="GG280" s="3"/>
      <c r="GH280" s="3"/>
      <c r="GI280" s="3"/>
      <c r="GJ280" s="3"/>
      <c r="GK280" s="3"/>
      <c r="GL280" s="3"/>
      <c r="GM280" s="3"/>
      <c r="GN280" s="3"/>
      <c r="GO280" s="3"/>
      <c r="GP280" s="3"/>
      <c r="GQ280" s="3"/>
      <c r="GR280" s="3"/>
      <c r="GS280" s="3"/>
      <c r="GT280" s="3"/>
      <c r="GU280" s="3"/>
      <c r="GV280" s="3"/>
      <c r="GW280" s="3"/>
      <c r="GX280" s="3"/>
      <c r="GY280" s="3"/>
      <c r="GZ280" s="3"/>
      <c r="HA280" s="3"/>
      <c r="HB280" s="3"/>
      <c r="HC280" s="3"/>
      <c r="HD280" s="3"/>
      <c r="HE280" s="3"/>
      <c r="HF280" s="3"/>
      <c r="HG280" s="3"/>
      <c r="HH280" s="3"/>
      <c r="HI280" s="3"/>
      <c r="HJ280" s="3"/>
      <c r="HK280" s="3"/>
      <c r="HL280" s="3"/>
      <c r="HM280" s="3"/>
      <c r="HN280" s="3"/>
      <c r="HO280" s="3"/>
      <c r="HP280" s="3"/>
      <c r="HQ280" s="3"/>
      <c r="HR280" s="3"/>
      <c r="HS280" s="3"/>
      <c r="HT280" s="3"/>
      <c r="HU280" s="3"/>
      <c r="HV280" s="3"/>
      <c r="HW280" s="3"/>
      <c r="HX280" s="3"/>
      <c r="HY280" s="3"/>
      <c r="HZ280" s="3"/>
      <c r="IA280" s="3"/>
      <c r="IB280" s="3"/>
      <c r="IC280" s="3"/>
      <c r="ID280" s="3"/>
      <c r="IE280" s="3"/>
      <c r="IF280" s="3"/>
      <c r="IG280" s="3"/>
      <c r="IH280" s="3"/>
      <c r="II280" s="3"/>
      <c r="IJ280" s="3"/>
      <c r="IK280" s="3"/>
      <c r="IL280" s="3"/>
      <c r="IM280" s="3"/>
      <c r="IN280" s="3"/>
      <c r="IO280" s="3"/>
      <c r="IP280" s="3"/>
      <c r="IQ280" s="3"/>
      <c r="IR280" s="3"/>
      <c r="IS280" s="3"/>
      <c r="IT280" s="3"/>
      <c r="IU280" s="3"/>
      <c r="IV280" s="3"/>
      <c r="IW280" s="3"/>
    </row>
    <row r="281" customFormat="false" ht="12.75" hidden="false" customHeight="false" outlineLevel="0" collapsed="false">
      <c r="A281" s="23"/>
      <c r="B281" s="22" t="s">
        <v>366</v>
      </c>
      <c r="C281" s="22"/>
      <c r="D281" s="300"/>
      <c r="E281" s="110" t="n">
        <v>0</v>
      </c>
      <c r="F281" s="3"/>
      <c r="G281" s="22"/>
      <c r="H281" s="22"/>
      <c r="I281" s="22"/>
      <c r="J281" s="22"/>
      <c r="K281" s="24"/>
      <c r="L281" s="24"/>
      <c r="M281" s="24"/>
      <c r="N281" s="24"/>
      <c r="O281" s="24"/>
      <c r="P281" s="24"/>
      <c r="Q281" s="24"/>
      <c r="R281" s="24"/>
      <c r="S281" s="24"/>
      <c r="T281" s="24"/>
      <c r="U281" s="24"/>
      <c r="V281" s="24"/>
      <c r="W281" s="24"/>
      <c r="X281" s="24"/>
      <c r="Y281" s="24"/>
      <c r="Z281" s="24"/>
      <c r="AA281" s="24"/>
      <c r="AB281" s="24"/>
      <c r="AC281" s="24"/>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c r="BH281" s="24"/>
      <c r="BI281" s="24"/>
      <c r="BJ281" s="24"/>
      <c r="BK281" s="24"/>
      <c r="BL281" s="24"/>
      <c r="BM281" s="24"/>
      <c r="BN281" s="24"/>
      <c r="BO281" s="24"/>
      <c r="BP281" s="24"/>
      <c r="BQ281" s="24"/>
      <c r="BR281" s="24"/>
      <c r="BS281" s="24"/>
      <c r="BT281" s="24"/>
      <c r="BU281" s="24"/>
      <c r="BV281" s="24"/>
      <c r="BW281" s="24"/>
      <c r="BX281" s="24"/>
      <c r="BY281" s="24"/>
      <c r="BZ281" s="24"/>
      <c r="CA281" s="24"/>
      <c r="CB281" s="24"/>
      <c r="CC281" s="24"/>
      <c r="CD281" s="24"/>
      <c r="CE281" s="24"/>
      <c r="CF281" s="24"/>
      <c r="CG281" s="24"/>
      <c r="CH281" s="24"/>
      <c r="CI281" s="24"/>
      <c r="CJ281" s="24"/>
      <c r="CK281" s="24"/>
      <c r="CL281" s="24"/>
      <c r="CM281" s="24"/>
      <c r="CN281" s="24"/>
      <c r="CO281" s="24"/>
      <c r="CP281" s="24"/>
      <c r="CQ281" s="24"/>
      <c r="CR281" s="24"/>
      <c r="CS281" s="24"/>
      <c r="CT281" s="24"/>
      <c r="CU281" s="24"/>
      <c r="CV281" s="24"/>
      <c r="CW281" s="24"/>
      <c r="CX281" s="24"/>
      <c r="CY281" s="24"/>
      <c r="CZ281" s="24"/>
      <c r="DA281" s="24"/>
      <c r="DB281" s="24"/>
      <c r="DC281" s="24"/>
      <c r="DD281" s="24"/>
      <c r="DE281" s="24"/>
      <c r="DF281" s="24"/>
      <c r="DG281" s="24"/>
      <c r="DH281" s="24"/>
      <c r="DI281" s="24"/>
      <c r="DJ281" s="24"/>
      <c r="DK281" s="24"/>
      <c r="DL281" s="24"/>
      <c r="DM281" s="24"/>
      <c r="DN281" s="24"/>
      <c r="DO281" s="24"/>
      <c r="DP281" s="24"/>
      <c r="DQ281" s="24"/>
      <c r="DR281" s="24"/>
      <c r="DS281" s="24"/>
      <c r="DT281" s="24"/>
      <c r="DU281" s="24"/>
      <c r="DV281" s="24"/>
      <c r="DW281" s="24"/>
      <c r="DX281" s="24"/>
      <c r="DY281" s="24"/>
      <c r="DZ281" s="24"/>
      <c r="EA281" s="24"/>
      <c r="EB281" s="24"/>
      <c r="EC281" s="24"/>
      <c r="ED281" s="24"/>
      <c r="EE281" s="24"/>
      <c r="EF281" s="24"/>
      <c r="EG281" s="24"/>
      <c r="EH281" s="24"/>
      <c r="EI281" s="24"/>
      <c r="EJ281" s="24"/>
      <c r="EK281" s="24"/>
      <c r="EL281" s="24"/>
      <c r="EM281" s="3"/>
      <c r="EN281" s="3"/>
      <c r="EO281" s="3"/>
      <c r="EP281" s="3"/>
      <c r="EQ281" s="3"/>
      <c r="ER281" s="3"/>
      <c r="ES281" s="3"/>
      <c r="ET281" s="3"/>
      <c r="EU281" s="3"/>
      <c r="EV281" s="3"/>
      <c r="EW281" s="3"/>
      <c r="EX281" s="3"/>
      <c r="EY281" s="3"/>
      <c r="EZ281" s="3"/>
      <c r="FA281" s="3"/>
      <c r="FB281" s="3"/>
      <c r="FC281" s="3"/>
      <c r="FD281" s="3"/>
      <c r="FE281" s="3"/>
      <c r="FF281" s="3"/>
      <c r="FG281" s="3"/>
      <c r="FH281" s="3"/>
      <c r="FI281" s="3"/>
      <c r="FJ281" s="3"/>
      <c r="FK281" s="3"/>
      <c r="FL281" s="3"/>
      <c r="FM281" s="3"/>
      <c r="FN281" s="3"/>
      <c r="FO281" s="3"/>
      <c r="FP281" s="3"/>
      <c r="FQ281" s="3"/>
      <c r="FR281" s="3"/>
      <c r="FS281" s="3"/>
      <c r="FT281" s="3"/>
      <c r="FU281" s="3"/>
      <c r="FV281" s="3"/>
      <c r="FW281" s="3"/>
      <c r="FX281" s="3"/>
      <c r="FY281" s="3"/>
      <c r="FZ281" s="3"/>
      <c r="GA281" s="3"/>
      <c r="GB281" s="3"/>
      <c r="GC281" s="3"/>
      <c r="GD281" s="3"/>
      <c r="GE281" s="3"/>
      <c r="GF281" s="3"/>
      <c r="GG281" s="3"/>
      <c r="GH281" s="3"/>
      <c r="GI281" s="3"/>
      <c r="GJ281" s="3"/>
      <c r="GK281" s="3"/>
      <c r="GL281" s="3"/>
      <c r="GM281" s="3"/>
      <c r="GN281" s="3"/>
      <c r="GO281" s="3"/>
      <c r="GP281" s="3"/>
      <c r="GQ281" s="3"/>
      <c r="GR281" s="3"/>
      <c r="GS281" s="3"/>
      <c r="GT281" s="3"/>
      <c r="GU281" s="3"/>
      <c r="GV281" s="3"/>
      <c r="GW281" s="3"/>
      <c r="GX281" s="3"/>
      <c r="GY281" s="3"/>
      <c r="GZ281" s="3"/>
      <c r="HA281" s="3"/>
      <c r="HB281" s="3"/>
      <c r="HC281" s="3"/>
      <c r="HD281" s="3"/>
      <c r="HE281" s="3"/>
      <c r="HF281" s="3"/>
      <c r="HG281" s="3"/>
      <c r="HH281" s="3"/>
      <c r="HI281" s="3"/>
      <c r="HJ281" s="3"/>
      <c r="HK281" s="3"/>
      <c r="HL281" s="3"/>
      <c r="HM281" s="3"/>
      <c r="HN281" s="3"/>
      <c r="HO281" s="3"/>
      <c r="HP281" s="3"/>
      <c r="HQ281" s="3"/>
      <c r="HR281" s="3"/>
      <c r="HS281" s="3"/>
      <c r="HT281" s="3"/>
      <c r="HU281" s="3"/>
      <c r="HV281" s="3"/>
      <c r="HW281" s="3"/>
      <c r="HX281" s="3"/>
      <c r="HY281" s="3"/>
      <c r="HZ281" s="3"/>
      <c r="IA281" s="3"/>
      <c r="IB281" s="3"/>
      <c r="IC281" s="3"/>
      <c r="ID281" s="3"/>
      <c r="IE281" s="3"/>
      <c r="IF281" s="3"/>
      <c r="IG281" s="3"/>
      <c r="IH281" s="3"/>
      <c r="II281" s="3"/>
      <c r="IJ281" s="3"/>
      <c r="IK281" s="3"/>
      <c r="IL281" s="3"/>
      <c r="IM281" s="3"/>
      <c r="IN281" s="3"/>
      <c r="IO281" s="3"/>
      <c r="IP281" s="3"/>
      <c r="IQ281" s="3"/>
      <c r="IR281" s="3"/>
      <c r="IS281" s="3"/>
      <c r="IT281" s="3"/>
      <c r="IU281" s="3"/>
      <c r="IV281" s="3"/>
      <c r="IW281" s="3"/>
    </row>
    <row r="282" customFormat="false" ht="12.75" hidden="false" customHeight="false" outlineLevel="0" collapsed="false">
      <c r="A282" s="23"/>
      <c r="B282" s="0"/>
      <c r="C282" s="21"/>
      <c r="D282" s="300"/>
      <c r="E282" s="409"/>
      <c r="F282" s="3"/>
      <c r="G282" s="22"/>
      <c r="H282" s="22"/>
      <c r="I282" s="22"/>
      <c r="J282" s="22"/>
      <c r="K282" s="24"/>
      <c r="L282" s="24"/>
      <c r="M282" s="24"/>
      <c r="N282" s="24"/>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c r="BH282" s="24"/>
      <c r="BI282" s="24"/>
      <c r="BJ282" s="24"/>
      <c r="BK282" s="24"/>
      <c r="BL282" s="24"/>
      <c r="BM282" s="24"/>
      <c r="BN282" s="24"/>
      <c r="BO282" s="24"/>
      <c r="BP282" s="24"/>
      <c r="BQ282" s="24"/>
      <c r="BR282" s="24"/>
      <c r="BS282" s="24"/>
      <c r="BT282" s="24"/>
      <c r="BU282" s="24"/>
      <c r="BV282" s="24"/>
      <c r="BW282" s="24"/>
      <c r="BX282" s="24"/>
      <c r="BY282" s="24"/>
      <c r="BZ282" s="24"/>
      <c r="CA282" s="24"/>
      <c r="CB282" s="24"/>
      <c r="CC282" s="24"/>
      <c r="CD282" s="24"/>
      <c r="CE282" s="24"/>
      <c r="CF282" s="24"/>
      <c r="CG282" s="24"/>
      <c r="CH282" s="24"/>
      <c r="CI282" s="24"/>
      <c r="CJ282" s="24"/>
      <c r="CK282" s="24"/>
      <c r="CL282" s="24"/>
      <c r="CM282" s="24"/>
      <c r="CN282" s="24"/>
      <c r="CO282" s="24"/>
      <c r="CP282" s="24"/>
      <c r="CQ282" s="24"/>
      <c r="CR282" s="24"/>
      <c r="CS282" s="24"/>
      <c r="CT282" s="24"/>
      <c r="CU282" s="24"/>
      <c r="CV282" s="24"/>
      <c r="CW282" s="24"/>
      <c r="CX282" s="24"/>
      <c r="CY282" s="24"/>
      <c r="CZ282" s="24"/>
      <c r="DA282" s="24"/>
      <c r="DB282" s="24"/>
      <c r="DC282" s="24"/>
      <c r="DD282" s="24"/>
      <c r="DE282" s="24"/>
      <c r="DF282" s="24"/>
      <c r="DG282" s="24"/>
      <c r="DH282" s="24"/>
      <c r="DI282" s="24"/>
      <c r="DJ282" s="24"/>
      <c r="DK282" s="24"/>
      <c r="DL282" s="24"/>
      <c r="DM282" s="24"/>
      <c r="DN282" s="24"/>
      <c r="DO282" s="24"/>
      <c r="DP282" s="24"/>
      <c r="DQ282" s="24"/>
      <c r="DR282" s="24"/>
      <c r="DS282" s="24"/>
      <c r="DT282" s="24"/>
      <c r="DU282" s="24"/>
      <c r="DV282" s="24"/>
      <c r="DW282" s="24"/>
      <c r="DX282" s="24"/>
      <c r="DY282" s="24"/>
      <c r="DZ282" s="24"/>
      <c r="EA282" s="24"/>
      <c r="EB282" s="24"/>
      <c r="EC282" s="24"/>
      <c r="ED282" s="24"/>
      <c r="EE282" s="24"/>
      <c r="EF282" s="24"/>
      <c r="EG282" s="24"/>
      <c r="EH282" s="24"/>
      <c r="EI282" s="24"/>
      <c r="EJ282" s="24"/>
      <c r="EK282" s="24"/>
      <c r="EL282" s="24"/>
      <c r="EM282" s="3"/>
      <c r="EN282" s="3"/>
      <c r="EO282" s="3"/>
      <c r="EP282" s="3"/>
      <c r="EQ282" s="3"/>
      <c r="ER282" s="3"/>
      <c r="ES282" s="3"/>
      <c r="ET282" s="3"/>
      <c r="EU282" s="3"/>
      <c r="EV282" s="3"/>
      <c r="EW282" s="3"/>
      <c r="EX282" s="3"/>
      <c r="EY282" s="3"/>
      <c r="EZ282" s="3"/>
      <c r="FA282" s="3"/>
      <c r="FB282" s="3"/>
      <c r="FC282" s="3"/>
      <c r="FD282" s="3"/>
      <c r="FE282" s="3"/>
      <c r="FF282" s="3"/>
      <c r="FG282" s="3"/>
      <c r="FH282" s="3"/>
      <c r="FI282" s="3"/>
      <c r="FJ282" s="3"/>
      <c r="FK282" s="3"/>
      <c r="FL282" s="3"/>
      <c r="FM282" s="3"/>
      <c r="FN282" s="3"/>
      <c r="FO282" s="3"/>
      <c r="FP282" s="3"/>
      <c r="FQ282" s="3"/>
      <c r="FR282" s="3"/>
      <c r="FS282" s="3"/>
      <c r="FT282" s="3"/>
      <c r="FU282" s="3"/>
      <c r="FV282" s="3"/>
      <c r="FW282" s="3"/>
      <c r="FX282" s="3"/>
      <c r="FY282" s="3"/>
      <c r="FZ282" s="3"/>
      <c r="GA282" s="3"/>
      <c r="GB282" s="3"/>
      <c r="GC282" s="3"/>
      <c r="GD282" s="3"/>
      <c r="GE282" s="3"/>
      <c r="GF282" s="3"/>
      <c r="GG282" s="3"/>
      <c r="GH282" s="3"/>
      <c r="GI282" s="3"/>
      <c r="GJ282" s="3"/>
      <c r="GK282" s="3"/>
      <c r="GL282" s="3"/>
      <c r="GM282" s="3"/>
      <c r="GN282" s="3"/>
      <c r="GO282" s="3"/>
      <c r="GP282" s="3"/>
      <c r="GQ282" s="3"/>
      <c r="GR282" s="3"/>
      <c r="GS282" s="3"/>
      <c r="GT282" s="3"/>
      <c r="GU282" s="3"/>
      <c r="GV282" s="3"/>
      <c r="GW282" s="3"/>
      <c r="GX282" s="3"/>
      <c r="GY282" s="3"/>
      <c r="GZ282" s="3"/>
      <c r="HA282" s="3"/>
      <c r="HB282" s="3"/>
      <c r="HC282" s="3"/>
      <c r="HD282" s="3"/>
      <c r="HE282" s="3"/>
      <c r="HF282" s="3"/>
      <c r="HG282" s="3"/>
      <c r="HH282" s="3"/>
      <c r="HI282" s="3"/>
      <c r="HJ282" s="3"/>
      <c r="HK282" s="3"/>
      <c r="HL282" s="3"/>
      <c r="HM282" s="3"/>
      <c r="HN282" s="3"/>
      <c r="HO282" s="3"/>
      <c r="HP282" s="3"/>
      <c r="HQ282" s="3"/>
      <c r="HR282" s="3"/>
      <c r="HS282" s="3"/>
      <c r="HT282" s="3"/>
      <c r="HU282" s="3"/>
      <c r="HV282" s="3"/>
      <c r="HW282" s="3"/>
      <c r="HX282" s="3"/>
      <c r="HY282" s="3"/>
      <c r="HZ282" s="3"/>
      <c r="IA282" s="3"/>
      <c r="IB282" s="3"/>
      <c r="IC282" s="3"/>
      <c r="ID282" s="3"/>
      <c r="IE282" s="3"/>
      <c r="IF282" s="3"/>
      <c r="IG282" s="3"/>
      <c r="IH282" s="3"/>
      <c r="II282" s="3"/>
      <c r="IJ282" s="3"/>
      <c r="IK282" s="3"/>
      <c r="IL282" s="3"/>
      <c r="IM282" s="3"/>
      <c r="IN282" s="3"/>
      <c r="IO282" s="3"/>
      <c r="IP282" s="3"/>
      <c r="IQ282" s="3"/>
      <c r="IR282" s="3"/>
      <c r="IS282" s="3"/>
      <c r="IT282" s="3"/>
      <c r="IU282" s="3"/>
      <c r="IV282" s="3"/>
      <c r="IW282" s="3"/>
    </row>
    <row r="283" customFormat="false" ht="12.75" hidden="false" customHeight="false" outlineLevel="0" collapsed="false">
      <c r="A283" s="23"/>
      <c r="B283" s="74" t="s">
        <v>367</v>
      </c>
      <c r="C283" s="74"/>
      <c r="D283" s="300"/>
      <c r="E283" s="370" t="n">
        <v>10</v>
      </c>
      <c r="F283" s="3"/>
      <c r="G283" s="22"/>
      <c r="H283" s="22"/>
      <c r="I283" s="22"/>
      <c r="J283" s="22"/>
      <c r="K283" s="24"/>
      <c r="L283" s="24"/>
      <c r="M283" s="24"/>
      <c r="N283" s="24"/>
      <c r="O283" s="24"/>
      <c r="P283" s="24"/>
      <c r="Q283" s="24"/>
      <c r="R283" s="24"/>
      <c r="S283" s="24"/>
      <c r="T283" s="24"/>
      <c r="U283" s="24"/>
      <c r="V283" s="24"/>
      <c r="W283" s="24"/>
      <c r="X283" s="24"/>
      <c r="Y283" s="24"/>
      <c r="Z283" s="24"/>
      <c r="AA283" s="24"/>
      <c r="AB283" s="24"/>
      <c r="AC283" s="24"/>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c r="BH283" s="24"/>
      <c r="BI283" s="24"/>
      <c r="BJ283" s="24"/>
      <c r="BK283" s="24"/>
      <c r="BL283" s="24"/>
      <c r="BM283" s="24"/>
      <c r="BN283" s="24"/>
      <c r="BO283" s="24"/>
      <c r="BP283" s="24"/>
      <c r="BQ283" s="24"/>
      <c r="BR283" s="24"/>
      <c r="BS283" s="24"/>
      <c r="BT283" s="24"/>
      <c r="BU283" s="24"/>
      <c r="BV283" s="24"/>
      <c r="BW283" s="24"/>
      <c r="BX283" s="24"/>
      <c r="BY283" s="24"/>
      <c r="BZ283" s="24"/>
      <c r="CA283" s="24"/>
      <c r="CB283" s="24"/>
      <c r="CC283" s="24"/>
      <c r="CD283" s="24"/>
      <c r="CE283" s="24"/>
      <c r="CF283" s="24"/>
      <c r="CG283" s="24"/>
      <c r="CH283" s="24"/>
      <c r="CI283" s="24"/>
      <c r="CJ283" s="24"/>
      <c r="CK283" s="24"/>
      <c r="CL283" s="24"/>
      <c r="CM283" s="24"/>
      <c r="CN283" s="24"/>
      <c r="CO283" s="24"/>
      <c r="CP283" s="24"/>
      <c r="CQ283" s="24"/>
      <c r="CR283" s="24"/>
      <c r="CS283" s="24"/>
      <c r="CT283" s="24"/>
      <c r="CU283" s="24"/>
      <c r="CV283" s="24"/>
      <c r="CW283" s="24"/>
      <c r="CX283" s="24"/>
      <c r="CY283" s="24"/>
      <c r="CZ283" s="24"/>
      <c r="DA283" s="24"/>
      <c r="DB283" s="24"/>
      <c r="DC283" s="24"/>
      <c r="DD283" s="24"/>
      <c r="DE283" s="24"/>
      <c r="DF283" s="24"/>
      <c r="DG283" s="24"/>
      <c r="DH283" s="24"/>
      <c r="DI283" s="24"/>
      <c r="DJ283" s="24"/>
      <c r="DK283" s="24"/>
      <c r="DL283" s="24"/>
      <c r="DM283" s="24"/>
      <c r="DN283" s="24"/>
      <c r="DO283" s="24"/>
      <c r="DP283" s="24"/>
      <c r="DQ283" s="24"/>
      <c r="DR283" s="24"/>
      <c r="DS283" s="24"/>
      <c r="DT283" s="24"/>
      <c r="DU283" s="24"/>
      <c r="DV283" s="24"/>
      <c r="DW283" s="24"/>
      <c r="DX283" s="24"/>
      <c r="DY283" s="24"/>
      <c r="DZ283" s="24"/>
      <c r="EA283" s="24"/>
      <c r="EB283" s="24"/>
      <c r="EC283" s="24"/>
      <c r="ED283" s="24"/>
      <c r="EE283" s="24"/>
      <c r="EF283" s="24"/>
      <c r="EG283" s="24"/>
      <c r="EH283" s="24"/>
      <c r="EI283" s="24"/>
      <c r="EJ283" s="24"/>
      <c r="EK283" s="24"/>
      <c r="EL283" s="24"/>
      <c r="EM283" s="3"/>
      <c r="EN283" s="3"/>
      <c r="EO283" s="3"/>
      <c r="EP283" s="3"/>
      <c r="EQ283" s="3"/>
      <c r="ER283" s="3"/>
      <c r="ES283" s="3"/>
      <c r="ET283" s="3"/>
      <c r="EU283" s="3"/>
      <c r="EV283" s="3"/>
      <c r="EW283" s="3"/>
      <c r="EX283" s="3"/>
      <c r="EY283" s="3"/>
      <c r="EZ283" s="3"/>
      <c r="FA283" s="3"/>
      <c r="FB283" s="3"/>
      <c r="FC283" s="3"/>
      <c r="FD283" s="3"/>
      <c r="FE283" s="3"/>
      <c r="FF283" s="3"/>
      <c r="FG283" s="3"/>
      <c r="FH283" s="3"/>
      <c r="FI283" s="3"/>
      <c r="FJ283" s="3"/>
      <c r="FK283" s="3"/>
      <c r="FL283" s="3"/>
      <c r="FM283" s="3"/>
      <c r="FN283" s="3"/>
      <c r="FO283" s="3"/>
      <c r="FP283" s="3"/>
      <c r="FQ283" s="3"/>
      <c r="FR283" s="3"/>
      <c r="FS283" s="3"/>
      <c r="FT283" s="3"/>
      <c r="FU283" s="3"/>
      <c r="FV283" s="3"/>
      <c r="FW283" s="3"/>
      <c r="FX283" s="3"/>
      <c r="FY283" s="3"/>
      <c r="FZ283" s="3"/>
      <c r="GA283" s="3"/>
      <c r="GB283" s="3"/>
      <c r="GC283" s="3"/>
      <c r="GD283" s="3"/>
      <c r="GE283" s="3"/>
      <c r="GF283" s="3"/>
      <c r="GG283" s="3"/>
      <c r="GH283" s="3"/>
      <c r="GI283" s="3"/>
      <c r="GJ283" s="3"/>
      <c r="GK283" s="3"/>
      <c r="GL283" s="3"/>
      <c r="GM283" s="3"/>
      <c r="GN283" s="3"/>
      <c r="GO283" s="3"/>
      <c r="GP283" s="3"/>
      <c r="GQ283" s="3"/>
      <c r="GR283" s="3"/>
      <c r="GS283" s="3"/>
      <c r="GT283" s="3"/>
      <c r="GU283" s="3"/>
      <c r="GV283" s="3"/>
      <c r="GW283" s="3"/>
      <c r="GX283" s="3"/>
      <c r="GY283" s="3"/>
      <c r="GZ283" s="3"/>
      <c r="HA283" s="3"/>
      <c r="HB283" s="3"/>
      <c r="HC283" s="3"/>
      <c r="HD283" s="3"/>
      <c r="HE283" s="3"/>
      <c r="HF283" s="3"/>
      <c r="HG283" s="3"/>
      <c r="HH283" s="3"/>
      <c r="HI283" s="3"/>
      <c r="HJ283" s="3"/>
      <c r="HK283" s="3"/>
      <c r="HL283" s="3"/>
      <c r="HM283" s="3"/>
      <c r="HN283" s="3"/>
      <c r="HO283" s="3"/>
      <c r="HP283" s="3"/>
      <c r="HQ283" s="3"/>
      <c r="HR283" s="3"/>
      <c r="HS283" s="3"/>
      <c r="HT283" s="3"/>
      <c r="HU283" s="3"/>
      <c r="HV283" s="3"/>
      <c r="HW283" s="3"/>
      <c r="HX283" s="3"/>
      <c r="HY283" s="3"/>
      <c r="HZ283" s="3"/>
      <c r="IA283" s="3"/>
      <c r="IB283" s="3"/>
      <c r="IC283" s="3"/>
      <c r="ID283" s="3"/>
      <c r="IE283" s="3"/>
      <c r="IF283" s="3"/>
      <c r="IG283" s="3"/>
      <c r="IH283" s="3"/>
      <c r="II283" s="3"/>
      <c r="IJ283" s="3"/>
      <c r="IK283" s="3"/>
      <c r="IL283" s="3"/>
      <c r="IM283" s="3"/>
      <c r="IN283" s="3"/>
      <c r="IO283" s="3"/>
      <c r="IP283" s="3"/>
      <c r="IQ283" s="3"/>
      <c r="IR283" s="3"/>
      <c r="IS283" s="3"/>
      <c r="IT283" s="3"/>
      <c r="IU283" s="3"/>
      <c r="IV283" s="3"/>
      <c r="IW283" s="3"/>
    </row>
    <row r="284" customFormat="false" ht="12.75" hidden="false" customHeight="false" outlineLevel="0" collapsed="false">
      <c r="A284" s="23"/>
      <c r="B284" s="74" t="s">
        <v>368</v>
      </c>
      <c r="C284" s="74"/>
      <c r="D284" s="300"/>
      <c r="E284" s="370" t="n">
        <v>-100</v>
      </c>
      <c r="F284" s="3"/>
      <c r="G284" s="22"/>
      <c r="H284" s="22"/>
      <c r="I284" s="22"/>
      <c r="J284" s="22"/>
      <c r="K284" s="24"/>
      <c r="L284" s="24"/>
      <c r="M284" s="24"/>
      <c r="N284" s="24"/>
      <c r="O284" s="24"/>
      <c r="P284" s="24"/>
      <c r="Q284" s="24"/>
      <c r="R284" s="24"/>
      <c r="S284" s="24"/>
      <c r="T284" s="24"/>
      <c r="U284" s="24"/>
      <c r="V284" s="24"/>
      <c r="W284" s="24"/>
      <c r="X284" s="24"/>
      <c r="Y284" s="24"/>
      <c r="Z284" s="24"/>
      <c r="AA284" s="24"/>
      <c r="AB284" s="24"/>
      <c r="AC284" s="24"/>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c r="BH284" s="24"/>
      <c r="BI284" s="24"/>
      <c r="BJ284" s="24"/>
      <c r="BK284" s="24"/>
      <c r="BL284" s="24"/>
      <c r="BM284" s="24"/>
      <c r="BN284" s="24"/>
      <c r="BO284" s="24"/>
      <c r="BP284" s="24"/>
      <c r="BQ284" s="24"/>
      <c r="BR284" s="24"/>
      <c r="BS284" s="24"/>
      <c r="BT284" s="24"/>
      <c r="BU284" s="24"/>
      <c r="BV284" s="24"/>
      <c r="BW284" s="24"/>
      <c r="BX284" s="24"/>
      <c r="BY284" s="24"/>
      <c r="BZ284" s="24"/>
      <c r="CA284" s="24"/>
      <c r="CB284" s="24"/>
      <c r="CC284" s="24"/>
      <c r="CD284" s="24"/>
      <c r="CE284" s="24"/>
      <c r="CF284" s="24"/>
      <c r="CG284" s="24"/>
      <c r="CH284" s="24"/>
      <c r="CI284" s="24"/>
      <c r="CJ284" s="24"/>
      <c r="CK284" s="24"/>
      <c r="CL284" s="24"/>
      <c r="CM284" s="24"/>
      <c r="CN284" s="24"/>
      <c r="CO284" s="24"/>
      <c r="CP284" s="24"/>
      <c r="CQ284" s="24"/>
      <c r="CR284" s="24"/>
      <c r="CS284" s="24"/>
      <c r="CT284" s="24"/>
      <c r="CU284" s="24"/>
      <c r="CV284" s="24"/>
      <c r="CW284" s="24"/>
      <c r="CX284" s="24"/>
      <c r="CY284" s="24"/>
      <c r="CZ284" s="24"/>
      <c r="DA284" s="24"/>
      <c r="DB284" s="24"/>
      <c r="DC284" s="24"/>
      <c r="DD284" s="24"/>
      <c r="DE284" s="24"/>
      <c r="DF284" s="24"/>
      <c r="DG284" s="24"/>
      <c r="DH284" s="24"/>
      <c r="DI284" s="24"/>
      <c r="DJ284" s="24"/>
      <c r="DK284" s="24"/>
      <c r="DL284" s="24"/>
      <c r="DM284" s="24"/>
      <c r="DN284" s="24"/>
      <c r="DO284" s="24"/>
      <c r="DP284" s="24"/>
      <c r="DQ284" s="24"/>
      <c r="DR284" s="24"/>
      <c r="DS284" s="24"/>
      <c r="DT284" s="24"/>
      <c r="DU284" s="24"/>
      <c r="DV284" s="24"/>
      <c r="DW284" s="24"/>
      <c r="DX284" s="24"/>
      <c r="DY284" s="24"/>
      <c r="DZ284" s="24"/>
      <c r="EA284" s="24"/>
      <c r="EB284" s="24"/>
      <c r="EC284" s="24"/>
      <c r="ED284" s="24"/>
      <c r="EE284" s="24"/>
      <c r="EF284" s="24"/>
      <c r="EG284" s="24"/>
      <c r="EH284" s="24"/>
      <c r="EI284" s="24"/>
      <c r="EJ284" s="24"/>
      <c r="EK284" s="24"/>
      <c r="EL284" s="24"/>
      <c r="EM284" s="3"/>
      <c r="EN284" s="3"/>
      <c r="EO284" s="3"/>
      <c r="EP284" s="3"/>
      <c r="EQ284" s="3"/>
      <c r="ER284" s="3"/>
      <c r="ES284" s="3"/>
      <c r="ET284" s="3"/>
      <c r="EU284" s="3"/>
      <c r="EV284" s="3"/>
      <c r="EW284" s="3"/>
      <c r="EX284" s="3"/>
      <c r="EY284" s="3"/>
      <c r="EZ284" s="3"/>
      <c r="FA284" s="3"/>
      <c r="FB284" s="3"/>
      <c r="FC284" s="3"/>
      <c r="FD284" s="3"/>
      <c r="FE284" s="3"/>
      <c r="FF284" s="3"/>
      <c r="FG284" s="3"/>
      <c r="FH284" s="3"/>
      <c r="FI284" s="3"/>
      <c r="FJ284" s="3"/>
      <c r="FK284" s="3"/>
      <c r="FL284" s="3"/>
      <c r="FM284" s="3"/>
      <c r="FN284" s="3"/>
      <c r="FO284" s="3"/>
      <c r="FP284" s="3"/>
      <c r="FQ284" s="3"/>
      <c r="FR284" s="3"/>
      <c r="FS284" s="3"/>
      <c r="FT284" s="3"/>
      <c r="FU284" s="3"/>
      <c r="FV284" s="3"/>
      <c r="FW284" s="3"/>
      <c r="FX284" s="3"/>
      <c r="FY284" s="3"/>
      <c r="FZ284" s="3"/>
      <c r="GA284" s="3"/>
      <c r="GB284" s="3"/>
      <c r="GC284" s="3"/>
      <c r="GD284" s="3"/>
      <c r="GE284" s="3"/>
      <c r="GF284" s="3"/>
      <c r="GG284" s="3"/>
      <c r="GH284" s="3"/>
      <c r="GI284" s="3"/>
      <c r="GJ284" s="3"/>
      <c r="GK284" s="3"/>
      <c r="GL284" s="3"/>
      <c r="GM284" s="3"/>
      <c r="GN284" s="3"/>
      <c r="GO284" s="3"/>
      <c r="GP284" s="3"/>
      <c r="GQ284" s="3"/>
      <c r="GR284" s="3"/>
      <c r="GS284" s="3"/>
      <c r="GT284" s="3"/>
      <c r="GU284" s="3"/>
      <c r="GV284" s="3"/>
      <c r="GW284" s="3"/>
      <c r="GX284" s="3"/>
      <c r="GY284" s="3"/>
      <c r="GZ284" s="3"/>
      <c r="HA284" s="3"/>
      <c r="HB284" s="3"/>
      <c r="HC284" s="3"/>
      <c r="HD284" s="3"/>
      <c r="HE284" s="3"/>
      <c r="HF284" s="3"/>
      <c r="HG284" s="3"/>
      <c r="HH284" s="3"/>
      <c r="HI284" s="3"/>
      <c r="HJ284" s="3"/>
      <c r="HK284" s="3"/>
      <c r="HL284" s="3"/>
      <c r="HM284" s="3"/>
      <c r="HN284" s="3"/>
      <c r="HO284" s="3"/>
      <c r="HP284" s="3"/>
      <c r="HQ284" s="3"/>
      <c r="HR284" s="3"/>
      <c r="HS284" s="3"/>
      <c r="HT284" s="3"/>
      <c r="HU284" s="3"/>
      <c r="HV284" s="3"/>
      <c r="HW284" s="3"/>
      <c r="HX284" s="3"/>
      <c r="HY284" s="3"/>
      <c r="HZ284" s="3"/>
      <c r="IA284" s="3"/>
      <c r="IB284" s="3"/>
      <c r="IC284" s="3"/>
      <c r="ID284" s="3"/>
      <c r="IE284" s="3"/>
      <c r="IF284" s="3"/>
      <c r="IG284" s="3"/>
      <c r="IH284" s="3"/>
      <c r="II284" s="3"/>
      <c r="IJ284" s="3"/>
      <c r="IK284" s="3"/>
      <c r="IL284" s="3"/>
      <c r="IM284" s="3"/>
      <c r="IN284" s="3"/>
      <c r="IO284" s="3"/>
      <c r="IP284" s="3"/>
      <c r="IQ284" s="3"/>
      <c r="IR284" s="3"/>
      <c r="IS284" s="3"/>
      <c r="IT284" s="3"/>
      <c r="IU284" s="3"/>
      <c r="IV284" s="3"/>
      <c r="IW284" s="3"/>
    </row>
    <row r="285" customFormat="false" ht="12.75" hidden="false" customHeight="false" outlineLevel="0" collapsed="false">
      <c r="A285" s="23"/>
      <c r="B285" s="373" t="s">
        <v>341</v>
      </c>
      <c r="C285" s="374"/>
      <c r="D285" s="3"/>
      <c r="E285" s="375" t="n">
        <v>360</v>
      </c>
      <c r="F285" s="22"/>
      <c r="G285" s="22"/>
      <c r="H285" s="22"/>
      <c r="I285" s="22"/>
      <c r="J285" s="22"/>
      <c r="K285" s="24"/>
      <c r="L285" s="24"/>
      <c r="M285" s="24"/>
      <c r="N285" s="24"/>
      <c r="O285" s="24"/>
      <c r="P285" s="24"/>
      <c r="Q285" s="24"/>
      <c r="R285" s="24"/>
      <c r="S285" s="24"/>
      <c r="T285" s="24"/>
      <c r="U285" s="24"/>
      <c r="V285" s="24"/>
      <c r="W285" s="24"/>
      <c r="X285" s="24"/>
      <c r="Y285" s="24"/>
      <c r="Z285" s="24"/>
      <c r="AA285" s="24"/>
      <c r="AB285" s="24"/>
      <c r="AC285" s="24"/>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c r="BH285" s="24"/>
      <c r="BI285" s="24"/>
      <c r="BJ285" s="24"/>
      <c r="BK285" s="24"/>
      <c r="BL285" s="24"/>
      <c r="BM285" s="24"/>
      <c r="BN285" s="24"/>
      <c r="BO285" s="24"/>
      <c r="BP285" s="24"/>
      <c r="BQ285" s="24"/>
      <c r="BR285" s="24"/>
      <c r="BS285" s="24"/>
      <c r="BT285" s="24"/>
      <c r="BU285" s="24"/>
      <c r="BV285" s="24"/>
      <c r="BW285" s="24"/>
      <c r="BX285" s="24"/>
      <c r="BY285" s="24"/>
      <c r="BZ285" s="24"/>
      <c r="CA285" s="24"/>
      <c r="CB285" s="24"/>
      <c r="CC285" s="24"/>
      <c r="CD285" s="24"/>
      <c r="CE285" s="24"/>
      <c r="CF285" s="24"/>
      <c r="CG285" s="24"/>
      <c r="CH285" s="24"/>
      <c r="CI285" s="24"/>
      <c r="CJ285" s="24"/>
      <c r="CK285" s="24"/>
      <c r="CL285" s="24"/>
      <c r="CM285" s="24"/>
      <c r="CN285" s="24"/>
      <c r="CO285" s="24"/>
      <c r="CP285" s="24"/>
      <c r="CQ285" s="24"/>
      <c r="CR285" s="24"/>
      <c r="CS285" s="24"/>
      <c r="CT285" s="24"/>
      <c r="CU285" s="24"/>
      <c r="CV285" s="24"/>
      <c r="CW285" s="24"/>
      <c r="CX285" s="24"/>
      <c r="CY285" s="24"/>
      <c r="CZ285" s="24"/>
      <c r="DA285" s="24"/>
      <c r="DB285" s="24"/>
      <c r="DC285" s="24"/>
      <c r="DD285" s="24"/>
      <c r="DE285" s="24"/>
      <c r="DF285" s="24"/>
      <c r="DG285" s="24"/>
      <c r="DH285" s="24"/>
      <c r="DI285" s="24"/>
      <c r="DJ285" s="24"/>
      <c r="DK285" s="24"/>
      <c r="DL285" s="24"/>
      <c r="DM285" s="24"/>
      <c r="DN285" s="24"/>
      <c r="DO285" s="24"/>
      <c r="DP285" s="24"/>
      <c r="DQ285" s="24"/>
      <c r="DR285" s="24"/>
      <c r="DS285" s="24"/>
      <c r="DT285" s="24"/>
      <c r="DU285" s="24"/>
      <c r="DV285" s="24"/>
      <c r="DW285" s="24"/>
      <c r="DX285" s="24"/>
      <c r="DY285" s="24"/>
      <c r="DZ285" s="24"/>
      <c r="EA285" s="24"/>
      <c r="EB285" s="24"/>
      <c r="EC285" s="24"/>
      <c r="ED285" s="24"/>
      <c r="EE285" s="24"/>
      <c r="EF285" s="24"/>
      <c r="EG285" s="24"/>
      <c r="EH285" s="24"/>
      <c r="EI285" s="24"/>
      <c r="EJ285" s="24"/>
      <c r="EK285" s="24"/>
      <c r="EL285" s="24"/>
      <c r="EM285" s="3"/>
      <c r="EN285" s="3"/>
      <c r="EO285" s="3"/>
      <c r="EP285" s="3"/>
      <c r="EQ285" s="3"/>
      <c r="ER285" s="3"/>
      <c r="ES285" s="3"/>
      <c r="ET285" s="3"/>
      <c r="EU285" s="3"/>
      <c r="EV285" s="3"/>
      <c r="EW285" s="3"/>
      <c r="EX285" s="3"/>
      <c r="EY285" s="3"/>
      <c r="EZ285" s="3"/>
      <c r="FA285" s="3"/>
      <c r="FB285" s="3"/>
      <c r="FC285" s="3"/>
      <c r="FD285" s="3"/>
      <c r="FE285" s="3"/>
      <c r="FF285" s="3"/>
      <c r="FG285" s="3"/>
      <c r="FH285" s="3"/>
      <c r="FI285" s="3"/>
      <c r="FJ285" s="3"/>
      <c r="FK285" s="3"/>
      <c r="FL285" s="3"/>
      <c r="FM285" s="3"/>
      <c r="FN285" s="3"/>
      <c r="FO285" s="3"/>
      <c r="FP285" s="3"/>
      <c r="FQ285" s="3"/>
      <c r="FR285" s="3"/>
      <c r="FS285" s="3"/>
      <c r="FT285" s="3"/>
      <c r="FU285" s="3"/>
      <c r="FV285" s="3"/>
      <c r="FW285" s="3"/>
      <c r="FX285" s="3"/>
      <c r="FY285" s="3"/>
      <c r="FZ285" s="3"/>
      <c r="GA285" s="3"/>
      <c r="GB285" s="3"/>
      <c r="GC285" s="3"/>
      <c r="GD285" s="3"/>
      <c r="GE285" s="3"/>
      <c r="GF285" s="3"/>
      <c r="GG285" s="3"/>
      <c r="GH285" s="3"/>
      <c r="GI285" s="3"/>
      <c r="GJ285" s="3"/>
      <c r="GK285" s="3"/>
      <c r="GL285" s="3"/>
      <c r="GM285" s="3"/>
      <c r="GN285" s="3"/>
      <c r="GO285" s="3"/>
      <c r="GP285" s="3"/>
      <c r="GQ285" s="3"/>
      <c r="GR285" s="3"/>
      <c r="GS285" s="3"/>
      <c r="GT285" s="3"/>
      <c r="GU285" s="3"/>
      <c r="GV285" s="3"/>
      <c r="GW285" s="3"/>
      <c r="GX285" s="3"/>
      <c r="GY285" s="3"/>
      <c r="GZ285" s="3"/>
      <c r="HA285" s="3"/>
      <c r="HB285" s="3"/>
      <c r="HC285" s="3"/>
      <c r="HD285" s="3"/>
      <c r="HE285" s="3"/>
      <c r="HF285" s="3"/>
      <c r="HG285" s="3"/>
      <c r="HH285" s="3"/>
      <c r="HI285" s="3"/>
      <c r="HJ285" s="3"/>
      <c r="HK285" s="3"/>
      <c r="HL285" s="3"/>
      <c r="HM285" s="3"/>
      <c r="HN285" s="3"/>
      <c r="HO285" s="3"/>
      <c r="HP285" s="3"/>
      <c r="HQ285" s="3"/>
      <c r="HR285" s="3"/>
      <c r="HS285" s="3"/>
      <c r="HT285" s="3"/>
      <c r="HU285" s="3"/>
      <c r="HV285" s="3"/>
      <c r="HW285" s="3"/>
      <c r="HX285" s="3"/>
      <c r="HY285" s="3"/>
      <c r="HZ285" s="3"/>
      <c r="IA285" s="3"/>
      <c r="IB285" s="3"/>
      <c r="IC285" s="3"/>
      <c r="ID285" s="3"/>
      <c r="IE285" s="3"/>
      <c r="IF285" s="3"/>
      <c r="IG285" s="3"/>
      <c r="IH285" s="3"/>
      <c r="II285" s="3"/>
      <c r="IJ285" s="3"/>
      <c r="IK285" s="3"/>
      <c r="IL285" s="3"/>
      <c r="IM285" s="3"/>
      <c r="IN285" s="3"/>
      <c r="IO285" s="3"/>
      <c r="IP285" s="3"/>
      <c r="IQ285" s="3"/>
      <c r="IR285" s="3"/>
      <c r="IS285" s="3"/>
      <c r="IT285" s="3"/>
      <c r="IU285" s="3"/>
      <c r="IV285" s="3"/>
      <c r="IW285" s="3"/>
    </row>
    <row r="286" customFormat="false" ht="12.75" hidden="false" customHeight="false" outlineLevel="0" collapsed="false">
      <c r="A286" s="23"/>
      <c r="B286" s="373" t="s">
        <v>369</v>
      </c>
      <c r="C286" s="374"/>
      <c r="D286" s="3"/>
      <c r="E286" s="377" t="n">
        <f aca="false">EDATE($F$24,6)</f>
        <v>35976</v>
      </c>
      <c r="F286" s="22" t="s">
        <v>343</v>
      </c>
      <c r="G286" s="22"/>
      <c r="H286" s="22"/>
      <c r="I286" s="22"/>
      <c r="J286" s="22"/>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c r="BM286" s="24"/>
      <c r="BN286" s="24"/>
      <c r="BO286" s="24"/>
      <c r="BP286" s="24"/>
      <c r="BQ286" s="24"/>
      <c r="BR286" s="24"/>
      <c r="BS286" s="24"/>
      <c r="BT286" s="24"/>
      <c r="BU286" s="24"/>
      <c r="BV286" s="24"/>
      <c r="BW286" s="24"/>
      <c r="BX286" s="24"/>
      <c r="BY286" s="24"/>
      <c r="BZ286" s="24"/>
      <c r="CA286" s="24"/>
      <c r="CB286" s="24"/>
      <c r="CC286" s="24"/>
      <c r="CD286" s="24"/>
      <c r="CE286" s="24"/>
      <c r="CF286" s="24"/>
      <c r="CG286" s="24"/>
      <c r="CH286" s="24"/>
      <c r="CI286" s="24"/>
      <c r="CJ286" s="24"/>
      <c r="CK286" s="24"/>
      <c r="CL286" s="24"/>
      <c r="CM286" s="24"/>
      <c r="CN286" s="24"/>
      <c r="CO286" s="24"/>
      <c r="CP286" s="24"/>
      <c r="CQ286" s="24"/>
      <c r="CR286" s="24"/>
      <c r="CS286" s="24"/>
      <c r="CT286" s="24"/>
      <c r="CU286" s="24"/>
      <c r="CV286" s="24"/>
      <c r="CW286" s="24"/>
      <c r="CX286" s="24"/>
      <c r="CY286" s="24"/>
      <c r="CZ286" s="24"/>
      <c r="DA286" s="24"/>
      <c r="DB286" s="24"/>
      <c r="DC286" s="24"/>
      <c r="DD286" s="24"/>
      <c r="DE286" s="24"/>
      <c r="DF286" s="24"/>
      <c r="DG286" s="24"/>
      <c r="DH286" s="24"/>
      <c r="DI286" s="24"/>
      <c r="DJ286" s="24"/>
      <c r="DK286" s="24"/>
      <c r="DL286" s="24"/>
      <c r="DM286" s="24"/>
      <c r="DN286" s="24"/>
      <c r="DO286" s="24"/>
      <c r="DP286" s="24"/>
      <c r="DQ286" s="24"/>
      <c r="DR286" s="24"/>
      <c r="DS286" s="24"/>
      <c r="DT286" s="24"/>
      <c r="DU286" s="24"/>
      <c r="DV286" s="24"/>
      <c r="DW286" s="24"/>
      <c r="DX286" s="24"/>
      <c r="DY286" s="24"/>
      <c r="DZ286" s="24"/>
      <c r="EA286" s="24"/>
      <c r="EB286" s="24"/>
      <c r="EC286" s="24"/>
      <c r="ED286" s="24"/>
      <c r="EE286" s="24"/>
      <c r="EF286" s="24"/>
      <c r="EG286" s="24"/>
      <c r="EH286" s="24"/>
      <c r="EI286" s="24"/>
      <c r="EJ286" s="24"/>
      <c r="EK286" s="24"/>
      <c r="EL286" s="24"/>
      <c r="EM286" s="3"/>
      <c r="EN286" s="3"/>
      <c r="EO286" s="3"/>
      <c r="EP286" s="3"/>
      <c r="EQ286" s="3"/>
      <c r="ER286" s="3"/>
      <c r="ES286" s="3"/>
      <c r="ET286" s="3"/>
      <c r="EU286" s="3"/>
      <c r="EV286" s="3"/>
      <c r="EW286" s="3"/>
      <c r="EX286" s="3"/>
      <c r="EY286" s="3"/>
      <c r="EZ286" s="3"/>
      <c r="FA286" s="3"/>
      <c r="FB286" s="3"/>
      <c r="FC286" s="3"/>
      <c r="FD286" s="3"/>
      <c r="FE286" s="3"/>
      <c r="FF286" s="3"/>
      <c r="FG286" s="3"/>
      <c r="FH286" s="3"/>
      <c r="FI286" s="3"/>
      <c r="FJ286" s="3"/>
      <c r="FK286" s="3"/>
      <c r="FL286" s="3"/>
      <c r="FM286" s="3"/>
      <c r="FN286" s="3"/>
      <c r="FO286" s="3"/>
      <c r="FP286" s="3"/>
      <c r="FQ286" s="3"/>
      <c r="FR286" s="3"/>
      <c r="FS286" s="3"/>
      <c r="FT286" s="3"/>
      <c r="FU286" s="3"/>
      <c r="FV286" s="3"/>
      <c r="FW286" s="3"/>
      <c r="FX286" s="3"/>
      <c r="FY286" s="3"/>
      <c r="FZ286" s="3"/>
      <c r="GA286" s="3"/>
      <c r="GB286" s="3"/>
      <c r="GC286" s="3"/>
      <c r="GD286" s="3"/>
      <c r="GE286" s="3"/>
      <c r="GF286" s="3"/>
      <c r="GG286" s="3"/>
      <c r="GH286" s="3"/>
      <c r="GI286" s="3"/>
      <c r="GJ286" s="3"/>
      <c r="GK286" s="3"/>
      <c r="GL286" s="3"/>
      <c r="GM286" s="3"/>
      <c r="GN286" s="3"/>
      <c r="GO286" s="3"/>
      <c r="GP286" s="3"/>
      <c r="GQ286" s="3"/>
      <c r="GR286" s="3"/>
      <c r="GS286" s="3"/>
      <c r="GT286" s="3"/>
      <c r="GU286" s="3"/>
      <c r="GV286" s="3"/>
      <c r="GW286" s="3"/>
      <c r="GX286" s="3"/>
      <c r="GY286" s="3"/>
      <c r="GZ286" s="3"/>
      <c r="HA286" s="3"/>
      <c r="HB286" s="3"/>
      <c r="HC286" s="3"/>
      <c r="HD286" s="3"/>
      <c r="HE286" s="3"/>
      <c r="HF286" s="3"/>
      <c r="HG286" s="3"/>
      <c r="HH286" s="3"/>
      <c r="HI286" s="3"/>
      <c r="HJ286" s="3"/>
      <c r="HK286" s="3"/>
      <c r="HL286" s="3"/>
      <c r="HM286" s="3"/>
      <c r="HN286" s="3"/>
      <c r="HO286" s="3"/>
      <c r="HP286" s="3"/>
      <c r="HQ286" s="3"/>
      <c r="HR286" s="3"/>
      <c r="HS286" s="3"/>
      <c r="HT286" s="3"/>
      <c r="HU286" s="3"/>
      <c r="HV286" s="3"/>
      <c r="HW286" s="3"/>
      <c r="HX286" s="3"/>
      <c r="HY286" s="3"/>
      <c r="HZ286" s="3"/>
      <c r="IA286" s="3"/>
      <c r="IB286" s="3"/>
      <c r="IC286" s="3"/>
      <c r="ID286" s="3"/>
      <c r="IE286" s="3"/>
      <c r="IF286" s="3"/>
      <c r="IG286" s="3"/>
      <c r="IH286" s="3"/>
      <c r="II286" s="3"/>
      <c r="IJ286" s="3"/>
      <c r="IK286" s="3"/>
      <c r="IL286" s="3"/>
      <c r="IM286" s="3"/>
      <c r="IN286" s="3"/>
      <c r="IO286" s="3"/>
      <c r="IP286" s="3"/>
      <c r="IQ286" s="3"/>
      <c r="IR286" s="3"/>
      <c r="IS286" s="3"/>
      <c r="IT286" s="3"/>
      <c r="IU286" s="3"/>
      <c r="IV286" s="3"/>
      <c r="IW286" s="3"/>
    </row>
    <row r="287" customFormat="false" ht="12.75" hidden="false" customHeight="false" outlineLevel="0" collapsed="false">
      <c r="A287" s="23"/>
      <c r="B287" s="373" t="s">
        <v>370</v>
      </c>
      <c r="C287" s="374"/>
      <c r="D287" s="3"/>
      <c r="E287" s="377" t="n">
        <f aca="false">EDATE(E286,6)</f>
        <v>36160</v>
      </c>
      <c r="F287" s="22" t="s">
        <v>345</v>
      </c>
      <c r="G287" s="22"/>
      <c r="H287" s="22"/>
      <c r="I287" s="22"/>
      <c r="J287" s="22"/>
      <c r="K287" s="24"/>
      <c r="L287" s="24"/>
      <c r="M287" s="24"/>
      <c r="N287" s="24"/>
      <c r="O287" s="24"/>
      <c r="P287" s="24"/>
      <c r="Q287" s="24"/>
      <c r="R287" s="24"/>
      <c r="S287" s="24"/>
      <c r="T287" s="24"/>
      <c r="U287" s="24"/>
      <c r="V287" s="24"/>
      <c r="W287" s="24"/>
      <c r="X287" s="24"/>
      <c r="Y287" s="24"/>
      <c r="Z287" s="24"/>
      <c r="AA287" s="24"/>
      <c r="AB287" s="24"/>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c r="BH287" s="24"/>
      <c r="BI287" s="24"/>
      <c r="BJ287" s="24"/>
      <c r="BK287" s="24"/>
      <c r="BL287" s="24"/>
      <c r="BM287" s="24"/>
      <c r="BN287" s="24"/>
      <c r="BO287" s="24"/>
      <c r="BP287" s="24"/>
      <c r="BQ287" s="24"/>
      <c r="BR287" s="24"/>
      <c r="BS287" s="24"/>
      <c r="BT287" s="24"/>
      <c r="BU287" s="24"/>
      <c r="BV287" s="24"/>
      <c r="BW287" s="24"/>
      <c r="BX287" s="24"/>
      <c r="BY287" s="24"/>
      <c r="BZ287" s="24"/>
      <c r="CA287" s="24"/>
      <c r="CB287" s="24"/>
      <c r="CC287" s="24"/>
      <c r="CD287" s="24"/>
      <c r="CE287" s="24"/>
      <c r="CF287" s="24"/>
      <c r="CG287" s="24"/>
      <c r="CH287" s="24"/>
      <c r="CI287" s="24"/>
      <c r="CJ287" s="24"/>
      <c r="CK287" s="24"/>
      <c r="CL287" s="24"/>
      <c r="CM287" s="24"/>
      <c r="CN287" s="24"/>
      <c r="CO287" s="24"/>
      <c r="CP287" s="24"/>
      <c r="CQ287" s="24"/>
      <c r="CR287" s="24"/>
      <c r="CS287" s="24"/>
      <c r="CT287" s="24"/>
      <c r="CU287" s="24"/>
      <c r="CV287" s="24"/>
      <c r="CW287" s="24"/>
      <c r="CX287" s="24"/>
      <c r="CY287" s="24"/>
      <c r="CZ287" s="24"/>
      <c r="DA287" s="24"/>
      <c r="DB287" s="24"/>
      <c r="DC287" s="24"/>
      <c r="DD287" s="24"/>
      <c r="DE287" s="24"/>
      <c r="DF287" s="24"/>
      <c r="DG287" s="24"/>
      <c r="DH287" s="24"/>
      <c r="DI287" s="24"/>
      <c r="DJ287" s="24"/>
      <c r="DK287" s="24"/>
      <c r="DL287" s="24"/>
      <c r="DM287" s="24"/>
      <c r="DN287" s="24"/>
      <c r="DO287" s="24"/>
      <c r="DP287" s="24"/>
      <c r="DQ287" s="24"/>
      <c r="DR287" s="24"/>
      <c r="DS287" s="24"/>
      <c r="DT287" s="24"/>
      <c r="DU287" s="24"/>
      <c r="DV287" s="24"/>
      <c r="DW287" s="24"/>
      <c r="DX287" s="24"/>
      <c r="DY287" s="24"/>
      <c r="DZ287" s="24"/>
      <c r="EA287" s="24"/>
      <c r="EB287" s="24"/>
      <c r="EC287" s="24"/>
      <c r="ED287" s="24"/>
      <c r="EE287" s="24"/>
      <c r="EF287" s="24"/>
      <c r="EG287" s="24"/>
      <c r="EH287" s="24"/>
      <c r="EI287" s="24"/>
      <c r="EJ287" s="24"/>
      <c r="EK287" s="24"/>
      <c r="EL287" s="24"/>
      <c r="EM287" s="3"/>
      <c r="EN287" s="3"/>
      <c r="EO287" s="3"/>
      <c r="EP287" s="3"/>
      <c r="EQ287" s="3"/>
      <c r="ER287" s="3"/>
      <c r="ES287" s="3"/>
      <c r="ET287" s="3"/>
      <c r="EU287" s="3"/>
      <c r="EV287" s="3"/>
      <c r="EW287" s="3"/>
      <c r="EX287" s="3"/>
      <c r="EY287" s="3"/>
      <c r="EZ287" s="3"/>
      <c r="FA287" s="3"/>
      <c r="FB287" s="3"/>
      <c r="FC287" s="3"/>
      <c r="FD287" s="3"/>
      <c r="FE287" s="3"/>
      <c r="FF287" s="3"/>
      <c r="FG287" s="3"/>
      <c r="FH287" s="3"/>
      <c r="FI287" s="3"/>
      <c r="FJ287" s="3"/>
      <c r="FK287" s="3"/>
      <c r="FL287" s="3"/>
      <c r="FM287" s="3"/>
      <c r="FN287" s="3"/>
      <c r="FO287" s="3"/>
      <c r="FP287" s="3"/>
      <c r="FQ287" s="3"/>
      <c r="FR287" s="3"/>
      <c r="FS287" s="3"/>
      <c r="FT287" s="3"/>
      <c r="FU287" s="3"/>
      <c r="FV287" s="3"/>
      <c r="FW287" s="3"/>
      <c r="FX287" s="3"/>
      <c r="FY287" s="3"/>
      <c r="FZ287" s="3"/>
      <c r="GA287" s="3"/>
      <c r="GB287" s="3"/>
      <c r="GC287" s="3"/>
      <c r="GD287" s="3"/>
      <c r="GE287" s="3"/>
      <c r="GF287" s="3"/>
      <c r="GG287" s="3"/>
      <c r="GH287" s="3"/>
      <c r="GI287" s="3"/>
      <c r="GJ287" s="3"/>
      <c r="GK287" s="3"/>
      <c r="GL287" s="3"/>
      <c r="GM287" s="3"/>
      <c r="GN287" s="3"/>
      <c r="GO287" s="3"/>
      <c r="GP287" s="3"/>
      <c r="GQ287" s="3"/>
      <c r="GR287" s="3"/>
      <c r="GS287" s="3"/>
      <c r="GT287" s="3"/>
      <c r="GU287" s="3"/>
      <c r="GV287" s="3"/>
      <c r="GW287" s="3"/>
      <c r="GX287" s="3"/>
      <c r="GY287" s="3"/>
      <c r="GZ287" s="3"/>
      <c r="HA287" s="3"/>
      <c r="HB287" s="3"/>
      <c r="HC287" s="3"/>
      <c r="HD287" s="3"/>
      <c r="HE287" s="3"/>
      <c r="HF287" s="3"/>
      <c r="HG287" s="3"/>
      <c r="HH287" s="3"/>
      <c r="HI287" s="3"/>
      <c r="HJ287" s="3"/>
      <c r="HK287" s="3"/>
      <c r="HL287" s="3"/>
      <c r="HM287" s="3"/>
      <c r="HN287" s="3"/>
      <c r="HO287" s="3"/>
      <c r="HP287" s="3"/>
      <c r="HQ287" s="3"/>
      <c r="HR287" s="3"/>
      <c r="HS287" s="3"/>
      <c r="HT287" s="3"/>
      <c r="HU287" s="3"/>
      <c r="HV287" s="3"/>
      <c r="HW287" s="3"/>
      <c r="HX287" s="3"/>
      <c r="HY287" s="3"/>
      <c r="HZ287" s="3"/>
      <c r="IA287" s="3"/>
      <c r="IB287" s="3"/>
      <c r="IC287" s="3"/>
      <c r="ID287" s="3"/>
      <c r="IE287" s="3"/>
      <c r="IF287" s="3"/>
      <c r="IG287" s="3"/>
      <c r="IH287" s="3"/>
      <c r="II287" s="3"/>
      <c r="IJ287" s="3"/>
      <c r="IK287" s="3"/>
      <c r="IL287" s="3"/>
      <c r="IM287" s="3"/>
      <c r="IN287" s="3"/>
      <c r="IO287" s="3"/>
      <c r="IP287" s="3"/>
      <c r="IQ287" s="3"/>
      <c r="IR287" s="3"/>
      <c r="IS287" s="3"/>
      <c r="IT287" s="3"/>
      <c r="IU287" s="3"/>
      <c r="IV287" s="3"/>
      <c r="IW287" s="3"/>
    </row>
    <row r="288" customFormat="false" ht="12.75" hidden="false" customHeight="false" outlineLevel="0" collapsed="false">
      <c r="A288" s="23"/>
      <c r="B288" s="373" t="s">
        <v>371</v>
      </c>
      <c r="C288" s="374"/>
      <c r="D288" s="3"/>
      <c r="E288" s="410" t="n">
        <v>1</v>
      </c>
      <c r="F288" s="22"/>
      <c r="G288" s="22"/>
      <c r="H288" s="22"/>
      <c r="I288" s="22"/>
      <c r="J288" s="22"/>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c r="BT288" s="24"/>
      <c r="BU288" s="24"/>
      <c r="BV288" s="24"/>
      <c r="BW288" s="24"/>
      <c r="BX288" s="24"/>
      <c r="BY288" s="24"/>
      <c r="BZ288" s="24"/>
      <c r="CA288" s="24"/>
      <c r="CB288" s="24"/>
      <c r="CC288" s="24"/>
      <c r="CD288" s="24"/>
      <c r="CE288" s="24"/>
      <c r="CF288" s="24"/>
      <c r="CG288" s="24"/>
      <c r="CH288" s="24"/>
      <c r="CI288" s="24"/>
      <c r="CJ288" s="24"/>
      <c r="CK288" s="24"/>
      <c r="CL288" s="24"/>
      <c r="CM288" s="24"/>
      <c r="CN288" s="24"/>
      <c r="CO288" s="24"/>
      <c r="CP288" s="24"/>
      <c r="CQ288" s="24"/>
      <c r="CR288" s="24"/>
      <c r="CS288" s="24"/>
      <c r="CT288" s="24"/>
      <c r="CU288" s="24"/>
      <c r="CV288" s="24"/>
      <c r="CW288" s="24"/>
      <c r="CX288" s="24"/>
      <c r="CY288" s="24"/>
      <c r="CZ288" s="24"/>
      <c r="DA288" s="24"/>
      <c r="DB288" s="24"/>
      <c r="DC288" s="24"/>
      <c r="DD288" s="24"/>
      <c r="DE288" s="24"/>
      <c r="DF288" s="24"/>
      <c r="DG288" s="24"/>
      <c r="DH288" s="24"/>
      <c r="DI288" s="24"/>
      <c r="DJ288" s="24"/>
      <c r="DK288" s="24"/>
      <c r="DL288" s="24"/>
      <c r="DM288" s="24"/>
      <c r="DN288" s="24"/>
      <c r="DO288" s="24"/>
      <c r="DP288" s="24"/>
      <c r="DQ288" s="24"/>
      <c r="DR288" s="24"/>
      <c r="DS288" s="24"/>
      <c r="DT288" s="24"/>
      <c r="DU288" s="24"/>
      <c r="DV288" s="24"/>
      <c r="DW288" s="24"/>
      <c r="DX288" s="24"/>
      <c r="DY288" s="24"/>
      <c r="DZ288" s="24"/>
      <c r="EA288" s="24"/>
      <c r="EB288" s="24"/>
      <c r="EC288" s="24"/>
      <c r="ED288" s="24"/>
      <c r="EE288" s="24"/>
      <c r="EF288" s="24"/>
      <c r="EG288" s="24"/>
      <c r="EH288" s="24"/>
      <c r="EI288" s="24"/>
      <c r="EJ288" s="24"/>
      <c r="EK288" s="24"/>
      <c r="EL288" s="24"/>
      <c r="EM288" s="3"/>
      <c r="EN288" s="3"/>
      <c r="EO288" s="3"/>
      <c r="EP288" s="3"/>
      <c r="EQ288" s="3"/>
      <c r="ER288" s="3"/>
      <c r="ES288" s="3"/>
      <c r="ET288" s="3"/>
      <c r="EU288" s="3"/>
      <c r="EV288" s="3"/>
      <c r="EW288" s="3"/>
      <c r="EX288" s="3"/>
      <c r="EY288" s="3"/>
      <c r="EZ288" s="3"/>
      <c r="FA288" s="3"/>
      <c r="FB288" s="3"/>
      <c r="FC288" s="3"/>
      <c r="FD288" s="3"/>
      <c r="FE288" s="3"/>
      <c r="FF288" s="3"/>
      <c r="FG288" s="3"/>
      <c r="FH288" s="3"/>
      <c r="FI288" s="3"/>
      <c r="FJ288" s="3"/>
      <c r="FK288" s="3"/>
      <c r="FL288" s="3"/>
      <c r="FM288" s="3"/>
      <c r="FN288" s="3"/>
      <c r="FO288" s="3"/>
      <c r="FP288" s="3"/>
      <c r="FQ288" s="3"/>
      <c r="FR288" s="3"/>
      <c r="FS288" s="3"/>
      <c r="FT288" s="3"/>
      <c r="FU288" s="3"/>
      <c r="FV288" s="3"/>
      <c r="FW288" s="3"/>
      <c r="FX288" s="3"/>
      <c r="FY288" s="3"/>
      <c r="FZ288" s="3"/>
      <c r="GA288" s="3"/>
      <c r="GB288" s="3"/>
      <c r="GC288" s="3"/>
      <c r="GD288" s="3"/>
      <c r="GE288" s="3"/>
      <c r="GF288" s="3"/>
      <c r="GG288" s="3"/>
      <c r="GH288" s="3"/>
      <c r="GI288" s="3"/>
      <c r="GJ288" s="3"/>
      <c r="GK288" s="3"/>
      <c r="GL288" s="3"/>
      <c r="GM288" s="3"/>
      <c r="GN288" s="3"/>
      <c r="GO288" s="3"/>
      <c r="GP288" s="3"/>
      <c r="GQ288" s="3"/>
      <c r="GR288" s="3"/>
      <c r="GS288" s="3"/>
      <c r="GT288" s="3"/>
      <c r="GU288" s="3"/>
      <c r="GV288" s="3"/>
      <c r="GW288" s="3"/>
      <c r="GX288" s="3"/>
      <c r="GY288" s="3"/>
      <c r="GZ288" s="3"/>
      <c r="HA288" s="3"/>
      <c r="HB288" s="3"/>
      <c r="HC288" s="3"/>
      <c r="HD288" s="3"/>
      <c r="HE288" s="3"/>
      <c r="HF288" s="3"/>
      <c r="HG288" s="3"/>
      <c r="HH288" s="3"/>
      <c r="HI288" s="3"/>
      <c r="HJ288" s="3"/>
      <c r="HK288" s="3"/>
      <c r="HL288" s="3"/>
      <c r="HM288" s="3"/>
      <c r="HN288" s="3"/>
      <c r="HO288" s="3"/>
      <c r="HP288" s="3"/>
      <c r="HQ288" s="3"/>
      <c r="HR288" s="3"/>
      <c r="HS288" s="3"/>
      <c r="HT288" s="3"/>
      <c r="HU288" s="3"/>
      <c r="HV288" s="3"/>
      <c r="HW288" s="3"/>
      <c r="HX288" s="3"/>
      <c r="HY288" s="3"/>
      <c r="HZ288" s="3"/>
      <c r="IA288" s="3"/>
      <c r="IB288" s="3"/>
      <c r="IC288" s="3"/>
      <c r="ID288" s="3"/>
      <c r="IE288" s="3"/>
      <c r="IF288" s="3"/>
      <c r="IG288" s="3"/>
      <c r="IH288" s="3"/>
      <c r="II288" s="3"/>
      <c r="IJ288" s="3"/>
      <c r="IK288" s="3"/>
      <c r="IL288" s="3"/>
      <c r="IM288" s="3"/>
      <c r="IN288" s="3"/>
      <c r="IO288" s="3"/>
      <c r="IP288" s="3"/>
      <c r="IQ288" s="3"/>
      <c r="IR288" s="3"/>
      <c r="IS288" s="3"/>
      <c r="IT288" s="3"/>
      <c r="IU288" s="3"/>
      <c r="IV288" s="3"/>
      <c r="IW288" s="3"/>
    </row>
    <row r="289" customFormat="false" ht="12.75" hidden="false" customHeight="false" outlineLevel="0" collapsed="false">
      <c r="A289" s="23"/>
      <c r="B289" s="373" t="s">
        <v>372</v>
      </c>
      <c r="C289" s="374"/>
      <c r="D289" s="3"/>
      <c r="E289" s="378" t="n">
        <f aca="false">E243</f>
        <v>0.5</v>
      </c>
      <c r="F289" s="22"/>
      <c r="G289" s="22"/>
      <c r="H289" s="22"/>
      <c r="I289" s="22"/>
      <c r="J289" s="22"/>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c r="BZ289" s="24"/>
      <c r="CA289" s="24"/>
      <c r="CB289" s="24"/>
      <c r="CC289" s="24"/>
      <c r="CD289" s="24"/>
      <c r="CE289" s="24"/>
      <c r="CF289" s="24"/>
      <c r="CG289" s="24"/>
      <c r="CH289" s="24"/>
      <c r="CI289" s="24"/>
      <c r="CJ289" s="24"/>
      <c r="CK289" s="24"/>
      <c r="CL289" s="24"/>
      <c r="CM289" s="24"/>
      <c r="CN289" s="24"/>
      <c r="CO289" s="24"/>
      <c r="CP289" s="24"/>
      <c r="CQ289" s="24"/>
      <c r="CR289" s="24"/>
      <c r="CS289" s="24"/>
      <c r="CT289" s="24"/>
      <c r="CU289" s="24"/>
      <c r="CV289" s="24"/>
      <c r="CW289" s="24"/>
      <c r="CX289" s="24"/>
      <c r="CY289" s="24"/>
      <c r="CZ289" s="24"/>
      <c r="DA289" s="24"/>
      <c r="DB289" s="24"/>
      <c r="DC289" s="24"/>
      <c r="DD289" s="24"/>
      <c r="DE289" s="24"/>
      <c r="DF289" s="24"/>
      <c r="DG289" s="24"/>
      <c r="DH289" s="24"/>
      <c r="DI289" s="24"/>
      <c r="DJ289" s="24"/>
      <c r="DK289" s="24"/>
      <c r="DL289" s="24"/>
      <c r="DM289" s="24"/>
      <c r="DN289" s="24"/>
      <c r="DO289" s="24"/>
      <c r="DP289" s="24"/>
      <c r="DQ289" s="24"/>
      <c r="DR289" s="24"/>
      <c r="DS289" s="24"/>
      <c r="DT289" s="24"/>
      <c r="DU289" s="24"/>
      <c r="DV289" s="24"/>
      <c r="DW289" s="24"/>
      <c r="DX289" s="24"/>
      <c r="DY289" s="24"/>
      <c r="DZ289" s="24"/>
      <c r="EA289" s="24"/>
      <c r="EB289" s="24"/>
      <c r="EC289" s="24"/>
      <c r="ED289" s="24"/>
      <c r="EE289" s="24"/>
      <c r="EF289" s="24"/>
      <c r="EG289" s="24"/>
      <c r="EH289" s="24"/>
      <c r="EI289" s="24"/>
      <c r="EJ289" s="24"/>
      <c r="EK289" s="24"/>
      <c r="EL289" s="24"/>
      <c r="EM289" s="3"/>
      <c r="EN289" s="3"/>
      <c r="EO289" s="3"/>
      <c r="EP289" s="3"/>
      <c r="EQ289" s="3"/>
      <c r="ER289" s="3"/>
      <c r="ES289" s="3"/>
      <c r="ET289" s="3"/>
      <c r="EU289" s="3"/>
      <c r="EV289" s="3"/>
      <c r="EW289" s="3"/>
      <c r="EX289" s="3"/>
      <c r="EY289" s="3"/>
      <c r="EZ289" s="3"/>
      <c r="FA289" s="3"/>
      <c r="FB289" s="3"/>
      <c r="FC289" s="3"/>
      <c r="FD289" s="3"/>
      <c r="FE289" s="3"/>
      <c r="FF289" s="3"/>
      <c r="FG289" s="3"/>
      <c r="FH289" s="3"/>
      <c r="FI289" s="3"/>
      <c r="FJ289" s="3"/>
      <c r="FK289" s="3"/>
      <c r="FL289" s="3"/>
      <c r="FM289" s="3"/>
      <c r="FN289" s="3"/>
      <c r="FO289" s="3"/>
      <c r="FP289" s="3"/>
      <c r="FQ289" s="3"/>
      <c r="FR289" s="3"/>
      <c r="FS289" s="3"/>
      <c r="FT289" s="3"/>
      <c r="FU289" s="3"/>
      <c r="FV289" s="3"/>
      <c r="FW289" s="3"/>
      <c r="FX289" s="3"/>
      <c r="FY289" s="3"/>
      <c r="FZ289" s="3"/>
      <c r="GA289" s="3"/>
      <c r="GB289" s="3"/>
      <c r="GC289" s="3"/>
      <c r="GD289" s="3"/>
      <c r="GE289" s="3"/>
      <c r="GF289" s="3"/>
      <c r="GG289" s="3"/>
      <c r="GH289" s="3"/>
      <c r="GI289" s="3"/>
      <c r="GJ289" s="3"/>
      <c r="GK289" s="3"/>
      <c r="GL289" s="3"/>
      <c r="GM289" s="3"/>
      <c r="GN289" s="3"/>
      <c r="GO289" s="3"/>
      <c r="GP289" s="3"/>
      <c r="GQ289" s="3"/>
      <c r="GR289" s="3"/>
      <c r="GS289" s="3"/>
      <c r="GT289" s="3"/>
      <c r="GU289" s="3"/>
      <c r="GV289" s="3"/>
      <c r="GW289" s="3"/>
      <c r="GX289" s="3"/>
      <c r="GY289" s="3"/>
      <c r="GZ289" s="3"/>
      <c r="HA289" s="3"/>
      <c r="HB289" s="3"/>
      <c r="HC289" s="3"/>
      <c r="HD289" s="3"/>
      <c r="HE289" s="3"/>
      <c r="HF289" s="3"/>
      <c r="HG289" s="3"/>
      <c r="HH289" s="3"/>
      <c r="HI289" s="3"/>
      <c r="HJ289" s="3"/>
      <c r="HK289" s="3"/>
      <c r="HL289" s="3"/>
      <c r="HM289" s="3"/>
      <c r="HN289" s="3"/>
      <c r="HO289" s="3"/>
      <c r="HP289" s="3"/>
      <c r="HQ289" s="3"/>
      <c r="HR289" s="3"/>
      <c r="HS289" s="3"/>
      <c r="HT289" s="3"/>
      <c r="HU289" s="3"/>
      <c r="HV289" s="3"/>
      <c r="HW289" s="3"/>
      <c r="HX289" s="3"/>
      <c r="HY289" s="3"/>
      <c r="HZ289" s="3"/>
      <c r="IA289" s="3"/>
      <c r="IB289" s="3"/>
      <c r="IC289" s="3"/>
      <c r="ID289" s="3"/>
      <c r="IE289" s="3"/>
      <c r="IF289" s="3"/>
      <c r="IG289" s="3"/>
      <c r="IH289" s="3"/>
      <c r="II289" s="3"/>
      <c r="IJ289" s="3"/>
      <c r="IK289" s="3"/>
      <c r="IL289" s="3"/>
      <c r="IM289" s="3"/>
      <c r="IN289" s="3"/>
      <c r="IO289" s="3"/>
      <c r="IP289" s="3"/>
      <c r="IQ289" s="3"/>
      <c r="IR289" s="3"/>
      <c r="IS289" s="3"/>
      <c r="IT289" s="3"/>
      <c r="IU289" s="3"/>
      <c r="IV289" s="3"/>
      <c r="IW289" s="3"/>
    </row>
    <row r="290" customFormat="false" ht="12.75" hidden="false" customHeight="false" outlineLevel="0" collapsed="false">
      <c r="A290" s="23"/>
      <c r="B290" s="0" t="s">
        <v>347</v>
      </c>
      <c r="C290" s="21"/>
      <c r="D290" s="3"/>
      <c r="E290" s="379" t="n">
        <v>1</v>
      </c>
      <c r="F290" s="22"/>
      <c r="G290" s="22"/>
      <c r="H290" s="22"/>
      <c r="I290" s="22"/>
      <c r="J290" s="22"/>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c r="CE290" s="24"/>
      <c r="CF290" s="24"/>
      <c r="CG290" s="24"/>
      <c r="CH290" s="24"/>
      <c r="CI290" s="24"/>
      <c r="CJ290" s="24"/>
      <c r="CK290" s="24"/>
      <c r="CL290" s="24"/>
      <c r="CM290" s="24"/>
      <c r="CN290" s="24"/>
      <c r="CO290" s="24"/>
      <c r="CP290" s="24"/>
      <c r="CQ290" s="24"/>
      <c r="CR290" s="24"/>
      <c r="CS290" s="24"/>
      <c r="CT290" s="24"/>
      <c r="CU290" s="24"/>
      <c r="CV290" s="24"/>
      <c r="CW290" s="24"/>
      <c r="CX290" s="24"/>
      <c r="CY290" s="24"/>
      <c r="CZ290" s="24"/>
      <c r="DA290" s="24"/>
      <c r="DB290" s="24"/>
      <c r="DC290" s="24"/>
      <c r="DD290" s="24"/>
      <c r="DE290" s="24"/>
      <c r="DF290" s="24"/>
      <c r="DG290" s="24"/>
      <c r="DH290" s="24"/>
      <c r="DI290" s="24"/>
      <c r="DJ290" s="24"/>
      <c r="DK290" s="24"/>
      <c r="DL290" s="24"/>
      <c r="DM290" s="24"/>
      <c r="DN290" s="24"/>
      <c r="DO290" s="24"/>
      <c r="DP290" s="24"/>
      <c r="DQ290" s="24"/>
      <c r="DR290" s="24"/>
      <c r="DS290" s="24"/>
      <c r="DT290" s="24"/>
      <c r="DU290" s="24"/>
      <c r="DV290" s="24"/>
      <c r="DW290" s="24"/>
      <c r="DX290" s="24"/>
      <c r="DY290" s="24"/>
      <c r="DZ290" s="24"/>
      <c r="EA290" s="24"/>
      <c r="EB290" s="24"/>
      <c r="EC290" s="24"/>
      <c r="ED290" s="24"/>
      <c r="EE290" s="24"/>
      <c r="EF290" s="24"/>
      <c r="EG290" s="24"/>
      <c r="EH290" s="24"/>
      <c r="EI290" s="24"/>
      <c r="EJ290" s="24"/>
      <c r="EK290" s="24"/>
      <c r="EL290" s="24"/>
      <c r="EM290" s="3"/>
      <c r="EN290" s="3"/>
      <c r="EO290" s="3"/>
      <c r="EP290" s="3"/>
      <c r="EQ290" s="3"/>
      <c r="ER290" s="3"/>
      <c r="ES290" s="3"/>
      <c r="ET290" s="3"/>
      <c r="EU290" s="3"/>
      <c r="EV290" s="3"/>
      <c r="EW290" s="3"/>
      <c r="EX290" s="3"/>
      <c r="EY290" s="3"/>
      <c r="EZ290" s="3"/>
      <c r="FA290" s="3"/>
      <c r="FB290" s="3"/>
      <c r="FC290" s="3"/>
      <c r="FD290" s="3"/>
      <c r="FE290" s="3"/>
      <c r="FF290" s="3"/>
      <c r="FG290" s="3"/>
      <c r="FH290" s="3"/>
      <c r="FI290" s="3"/>
      <c r="FJ290" s="3"/>
      <c r="FK290" s="3"/>
      <c r="FL290" s="3"/>
      <c r="FM290" s="3"/>
      <c r="FN290" s="3"/>
      <c r="FO290" s="3"/>
      <c r="FP290" s="3"/>
      <c r="FQ290" s="3"/>
      <c r="FR290" s="3"/>
      <c r="FS290" s="3"/>
      <c r="FT290" s="3"/>
      <c r="FU290" s="3"/>
      <c r="FV290" s="3"/>
      <c r="FW290" s="3"/>
      <c r="FX290" s="3"/>
      <c r="FY290" s="3"/>
      <c r="FZ290" s="3"/>
      <c r="GA290" s="3"/>
      <c r="GB290" s="3"/>
      <c r="GC290" s="3"/>
      <c r="GD290" s="3"/>
      <c r="GE290" s="3"/>
      <c r="GF290" s="3"/>
      <c r="GG290" s="3"/>
      <c r="GH290" s="3"/>
      <c r="GI290" s="3"/>
      <c r="GJ290" s="3"/>
      <c r="GK290" s="3"/>
      <c r="GL290" s="3"/>
      <c r="GM290" s="3"/>
      <c r="GN290" s="3"/>
      <c r="GO290" s="3"/>
      <c r="GP290" s="3"/>
      <c r="GQ290" s="3"/>
      <c r="GR290" s="3"/>
      <c r="GS290" s="3"/>
      <c r="GT290" s="3"/>
      <c r="GU290" s="3"/>
      <c r="GV290" s="3"/>
      <c r="GW290" s="3"/>
      <c r="GX290" s="3"/>
      <c r="GY290" s="3"/>
      <c r="GZ290" s="3"/>
      <c r="HA290" s="3"/>
      <c r="HB290" s="3"/>
      <c r="HC290" s="3"/>
      <c r="HD290" s="3"/>
      <c r="HE290" s="3"/>
      <c r="HF290" s="3"/>
      <c r="HG290" s="3"/>
      <c r="HH290" s="3"/>
      <c r="HI290" s="3"/>
      <c r="HJ290" s="3"/>
      <c r="HK290" s="3"/>
      <c r="HL290" s="3"/>
      <c r="HM290" s="3"/>
      <c r="HN290" s="3"/>
      <c r="HO290" s="3"/>
      <c r="HP290" s="3"/>
      <c r="HQ290" s="3"/>
      <c r="HR290" s="3"/>
      <c r="HS290" s="3"/>
      <c r="HT290" s="3"/>
      <c r="HU290" s="3"/>
      <c r="HV290" s="3"/>
      <c r="HW290" s="3"/>
      <c r="HX290" s="3"/>
      <c r="HY290" s="3"/>
      <c r="HZ290" s="3"/>
      <c r="IA290" s="3"/>
      <c r="IB290" s="3"/>
      <c r="IC290" s="3"/>
      <c r="ID290" s="3"/>
      <c r="IE290" s="3"/>
      <c r="IF290" s="3"/>
      <c r="IG290" s="3"/>
      <c r="IH290" s="3"/>
      <c r="II290" s="3"/>
      <c r="IJ290" s="3"/>
      <c r="IK290" s="3"/>
      <c r="IL290" s="3"/>
      <c r="IM290" s="3"/>
      <c r="IN290" s="3"/>
      <c r="IO290" s="3"/>
      <c r="IP290" s="3"/>
      <c r="IQ290" s="3"/>
      <c r="IR290" s="3"/>
      <c r="IS290" s="3"/>
      <c r="IT290" s="3"/>
      <c r="IU290" s="3"/>
      <c r="IV290" s="3"/>
      <c r="IW290" s="3"/>
    </row>
    <row r="291" customFormat="false" ht="12.75" hidden="false" customHeight="false" outlineLevel="0" collapsed="false">
      <c r="A291" s="23"/>
      <c r="B291" s="3"/>
      <c r="D291" s="3"/>
      <c r="E291" s="3"/>
      <c r="F291" s="3"/>
      <c r="G291" s="22"/>
      <c r="H291" s="22"/>
      <c r="I291" s="22"/>
      <c r="J291" s="22"/>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c r="BH291" s="24"/>
      <c r="BI291" s="24"/>
      <c r="BJ291" s="24"/>
      <c r="BK291" s="24"/>
      <c r="BL291" s="24"/>
      <c r="BM291" s="24"/>
      <c r="BN291" s="24"/>
      <c r="BO291" s="24"/>
      <c r="BP291" s="24"/>
      <c r="BQ291" s="24"/>
      <c r="BR291" s="24"/>
      <c r="BS291" s="24"/>
      <c r="BT291" s="24"/>
      <c r="BU291" s="24"/>
      <c r="BV291" s="24"/>
      <c r="BW291" s="24"/>
      <c r="BX291" s="24"/>
      <c r="BY291" s="24"/>
      <c r="BZ291" s="24"/>
      <c r="CA291" s="24"/>
      <c r="CB291" s="24"/>
      <c r="CC291" s="24"/>
      <c r="CD291" s="24"/>
      <c r="CE291" s="24"/>
      <c r="CF291" s="24"/>
      <c r="CG291" s="24"/>
      <c r="CH291" s="24"/>
      <c r="CI291" s="24"/>
      <c r="CJ291" s="24"/>
      <c r="CK291" s="24"/>
      <c r="CL291" s="24"/>
      <c r="CM291" s="24"/>
      <c r="CN291" s="24"/>
      <c r="CO291" s="24"/>
      <c r="CP291" s="24"/>
      <c r="CQ291" s="24"/>
      <c r="CR291" s="24"/>
      <c r="CS291" s="24"/>
      <c r="CT291" s="24"/>
      <c r="CU291" s="24"/>
      <c r="CV291" s="24"/>
      <c r="CW291" s="24"/>
      <c r="CX291" s="24"/>
      <c r="CY291" s="24"/>
      <c r="CZ291" s="24"/>
      <c r="DA291" s="24"/>
      <c r="DB291" s="24"/>
      <c r="DC291" s="24"/>
      <c r="DD291" s="24"/>
      <c r="DE291" s="24"/>
      <c r="DF291" s="24"/>
      <c r="DG291" s="24"/>
      <c r="DH291" s="24"/>
      <c r="DI291" s="24"/>
      <c r="DJ291" s="24"/>
      <c r="DK291" s="24"/>
      <c r="DL291" s="24"/>
      <c r="DM291" s="24"/>
      <c r="DN291" s="24"/>
      <c r="DO291" s="24"/>
      <c r="DP291" s="24"/>
      <c r="DQ291" s="24"/>
      <c r="DR291" s="24"/>
      <c r="DS291" s="24"/>
      <c r="DT291" s="24"/>
      <c r="DU291" s="24"/>
      <c r="DV291" s="24"/>
      <c r="DW291" s="24"/>
      <c r="DX291" s="24"/>
      <c r="DY291" s="24"/>
      <c r="DZ291" s="24"/>
      <c r="EA291" s="24"/>
      <c r="EB291" s="24"/>
      <c r="EC291" s="24"/>
      <c r="ED291" s="24"/>
      <c r="EE291" s="24"/>
      <c r="EF291" s="24"/>
      <c r="EG291" s="24"/>
      <c r="EH291" s="24"/>
      <c r="EI291" s="24"/>
      <c r="EJ291" s="24"/>
      <c r="EK291" s="24"/>
      <c r="EL291" s="24"/>
      <c r="EM291" s="3"/>
      <c r="EN291" s="3"/>
      <c r="EO291" s="3"/>
      <c r="EP291" s="3"/>
      <c r="EQ291" s="3"/>
      <c r="ER291" s="3"/>
      <c r="ES291" s="3"/>
      <c r="ET291" s="3"/>
      <c r="EU291" s="3"/>
      <c r="EV291" s="3"/>
      <c r="EW291" s="3"/>
      <c r="EX291" s="3"/>
      <c r="EY291" s="3"/>
      <c r="EZ291" s="3"/>
      <c r="FA291" s="3"/>
      <c r="FB291" s="3"/>
      <c r="FC291" s="3"/>
      <c r="FD291" s="3"/>
      <c r="FE291" s="3"/>
      <c r="FF291" s="3"/>
      <c r="FG291" s="3"/>
      <c r="FH291" s="3"/>
      <c r="FI291" s="3"/>
      <c r="FJ291" s="3"/>
      <c r="FK291" s="3"/>
      <c r="FL291" s="3"/>
      <c r="FM291" s="3"/>
      <c r="FN291" s="3"/>
      <c r="FO291" s="3"/>
      <c r="FP291" s="3"/>
      <c r="FQ291" s="3"/>
      <c r="FR291" s="3"/>
      <c r="FS291" s="3"/>
      <c r="FT291" s="3"/>
      <c r="FU291" s="3"/>
      <c r="FV291" s="3"/>
      <c r="FW291" s="3"/>
      <c r="FX291" s="3"/>
      <c r="FY291" s="3"/>
      <c r="FZ291" s="3"/>
      <c r="GA291" s="3"/>
      <c r="GB291" s="3"/>
      <c r="GC291" s="3"/>
      <c r="GD291" s="3"/>
      <c r="GE291" s="3"/>
      <c r="GF291" s="3"/>
      <c r="GG291" s="3"/>
      <c r="GH291" s="3"/>
      <c r="GI291" s="3"/>
      <c r="GJ291" s="3"/>
      <c r="GK291" s="3"/>
      <c r="GL291" s="3"/>
      <c r="GM291" s="3"/>
      <c r="GN291" s="3"/>
      <c r="GO291" s="3"/>
      <c r="GP291" s="3"/>
      <c r="GQ291" s="3"/>
      <c r="GR291" s="3"/>
      <c r="GS291" s="3"/>
      <c r="GT291" s="3"/>
      <c r="GU291" s="3"/>
      <c r="GV291" s="3"/>
      <c r="GW291" s="3"/>
      <c r="GX291" s="3"/>
      <c r="GY291" s="3"/>
      <c r="GZ291" s="3"/>
      <c r="HA291" s="3"/>
      <c r="HB291" s="3"/>
      <c r="HC291" s="3"/>
      <c r="HD291" s="3"/>
      <c r="HE291" s="3"/>
      <c r="HF291" s="3"/>
      <c r="HG291" s="3"/>
      <c r="HH291" s="3"/>
      <c r="HI291" s="3"/>
      <c r="HJ291" s="3"/>
      <c r="HK291" s="3"/>
      <c r="HL291" s="3"/>
      <c r="HM291" s="3"/>
      <c r="HN291" s="3"/>
      <c r="HO291" s="3"/>
      <c r="HP291" s="3"/>
      <c r="HQ291" s="3"/>
      <c r="HR291" s="3"/>
      <c r="HS291" s="3"/>
      <c r="HT291" s="3"/>
      <c r="HU291" s="3"/>
      <c r="HV291" s="3"/>
      <c r="HW291" s="3"/>
      <c r="HX291" s="3"/>
      <c r="HY291" s="3"/>
      <c r="HZ291" s="3"/>
      <c r="IA291" s="3"/>
      <c r="IB291" s="3"/>
      <c r="IC291" s="3"/>
      <c r="ID291" s="3"/>
      <c r="IE291" s="3"/>
      <c r="IF291" s="3"/>
      <c r="IG291" s="3"/>
      <c r="IH291" s="3"/>
      <c r="II291" s="3"/>
      <c r="IJ291" s="3"/>
      <c r="IK291" s="3"/>
      <c r="IL291" s="3"/>
      <c r="IM291" s="3"/>
      <c r="IN291" s="3"/>
      <c r="IO291" s="3"/>
      <c r="IP291" s="3"/>
      <c r="IQ291" s="3"/>
      <c r="IR291" s="3"/>
      <c r="IS291" s="3"/>
      <c r="IT291" s="3"/>
      <c r="IU291" s="3"/>
      <c r="IV291" s="3"/>
      <c r="IW291" s="3"/>
    </row>
    <row r="292" customFormat="false" ht="12.75" hidden="false" customHeight="false" outlineLevel="0" collapsed="false">
      <c r="A292" s="23"/>
      <c r="B292" s="22" t="s">
        <v>373</v>
      </c>
      <c r="C292" s="22"/>
      <c r="D292" s="22"/>
      <c r="E292" s="216" t="n">
        <v>0.055</v>
      </c>
      <c r="F292" s="22" t="s">
        <v>358</v>
      </c>
      <c r="G292" s="22"/>
      <c r="H292" s="22"/>
      <c r="I292" s="22"/>
      <c r="J292" s="22"/>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c r="BH292" s="24"/>
      <c r="BI292" s="24"/>
      <c r="BJ292" s="24"/>
      <c r="BK292" s="24"/>
      <c r="BL292" s="24"/>
      <c r="BM292" s="24"/>
      <c r="BN292" s="24"/>
      <c r="BO292" s="24"/>
      <c r="BP292" s="24"/>
      <c r="BQ292" s="24"/>
      <c r="BR292" s="24"/>
      <c r="BS292" s="24"/>
      <c r="BT292" s="24"/>
      <c r="BU292" s="24"/>
      <c r="BV292" s="24"/>
      <c r="BW292" s="24"/>
      <c r="BX292" s="24"/>
      <c r="BY292" s="24"/>
      <c r="BZ292" s="24"/>
      <c r="CA292" s="24"/>
      <c r="CB292" s="24"/>
      <c r="CC292" s="24"/>
      <c r="CD292" s="24"/>
      <c r="CE292" s="24"/>
      <c r="CF292" s="24"/>
      <c r="CG292" s="24"/>
      <c r="CH292" s="24"/>
      <c r="CI292" s="24"/>
      <c r="CJ292" s="24"/>
      <c r="CK292" s="24"/>
      <c r="CL292" s="24"/>
      <c r="CM292" s="24"/>
      <c r="CN292" s="24"/>
      <c r="CO292" s="24"/>
      <c r="CP292" s="24"/>
      <c r="CQ292" s="24"/>
      <c r="CR292" s="24"/>
      <c r="CS292" s="24"/>
      <c r="CT292" s="24"/>
      <c r="CU292" s="24"/>
      <c r="CV292" s="24"/>
      <c r="CW292" s="24"/>
      <c r="CX292" s="24"/>
      <c r="CY292" s="24"/>
      <c r="CZ292" s="24"/>
      <c r="DA292" s="24"/>
      <c r="DB292" s="24"/>
      <c r="DC292" s="24"/>
      <c r="DD292" s="24"/>
      <c r="DE292" s="24"/>
      <c r="DF292" s="24"/>
      <c r="DG292" s="24"/>
      <c r="DH292" s="24"/>
      <c r="DI292" s="24"/>
      <c r="DJ292" s="24"/>
      <c r="DK292" s="24"/>
      <c r="DL292" s="24"/>
      <c r="DM292" s="24"/>
      <c r="DN292" s="24"/>
      <c r="DO292" s="24"/>
      <c r="DP292" s="24"/>
      <c r="DQ292" s="24"/>
      <c r="DR292" s="24"/>
      <c r="DS292" s="24"/>
      <c r="DT292" s="24"/>
      <c r="DU292" s="24"/>
      <c r="DV292" s="24"/>
      <c r="DW292" s="24"/>
      <c r="DX292" s="24"/>
      <c r="DY292" s="24"/>
      <c r="DZ292" s="24"/>
      <c r="EA292" s="24"/>
      <c r="EB292" s="24"/>
      <c r="EC292" s="24"/>
      <c r="ED292" s="24"/>
      <c r="EE292" s="24"/>
      <c r="EF292" s="24"/>
      <c r="EG292" s="24"/>
      <c r="EH292" s="24"/>
      <c r="EI292" s="24"/>
      <c r="EJ292" s="24"/>
      <c r="EK292" s="24"/>
      <c r="EL292" s="24"/>
      <c r="EM292" s="3"/>
      <c r="EN292" s="3"/>
      <c r="EO292" s="3"/>
      <c r="EP292" s="3"/>
      <c r="EQ292" s="3"/>
      <c r="ER292" s="3"/>
      <c r="ES292" s="3"/>
      <c r="ET292" s="3"/>
      <c r="EU292" s="3"/>
      <c r="EV292" s="3"/>
      <c r="EW292" s="3"/>
      <c r="EX292" s="3"/>
      <c r="EY292" s="3"/>
      <c r="EZ292" s="3"/>
      <c r="FA292" s="3"/>
      <c r="FB292" s="3"/>
      <c r="FC292" s="3"/>
      <c r="FD292" s="3"/>
      <c r="FE292" s="3"/>
      <c r="FF292" s="3"/>
      <c r="FG292" s="3"/>
      <c r="FH292" s="3"/>
      <c r="FI292" s="3"/>
      <c r="FJ292" s="3"/>
      <c r="FK292" s="3"/>
      <c r="FL292" s="3"/>
      <c r="FM292" s="3"/>
      <c r="FN292" s="3"/>
      <c r="FO292" s="3"/>
      <c r="FP292" s="3"/>
      <c r="FQ292" s="3"/>
      <c r="FR292" s="3"/>
      <c r="FS292" s="3"/>
      <c r="FT292" s="3"/>
      <c r="FU292" s="3"/>
      <c r="FV292" s="3"/>
      <c r="FW292" s="3"/>
      <c r="FX292" s="3"/>
      <c r="FY292" s="3"/>
      <c r="FZ292" s="3"/>
      <c r="GA292" s="3"/>
      <c r="GB292" s="3"/>
      <c r="GC292" s="3"/>
      <c r="GD292" s="3"/>
      <c r="GE292" s="3"/>
      <c r="GF292" s="3"/>
      <c r="GG292" s="3"/>
      <c r="GH292" s="3"/>
      <c r="GI292" s="3"/>
      <c r="GJ292" s="3"/>
      <c r="GK292" s="3"/>
      <c r="GL292" s="3"/>
      <c r="GM292" s="3"/>
      <c r="GN292" s="3"/>
      <c r="GO292" s="3"/>
      <c r="GP292" s="3"/>
      <c r="GQ292" s="3"/>
      <c r="GR292" s="3"/>
      <c r="GS292" s="3"/>
      <c r="GT292" s="3"/>
      <c r="GU292" s="3"/>
      <c r="GV292" s="3"/>
      <c r="GW292" s="3"/>
      <c r="GX292" s="3"/>
      <c r="GY292" s="3"/>
      <c r="GZ292" s="3"/>
      <c r="HA292" s="3"/>
      <c r="HB292" s="3"/>
      <c r="HC292" s="3"/>
      <c r="HD292" s="3"/>
      <c r="HE292" s="3"/>
      <c r="HF292" s="3"/>
      <c r="HG292" s="3"/>
      <c r="HH292" s="3"/>
      <c r="HI292" s="3"/>
      <c r="HJ292" s="3"/>
      <c r="HK292" s="3"/>
      <c r="HL292" s="3"/>
      <c r="HM292" s="3"/>
      <c r="HN292" s="3"/>
      <c r="HO292" s="3"/>
      <c r="HP292" s="3"/>
      <c r="HQ292" s="3"/>
      <c r="HR292" s="3"/>
      <c r="HS292" s="3"/>
      <c r="HT292" s="3"/>
      <c r="HU292" s="3"/>
      <c r="HV292" s="3"/>
      <c r="HW292" s="3"/>
      <c r="HX292" s="3"/>
      <c r="HY292" s="3"/>
      <c r="HZ292" s="3"/>
      <c r="IA292" s="3"/>
      <c r="IB292" s="3"/>
      <c r="IC292" s="3"/>
      <c r="ID292" s="3"/>
      <c r="IE292" s="3"/>
      <c r="IF292" s="3"/>
      <c r="IG292" s="3"/>
      <c r="IH292" s="3"/>
      <c r="II292" s="3"/>
      <c r="IJ292" s="3"/>
      <c r="IK292" s="3"/>
      <c r="IL292" s="3"/>
      <c r="IM292" s="3"/>
      <c r="IN292" s="3"/>
      <c r="IO292" s="3"/>
      <c r="IP292" s="3"/>
      <c r="IQ292" s="3"/>
      <c r="IR292" s="3"/>
      <c r="IS292" s="3"/>
      <c r="IT292" s="3"/>
      <c r="IU292" s="3"/>
      <c r="IV292" s="3"/>
      <c r="IW292" s="3"/>
    </row>
    <row r="293" customFormat="false" ht="12.75" hidden="false" customHeight="false" outlineLevel="0" collapsed="false">
      <c r="A293" s="23"/>
      <c r="B293" s="22" t="s">
        <v>351</v>
      </c>
      <c r="C293" s="22"/>
      <c r="D293" s="22"/>
      <c r="E293" s="411" t="n">
        <v>0</v>
      </c>
      <c r="F293" s="58" t="s">
        <v>354</v>
      </c>
      <c r="G293" s="23"/>
      <c r="H293" s="58" t="s">
        <v>354</v>
      </c>
      <c r="I293" s="23"/>
      <c r="J293" s="23"/>
      <c r="K293" s="23"/>
      <c r="L293" s="23"/>
      <c r="M293" s="23"/>
      <c r="N293" s="23"/>
      <c r="O293" s="23"/>
      <c r="P293" s="23"/>
      <c r="Q293" s="24"/>
      <c r="R293" s="24"/>
      <c r="S293" s="24"/>
      <c r="T293" s="24"/>
      <c r="U293" s="24"/>
      <c r="V293" s="24"/>
      <c r="W293" s="24"/>
      <c r="X293" s="24"/>
      <c r="Y293" s="24"/>
      <c r="Z293" s="24"/>
      <c r="AA293" s="24"/>
      <c r="AB293" s="24"/>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c r="BH293" s="24"/>
      <c r="BI293" s="24"/>
      <c r="BJ293" s="24"/>
      <c r="BK293" s="24"/>
      <c r="BL293" s="24"/>
      <c r="BM293" s="24"/>
      <c r="BN293" s="24"/>
      <c r="BO293" s="24"/>
      <c r="BP293" s="24"/>
      <c r="BQ293" s="24"/>
      <c r="BR293" s="24"/>
      <c r="BS293" s="24"/>
      <c r="BT293" s="24"/>
      <c r="BU293" s="24"/>
      <c r="BV293" s="24"/>
      <c r="BW293" s="24"/>
      <c r="BX293" s="24"/>
      <c r="BY293" s="24"/>
      <c r="BZ293" s="24"/>
      <c r="CA293" s="24"/>
      <c r="CB293" s="24"/>
      <c r="CC293" s="24"/>
      <c r="CD293" s="24"/>
      <c r="CE293" s="24"/>
      <c r="CF293" s="24"/>
      <c r="CG293" s="24"/>
      <c r="CH293" s="24"/>
      <c r="CI293" s="24"/>
      <c r="CJ293" s="24"/>
      <c r="CK293" s="24"/>
      <c r="CL293" s="24"/>
      <c r="CM293" s="24"/>
      <c r="CN293" s="24"/>
      <c r="CO293" s="24"/>
      <c r="CP293" s="24"/>
      <c r="CQ293" s="24"/>
      <c r="CR293" s="24"/>
      <c r="CS293" s="24"/>
      <c r="CT293" s="24"/>
      <c r="CU293" s="24"/>
      <c r="CV293" s="24"/>
      <c r="CW293" s="24"/>
      <c r="CX293" s="24"/>
      <c r="CY293" s="24"/>
      <c r="CZ293" s="24"/>
      <c r="DA293" s="24"/>
      <c r="DB293" s="24"/>
      <c r="DC293" s="24"/>
      <c r="DD293" s="24"/>
      <c r="DE293" s="24"/>
      <c r="DF293" s="24"/>
      <c r="DG293" s="24"/>
      <c r="DH293" s="24"/>
      <c r="DI293" s="24"/>
      <c r="DJ293" s="24"/>
      <c r="DK293" s="24"/>
      <c r="DL293" s="24"/>
      <c r="DM293" s="24"/>
      <c r="DN293" s="24"/>
      <c r="DO293" s="24"/>
      <c r="DP293" s="24"/>
      <c r="DQ293" s="24"/>
      <c r="DR293" s="24"/>
      <c r="DS293" s="24"/>
      <c r="DT293" s="24"/>
      <c r="DU293" s="24"/>
      <c r="DV293" s="24"/>
      <c r="DW293" s="24"/>
      <c r="DX293" s="24"/>
      <c r="DY293" s="24"/>
      <c r="DZ293" s="24"/>
      <c r="EA293" s="24"/>
      <c r="EB293" s="24"/>
      <c r="EC293" s="24"/>
      <c r="ED293" s="24"/>
      <c r="EE293" s="24"/>
      <c r="EF293" s="24"/>
      <c r="EG293" s="24"/>
      <c r="EH293" s="24"/>
      <c r="EI293" s="24"/>
      <c r="EJ293" s="24"/>
      <c r="EK293" s="24"/>
      <c r="EL293" s="24"/>
      <c r="EM293" s="3"/>
      <c r="EN293" s="3"/>
      <c r="EO293" s="3"/>
      <c r="EP293" s="3"/>
      <c r="EQ293" s="3"/>
      <c r="ER293" s="3"/>
      <c r="ES293" s="3"/>
      <c r="ET293" s="3"/>
      <c r="EU293" s="3"/>
      <c r="EV293" s="3"/>
      <c r="EW293" s="3"/>
      <c r="EX293" s="3"/>
      <c r="EY293" s="3"/>
      <c r="EZ293" s="3"/>
      <c r="FA293" s="3"/>
      <c r="FB293" s="3"/>
      <c r="FC293" s="3"/>
      <c r="FD293" s="3"/>
      <c r="FE293" s="3"/>
      <c r="FF293" s="3"/>
      <c r="FG293" s="3"/>
      <c r="FH293" s="3"/>
      <c r="FI293" s="3"/>
      <c r="FJ293" s="3"/>
      <c r="FK293" s="3"/>
      <c r="FL293" s="3"/>
      <c r="FM293" s="3"/>
      <c r="FN293" s="3"/>
      <c r="FO293" s="3"/>
      <c r="FP293" s="3"/>
      <c r="FQ293" s="3"/>
      <c r="FR293" s="3"/>
      <c r="FS293" s="3"/>
      <c r="FT293" s="3"/>
      <c r="FU293" s="3"/>
      <c r="FV293" s="3"/>
      <c r="FW293" s="3"/>
      <c r="FX293" s="3"/>
      <c r="FY293" s="3"/>
      <c r="FZ293" s="3"/>
      <c r="GA293" s="3"/>
      <c r="GB293" s="3"/>
      <c r="GC293" s="3"/>
      <c r="GD293" s="3"/>
      <c r="GE293" s="3"/>
      <c r="GF293" s="3"/>
      <c r="GG293" s="3"/>
      <c r="GH293" s="3"/>
      <c r="GI293" s="3"/>
      <c r="GJ293" s="3"/>
      <c r="GK293" s="3"/>
      <c r="GL293" s="3"/>
      <c r="GM293" s="3"/>
      <c r="GN293" s="3"/>
      <c r="GO293" s="3"/>
      <c r="GP293" s="3"/>
      <c r="GQ293" s="3"/>
      <c r="GR293" s="3"/>
      <c r="GS293" s="3"/>
      <c r="GT293" s="3"/>
      <c r="GU293" s="3"/>
      <c r="GV293" s="3"/>
      <c r="GW293" s="3"/>
      <c r="GX293" s="3"/>
      <c r="GY293" s="3"/>
      <c r="GZ293" s="3"/>
      <c r="HA293" s="3"/>
      <c r="HB293" s="3"/>
      <c r="HC293" s="3"/>
      <c r="HD293" s="3"/>
      <c r="HE293" s="3"/>
      <c r="HF293" s="3"/>
      <c r="HG293" s="3"/>
      <c r="HH293" s="3"/>
      <c r="HI293" s="3"/>
      <c r="HJ293" s="3"/>
      <c r="HK293" s="3"/>
      <c r="HL293" s="3"/>
      <c r="HM293" s="3"/>
      <c r="HN293" s="3"/>
      <c r="HO293" s="3"/>
      <c r="HP293" s="3"/>
      <c r="HQ293" s="3"/>
      <c r="HR293" s="3"/>
      <c r="HS293" s="3"/>
      <c r="HT293" s="3"/>
      <c r="HU293" s="3"/>
      <c r="HV293" s="3"/>
      <c r="HW293" s="3"/>
      <c r="HX293" s="3"/>
      <c r="HY293" s="3"/>
      <c r="HZ293" s="3"/>
      <c r="IA293" s="3"/>
      <c r="IB293" s="3"/>
      <c r="IC293" s="3"/>
      <c r="ID293" s="3"/>
      <c r="IE293" s="3"/>
      <c r="IF293" s="3"/>
      <c r="IG293" s="3"/>
      <c r="IH293" s="3"/>
      <c r="II293" s="3"/>
      <c r="IJ293" s="3"/>
      <c r="IK293" s="3"/>
      <c r="IL293" s="3"/>
      <c r="IM293" s="3"/>
      <c r="IN293" s="3"/>
      <c r="IO293" s="3"/>
      <c r="IP293" s="3"/>
      <c r="IQ293" s="3"/>
      <c r="IR293" s="3"/>
      <c r="IS293" s="3"/>
      <c r="IT293" s="3"/>
      <c r="IU293" s="3"/>
      <c r="IV293" s="3"/>
      <c r="IW293" s="3"/>
    </row>
    <row r="294" customFormat="false" ht="12.75" hidden="false" customHeight="false" outlineLevel="0" collapsed="false">
      <c r="A294" s="23"/>
      <c r="B294" s="22" t="s">
        <v>352</v>
      </c>
      <c r="C294" s="22"/>
      <c r="D294" s="22"/>
      <c r="E294" s="56" t="n">
        <v>0.025</v>
      </c>
      <c r="F294" s="56" t="n">
        <f aca="false">E294</f>
        <v>0.025</v>
      </c>
      <c r="G294" s="56" t="n">
        <f aca="false">F294</f>
        <v>0.025</v>
      </c>
      <c r="H294" s="56" t="n">
        <f aca="false">G294</f>
        <v>0.025</v>
      </c>
      <c r="I294" s="56" t="n">
        <f aca="false">H294</f>
        <v>0.025</v>
      </c>
      <c r="J294" s="56" t="n">
        <f aca="false">I294</f>
        <v>0.025</v>
      </c>
      <c r="K294" s="56" t="n">
        <f aca="false">J294</f>
        <v>0.025</v>
      </c>
      <c r="L294" s="56" t="n">
        <f aca="false">K294</f>
        <v>0.025</v>
      </c>
      <c r="M294" s="56" t="n">
        <f aca="false">L294</f>
        <v>0.025</v>
      </c>
      <c r="N294" s="56" t="n">
        <f aca="false">M294</f>
        <v>0.025</v>
      </c>
      <c r="O294" s="56" t="n">
        <f aca="false">N294</f>
        <v>0.025</v>
      </c>
      <c r="P294" s="56" t="n">
        <f aca="false">O294</f>
        <v>0.025</v>
      </c>
      <c r="Q294" s="56" t="n">
        <f aca="false">P294</f>
        <v>0.025</v>
      </c>
      <c r="R294" s="56" t="n">
        <f aca="false">Q294</f>
        <v>0.025</v>
      </c>
      <c r="S294" s="56" t="n">
        <f aca="false">R294</f>
        <v>0.025</v>
      </c>
      <c r="T294" s="56" t="n">
        <f aca="false">S294</f>
        <v>0.025</v>
      </c>
      <c r="U294" s="56" t="n">
        <f aca="false">T294</f>
        <v>0.025</v>
      </c>
      <c r="V294" s="56" t="n">
        <f aca="false">U294</f>
        <v>0.025</v>
      </c>
      <c r="W294" s="56" t="n">
        <f aca="false">V294</f>
        <v>0.025</v>
      </c>
      <c r="X294" s="56" t="n">
        <f aca="false">W294</f>
        <v>0.025</v>
      </c>
      <c r="Y294" s="56" t="n">
        <f aca="false">X294</f>
        <v>0.025</v>
      </c>
      <c r="Z294" s="56" t="n">
        <f aca="false">Y294</f>
        <v>0.025</v>
      </c>
      <c r="AA294" s="56" t="n">
        <f aca="false">Z294</f>
        <v>0.025</v>
      </c>
      <c r="AB294" s="56" t="n">
        <f aca="false">AA294</f>
        <v>0.025</v>
      </c>
      <c r="AC294" s="56" t="n">
        <f aca="false">AB294</f>
        <v>0.025</v>
      </c>
      <c r="AD294" s="56" t="n">
        <f aca="false">AC294</f>
        <v>0.025</v>
      </c>
      <c r="AE294" s="56" t="n">
        <f aca="false">AD294</f>
        <v>0.025</v>
      </c>
      <c r="AF294" s="56" t="n">
        <f aca="false">AE294</f>
        <v>0.025</v>
      </c>
      <c r="AG294" s="56" t="n">
        <f aca="false">AF294</f>
        <v>0.025</v>
      </c>
      <c r="AH294" s="56" t="n">
        <f aca="false">AG294</f>
        <v>0.025</v>
      </c>
      <c r="AI294" s="56" t="n">
        <f aca="false">AH294</f>
        <v>0.025</v>
      </c>
      <c r="AJ294" s="56" t="n">
        <f aca="false">AI294</f>
        <v>0.025</v>
      </c>
      <c r="AK294" s="56" t="n">
        <f aca="false">AJ294</f>
        <v>0.025</v>
      </c>
      <c r="AL294" s="56" t="n">
        <f aca="false">AK294</f>
        <v>0.025</v>
      </c>
      <c r="AM294" s="56" t="n">
        <f aca="false">AL294</f>
        <v>0.025</v>
      </c>
      <c r="AN294" s="24"/>
      <c r="AO294" s="24"/>
      <c r="AP294" s="24"/>
      <c r="AQ294" s="24"/>
      <c r="AR294" s="24"/>
      <c r="AS294" s="24"/>
      <c r="AT294" s="24"/>
      <c r="AU294" s="24"/>
      <c r="AV294" s="24"/>
      <c r="AW294" s="24"/>
      <c r="AX294" s="24"/>
      <c r="AY294" s="24"/>
      <c r="AZ294" s="24"/>
      <c r="BA294" s="24"/>
      <c r="BB294" s="24"/>
      <c r="BC294" s="24"/>
      <c r="BD294" s="24"/>
      <c r="BE294" s="24"/>
      <c r="BF294" s="24"/>
      <c r="BG294" s="24"/>
      <c r="BH294" s="24"/>
      <c r="BI294" s="24"/>
      <c r="BJ294" s="24"/>
      <c r="BK294" s="24"/>
      <c r="BL294" s="24"/>
      <c r="BM294" s="24"/>
      <c r="BN294" s="24"/>
      <c r="BO294" s="24"/>
      <c r="BP294" s="24"/>
      <c r="BQ294" s="24"/>
      <c r="BR294" s="24"/>
      <c r="BS294" s="24"/>
      <c r="BT294" s="24"/>
      <c r="BU294" s="24"/>
      <c r="BV294" s="24"/>
      <c r="BW294" s="24"/>
      <c r="BX294" s="24"/>
      <c r="BY294" s="24"/>
      <c r="BZ294" s="24"/>
      <c r="CA294" s="24"/>
      <c r="CB294" s="24"/>
      <c r="CC294" s="24"/>
      <c r="CD294" s="24"/>
      <c r="CE294" s="24"/>
      <c r="CF294" s="24"/>
      <c r="CG294" s="24"/>
      <c r="CH294" s="24"/>
      <c r="CI294" s="24"/>
      <c r="CJ294" s="24"/>
      <c r="CK294" s="24"/>
      <c r="CL294" s="24"/>
      <c r="CM294" s="24"/>
      <c r="CN294" s="24"/>
      <c r="CO294" s="24"/>
      <c r="CP294" s="24"/>
      <c r="CQ294" s="24"/>
      <c r="CR294" s="24"/>
      <c r="CS294" s="24"/>
      <c r="CT294" s="24"/>
      <c r="CU294" s="24"/>
      <c r="CV294" s="24"/>
      <c r="CW294" s="24"/>
      <c r="CX294" s="24"/>
      <c r="CY294" s="24"/>
      <c r="CZ294" s="24"/>
      <c r="DA294" s="24"/>
      <c r="DB294" s="24"/>
      <c r="DC294" s="24"/>
      <c r="DD294" s="24"/>
      <c r="DE294" s="24"/>
      <c r="DF294" s="24"/>
      <c r="DG294" s="24"/>
      <c r="DH294" s="24"/>
      <c r="DI294" s="24"/>
      <c r="DJ294" s="24"/>
      <c r="DK294" s="24"/>
      <c r="DL294" s="24"/>
      <c r="DM294" s="24"/>
      <c r="DN294" s="24"/>
      <c r="DO294" s="24"/>
      <c r="DP294" s="24"/>
      <c r="DQ294" s="24"/>
      <c r="DR294" s="24"/>
      <c r="DS294" s="24"/>
      <c r="DT294" s="24"/>
      <c r="DU294" s="24"/>
      <c r="DV294" s="24"/>
      <c r="DW294" s="24"/>
      <c r="DX294" s="24"/>
      <c r="DY294" s="24"/>
      <c r="DZ294" s="24"/>
      <c r="EA294" s="24"/>
      <c r="EB294" s="24"/>
      <c r="EC294" s="24"/>
      <c r="ED294" s="24"/>
      <c r="EE294" s="24"/>
      <c r="EF294" s="24"/>
      <c r="EG294" s="24"/>
      <c r="EH294" s="24"/>
      <c r="EI294" s="24"/>
      <c r="EJ294" s="24"/>
      <c r="EK294" s="24"/>
      <c r="EL294" s="24"/>
      <c r="EM294" s="3"/>
      <c r="EN294" s="3"/>
      <c r="EO294" s="3"/>
      <c r="EP294" s="3"/>
      <c r="EQ294" s="3"/>
      <c r="ER294" s="3"/>
      <c r="ES294" s="3"/>
      <c r="ET294" s="3"/>
      <c r="EU294" s="3"/>
      <c r="EV294" s="3"/>
      <c r="EW294" s="3"/>
      <c r="EX294" s="3"/>
      <c r="EY294" s="3"/>
      <c r="EZ294" s="3"/>
      <c r="FA294" s="3"/>
      <c r="FB294" s="3"/>
      <c r="FC294" s="3"/>
      <c r="FD294" s="3"/>
      <c r="FE294" s="3"/>
      <c r="FF294" s="3"/>
      <c r="FG294" s="3"/>
      <c r="FH294" s="3"/>
      <c r="FI294" s="3"/>
      <c r="FJ294" s="3"/>
      <c r="FK294" s="3"/>
      <c r="FL294" s="3"/>
      <c r="FM294" s="3"/>
      <c r="FN294" s="3"/>
      <c r="FO294" s="3"/>
      <c r="FP294" s="3"/>
      <c r="FQ294" s="3"/>
      <c r="FR294" s="3"/>
      <c r="FS294" s="3"/>
      <c r="FT294" s="3"/>
      <c r="FU294" s="3"/>
      <c r="FV294" s="3"/>
      <c r="FW294" s="3"/>
      <c r="FX294" s="3"/>
      <c r="FY294" s="3"/>
      <c r="FZ294" s="3"/>
      <c r="GA294" s="3"/>
      <c r="GB294" s="3"/>
      <c r="GC294" s="3"/>
      <c r="GD294" s="3"/>
      <c r="GE294" s="3"/>
      <c r="GF294" s="3"/>
      <c r="GG294" s="3"/>
      <c r="GH294" s="3"/>
      <c r="GI294" s="3"/>
      <c r="GJ294" s="3"/>
      <c r="GK294" s="3"/>
      <c r="GL294" s="3"/>
      <c r="GM294" s="3"/>
      <c r="GN294" s="3"/>
      <c r="GO294" s="3"/>
      <c r="GP294" s="3"/>
      <c r="GQ294" s="3"/>
      <c r="GR294" s="3"/>
      <c r="GS294" s="3"/>
      <c r="GT294" s="3"/>
      <c r="GU294" s="3"/>
      <c r="GV294" s="3"/>
      <c r="GW294" s="3"/>
      <c r="GX294" s="3"/>
      <c r="GY294" s="3"/>
      <c r="GZ294" s="3"/>
      <c r="HA294" s="3"/>
      <c r="HB294" s="3"/>
      <c r="HC294" s="3"/>
      <c r="HD294" s="3"/>
      <c r="HE294" s="3"/>
      <c r="HF294" s="3"/>
      <c r="HG294" s="3"/>
      <c r="HH294" s="3"/>
      <c r="HI294" s="3"/>
      <c r="HJ294" s="3"/>
      <c r="HK294" s="3"/>
      <c r="HL294" s="3"/>
      <c r="HM294" s="3"/>
      <c r="HN294" s="3"/>
      <c r="HO294" s="3"/>
      <c r="HP294" s="3"/>
      <c r="HQ294" s="3"/>
      <c r="HR294" s="3"/>
      <c r="HS294" s="3"/>
      <c r="HT294" s="3"/>
      <c r="HU294" s="3"/>
      <c r="HV294" s="3"/>
      <c r="HW294" s="3"/>
      <c r="HX294" s="3"/>
      <c r="HY294" s="3"/>
      <c r="HZ294" s="3"/>
      <c r="IA294" s="3"/>
      <c r="IB294" s="3"/>
      <c r="IC294" s="3"/>
      <c r="ID294" s="3"/>
      <c r="IE294" s="3"/>
      <c r="IF294" s="3"/>
      <c r="IG294" s="3"/>
      <c r="IH294" s="3"/>
      <c r="II294" s="3"/>
      <c r="IJ294" s="3"/>
      <c r="IK294" s="3"/>
      <c r="IL294" s="3"/>
      <c r="IM294" s="3"/>
      <c r="IN294" s="3"/>
      <c r="IO294" s="3"/>
      <c r="IP294" s="3"/>
      <c r="IQ294" s="3"/>
      <c r="IR294" s="3"/>
      <c r="IS294" s="3"/>
      <c r="IT294" s="3"/>
      <c r="IU294" s="3"/>
      <c r="IV294" s="3"/>
      <c r="IW294" s="3"/>
    </row>
    <row r="295" customFormat="false" ht="12.75" hidden="false" customHeight="false" outlineLevel="0" collapsed="false">
      <c r="A295" s="23"/>
      <c r="B295" s="22" t="s">
        <v>374</v>
      </c>
      <c r="C295" s="22"/>
      <c r="D295" s="22"/>
      <c r="E295" s="381" t="n">
        <f aca="false">$E$292+$E$293+E294</f>
        <v>0.08</v>
      </c>
      <c r="F295" s="381" t="n">
        <f aca="false">$E$292+$E$293+F294</f>
        <v>0.08</v>
      </c>
      <c r="G295" s="381" t="n">
        <f aca="false">$E$292+$E$293+G294</f>
        <v>0.08</v>
      </c>
      <c r="H295" s="381" t="n">
        <f aca="false">$E$292+$E$293+H294</f>
        <v>0.08</v>
      </c>
      <c r="I295" s="381" t="n">
        <f aca="false">$E$292+$E$293+I294</f>
        <v>0.08</v>
      </c>
      <c r="J295" s="381" t="n">
        <f aca="false">$E$292+$E$293+J294</f>
        <v>0.08</v>
      </c>
      <c r="K295" s="381" t="n">
        <f aca="false">$E$292+$E$293+K294</f>
        <v>0.08</v>
      </c>
      <c r="L295" s="381" t="n">
        <f aca="false">$E$292+$E$293+L294</f>
        <v>0.08</v>
      </c>
      <c r="M295" s="381" t="n">
        <f aca="false">$E$292+$E$293+M294</f>
        <v>0.08</v>
      </c>
      <c r="N295" s="381" t="n">
        <f aca="false">$E$292+$E$293+N294</f>
        <v>0.08</v>
      </c>
      <c r="O295" s="381" t="n">
        <f aca="false">$E$292+$E$293+O294</f>
        <v>0.08</v>
      </c>
      <c r="P295" s="381" t="n">
        <f aca="false">$E$292+$E$293+P294</f>
        <v>0.08</v>
      </c>
      <c r="Q295" s="381" t="n">
        <f aca="false">$E$292+$E$293+Q294</f>
        <v>0.08</v>
      </c>
      <c r="R295" s="381" t="n">
        <f aca="false">$E$292+$E$293+R294</f>
        <v>0.08</v>
      </c>
      <c r="S295" s="381" t="n">
        <f aca="false">$E$292+$E$293+S294</f>
        <v>0.08</v>
      </c>
      <c r="T295" s="381" t="n">
        <f aca="false">$E$292+$E$293+T294</f>
        <v>0.08</v>
      </c>
      <c r="U295" s="381" t="n">
        <f aca="false">$E$292+$E$293+U294</f>
        <v>0.08</v>
      </c>
      <c r="V295" s="381" t="n">
        <f aca="false">$E$292+$E$293+V294</f>
        <v>0.08</v>
      </c>
      <c r="W295" s="381" t="n">
        <f aca="false">$E$292+$E$293+W294</f>
        <v>0.08</v>
      </c>
      <c r="X295" s="381" t="n">
        <f aca="false">$E$292+$E$293+X294</f>
        <v>0.08</v>
      </c>
      <c r="Y295" s="381" t="n">
        <f aca="false">$E$292+$E$293+Y294</f>
        <v>0.08</v>
      </c>
      <c r="Z295" s="381" t="n">
        <f aca="false">$E$292+$E$293+Z294</f>
        <v>0.08</v>
      </c>
      <c r="AA295" s="381" t="n">
        <f aca="false">$E$292+$E$293+AA294</f>
        <v>0.08</v>
      </c>
      <c r="AB295" s="381" t="n">
        <f aca="false">$E$292+$E$293+AB294</f>
        <v>0.08</v>
      </c>
      <c r="AC295" s="381" t="n">
        <f aca="false">$E$292+$E$293+AC294</f>
        <v>0.08</v>
      </c>
      <c r="AD295" s="381" t="n">
        <f aca="false">$E$292+$E$293+AD294</f>
        <v>0.08</v>
      </c>
      <c r="AE295" s="381" t="n">
        <f aca="false">$E$292+$E$293+AE294</f>
        <v>0.08</v>
      </c>
      <c r="AF295" s="381" t="n">
        <f aca="false">$E$292+$E$293+AF294</f>
        <v>0.08</v>
      </c>
      <c r="AG295" s="381" t="n">
        <f aca="false">$E$292+$E$293+AG294</f>
        <v>0.08</v>
      </c>
      <c r="AH295" s="381" t="n">
        <f aca="false">$E$292+$E$293+AH294</f>
        <v>0.08</v>
      </c>
      <c r="AI295" s="381" t="n">
        <f aca="false">$E$292+$E$293+AI294</f>
        <v>0.08</v>
      </c>
      <c r="AJ295" s="381" t="n">
        <f aca="false">$E$292+$E$293+AJ294</f>
        <v>0.08</v>
      </c>
      <c r="AK295" s="381" t="n">
        <f aca="false">$E$292+$E$293+AK294</f>
        <v>0.08</v>
      </c>
      <c r="AL295" s="381" t="n">
        <f aca="false">$E$292+$E$293+AL294</f>
        <v>0.08</v>
      </c>
      <c r="AM295" s="381" t="n">
        <f aca="false">$E$292+$E$293+AM294</f>
        <v>0.08</v>
      </c>
      <c r="AN295" s="24"/>
      <c r="AO295" s="24"/>
      <c r="AP295" s="24"/>
      <c r="AQ295" s="24"/>
      <c r="AR295" s="24"/>
      <c r="AS295" s="24"/>
      <c r="AT295" s="24"/>
      <c r="AU295" s="24"/>
      <c r="AV295" s="24"/>
      <c r="AW295" s="24"/>
      <c r="AX295" s="24"/>
      <c r="AY295" s="24"/>
      <c r="AZ295" s="24"/>
      <c r="BA295" s="24"/>
      <c r="BB295" s="24"/>
      <c r="BC295" s="24"/>
      <c r="BD295" s="24"/>
      <c r="BE295" s="24"/>
      <c r="BF295" s="24"/>
      <c r="BG295" s="24"/>
      <c r="BH295" s="24"/>
      <c r="BI295" s="24"/>
      <c r="BJ295" s="24"/>
      <c r="BK295" s="24"/>
      <c r="BL295" s="24"/>
      <c r="BM295" s="24"/>
      <c r="BN295" s="24"/>
      <c r="BO295" s="24"/>
      <c r="BP295" s="24"/>
      <c r="BQ295" s="24"/>
      <c r="BR295" s="24"/>
      <c r="BS295" s="24"/>
      <c r="BT295" s="24"/>
      <c r="BU295" s="24"/>
      <c r="BV295" s="24"/>
      <c r="BW295" s="24"/>
      <c r="BX295" s="24"/>
      <c r="BY295" s="24"/>
      <c r="BZ295" s="24"/>
      <c r="CA295" s="24"/>
      <c r="CB295" s="24"/>
      <c r="CC295" s="24"/>
      <c r="CD295" s="24"/>
      <c r="CE295" s="24"/>
      <c r="CF295" s="24"/>
      <c r="CG295" s="24"/>
      <c r="CH295" s="24"/>
      <c r="CI295" s="24"/>
      <c r="CJ295" s="24"/>
      <c r="CK295" s="24"/>
      <c r="CL295" s="24"/>
      <c r="CM295" s="24"/>
      <c r="CN295" s="24"/>
      <c r="CO295" s="24"/>
      <c r="CP295" s="24"/>
      <c r="CQ295" s="24"/>
      <c r="CR295" s="24"/>
      <c r="CS295" s="24"/>
      <c r="CT295" s="24"/>
      <c r="CU295" s="24"/>
      <c r="CV295" s="24"/>
      <c r="CW295" s="24"/>
      <c r="CX295" s="24"/>
      <c r="CY295" s="24"/>
      <c r="CZ295" s="24"/>
      <c r="DA295" s="24"/>
      <c r="DB295" s="24"/>
      <c r="DC295" s="24"/>
      <c r="DD295" s="24"/>
      <c r="DE295" s="24"/>
      <c r="DF295" s="24"/>
      <c r="DG295" s="24"/>
      <c r="DH295" s="24"/>
      <c r="DI295" s="24"/>
      <c r="DJ295" s="24"/>
      <c r="DK295" s="24"/>
      <c r="DL295" s="24"/>
      <c r="DM295" s="24"/>
      <c r="DN295" s="24"/>
      <c r="DO295" s="24"/>
      <c r="DP295" s="24"/>
      <c r="DQ295" s="24"/>
      <c r="DR295" s="24"/>
      <c r="DS295" s="24"/>
      <c r="DT295" s="24"/>
      <c r="DU295" s="24"/>
      <c r="DV295" s="24"/>
      <c r="DW295" s="24"/>
      <c r="DX295" s="24"/>
      <c r="DY295" s="24"/>
      <c r="DZ295" s="24"/>
      <c r="EA295" s="24"/>
      <c r="EB295" s="24"/>
      <c r="EC295" s="24"/>
      <c r="ED295" s="24"/>
      <c r="EE295" s="24"/>
      <c r="EF295" s="24"/>
      <c r="EG295" s="24"/>
      <c r="EH295" s="24"/>
      <c r="EI295" s="24"/>
      <c r="EJ295" s="24"/>
      <c r="EK295" s="24"/>
      <c r="EL295" s="24"/>
      <c r="EM295" s="3"/>
      <c r="EN295" s="3"/>
      <c r="EO295" s="3"/>
      <c r="EP295" s="3"/>
      <c r="EQ295" s="3"/>
      <c r="ER295" s="3"/>
      <c r="ES295" s="3"/>
      <c r="ET295" s="3"/>
      <c r="EU295" s="3"/>
      <c r="EV295" s="3"/>
      <c r="EW295" s="3"/>
      <c r="EX295" s="3"/>
      <c r="EY295" s="3"/>
      <c r="EZ295" s="3"/>
      <c r="FA295" s="3"/>
      <c r="FB295" s="3"/>
      <c r="FC295" s="3"/>
      <c r="FD295" s="3"/>
      <c r="FE295" s="3"/>
      <c r="FF295" s="3"/>
      <c r="FG295" s="3"/>
      <c r="FH295" s="3"/>
      <c r="FI295" s="3"/>
      <c r="FJ295" s="3"/>
      <c r="FK295" s="3"/>
      <c r="FL295" s="3"/>
      <c r="FM295" s="3"/>
      <c r="FN295" s="3"/>
      <c r="FO295" s="3"/>
      <c r="FP295" s="3"/>
      <c r="FQ295" s="3"/>
      <c r="FR295" s="3"/>
      <c r="FS295" s="3"/>
      <c r="FT295" s="3"/>
      <c r="FU295" s="3"/>
      <c r="FV295" s="3"/>
      <c r="FW295" s="3"/>
      <c r="FX295" s="3"/>
      <c r="FY295" s="3"/>
      <c r="FZ295" s="3"/>
      <c r="GA295" s="3"/>
      <c r="GB295" s="3"/>
      <c r="GC295" s="3"/>
      <c r="GD295" s="3"/>
      <c r="GE295" s="3"/>
      <c r="GF295" s="3"/>
      <c r="GG295" s="3"/>
      <c r="GH295" s="3"/>
      <c r="GI295" s="3"/>
      <c r="GJ295" s="3"/>
      <c r="GK295" s="3"/>
      <c r="GL295" s="3"/>
      <c r="GM295" s="3"/>
      <c r="GN295" s="3"/>
      <c r="GO295" s="3"/>
      <c r="GP295" s="3"/>
      <c r="GQ295" s="3"/>
      <c r="GR295" s="3"/>
      <c r="GS295" s="3"/>
      <c r="GT295" s="3"/>
      <c r="GU295" s="3"/>
      <c r="GV295" s="3"/>
      <c r="GW295" s="3"/>
      <c r="GX295" s="3"/>
      <c r="GY295" s="3"/>
      <c r="GZ295" s="3"/>
      <c r="HA295" s="3"/>
      <c r="HB295" s="3"/>
      <c r="HC295" s="3"/>
      <c r="HD295" s="3"/>
      <c r="HE295" s="3"/>
      <c r="HF295" s="3"/>
      <c r="HG295" s="3"/>
      <c r="HH295" s="3"/>
      <c r="HI295" s="3"/>
      <c r="HJ295" s="3"/>
      <c r="HK295" s="3"/>
      <c r="HL295" s="3"/>
      <c r="HM295" s="3"/>
      <c r="HN295" s="3"/>
      <c r="HO295" s="3"/>
      <c r="HP295" s="3"/>
      <c r="HQ295" s="3"/>
      <c r="HR295" s="3"/>
      <c r="HS295" s="3"/>
      <c r="HT295" s="3"/>
      <c r="HU295" s="3"/>
      <c r="HV295" s="3"/>
      <c r="HW295" s="3"/>
      <c r="HX295" s="3"/>
      <c r="HY295" s="3"/>
      <c r="HZ295" s="3"/>
      <c r="IA295" s="3"/>
      <c r="IB295" s="3"/>
      <c r="IC295" s="3"/>
      <c r="ID295" s="3"/>
      <c r="IE295" s="3"/>
      <c r="IF295" s="3"/>
      <c r="IG295" s="3"/>
      <c r="IH295" s="3"/>
      <c r="II295" s="3"/>
      <c r="IJ295" s="3"/>
      <c r="IK295" s="3"/>
      <c r="IL295" s="3"/>
      <c r="IM295" s="3"/>
      <c r="IN295" s="3"/>
      <c r="IO295" s="3"/>
      <c r="IP295" s="3"/>
      <c r="IQ295" s="3"/>
      <c r="IR295" s="3"/>
      <c r="IS295" s="3"/>
      <c r="IT295" s="3"/>
      <c r="IU295" s="3"/>
      <c r="IV295" s="3"/>
      <c r="IW295" s="3"/>
    </row>
    <row r="296" customFormat="false" ht="12.75" hidden="false" customHeight="false" outlineLevel="0" collapsed="false">
      <c r="A296" s="23"/>
      <c r="B296" s="300"/>
      <c r="C296" s="300"/>
      <c r="D296" s="22"/>
      <c r="E296" s="22"/>
      <c r="F296" s="58"/>
      <c r="G296" s="23"/>
      <c r="H296" s="58" t="s">
        <v>354</v>
      </c>
      <c r="I296" s="24"/>
      <c r="J296" s="24"/>
      <c r="K296" s="24"/>
      <c r="L296" s="24"/>
      <c r="M296" s="24"/>
      <c r="N296" s="24"/>
      <c r="O296" s="24"/>
      <c r="P296" s="24"/>
      <c r="Q296" s="24"/>
      <c r="R296" s="24"/>
      <c r="S296" s="24"/>
      <c r="T296" s="24"/>
      <c r="U296" s="24"/>
      <c r="V296" s="24"/>
      <c r="W296" s="24"/>
      <c r="X296" s="24"/>
      <c r="Y296" s="24"/>
      <c r="Z296" s="24"/>
      <c r="AA296" s="24"/>
      <c r="AB296" s="24"/>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c r="BZ296" s="24"/>
      <c r="CA296" s="24"/>
      <c r="CB296" s="24"/>
      <c r="CC296" s="24"/>
      <c r="CD296" s="24"/>
      <c r="CE296" s="24"/>
      <c r="CF296" s="24"/>
      <c r="CG296" s="24"/>
      <c r="CH296" s="24"/>
      <c r="CI296" s="24"/>
      <c r="CJ296" s="24"/>
      <c r="CK296" s="24"/>
      <c r="CL296" s="24"/>
      <c r="CM296" s="24"/>
      <c r="CN296" s="24"/>
      <c r="CO296" s="24"/>
      <c r="CP296" s="24"/>
      <c r="CQ296" s="24"/>
      <c r="CR296" s="24"/>
      <c r="CS296" s="24"/>
      <c r="CT296" s="24"/>
      <c r="CU296" s="24"/>
      <c r="CV296" s="24"/>
      <c r="CW296" s="24"/>
      <c r="CX296" s="24"/>
      <c r="CY296" s="24"/>
      <c r="CZ296" s="24"/>
      <c r="DA296" s="24"/>
      <c r="DB296" s="24"/>
      <c r="DC296" s="24"/>
      <c r="DD296" s="24"/>
      <c r="DE296" s="24"/>
      <c r="DF296" s="24"/>
      <c r="DG296" s="24"/>
      <c r="DH296" s="24"/>
      <c r="DI296" s="24"/>
      <c r="DJ296" s="24"/>
      <c r="DK296" s="24"/>
      <c r="DL296" s="24"/>
      <c r="DM296" s="24"/>
      <c r="DN296" s="24"/>
      <c r="DO296" s="24"/>
      <c r="DP296" s="24"/>
      <c r="DQ296" s="24"/>
      <c r="DR296" s="24"/>
      <c r="DS296" s="24"/>
      <c r="DT296" s="24"/>
      <c r="DU296" s="24"/>
      <c r="DV296" s="24"/>
      <c r="DW296" s="24"/>
      <c r="DX296" s="24"/>
      <c r="DY296" s="24"/>
      <c r="DZ296" s="24"/>
      <c r="EA296" s="24"/>
      <c r="EB296" s="24"/>
      <c r="EC296" s="24"/>
      <c r="ED296" s="24"/>
      <c r="EE296" s="24"/>
      <c r="EF296" s="24"/>
      <c r="EG296" s="24"/>
      <c r="EH296" s="24"/>
      <c r="EI296" s="24"/>
      <c r="EJ296" s="24"/>
      <c r="EK296" s="24"/>
      <c r="EL296" s="24"/>
      <c r="EM296" s="3"/>
      <c r="EN296" s="3"/>
      <c r="EO296" s="3"/>
      <c r="EP296" s="3"/>
      <c r="EQ296" s="3"/>
      <c r="ER296" s="3"/>
      <c r="ES296" s="3"/>
      <c r="ET296" s="3"/>
      <c r="EU296" s="3"/>
      <c r="EV296" s="3"/>
      <c r="EW296" s="3"/>
      <c r="EX296" s="3"/>
      <c r="EY296" s="3"/>
      <c r="EZ296" s="3"/>
      <c r="FA296" s="3"/>
      <c r="FB296" s="3"/>
      <c r="FC296" s="3"/>
      <c r="FD296" s="3"/>
      <c r="FE296" s="3"/>
      <c r="FF296" s="3"/>
      <c r="FG296" s="3"/>
      <c r="FH296" s="3"/>
      <c r="FI296" s="3"/>
      <c r="FJ296" s="3"/>
      <c r="FK296" s="3"/>
      <c r="FL296" s="3"/>
      <c r="FM296" s="3"/>
      <c r="FN296" s="3"/>
      <c r="FO296" s="3"/>
      <c r="FP296" s="3"/>
      <c r="FQ296" s="3"/>
      <c r="FR296" s="3"/>
      <c r="FS296" s="3"/>
      <c r="FT296" s="3"/>
      <c r="FU296" s="3"/>
      <c r="FV296" s="3"/>
      <c r="FW296" s="3"/>
      <c r="FX296" s="3"/>
      <c r="FY296" s="3"/>
      <c r="FZ296" s="3"/>
      <c r="GA296" s="3"/>
      <c r="GB296" s="3"/>
      <c r="GC296" s="3"/>
      <c r="GD296" s="3"/>
      <c r="GE296" s="3"/>
      <c r="GF296" s="3"/>
      <c r="GG296" s="3"/>
      <c r="GH296" s="3"/>
      <c r="GI296" s="3"/>
      <c r="GJ296" s="3"/>
      <c r="GK296" s="3"/>
      <c r="GL296" s="3"/>
      <c r="GM296" s="3"/>
      <c r="GN296" s="3"/>
      <c r="GO296" s="3"/>
      <c r="GP296" s="3"/>
      <c r="GQ296" s="3"/>
      <c r="GR296" s="3"/>
      <c r="GS296" s="3"/>
      <c r="GT296" s="3"/>
      <c r="GU296" s="3"/>
      <c r="GV296" s="3"/>
      <c r="GW296" s="3"/>
      <c r="GX296" s="3"/>
      <c r="GY296" s="3"/>
      <c r="GZ296" s="3"/>
      <c r="HA296" s="3"/>
      <c r="HB296" s="3"/>
      <c r="HC296" s="3"/>
      <c r="HD296" s="3"/>
      <c r="HE296" s="3"/>
      <c r="HF296" s="3"/>
      <c r="HG296" s="3"/>
      <c r="HH296" s="3"/>
      <c r="HI296" s="3"/>
      <c r="HJ296" s="3"/>
      <c r="HK296" s="3"/>
      <c r="HL296" s="3"/>
      <c r="HM296" s="3"/>
      <c r="HN296" s="3"/>
      <c r="HO296" s="3"/>
      <c r="HP296" s="3"/>
      <c r="HQ296" s="3"/>
      <c r="HR296" s="3"/>
      <c r="HS296" s="3"/>
      <c r="HT296" s="3"/>
      <c r="HU296" s="3"/>
      <c r="HV296" s="3"/>
      <c r="HW296" s="3"/>
      <c r="HX296" s="3"/>
      <c r="HY296" s="3"/>
      <c r="HZ296" s="3"/>
      <c r="IA296" s="3"/>
      <c r="IB296" s="3"/>
      <c r="IC296" s="3"/>
      <c r="ID296" s="3"/>
      <c r="IE296" s="3"/>
      <c r="IF296" s="3"/>
      <c r="IG296" s="3"/>
      <c r="IH296" s="3"/>
      <c r="II296" s="3"/>
      <c r="IJ296" s="3"/>
      <c r="IK296" s="3"/>
      <c r="IL296" s="3"/>
      <c r="IM296" s="3"/>
      <c r="IN296" s="3"/>
      <c r="IO296" s="3"/>
      <c r="IP296" s="3"/>
      <c r="IQ296" s="3"/>
      <c r="IR296" s="3"/>
      <c r="IS296" s="3"/>
      <c r="IT296" s="3"/>
      <c r="IU296" s="3"/>
      <c r="IV296" s="3"/>
      <c r="IW296" s="3"/>
    </row>
    <row r="297" customFormat="false" ht="12.75" hidden="false" customHeight="false" outlineLevel="0" collapsed="false">
      <c r="A297" s="412"/>
      <c r="B297" s="413" t="s">
        <v>375</v>
      </c>
      <c r="C297" s="413"/>
      <c r="D297" s="413"/>
      <c r="E297" s="414" t="n">
        <v>1</v>
      </c>
      <c r="F297" s="414" t="n">
        <f aca="false">E297</f>
        <v>1</v>
      </c>
      <c r="G297" s="414" t="n">
        <f aca="false">F297</f>
        <v>1</v>
      </c>
      <c r="H297" s="414" t="n">
        <f aca="false">G297</f>
        <v>1</v>
      </c>
      <c r="I297" s="414" t="n">
        <f aca="false">H297</f>
        <v>1</v>
      </c>
      <c r="J297" s="414" t="n">
        <f aca="false">I297</f>
        <v>1</v>
      </c>
      <c r="K297" s="414" t="n">
        <f aca="false">J297</f>
        <v>1</v>
      </c>
      <c r="L297" s="414" t="n">
        <f aca="false">K297</f>
        <v>1</v>
      </c>
      <c r="M297" s="414" t="n">
        <f aca="false">L297</f>
        <v>1</v>
      </c>
      <c r="N297" s="414" t="n">
        <f aca="false">M297</f>
        <v>1</v>
      </c>
      <c r="O297" s="414" t="n">
        <f aca="false">N297</f>
        <v>1</v>
      </c>
      <c r="P297" s="414" t="n">
        <f aca="false">O297</f>
        <v>1</v>
      </c>
      <c r="Q297" s="414" t="n">
        <f aca="false">P297</f>
        <v>1</v>
      </c>
      <c r="R297" s="414" t="n">
        <f aca="false">Q297</f>
        <v>1</v>
      </c>
      <c r="S297" s="414" t="n">
        <f aca="false">R297</f>
        <v>1</v>
      </c>
      <c r="T297" s="414" t="n">
        <f aca="false">S297</f>
        <v>1</v>
      </c>
      <c r="U297" s="414" t="n">
        <f aca="false">T297</f>
        <v>1</v>
      </c>
      <c r="V297" s="414" t="n">
        <f aca="false">U297</f>
        <v>1</v>
      </c>
      <c r="W297" s="414" t="n">
        <f aca="false">V297</f>
        <v>1</v>
      </c>
      <c r="X297" s="414" t="n">
        <f aca="false">W297</f>
        <v>1</v>
      </c>
      <c r="Y297" s="414" t="n">
        <f aca="false">X297</f>
        <v>1</v>
      </c>
      <c r="Z297" s="414" t="n">
        <f aca="false">Y297</f>
        <v>1</v>
      </c>
      <c r="AA297" s="414" t="n">
        <f aca="false">Z297</f>
        <v>1</v>
      </c>
      <c r="AB297" s="414" t="n">
        <f aca="false">AA297</f>
        <v>1</v>
      </c>
      <c r="AC297" s="414" t="n">
        <f aca="false">AB297</f>
        <v>1</v>
      </c>
      <c r="AD297" s="414" t="n">
        <f aca="false">AC297</f>
        <v>1</v>
      </c>
      <c r="AE297" s="414" t="n">
        <f aca="false">AD297</f>
        <v>1</v>
      </c>
      <c r="AF297" s="414" t="n">
        <f aca="false">AE297</f>
        <v>1</v>
      </c>
      <c r="AG297" s="414" t="n">
        <f aca="false">AF297</f>
        <v>1</v>
      </c>
      <c r="AH297" s="414" t="n">
        <f aca="false">AG297</f>
        <v>1</v>
      </c>
      <c r="AI297" s="414" t="n">
        <f aca="false">AH297</f>
        <v>1</v>
      </c>
      <c r="AJ297" s="414" t="n">
        <f aca="false">AI297</f>
        <v>1</v>
      </c>
      <c r="AK297" s="414" t="n">
        <f aca="false">AJ297</f>
        <v>1</v>
      </c>
      <c r="AL297" s="414" t="n">
        <f aca="false">AK297</f>
        <v>1</v>
      </c>
      <c r="AM297" s="414" t="n">
        <f aca="false">AL297</f>
        <v>1</v>
      </c>
      <c r="AN297" s="415"/>
      <c r="AO297" s="415"/>
      <c r="AP297" s="415"/>
      <c r="AQ297" s="415"/>
      <c r="AR297" s="415"/>
      <c r="AS297" s="415"/>
      <c r="AT297" s="415"/>
      <c r="AU297" s="415"/>
      <c r="AV297" s="415"/>
      <c r="AW297" s="415"/>
      <c r="AX297" s="415"/>
      <c r="AY297" s="415"/>
      <c r="AZ297" s="415"/>
      <c r="BA297" s="415"/>
      <c r="BB297" s="415"/>
      <c r="BC297" s="415"/>
      <c r="BD297" s="415"/>
      <c r="BE297" s="415"/>
      <c r="BF297" s="415"/>
      <c r="BG297" s="415"/>
      <c r="BH297" s="415"/>
      <c r="BI297" s="415"/>
      <c r="BJ297" s="415"/>
      <c r="BK297" s="415"/>
      <c r="BL297" s="415"/>
      <c r="BM297" s="415"/>
      <c r="BN297" s="415"/>
      <c r="BO297" s="415"/>
      <c r="BP297" s="415"/>
      <c r="BQ297" s="415"/>
      <c r="BR297" s="415"/>
      <c r="BS297" s="415"/>
      <c r="BT297" s="415"/>
      <c r="BU297" s="415"/>
      <c r="BV297" s="415"/>
      <c r="BW297" s="415"/>
      <c r="BX297" s="415"/>
      <c r="BY297" s="415"/>
      <c r="BZ297" s="415"/>
      <c r="CA297" s="415"/>
      <c r="CB297" s="415"/>
      <c r="CC297" s="415"/>
      <c r="CD297" s="415"/>
      <c r="CE297" s="415"/>
      <c r="CF297" s="415"/>
      <c r="CG297" s="415"/>
      <c r="CH297" s="415"/>
      <c r="CI297" s="415"/>
      <c r="CJ297" s="415"/>
      <c r="CK297" s="415"/>
      <c r="CL297" s="415"/>
      <c r="CM297" s="415"/>
      <c r="CN297" s="415"/>
      <c r="CO297" s="415"/>
      <c r="CP297" s="415"/>
      <c r="CQ297" s="415"/>
      <c r="CR297" s="415"/>
      <c r="CS297" s="415"/>
      <c r="CT297" s="415"/>
      <c r="CU297" s="415"/>
      <c r="CV297" s="415"/>
      <c r="CW297" s="415"/>
      <c r="CX297" s="415"/>
      <c r="CY297" s="415"/>
      <c r="CZ297" s="415"/>
      <c r="DA297" s="415"/>
      <c r="DB297" s="415"/>
      <c r="DC297" s="415"/>
      <c r="DD297" s="415"/>
      <c r="DE297" s="415"/>
      <c r="DF297" s="415"/>
      <c r="DG297" s="415"/>
      <c r="DH297" s="415"/>
      <c r="DI297" s="415"/>
      <c r="DJ297" s="415"/>
      <c r="DK297" s="415"/>
      <c r="DL297" s="415"/>
      <c r="DM297" s="415"/>
      <c r="DN297" s="415"/>
      <c r="DO297" s="415"/>
      <c r="DP297" s="415"/>
      <c r="DQ297" s="415"/>
      <c r="DR297" s="415"/>
      <c r="DS297" s="415"/>
      <c r="DT297" s="415"/>
      <c r="DU297" s="415"/>
      <c r="DV297" s="415"/>
      <c r="DW297" s="415"/>
      <c r="DX297" s="415"/>
      <c r="DY297" s="415"/>
      <c r="DZ297" s="415"/>
      <c r="EA297" s="415"/>
      <c r="EB297" s="415"/>
      <c r="EC297" s="415"/>
      <c r="ED297" s="415"/>
      <c r="EE297" s="415"/>
      <c r="EF297" s="415"/>
      <c r="EG297" s="415"/>
      <c r="EH297" s="415"/>
      <c r="EI297" s="415"/>
      <c r="EJ297" s="415"/>
      <c r="EK297" s="415"/>
      <c r="EL297" s="415"/>
      <c r="EM297" s="416"/>
      <c r="EN297" s="416"/>
      <c r="EO297" s="416"/>
      <c r="EP297" s="416"/>
      <c r="EQ297" s="416"/>
      <c r="ER297" s="416"/>
      <c r="ES297" s="416"/>
      <c r="ET297" s="416"/>
      <c r="EU297" s="416"/>
      <c r="EV297" s="416"/>
      <c r="EW297" s="416"/>
      <c r="EX297" s="416"/>
      <c r="EY297" s="416"/>
      <c r="EZ297" s="416"/>
      <c r="FA297" s="416"/>
      <c r="FB297" s="416"/>
      <c r="FC297" s="416"/>
      <c r="FD297" s="416"/>
      <c r="FE297" s="416"/>
      <c r="FF297" s="416"/>
      <c r="FG297" s="416"/>
      <c r="FH297" s="416"/>
      <c r="FI297" s="416"/>
      <c r="FJ297" s="416"/>
      <c r="FK297" s="416"/>
      <c r="FL297" s="416"/>
      <c r="FM297" s="416"/>
      <c r="FN297" s="416"/>
      <c r="FO297" s="416"/>
      <c r="FP297" s="416"/>
      <c r="FQ297" s="416"/>
      <c r="FR297" s="416"/>
      <c r="FS297" s="416"/>
      <c r="FT297" s="416"/>
      <c r="FU297" s="416"/>
      <c r="FV297" s="416"/>
      <c r="FW297" s="416"/>
      <c r="FX297" s="416"/>
      <c r="FY297" s="416"/>
      <c r="FZ297" s="416"/>
      <c r="GA297" s="416"/>
      <c r="GB297" s="416"/>
      <c r="GC297" s="416"/>
      <c r="GD297" s="416"/>
      <c r="GE297" s="416"/>
      <c r="GF297" s="416"/>
      <c r="GG297" s="416"/>
      <c r="GH297" s="416"/>
      <c r="GI297" s="416"/>
      <c r="GJ297" s="416"/>
      <c r="GK297" s="416"/>
      <c r="GL297" s="416"/>
      <c r="GM297" s="416"/>
      <c r="GN297" s="416"/>
      <c r="GO297" s="416"/>
      <c r="GP297" s="416"/>
      <c r="GQ297" s="416"/>
      <c r="GR297" s="416"/>
      <c r="GS297" s="416"/>
      <c r="GT297" s="416"/>
      <c r="GU297" s="416"/>
      <c r="GV297" s="416"/>
      <c r="GW297" s="416"/>
      <c r="GX297" s="416"/>
      <c r="GY297" s="416"/>
      <c r="GZ297" s="416"/>
      <c r="HA297" s="416"/>
      <c r="HB297" s="416"/>
      <c r="HC297" s="416"/>
      <c r="HD297" s="416"/>
      <c r="HE297" s="416"/>
      <c r="HF297" s="416"/>
      <c r="HG297" s="416"/>
      <c r="HH297" s="416"/>
      <c r="HI297" s="416"/>
      <c r="HJ297" s="416"/>
      <c r="HK297" s="416"/>
      <c r="HL297" s="416"/>
      <c r="HM297" s="416"/>
      <c r="HN297" s="416"/>
      <c r="HO297" s="416"/>
      <c r="HP297" s="416"/>
      <c r="HQ297" s="416"/>
      <c r="HR297" s="416"/>
      <c r="HS297" s="416"/>
      <c r="HT297" s="416"/>
      <c r="HU297" s="416"/>
      <c r="HV297" s="416"/>
      <c r="HW297" s="416"/>
      <c r="HX297" s="416"/>
      <c r="HY297" s="416"/>
      <c r="HZ297" s="416"/>
      <c r="IA297" s="416"/>
      <c r="IB297" s="416"/>
      <c r="IC297" s="416"/>
      <c r="ID297" s="416"/>
      <c r="IE297" s="416"/>
      <c r="IF297" s="416"/>
      <c r="IG297" s="416"/>
      <c r="IH297" s="416"/>
      <c r="II297" s="416"/>
      <c r="IJ297" s="416"/>
      <c r="IK297" s="416"/>
      <c r="IL297" s="416"/>
      <c r="IM297" s="416"/>
      <c r="IN297" s="416"/>
      <c r="IO297" s="416"/>
      <c r="IP297" s="416"/>
      <c r="IQ297" s="416"/>
      <c r="IR297" s="416"/>
      <c r="IS297" s="416"/>
      <c r="IT297" s="416"/>
      <c r="IU297" s="416"/>
      <c r="IV297" s="416"/>
      <c r="IW297" s="416"/>
    </row>
    <row r="298" customFormat="false" ht="12.75" hidden="false" customHeight="false" outlineLevel="0" collapsed="false">
      <c r="A298" s="412"/>
      <c r="B298" s="413" t="s">
        <v>376</v>
      </c>
      <c r="C298" s="413"/>
      <c r="D298" s="413"/>
      <c r="E298" s="414" t="n">
        <v>1.5</v>
      </c>
      <c r="F298" s="414" t="n">
        <f aca="false">E298</f>
        <v>1.5</v>
      </c>
      <c r="G298" s="414" t="n">
        <f aca="false">F298</f>
        <v>1.5</v>
      </c>
      <c r="H298" s="414" t="n">
        <f aca="false">G298</f>
        <v>1.5</v>
      </c>
      <c r="I298" s="414" t="n">
        <f aca="false">H298</f>
        <v>1.5</v>
      </c>
      <c r="J298" s="414" t="n">
        <f aca="false">I298</f>
        <v>1.5</v>
      </c>
      <c r="K298" s="414" t="n">
        <f aca="false">J298</f>
        <v>1.5</v>
      </c>
      <c r="L298" s="414" t="n">
        <f aca="false">K298</f>
        <v>1.5</v>
      </c>
      <c r="M298" s="414" t="n">
        <f aca="false">L298</f>
        <v>1.5</v>
      </c>
      <c r="N298" s="414" t="n">
        <f aca="false">M298</f>
        <v>1.5</v>
      </c>
      <c r="O298" s="414" t="n">
        <f aca="false">N298</f>
        <v>1.5</v>
      </c>
      <c r="P298" s="414" t="n">
        <f aca="false">O298</f>
        <v>1.5</v>
      </c>
      <c r="Q298" s="414" t="n">
        <f aca="false">P298</f>
        <v>1.5</v>
      </c>
      <c r="R298" s="414" t="n">
        <f aca="false">Q298</f>
        <v>1.5</v>
      </c>
      <c r="S298" s="414" t="n">
        <f aca="false">R298</f>
        <v>1.5</v>
      </c>
      <c r="T298" s="414" t="n">
        <f aca="false">S298</f>
        <v>1.5</v>
      </c>
      <c r="U298" s="414" t="n">
        <f aca="false">T298</f>
        <v>1.5</v>
      </c>
      <c r="V298" s="414" t="n">
        <f aca="false">U298</f>
        <v>1.5</v>
      </c>
      <c r="W298" s="414" t="n">
        <f aca="false">V298</f>
        <v>1.5</v>
      </c>
      <c r="X298" s="414" t="n">
        <f aca="false">W298</f>
        <v>1.5</v>
      </c>
      <c r="Y298" s="414" t="n">
        <f aca="false">X298</f>
        <v>1.5</v>
      </c>
      <c r="Z298" s="414" t="n">
        <f aca="false">Y298</f>
        <v>1.5</v>
      </c>
      <c r="AA298" s="414" t="n">
        <f aca="false">Z298</f>
        <v>1.5</v>
      </c>
      <c r="AB298" s="414" t="n">
        <f aca="false">AA298</f>
        <v>1.5</v>
      </c>
      <c r="AC298" s="414" t="n">
        <f aca="false">AB298</f>
        <v>1.5</v>
      </c>
      <c r="AD298" s="414" t="n">
        <f aca="false">AC298</f>
        <v>1.5</v>
      </c>
      <c r="AE298" s="414" t="n">
        <f aca="false">AD298</f>
        <v>1.5</v>
      </c>
      <c r="AF298" s="414" t="n">
        <f aca="false">AE298</f>
        <v>1.5</v>
      </c>
      <c r="AG298" s="414" t="n">
        <f aca="false">AF298</f>
        <v>1.5</v>
      </c>
      <c r="AH298" s="414" t="n">
        <f aca="false">AG298</f>
        <v>1.5</v>
      </c>
      <c r="AI298" s="414" t="n">
        <f aca="false">AH298</f>
        <v>1.5</v>
      </c>
      <c r="AJ298" s="414" t="n">
        <f aca="false">AI298</f>
        <v>1.5</v>
      </c>
      <c r="AK298" s="414" t="n">
        <f aca="false">AJ298</f>
        <v>1.5</v>
      </c>
      <c r="AL298" s="414" t="n">
        <f aca="false">AK298</f>
        <v>1.5</v>
      </c>
      <c r="AM298" s="414" t="n">
        <f aca="false">AL298</f>
        <v>1.5</v>
      </c>
      <c r="AN298" s="415"/>
      <c r="AO298" s="415"/>
      <c r="AP298" s="415"/>
      <c r="AQ298" s="415"/>
      <c r="AR298" s="415"/>
      <c r="AS298" s="415"/>
      <c r="AT298" s="415"/>
      <c r="AU298" s="415"/>
      <c r="AV298" s="415"/>
      <c r="AW298" s="415"/>
      <c r="AX298" s="415"/>
      <c r="AY298" s="415"/>
      <c r="AZ298" s="415"/>
      <c r="BA298" s="415"/>
      <c r="BB298" s="415"/>
      <c r="BC298" s="415"/>
      <c r="BD298" s="415"/>
      <c r="BE298" s="415"/>
      <c r="BF298" s="415"/>
      <c r="BG298" s="415"/>
      <c r="BH298" s="415"/>
      <c r="BI298" s="415"/>
      <c r="BJ298" s="415"/>
      <c r="BK298" s="415"/>
      <c r="BL298" s="415"/>
      <c r="BM298" s="415"/>
      <c r="BN298" s="415"/>
      <c r="BO298" s="415"/>
      <c r="BP298" s="415"/>
      <c r="BQ298" s="415"/>
      <c r="BR298" s="415"/>
      <c r="BS298" s="415"/>
      <c r="BT298" s="415"/>
      <c r="BU298" s="415"/>
      <c r="BV298" s="415"/>
      <c r="BW298" s="415"/>
      <c r="BX298" s="415"/>
      <c r="BY298" s="415"/>
      <c r="BZ298" s="415"/>
      <c r="CA298" s="415"/>
      <c r="CB298" s="415"/>
      <c r="CC298" s="415"/>
      <c r="CD298" s="415"/>
      <c r="CE298" s="415"/>
      <c r="CF298" s="415"/>
      <c r="CG298" s="415"/>
      <c r="CH298" s="415"/>
      <c r="CI298" s="415"/>
      <c r="CJ298" s="415"/>
      <c r="CK298" s="415"/>
      <c r="CL298" s="415"/>
      <c r="CM298" s="415"/>
      <c r="CN298" s="415"/>
      <c r="CO298" s="415"/>
      <c r="CP298" s="415"/>
      <c r="CQ298" s="415"/>
      <c r="CR298" s="415"/>
      <c r="CS298" s="415"/>
      <c r="CT298" s="415"/>
      <c r="CU298" s="415"/>
      <c r="CV298" s="415"/>
      <c r="CW298" s="415"/>
      <c r="CX298" s="415"/>
      <c r="CY298" s="415"/>
      <c r="CZ298" s="415"/>
      <c r="DA298" s="415"/>
      <c r="DB298" s="415"/>
      <c r="DC298" s="415"/>
      <c r="DD298" s="415"/>
      <c r="DE298" s="415"/>
      <c r="DF298" s="415"/>
      <c r="DG298" s="415"/>
      <c r="DH298" s="415"/>
      <c r="DI298" s="415"/>
      <c r="DJ298" s="415"/>
      <c r="DK298" s="415"/>
      <c r="DL298" s="415"/>
      <c r="DM298" s="415"/>
      <c r="DN298" s="415"/>
      <c r="DO298" s="415"/>
      <c r="DP298" s="415"/>
      <c r="DQ298" s="415"/>
      <c r="DR298" s="415"/>
      <c r="DS298" s="415"/>
      <c r="DT298" s="415"/>
      <c r="DU298" s="415"/>
      <c r="DV298" s="415"/>
      <c r="DW298" s="415"/>
      <c r="DX298" s="415"/>
      <c r="DY298" s="415"/>
      <c r="DZ298" s="415"/>
      <c r="EA298" s="415"/>
      <c r="EB298" s="415"/>
      <c r="EC298" s="415"/>
      <c r="ED298" s="415"/>
      <c r="EE298" s="415"/>
      <c r="EF298" s="415"/>
      <c r="EG298" s="415"/>
      <c r="EH298" s="415"/>
      <c r="EI298" s="415"/>
      <c r="EJ298" s="415"/>
      <c r="EK298" s="415"/>
      <c r="EL298" s="415"/>
      <c r="EM298" s="416"/>
      <c r="EN298" s="416"/>
      <c r="EO298" s="416"/>
      <c r="EP298" s="416"/>
      <c r="EQ298" s="416"/>
      <c r="ER298" s="416"/>
      <c r="ES298" s="416"/>
      <c r="ET298" s="416"/>
      <c r="EU298" s="416"/>
      <c r="EV298" s="416"/>
      <c r="EW298" s="416"/>
      <c r="EX298" s="416"/>
      <c r="EY298" s="416"/>
      <c r="EZ298" s="416"/>
      <c r="FA298" s="416"/>
      <c r="FB298" s="416"/>
      <c r="FC298" s="416"/>
      <c r="FD298" s="416"/>
      <c r="FE298" s="416"/>
      <c r="FF298" s="416"/>
      <c r="FG298" s="416"/>
      <c r="FH298" s="416"/>
      <c r="FI298" s="416"/>
      <c r="FJ298" s="416"/>
      <c r="FK298" s="416"/>
      <c r="FL298" s="416"/>
      <c r="FM298" s="416"/>
      <c r="FN298" s="416"/>
      <c r="FO298" s="416"/>
      <c r="FP298" s="416"/>
      <c r="FQ298" s="416"/>
      <c r="FR298" s="416"/>
      <c r="FS298" s="416"/>
      <c r="FT298" s="416"/>
      <c r="FU298" s="416"/>
      <c r="FV298" s="416"/>
      <c r="FW298" s="416"/>
      <c r="FX298" s="416"/>
      <c r="FY298" s="416"/>
      <c r="FZ298" s="416"/>
      <c r="GA298" s="416"/>
      <c r="GB298" s="416"/>
      <c r="GC298" s="416"/>
      <c r="GD298" s="416"/>
      <c r="GE298" s="416"/>
      <c r="GF298" s="416"/>
      <c r="GG298" s="416"/>
      <c r="GH298" s="416"/>
      <c r="GI298" s="416"/>
      <c r="GJ298" s="416"/>
      <c r="GK298" s="416"/>
      <c r="GL298" s="416"/>
      <c r="GM298" s="416"/>
      <c r="GN298" s="416"/>
      <c r="GO298" s="416"/>
      <c r="GP298" s="416"/>
      <c r="GQ298" s="416"/>
      <c r="GR298" s="416"/>
      <c r="GS298" s="416"/>
      <c r="GT298" s="416"/>
      <c r="GU298" s="416"/>
      <c r="GV298" s="416"/>
      <c r="GW298" s="416"/>
      <c r="GX298" s="416"/>
      <c r="GY298" s="416"/>
      <c r="GZ298" s="416"/>
      <c r="HA298" s="416"/>
      <c r="HB298" s="416"/>
      <c r="HC298" s="416"/>
      <c r="HD298" s="416"/>
      <c r="HE298" s="416"/>
      <c r="HF298" s="416"/>
      <c r="HG298" s="416"/>
      <c r="HH298" s="416"/>
      <c r="HI298" s="416"/>
      <c r="HJ298" s="416"/>
      <c r="HK298" s="416"/>
      <c r="HL298" s="416"/>
      <c r="HM298" s="416"/>
      <c r="HN298" s="416"/>
      <c r="HO298" s="416"/>
      <c r="HP298" s="416"/>
      <c r="HQ298" s="416"/>
      <c r="HR298" s="416"/>
      <c r="HS298" s="416"/>
      <c r="HT298" s="416"/>
      <c r="HU298" s="416"/>
      <c r="HV298" s="416"/>
      <c r="HW298" s="416"/>
      <c r="HX298" s="416"/>
      <c r="HY298" s="416"/>
      <c r="HZ298" s="416"/>
      <c r="IA298" s="416"/>
      <c r="IB298" s="416"/>
      <c r="IC298" s="416"/>
      <c r="ID298" s="416"/>
      <c r="IE298" s="416"/>
      <c r="IF298" s="416"/>
      <c r="IG298" s="416"/>
      <c r="IH298" s="416"/>
      <c r="II298" s="416"/>
      <c r="IJ298" s="416"/>
      <c r="IK298" s="416"/>
      <c r="IL298" s="416"/>
      <c r="IM298" s="416"/>
      <c r="IN298" s="416"/>
      <c r="IO298" s="416"/>
      <c r="IP298" s="416"/>
      <c r="IQ298" s="416"/>
      <c r="IR298" s="416"/>
      <c r="IS298" s="416"/>
      <c r="IT298" s="416"/>
      <c r="IU298" s="416"/>
      <c r="IV298" s="416"/>
      <c r="IW298" s="416"/>
    </row>
    <row r="299" customFormat="false" ht="12.75" hidden="false" customHeight="false" outlineLevel="0" collapsed="false">
      <c r="A299" s="412"/>
      <c r="B299" s="417" t="s">
        <v>377</v>
      </c>
      <c r="C299" s="417"/>
      <c r="D299" s="413"/>
      <c r="E299" s="418" t="n">
        <v>1</v>
      </c>
      <c r="F299" s="419" t="n">
        <f aca="false">E299</f>
        <v>1</v>
      </c>
      <c r="G299" s="419" t="n">
        <f aca="false">F299</f>
        <v>1</v>
      </c>
      <c r="H299" s="419" t="n">
        <f aca="false">G299</f>
        <v>1</v>
      </c>
      <c r="I299" s="419" t="n">
        <f aca="false">H299</f>
        <v>1</v>
      </c>
      <c r="J299" s="419" t="n">
        <f aca="false">I299</f>
        <v>1</v>
      </c>
      <c r="K299" s="419" t="n">
        <f aca="false">J299</f>
        <v>1</v>
      </c>
      <c r="L299" s="419" t="n">
        <f aca="false">K299</f>
        <v>1</v>
      </c>
      <c r="M299" s="419" t="n">
        <f aca="false">L299</f>
        <v>1</v>
      </c>
      <c r="N299" s="419" t="n">
        <f aca="false">M299</f>
        <v>1</v>
      </c>
      <c r="O299" s="419" t="n">
        <f aca="false">N299</f>
        <v>1</v>
      </c>
      <c r="P299" s="419" t="n">
        <f aca="false">O299</f>
        <v>1</v>
      </c>
      <c r="Q299" s="419" t="n">
        <f aca="false">P299</f>
        <v>1</v>
      </c>
      <c r="R299" s="419" t="n">
        <f aca="false">Q299</f>
        <v>1</v>
      </c>
      <c r="S299" s="419" t="n">
        <f aca="false">R299</f>
        <v>1</v>
      </c>
      <c r="T299" s="419" t="n">
        <f aca="false">S299</f>
        <v>1</v>
      </c>
      <c r="U299" s="419" t="n">
        <f aca="false">T299</f>
        <v>1</v>
      </c>
      <c r="V299" s="419" t="n">
        <f aca="false">U299</f>
        <v>1</v>
      </c>
      <c r="W299" s="419" t="n">
        <f aca="false">V299</f>
        <v>1</v>
      </c>
      <c r="X299" s="419" t="n">
        <f aca="false">W299</f>
        <v>1</v>
      </c>
      <c r="Y299" s="419" t="n">
        <f aca="false">X299</f>
        <v>1</v>
      </c>
      <c r="Z299" s="419" t="n">
        <f aca="false">Y299</f>
        <v>1</v>
      </c>
      <c r="AA299" s="419" t="n">
        <f aca="false">Z299</f>
        <v>1</v>
      </c>
      <c r="AB299" s="419" t="n">
        <f aca="false">AA299</f>
        <v>1</v>
      </c>
      <c r="AC299" s="419" t="n">
        <f aca="false">AB299</f>
        <v>1</v>
      </c>
      <c r="AD299" s="419" t="n">
        <f aca="false">AC299</f>
        <v>1</v>
      </c>
      <c r="AE299" s="419" t="n">
        <f aca="false">AD299</f>
        <v>1</v>
      </c>
      <c r="AF299" s="419" t="n">
        <f aca="false">AE299</f>
        <v>1</v>
      </c>
      <c r="AG299" s="419" t="n">
        <f aca="false">AF299</f>
        <v>1</v>
      </c>
      <c r="AH299" s="419" t="n">
        <f aca="false">AG299</f>
        <v>1</v>
      </c>
      <c r="AI299" s="419" t="n">
        <f aca="false">AH299</f>
        <v>1</v>
      </c>
      <c r="AJ299" s="419" t="n">
        <f aca="false">AI299</f>
        <v>1</v>
      </c>
      <c r="AK299" s="419" t="n">
        <f aca="false">AJ299</f>
        <v>1</v>
      </c>
      <c r="AL299" s="419" t="n">
        <f aca="false">AK299</f>
        <v>1</v>
      </c>
      <c r="AM299" s="419" t="n">
        <f aca="false">AL299</f>
        <v>1</v>
      </c>
      <c r="AN299" s="415"/>
      <c r="AO299" s="415"/>
      <c r="AP299" s="415"/>
      <c r="AQ299" s="415"/>
      <c r="AR299" s="415"/>
      <c r="AS299" s="415"/>
      <c r="AT299" s="415"/>
      <c r="AU299" s="415"/>
      <c r="AV299" s="415"/>
      <c r="AW299" s="415"/>
      <c r="AX299" s="415"/>
      <c r="AY299" s="415"/>
      <c r="AZ299" s="415"/>
      <c r="BA299" s="415"/>
      <c r="BB299" s="415"/>
      <c r="BC299" s="415"/>
      <c r="BD299" s="415"/>
      <c r="BE299" s="415"/>
      <c r="BF299" s="415"/>
      <c r="BG299" s="415"/>
      <c r="BH299" s="415"/>
      <c r="BI299" s="415"/>
      <c r="BJ299" s="415"/>
      <c r="BK299" s="415"/>
      <c r="BL299" s="415"/>
      <c r="BM299" s="415"/>
      <c r="BN299" s="415"/>
      <c r="BO299" s="415"/>
      <c r="BP299" s="415"/>
      <c r="BQ299" s="415"/>
      <c r="BR299" s="415"/>
      <c r="BS299" s="415"/>
      <c r="BT299" s="415"/>
      <c r="BU299" s="415"/>
      <c r="BV299" s="415"/>
      <c r="BW299" s="415"/>
      <c r="BX299" s="415"/>
      <c r="BY299" s="415"/>
      <c r="BZ299" s="415"/>
      <c r="CA299" s="415"/>
      <c r="CB299" s="415"/>
      <c r="CC299" s="415"/>
      <c r="CD299" s="415"/>
      <c r="CE299" s="415"/>
      <c r="CF299" s="415"/>
      <c r="CG299" s="415"/>
      <c r="CH299" s="415"/>
      <c r="CI299" s="415"/>
      <c r="CJ299" s="415"/>
      <c r="CK299" s="415"/>
      <c r="CL299" s="415"/>
      <c r="CM299" s="415"/>
      <c r="CN299" s="415"/>
      <c r="CO299" s="415"/>
      <c r="CP299" s="415"/>
      <c r="CQ299" s="415"/>
      <c r="CR299" s="415"/>
      <c r="CS299" s="415"/>
      <c r="CT299" s="415"/>
      <c r="CU299" s="415"/>
      <c r="CV299" s="415"/>
      <c r="CW299" s="415"/>
      <c r="CX299" s="415"/>
      <c r="CY299" s="415"/>
      <c r="CZ299" s="415"/>
      <c r="DA299" s="415"/>
      <c r="DB299" s="415"/>
      <c r="DC299" s="415"/>
      <c r="DD299" s="415"/>
      <c r="DE299" s="415"/>
      <c r="DF299" s="415"/>
      <c r="DG299" s="415"/>
      <c r="DH299" s="415"/>
      <c r="DI299" s="415"/>
      <c r="DJ299" s="415"/>
      <c r="DK299" s="415"/>
      <c r="DL299" s="415"/>
      <c r="DM299" s="415"/>
      <c r="DN299" s="415"/>
      <c r="DO299" s="415"/>
      <c r="DP299" s="415"/>
      <c r="DQ299" s="415"/>
      <c r="DR299" s="415"/>
      <c r="DS299" s="415"/>
      <c r="DT299" s="415"/>
      <c r="DU299" s="415"/>
      <c r="DV299" s="415"/>
      <c r="DW299" s="415"/>
      <c r="DX299" s="415"/>
      <c r="DY299" s="415"/>
      <c r="DZ299" s="415"/>
      <c r="EA299" s="415"/>
      <c r="EB299" s="415"/>
      <c r="EC299" s="415"/>
      <c r="ED299" s="415"/>
      <c r="EE299" s="415"/>
      <c r="EF299" s="415"/>
      <c r="EG299" s="415"/>
      <c r="EH299" s="415"/>
      <c r="EI299" s="415"/>
      <c r="EJ299" s="415"/>
      <c r="EK299" s="415"/>
      <c r="EL299" s="415"/>
      <c r="EM299" s="416"/>
      <c r="EN299" s="416"/>
      <c r="EO299" s="416"/>
      <c r="EP299" s="416"/>
      <c r="EQ299" s="416"/>
      <c r="ER299" s="416"/>
      <c r="ES299" s="416"/>
      <c r="ET299" s="416"/>
      <c r="EU299" s="416"/>
      <c r="EV299" s="416"/>
      <c r="EW299" s="416"/>
      <c r="EX299" s="416"/>
      <c r="EY299" s="416"/>
      <c r="EZ299" s="416"/>
      <c r="FA299" s="416"/>
      <c r="FB299" s="416"/>
      <c r="FC299" s="416"/>
      <c r="FD299" s="416"/>
      <c r="FE299" s="416"/>
      <c r="FF299" s="416"/>
      <c r="FG299" s="416"/>
      <c r="FH299" s="416"/>
      <c r="FI299" s="416"/>
      <c r="FJ299" s="416"/>
      <c r="FK299" s="416"/>
      <c r="FL299" s="416"/>
      <c r="FM299" s="416"/>
      <c r="FN299" s="416"/>
      <c r="FO299" s="416"/>
      <c r="FP299" s="416"/>
      <c r="FQ299" s="416"/>
      <c r="FR299" s="416"/>
      <c r="FS299" s="416"/>
      <c r="FT299" s="416"/>
      <c r="FU299" s="416"/>
      <c r="FV299" s="416"/>
      <c r="FW299" s="416"/>
      <c r="FX299" s="416"/>
      <c r="FY299" s="416"/>
      <c r="FZ299" s="416"/>
      <c r="GA299" s="416"/>
      <c r="GB299" s="416"/>
      <c r="GC299" s="416"/>
      <c r="GD299" s="416"/>
      <c r="GE299" s="416"/>
      <c r="GF299" s="416"/>
      <c r="GG299" s="416"/>
      <c r="GH299" s="416"/>
      <c r="GI299" s="416"/>
      <c r="GJ299" s="416"/>
      <c r="GK299" s="416"/>
      <c r="GL299" s="416"/>
      <c r="GM299" s="416"/>
      <c r="GN299" s="416"/>
      <c r="GO299" s="416"/>
      <c r="GP299" s="416"/>
      <c r="GQ299" s="416"/>
      <c r="GR299" s="416"/>
      <c r="GS299" s="416"/>
      <c r="GT299" s="416"/>
      <c r="GU299" s="416"/>
      <c r="GV299" s="416"/>
      <c r="GW299" s="416"/>
      <c r="GX299" s="416"/>
      <c r="GY299" s="416"/>
      <c r="GZ299" s="416"/>
      <c r="HA299" s="416"/>
      <c r="HB299" s="416"/>
      <c r="HC299" s="416"/>
      <c r="HD299" s="416"/>
      <c r="HE299" s="416"/>
      <c r="HF299" s="416"/>
      <c r="HG299" s="416"/>
      <c r="HH299" s="416"/>
      <c r="HI299" s="416"/>
      <c r="HJ299" s="416"/>
      <c r="HK299" s="416"/>
      <c r="HL299" s="416"/>
      <c r="HM299" s="416"/>
      <c r="HN299" s="416"/>
      <c r="HO299" s="416"/>
      <c r="HP299" s="416"/>
      <c r="HQ299" s="416"/>
      <c r="HR299" s="416"/>
      <c r="HS299" s="416"/>
      <c r="HT299" s="416"/>
      <c r="HU299" s="416"/>
      <c r="HV299" s="416"/>
      <c r="HW299" s="416"/>
      <c r="HX299" s="416"/>
      <c r="HY299" s="416"/>
      <c r="HZ299" s="416"/>
      <c r="IA299" s="416"/>
      <c r="IB299" s="416"/>
      <c r="IC299" s="416"/>
      <c r="ID299" s="416"/>
      <c r="IE299" s="416"/>
      <c r="IF299" s="416"/>
      <c r="IG299" s="416"/>
      <c r="IH299" s="416"/>
      <c r="II299" s="416"/>
      <c r="IJ299" s="416"/>
      <c r="IK299" s="416"/>
      <c r="IL299" s="416"/>
      <c r="IM299" s="416"/>
      <c r="IN299" s="416"/>
      <c r="IO299" s="416"/>
      <c r="IP299" s="416"/>
      <c r="IQ299" s="416"/>
      <c r="IR299" s="416"/>
      <c r="IS299" s="416"/>
      <c r="IT299" s="416"/>
      <c r="IU299" s="416"/>
      <c r="IV299" s="416"/>
      <c r="IW299" s="416"/>
    </row>
    <row r="300" customFormat="false" ht="12.75" hidden="false" customHeight="false" outlineLevel="0" collapsed="false">
      <c r="A300" s="412"/>
      <c r="B300" s="417" t="s">
        <v>378</v>
      </c>
      <c r="C300" s="417"/>
      <c r="D300" s="413"/>
      <c r="E300" s="418" t="n">
        <v>1.2</v>
      </c>
      <c r="F300" s="419" t="n">
        <f aca="false">E300</f>
        <v>1.2</v>
      </c>
      <c r="G300" s="419" t="n">
        <f aca="false">F300</f>
        <v>1.2</v>
      </c>
      <c r="H300" s="419" t="n">
        <f aca="false">G300</f>
        <v>1.2</v>
      </c>
      <c r="I300" s="419" t="n">
        <f aca="false">H300</f>
        <v>1.2</v>
      </c>
      <c r="J300" s="419" t="n">
        <f aca="false">I300</f>
        <v>1.2</v>
      </c>
      <c r="K300" s="419" t="n">
        <f aca="false">J300</f>
        <v>1.2</v>
      </c>
      <c r="L300" s="419" t="n">
        <f aca="false">K300</f>
        <v>1.2</v>
      </c>
      <c r="M300" s="419" t="n">
        <f aca="false">L300</f>
        <v>1.2</v>
      </c>
      <c r="N300" s="419" t="n">
        <f aca="false">M300</f>
        <v>1.2</v>
      </c>
      <c r="O300" s="419" t="n">
        <f aca="false">N300</f>
        <v>1.2</v>
      </c>
      <c r="P300" s="419" t="n">
        <f aca="false">O300</f>
        <v>1.2</v>
      </c>
      <c r="Q300" s="419" t="n">
        <f aca="false">P300</f>
        <v>1.2</v>
      </c>
      <c r="R300" s="419" t="n">
        <f aca="false">Q300</f>
        <v>1.2</v>
      </c>
      <c r="S300" s="419" t="n">
        <f aca="false">R300</f>
        <v>1.2</v>
      </c>
      <c r="T300" s="419" t="n">
        <f aca="false">S300</f>
        <v>1.2</v>
      </c>
      <c r="U300" s="419" t="n">
        <f aca="false">T300</f>
        <v>1.2</v>
      </c>
      <c r="V300" s="419" t="n">
        <f aca="false">U300</f>
        <v>1.2</v>
      </c>
      <c r="W300" s="419" t="n">
        <f aca="false">V300</f>
        <v>1.2</v>
      </c>
      <c r="X300" s="419" t="n">
        <f aca="false">W300</f>
        <v>1.2</v>
      </c>
      <c r="Y300" s="419" t="n">
        <f aca="false">X300</f>
        <v>1.2</v>
      </c>
      <c r="Z300" s="419" t="n">
        <f aca="false">Y300</f>
        <v>1.2</v>
      </c>
      <c r="AA300" s="419" t="n">
        <f aca="false">Z300</f>
        <v>1.2</v>
      </c>
      <c r="AB300" s="419" t="n">
        <f aca="false">AA300</f>
        <v>1.2</v>
      </c>
      <c r="AC300" s="419" t="n">
        <f aca="false">AB300</f>
        <v>1.2</v>
      </c>
      <c r="AD300" s="419" t="n">
        <f aca="false">AC300</f>
        <v>1.2</v>
      </c>
      <c r="AE300" s="419" t="n">
        <f aca="false">AD300</f>
        <v>1.2</v>
      </c>
      <c r="AF300" s="419" t="n">
        <f aca="false">AE300</f>
        <v>1.2</v>
      </c>
      <c r="AG300" s="419" t="n">
        <f aca="false">AF300</f>
        <v>1.2</v>
      </c>
      <c r="AH300" s="419" t="n">
        <f aca="false">AG300</f>
        <v>1.2</v>
      </c>
      <c r="AI300" s="419" t="n">
        <f aca="false">AH300</f>
        <v>1.2</v>
      </c>
      <c r="AJ300" s="419" t="n">
        <f aca="false">AI300</f>
        <v>1.2</v>
      </c>
      <c r="AK300" s="419" t="n">
        <f aca="false">AJ300</f>
        <v>1.2</v>
      </c>
      <c r="AL300" s="419" t="n">
        <f aca="false">AK300</f>
        <v>1.2</v>
      </c>
      <c r="AM300" s="419" t="n">
        <f aca="false">AL300</f>
        <v>1.2</v>
      </c>
      <c r="AN300" s="415"/>
      <c r="AO300" s="415"/>
      <c r="AP300" s="415"/>
      <c r="AQ300" s="415"/>
      <c r="AR300" s="415"/>
      <c r="AS300" s="415"/>
      <c r="AT300" s="415"/>
      <c r="AU300" s="415"/>
      <c r="AV300" s="415"/>
      <c r="AW300" s="415"/>
      <c r="AX300" s="415"/>
      <c r="AY300" s="415"/>
      <c r="AZ300" s="415"/>
      <c r="BA300" s="415"/>
      <c r="BB300" s="415"/>
      <c r="BC300" s="415"/>
      <c r="BD300" s="415"/>
      <c r="BE300" s="415"/>
      <c r="BF300" s="415"/>
      <c r="BG300" s="415"/>
      <c r="BH300" s="415"/>
      <c r="BI300" s="415"/>
      <c r="BJ300" s="415"/>
      <c r="BK300" s="415"/>
      <c r="BL300" s="415"/>
      <c r="BM300" s="415"/>
      <c r="BN300" s="415"/>
      <c r="BO300" s="415"/>
      <c r="BP300" s="415"/>
      <c r="BQ300" s="415"/>
      <c r="BR300" s="415"/>
      <c r="BS300" s="415"/>
      <c r="BT300" s="415"/>
      <c r="BU300" s="415"/>
      <c r="BV300" s="415"/>
      <c r="BW300" s="415"/>
      <c r="BX300" s="415"/>
      <c r="BY300" s="415"/>
      <c r="BZ300" s="415"/>
      <c r="CA300" s="415"/>
      <c r="CB300" s="415"/>
      <c r="CC300" s="415"/>
      <c r="CD300" s="415"/>
      <c r="CE300" s="415"/>
      <c r="CF300" s="415"/>
      <c r="CG300" s="415"/>
      <c r="CH300" s="415"/>
      <c r="CI300" s="415"/>
      <c r="CJ300" s="415"/>
      <c r="CK300" s="415"/>
      <c r="CL300" s="415"/>
      <c r="CM300" s="415"/>
      <c r="CN300" s="415"/>
      <c r="CO300" s="415"/>
      <c r="CP300" s="415"/>
      <c r="CQ300" s="415"/>
      <c r="CR300" s="415"/>
      <c r="CS300" s="415"/>
      <c r="CT300" s="415"/>
      <c r="CU300" s="415"/>
      <c r="CV300" s="415"/>
      <c r="CW300" s="415"/>
      <c r="CX300" s="415"/>
      <c r="CY300" s="415"/>
      <c r="CZ300" s="415"/>
      <c r="DA300" s="415"/>
      <c r="DB300" s="415"/>
      <c r="DC300" s="415"/>
      <c r="DD300" s="415"/>
      <c r="DE300" s="415"/>
      <c r="DF300" s="415"/>
      <c r="DG300" s="415"/>
      <c r="DH300" s="415"/>
      <c r="DI300" s="415"/>
      <c r="DJ300" s="415"/>
      <c r="DK300" s="415"/>
      <c r="DL300" s="415"/>
      <c r="DM300" s="415"/>
      <c r="DN300" s="415"/>
      <c r="DO300" s="415"/>
      <c r="DP300" s="415"/>
      <c r="DQ300" s="415"/>
      <c r="DR300" s="415"/>
      <c r="DS300" s="415"/>
      <c r="DT300" s="415"/>
      <c r="DU300" s="415"/>
      <c r="DV300" s="415"/>
      <c r="DW300" s="415"/>
      <c r="DX300" s="415"/>
      <c r="DY300" s="415"/>
      <c r="DZ300" s="415"/>
      <c r="EA300" s="415"/>
      <c r="EB300" s="415"/>
      <c r="EC300" s="415"/>
      <c r="ED300" s="415"/>
      <c r="EE300" s="415"/>
      <c r="EF300" s="415"/>
      <c r="EG300" s="415"/>
      <c r="EH300" s="415"/>
      <c r="EI300" s="415"/>
      <c r="EJ300" s="415"/>
      <c r="EK300" s="415"/>
      <c r="EL300" s="415"/>
      <c r="EM300" s="416"/>
      <c r="EN300" s="416"/>
      <c r="EO300" s="416"/>
      <c r="EP300" s="416"/>
      <c r="EQ300" s="416"/>
      <c r="ER300" s="416"/>
      <c r="ES300" s="416"/>
      <c r="ET300" s="416"/>
      <c r="EU300" s="416"/>
      <c r="EV300" s="416"/>
      <c r="EW300" s="416"/>
      <c r="EX300" s="416"/>
      <c r="EY300" s="416"/>
      <c r="EZ300" s="416"/>
      <c r="FA300" s="416"/>
      <c r="FB300" s="416"/>
      <c r="FC300" s="416"/>
      <c r="FD300" s="416"/>
      <c r="FE300" s="416"/>
      <c r="FF300" s="416"/>
      <c r="FG300" s="416"/>
      <c r="FH300" s="416"/>
      <c r="FI300" s="416"/>
      <c r="FJ300" s="416"/>
      <c r="FK300" s="416"/>
      <c r="FL300" s="416"/>
      <c r="FM300" s="416"/>
      <c r="FN300" s="416"/>
      <c r="FO300" s="416"/>
      <c r="FP300" s="416"/>
      <c r="FQ300" s="416"/>
      <c r="FR300" s="416"/>
      <c r="FS300" s="416"/>
      <c r="FT300" s="416"/>
      <c r="FU300" s="416"/>
      <c r="FV300" s="416"/>
      <c r="FW300" s="416"/>
      <c r="FX300" s="416"/>
      <c r="FY300" s="416"/>
      <c r="FZ300" s="416"/>
      <c r="GA300" s="416"/>
      <c r="GB300" s="416"/>
      <c r="GC300" s="416"/>
      <c r="GD300" s="416"/>
      <c r="GE300" s="416"/>
      <c r="GF300" s="416"/>
      <c r="GG300" s="416"/>
      <c r="GH300" s="416"/>
      <c r="GI300" s="416"/>
      <c r="GJ300" s="416"/>
      <c r="GK300" s="416"/>
      <c r="GL300" s="416"/>
      <c r="GM300" s="416"/>
      <c r="GN300" s="416"/>
      <c r="GO300" s="416"/>
      <c r="GP300" s="416"/>
      <c r="GQ300" s="416"/>
      <c r="GR300" s="416"/>
      <c r="GS300" s="416"/>
      <c r="GT300" s="416"/>
      <c r="GU300" s="416"/>
      <c r="GV300" s="416"/>
      <c r="GW300" s="416"/>
      <c r="GX300" s="416"/>
      <c r="GY300" s="416"/>
      <c r="GZ300" s="416"/>
      <c r="HA300" s="416"/>
      <c r="HB300" s="416"/>
      <c r="HC300" s="416"/>
      <c r="HD300" s="416"/>
      <c r="HE300" s="416"/>
      <c r="HF300" s="416"/>
      <c r="HG300" s="416"/>
      <c r="HH300" s="416"/>
      <c r="HI300" s="416"/>
      <c r="HJ300" s="416"/>
      <c r="HK300" s="416"/>
      <c r="HL300" s="416"/>
      <c r="HM300" s="416"/>
      <c r="HN300" s="416"/>
      <c r="HO300" s="416"/>
      <c r="HP300" s="416"/>
      <c r="HQ300" s="416"/>
      <c r="HR300" s="416"/>
      <c r="HS300" s="416"/>
      <c r="HT300" s="416"/>
      <c r="HU300" s="416"/>
      <c r="HV300" s="416"/>
      <c r="HW300" s="416"/>
      <c r="HX300" s="416"/>
      <c r="HY300" s="416"/>
      <c r="HZ300" s="416"/>
      <c r="IA300" s="416"/>
      <c r="IB300" s="416"/>
      <c r="IC300" s="416"/>
      <c r="ID300" s="416"/>
      <c r="IE300" s="416"/>
      <c r="IF300" s="416"/>
      <c r="IG300" s="416"/>
      <c r="IH300" s="416"/>
      <c r="II300" s="416"/>
      <c r="IJ300" s="416"/>
      <c r="IK300" s="416"/>
      <c r="IL300" s="416"/>
      <c r="IM300" s="416"/>
      <c r="IN300" s="416"/>
      <c r="IO300" s="416"/>
      <c r="IP300" s="416"/>
      <c r="IQ300" s="416"/>
      <c r="IR300" s="416"/>
      <c r="IS300" s="416"/>
      <c r="IT300" s="416"/>
      <c r="IU300" s="416"/>
      <c r="IV300" s="416"/>
      <c r="IW300" s="416"/>
    </row>
    <row r="301" customFormat="false" ht="12.75" hidden="false" customHeight="false" outlineLevel="0" collapsed="false">
      <c r="A301" s="412"/>
      <c r="B301" s="420"/>
      <c r="C301" s="420"/>
      <c r="D301" s="413"/>
      <c r="E301" s="416"/>
      <c r="F301" s="421"/>
      <c r="G301" s="412"/>
      <c r="H301" s="422"/>
      <c r="I301" s="422"/>
      <c r="J301" s="422"/>
      <c r="K301" s="422"/>
      <c r="L301" s="422"/>
      <c r="M301" s="422"/>
      <c r="N301" s="422"/>
      <c r="O301" s="422"/>
      <c r="P301" s="422"/>
      <c r="Q301" s="422"/>
      <c r="R301" s="422"/>
      <c r="S301" s="422"/>
      <c r="T301" s="422"/>
      <c r="U301" s="422"/>
      <c r="V301" s="422"/>
      <c r="W301" s="422"/>
      <c r="X301" s="422"/>
      <c r="Y301" s="422"/>
      <c r="Z301" s="422"/>
      <c r="AA301" s="422"/>
      <c r="AB301" s="422"/>
      <c r="AC301" s="422"/>
      <c r="AD301" s="422"/>
      <c r="AE301" s="422"/>
      <c r="AF301" s="422"/>
      <c r="AG301" s="422"/>
      <c r="AH301" s="422"/>
      <c r="AI301" s="422"/>
      <c r="AJ301" s="422"/>
      <c r="AK301" s="415"/>
      <c r="AL301" s="415"/>
      <c r="AM301" s="415"/>
      <c r="AN301" s="415"/>
      <c r="AO301" s="415"/>
      <c r="AP301" s="415"/>
      <c r="AQ301" s="415"/>
      <c r="AR301" s="415"/>
      <c r="AS301" s="415"/>
      <c r="AT301" s="415"/>
      <c r="AU301" s="415"/>
      <c r="AV301" s="415"/>
      <c r="AW301" s="415"/>
      <c r="AX301" s="415"/>
      <c r="AY301" s="415"/>
      <c r="AZ301" s="415"/>
      <c r="BA301" s="415"/>
      <c r="BB301" s="415"/>
      <c r="BC301" s="415"/>
      <c r="BD301" s="415"/>
      <c r="BE301" s="415"/>
      <c r="BF301" s="415"/>
      <c r="BG301" s="415"/>
      <c r="BH301" s="415"/>
      <c r="BI301" s="415"/>
      <c r="BJ301" s="415"/>
      <c r="BK301" s="415"/>
      <c r="BL301" s="415"/>
      <c r="BM301" s="415"/>
      <c r="BN301" s="415"/>
      <c r="BO301" s="415"/>
      <c r="BP301" s="415"/>
      <c r="BQ301" s="415"/>
      <c r="BR301" s="415"/>
      <c r="BS301" s="415"/>
      <c r="BT301" s="415"/>
      <c r="BU301" s="415"/>
      <c r="BV301" s="415"/>
      <c r="BW301" s="415"/>
      <c r="BX301" s="415"/>
      <c r="BY301" s="415"/>
      <c r="BZ301" s="415"/>
      <c r="CA301" s="415"/>
      <c r="CB301" s="415"/>
      <c r="CC301" s="415"/>
      <c r="CD301" s="415"/>
      <c r="CE301" s="415"/>
      <c r="CF301" s="415"/>
      <c r="CG301" s="415"/>
      <c r="CH301" s="415"/>
      <c r="CI301" s="415"/>
      <c r="CJ301" s="415"/>
      <c r="CK301" s="415"/>
      <c r="CL301" s="415"/>
      <c r="CM301" s="415"/>
      <c r="CN301" s="415"/>
      <c r="CO301" s="415"/>
      <c r="CP301" s="415"/>
      <c r="CQ301" s="415"/>
      <c r="CR301" s="415"/>
      <c r="CS301" s="415"/>
      <c r="CT301" s="415"/>
      <c r="CU301" s="415"/>
      <c r="CV301" s="415"/>
      <c r="CW301" s="415"/>
      <c r="CX301" s="415"/>
      <c r="CY301" s="415"/>
      <c r="CZ301" s="415"/>
      <c r="DA301" s="415"/>
      <c r="DB301" s="415"/>
      <c r="DC301" s="415"/>
      <c r="DD301" s="415"/>
      <c r="DE301" s="415"/>
      <c r="DF301" s="415"/>
      <c r="DG301" s="415"/>
      <c r="DH301" s="415"/>
      <c r="DI301" s="415"/>
      <c r="DJ301" s="415"/>
      <c r="DK301" s="415"/>
      <c r="DL301" s="415"/>
      <c r="DM301" s="415"/>
      <c r="DN301" s="415"/>
      <c r="DO301" s="415"/>
      <c r="DP301" s="415"/>
      <c r="DQ301" s="415"/>
      <c r="DR301" s="415"/>
      <c r="DS301" s="415"/>
      <c r="DT301" s="415"/>
      <c r="DU301" s="415"/>
      <c r="DV301" s="415"/>
      <c r="DW301" s="415"/>
      <c r="DX301" s="415"/>
      <c r="DY301" s="415"/>
      <c r="DZ301" s="415"/>
      <c r="EA301" s="415"/>
      <c r="EB301" s="415"/>
      <c r="EC301" s="415"/>
      <c r="ED301" s="415"/>
      <c r="EE301" s="415"/>
      <c r="EF301" s="415"/>
      <c r="EG301" s="415"/>
      <c r="EH301" s="415"/>
      <c r="EI301" s="415"/>
      <c r="EJ301" s="415"/>
      <c r="EK301" s="415"/>
      <c r="EL301" s="415"/>
      <c r="EM301" s="416"/>
      <c r="EN301" s="416"/>
      <c r="EO301" s="416"/>
      <c r="EP301" s="416"/>
      <c r="EQ301" s="416"/>
      <c r="ER301" s="416"/>
      <c r="ES301" s="416"/>
      <c r="ET301" s="416"/>
      <c r="EU301" s="416"/>
      <c r="EV301" s="416"/>
      <c r="EW301" s="416"/>
      <c r="EX301" s="416"/>
      <c r="EY301" s="416"/>
      <c r="EZ301" s="416"/>
      <c r="FA301" s="416"/>
      <c r="FB301" s="416"/>
      <c r="FC301" s="416"/>
      <c r="FD301" s="416"/>
      <c r="FE301" s="416"/>
      <c r="FF301" s="416"/>
      <c r="FG301" s="416"/>
      <c r="FH301" s="416"/>
      <c r="FI301" s="416"/>
      <c r="FJ301" s="416"/>
      <c r="FK301" s="416"/>
      <c r="FL301" s="416"/>
      <c r="FM301" s="416"/>
      <c r="FN301" s="416"/>
      <c r="FO301" s="416"/>
      <c r="FP301" s="416"/>
      <c r="FQ301" s="416"/>
      <c r="FR301" s="416"/>
      <c r="FS301" s="416"/>
      <c r="FT301" s="416"/>
      <c r="FU301" s="416"/>
      <c r="FV301" s="416"/>
      <c r="FW301" s="416"/>
      <c r="FX301" s="416"/>
      <c r="FY301" s="416"/>
      <c r="FZ301" s="416"/>
      <c r="GA301" s="416"/>
      <c r="GB301" s="416"/>
      <c r="GC301" s="416"/>
      <c r="GD301" s="416"/>
      <c r="GE301" s="416"/>
      <c r="GF301" s="416"/>
      <c r="GG301" s="416"/>
      <c r="GH301" s="416"/>
      <c r="GI301" s="416"/>
      <c r="GJ301" s="416"/>
      <c r="GK301" s="416"/>
      <c r="GL301" s="416"/>
      <c r="GM301" s="416"/>
      <c r="GN301" s="416"/>
      <c r="GO301" s="416"/>
      <c r="GP301" s="416"/>
      <c r="GQ301" s="416"/>
      <c r="GR301" s="416"/>
      <c r="GS301" s="416"/>
      <c r="GT301" s="416"/>
      <c r="GU301" s="416"/>
      <c r="GV301" s="416"/>
      <c r="GW301" s="416"/>
      <c r="GX301" s="416"/>
      <c r="GY301" s="416"/>
      <c r="GZ301" s="416"/>
      <c r="HA301" s="416"/>
      <c r="HB301" s="416"/>
      <c r="HC301" s="416"/>
      <c r="HD301" s="416"/>
      <c r="HE301" s="416"/>
      <c r="HF301" s="416"/>
      <c r="HG301" s="416"/>
      <c r="HH301" s="416"/>
      <c r="HI301" s="416"/>
      <c r="HJ301" s="416"/>
      <c r="HK301" s="416"/>
      <c r="HL301" s="416"/>
      <c r="HM301" s="416"/>
      <c r="HN301" s="416"/>
      <c r="HO301" s="416"/>
      <c r="HP301" s="416"/>
      <c r="HQ301" s="416"/>
      <c r="HR301" s="416"/>
      <c r="HS301" s="416"/>
      <c r="HT301" s="416"/>
      <c r="HU301" s="416"/>
      <c r="HV301" s="416"/>
      <c r="HW301" s="416"/>
      <c r="HX301" s="416"/>
      <c r="HY301" s="416"/>
      <c r="HZ301" s="416"/>
      <c r="IA301" s="416"/>
      <c r="IB301" s="416"/>
      <c r="IC301" s="416"/>
      <c r="ID301" s="416"/>
      <c r="IE301" s="416"/>
      <c r="IF301" s="416"/>
      <c r="IG301" s="416"/>
      <c r="IH301" s="416"/>
      <c r="II301" s="416"/>
      <c r="IJ301" s="416"/>
      <c r="IK301" s="416"/>
      <c r="IL301" s="416"/>
      <c r="IM301" s="416"/>
      <c r="IN301" s="416"/>
      <c r="IO301" s="416"/>
      <c r="IP301" s="416"/>
      <c r="IQ301" s="416"/>
      <c r="IR301" s="416"/>
      <c r="IS301" s="416"/>
      <c r="IT301" s="416"/>
      <c r="IU301" s="416"/>
      <c r="IV301" s="416"/>
      <c r="IW301" s="416"/>
    </row>
    <row r="302" customFormat="false" ht="12.75" hidden="false" customHeight="false" outlineLevel="0" collapsed="false">
      <c r="A302" s="412"/>
      <c r="B302" s="413" t="s">
        <v>379</v>
      </c>
      <c r="C302" s="413"/>
      <c r="D302" s="413"/>
      <c r="E302" s="423" t="n">
        <v>0.41</v>
      </c>
      <c r="F302" s="421" t="s">
        <v>354</v>
      </c>
      <c r="G302" s="412"/>
      <c r="H302" s="415"/>
      <c r="I302" s="415"/>
      <c r="J302" s="415"/>
      <c r="K302" s="415"/>
      <c r="L302" s="415"/>
      <c r="M302" s="415"/>
      <c r="N302" s="415"/>
      <c r="O302" s="415"/>
      <c r="P302" s="415"/>
      <c r="Q302" s="415"/>
      <c r="R302" s="415"/>
      <c r="S302" s="415"/>
      <c r="T302" s="415"/>
      <c r="U302" s="415"/>
      <c r="V302" s="415"/>
      <c r="W302" s="415"/>
      <c r="X302" s="415"/>
      <c r="Y302" s="415"/>
      <c r="Z302" s="415"/>
      <c r="AA302" s="415"/>
      <c r="AB302" s="415"/>
      <c r="AC302" s="415"/>
      <c r="AD302" s="415"/>
      <c r="AE302" s="415"/>
      <c r="AF302" s="415"/>
      <c r="AG302" s="415"/>
      <c r="AH302" s="415"/>
      <c r="AI302" s="415"/>
      <c r="AJ302" s="415"/>
      <c r="AK302" s="415"/>
      <c r="AL302" s="415"/>
      <c r="AM302" s="415"/>
      <c r="AN302" s="415"/>
      <c r="AO302" s="415"/>
      <c r="AP302" s="415"/>
      <c r="AQ302" s="415"/>
      <c r="AR302" s="415"/>
      <c r="AS302" s="415"/>
      <c r="AT302" s="415"/>
      <c r="AU302" s="415"/>
      <c r="AV302" s="415"/>
      <c r="AW302" s="415"/>
      <c r="AX302" s="415"/>
      <c r="AY302" s="415"/>
      <c r="AZ302" s="415"/>
      <c r="BA302" s="415"/>
      <c r="BB302" s="415"/>
      <c r="BC302" s="415"/>
      <c r="BD302" s="415"/>
      <c r="BE302" s="415"/>
      <c r="BF302" s="415"/>
      <c r="BG302" s="415"/>
      <c r="BH302" s="415"/>
      <c r="BI302" s="415"/>
      <c r="BJ302" s="415"/>
      <c r="BK302" s="415"/>
      <c r="BL302" s="415"/>
      <c r="BM302" s="415"/>
      <c r="BN302" s="415"/>
      <c r="BO302" s="415"/>
      <c r="BP302" s="415"/>
      <c r="BQ302" s="415"/>
      <c r="BR302" s="415"/>
      <c r="BS302" s="415"/>
      <c r="BT302" s="415"/>
      <c r="BU302" s="415"/>
      <c r="BV302" s="415"/>
      <c r="BW302" s="415"/>
      <c r="BX302" s="415"/>
      <c r="BY302" s="415"/>
      <c r="BZ302" s="415"/>
      <c r="CA302" s="415"/>
      <c r="CB302" s="415"/>
      <c r="CC302" s="415"/>
      <c r="CD302" s="415"/>
      <c r="CE302" s="415"/>
      <c r="CF302" s="415"/>
      <c r="CG302" s="415"/>
      <c r="CH302" s="415"/>
      <c r="CI302" s="415"/>
      <c r="CJ302" s="415"/>
      <c r="CK302" s="415"/>
      <c r="CL302" s="415"/>
      <c r="CM302" s="415"/>
      <c r="CN302" s="415"/>
      <c r="CO302" s="415"/>
      <c r="CP302" s="415"/>
      <c r="CQ302" s="415"/>
      <c r="CR302" s="415"/>
      <c r="CS302" s="415"/>
      <c r="CT302" s="415"/>
      <c r="CU302" s="415"/>
      <c r="CV302" s="415"/>
      <c r="CW302" s="415"/>
      <c r="CX302" s="415"/>
      <c r="CY302" s="415"/>
      <c r="CZ302" s="415"/>
      <c r="DA302" s="415"/>
      <c r="DB302" s="415"/>
      <c r="DC302" s="415"/>
      <c r="DD302" s="415"/>
      <c r="DE302" s="415"/>
      <c r="DF302" s="415"/>
      <c r="DG302" s="415"/>
      <c r="DH302" s="415"/>
      <c r="DI302" s="415"/>
      <c r="DJ302" s="415"/>
      <c r="DK302" s="415"/>
      <c r="DL302" s="415"/>
      <c r="DM302" s="415"/>
      <c r="DN302" s="415"/>
      <c r="DO302" s="415"/>
      <c r="DP302" s="415"/>
      <c r="DQ302" s="415"/>
      <c r="DR302" s="415"/>
      <c r="DS302" s="415"/>
      <c r="DT302" s="415"/>
      <c r="DU302" s="415"/>
      <c r="DV302" s="415"/>
      <c r="DW302" s="415"/>
      <c r="DX302" s="415"/>
      <c r="DY302" s="415"/>
      <c r="DZ302" s="415"/>
      <c r="EA302" s="415"/>
      <c r="EB302" s="415"/>
      <c r="EC302" s="415"/>
      <c r="ED302" s="415"/>
      <c r="EE302" s="415"/>
      <c r="EF302" s="415"/>
      <c r="EG302" s="415"/>
      <c r="EH302" s="415"/>
      <c r="EI302" s="415"/>
      <c r="EJ302" s="415"/>
      <c r="EK302" s="415"/>
      <c r="EL302" s="415"/>
      <c r="EM302" s="416"/>
      <c r="EN302" s="416"/>
      <c r="EO302" s="416"/>
      <c r="EP302" s="416"/>
      <c r="EQ302" s="416"/>
      <c r="ER302" s="416"/>
      <c r="ES302" s="416"/>
      <c r="ET302" s="416"/>
      <c r="EU302" s="416"/>
      <c r="EV302" s="416"/>
      <c r="EW302" s="416"/>
      <c r="EX302" s="416"/>
      <c r="EY302" s="416"/>
      <c r="EZ302" s="416"/>
      <c r="FA302" s="416"/>
      <c r="FB302" s="416"/>
      <c r="FC302" s="416"/>
      <c r="FD302" s="416"/>
      <c r="FE302" s="416"/>
      <c r="FF302" s="416"/>
      <c r="FG302" s="416"/>
      <c r="FH302" s="416"/>
      <c r="FI302" s="416"/>
      <c r="FJ302" s="416"/>
      <c r="FK302" s="416"/>
      <c r="FL302" s="416"/>
      <c r="FM302" s="416"/>
      <c r="FN302" s="416"/>
      <c r="FO302" s="416"/>
      <c r="FP302" s="416"/>
      <c r="FQ302" s="416"/>
      <c r="FR302" s="416"/>
      <c r="FS302" s="416"/>
      <c r="FT302" s="416"/>
      <c r="FU302" s="416"/>
      <c r="FV302" s="416"/>
      <c r="FW302" s="416"/>
      <c r="FX302" s="416"/>
      <c r="FY302" s="416"/>
      <c r="FZ302" s="416"/>
      <c r="GA302" s="416"/>
      <c r="GB302" s="416"/>
      <c r="GC302" s="416"/>
      <c r="GD302" s="416"/>
      <c r="GE302" s="416"/>
      <c r="GF302" s="416"/>
      <c r="GG302" s="416"/>
      <c r="GH302" s="416"/>
      <c r="GI302" s="416"/>
      <c r="GJ302" s="416"/>
      <c r="GK302" s="416"/>
      <c r="GL302" s="416"/>
      <c r="GM302" s="416"/>
      <c r="GN302" s="416"/>
      <c r="GO302" s="416"/>
      <c r="GP302" s="416"/>
      <c r="GQ302" s="416"/>
      <c r="GR302" s="416"/>
      <c r="GS302" s="416"/>
      <c r="GT302" s="416"/>
      <c r="GU302" s="416"/>
      <c r="GV302" s="416"/>
      <c r="GW302" s="416"/>
      <c r="GX302" s="416"/>
      <c r="GY302" s="416"/>
      <c r="GZ302" s="416"/>
      <c r="HA302" s="416"/>
      <c r="HB302" s="416"/>
      <c r="HC302" s="416"/>
      <c r="HD302" s="416"/>
      <c r="HE302" s="416"/>
      <c r="HF302" s="416"/>
      <c r="HG302" s="416"/>
      <c r="HH302" s="416"/>
      <c r="HI302" s="416"/>
      <c r="HJ302" s="416"/>
      <c r="HK302" s="416"/>
      <c r="HL302" s="416"/>
      <c r="HM302" s="416"/>
      <c r="HN302" s="416"/>
      <c r="HO302" s="416"/>
      <c r="HP302" s="416"/>
      <c r="HQ302" s="416"/>
      <c r="HR302" s="416"/>
      <c r="HS302" s="416"/>
      <c r="HT302" s="416"/>
      <c r="HU302" s="416"/>
      <c r="HV302" s="416"/>
      <c r="HW302" s="416"/>
      <c r="HX302" s="416"/>
      <c r="HY302" s="416"/>
      <c r="HZ302" s="416"/>
      <c r="IA302" s="416"/>
      <c r="IB302" s="416"/>
      <c r="IC302" s="416"/>
      <c r="ID302" s="416"/>
      <c r="IE302" s="416"/>
      <c r="IF302" s="416"/>
      <c r="IG302" s="416"/>
      <c r="IH302" s="416"/>
      <c r="II302" s="416"/>
      <c r="IJ302" s="416"/>
      <c r="IK302" s="416"/>
      <c r="IL302" s="416"/>
      <c r="IM302" s="416"/>
      <c r="IN302" s="416"/>
      <c r="IO302" s="416"/>
      <c r="IP302" s="416"/>
      <c r="IQ302" s="416"/>
      <c r="IR302" s="416"/>
      <c r="IS302" s="416"/>
      <c r="IT302" s="416"/>
      <c r="IU302" s="416"/>
      <c r="IV302" s="416"/>
      <c r="IW302" s="416"/>
    </row>
    <row r="303" customFormat="false" ht="12.75" hidden="false" customHeight="false" outlineLevel="0" collapsed="false">
      <c r="A303" s="412"/>
      <c r="B303" s="413" t="s">
        <v>380</v>
      </c>
      <c r="C303" s="413"/>
      <c r="D303" s="413"/>
      <c r="E303" s="424" t="n">
        <v>5</v>
      </c>
      <c r="F303" s="421" t="s">
        <v>354</v>
      </c>
      <c r="G303" s="412"/>
      <c r="H303" s="415"/>
      <c r="I303" s="415"/>
      <c r="J303" s="415"/>
      <c r="K303" s="415"/>
      <c r="L303" s="415"/>
      <c r="M303" s="415"/>
      <c r="N303" s="415"/>
      <c r="O303" s="415"/>
      <c r="P303" s="415"/>
      <c r="Q303" s="415"/>
      <c r="R303" s="415"/>
      <c r="S303" s="415"/>
      <c r="T303" s="415"/>
      <c r="U303" s="415"/>
      <c r="V303" s="415"/>
      <c r="W303" s="415"/>
      <c r="X303" s="415"/>
      <c r="Y303" s="415"/>
      <c r="Z303" s="415"/>
      <c r="AA303" s="415"/>
      <c r="AB303" s="415"/>
      <c r="AC303" s="415"/>
      <c r="AD303" s="415"/>
      <c r="AE303" s="415"/>
      <c r="AF303" s="415"/>
      <c r="AG303" s="415"/>
      <c r="AH303" s="415"/>
      <c r="AI303" s="415"/>
      <c r="AJ303" s="415"/>
      <c r="AK303" s="415"/>
      <c r="AL303" s="415"/>
      <c r="AM303" s="415"/>
      <c r="AN303" s="415"/>
      <c r="AO303" s="415"/>
      <c r="AP303" s="415"/>
      <c r="AQ303" s="415"/>
      <c r="AR303" s="415"/>
      <c r="AS303" s="415"/>
      <c r="AT303" s="415"/>
      <c r="AU303" s="415"/>
      <c r="AV303" s="415"/>
      <c r="AW303" s="415"/>
      <c r="AX303" s="415"/>
      <c r="AY303" s="415"/>
      <c r="AZ303" s="415"/>
      <c r="BA303" s="415"/>
      <c r="BB303" s="415"/>
      <c r="BC303" s="415"/>
      <c r="BD303" s="415"/>
      <c r="BE303" s="415"/>
      <c r="BF303" s="415"/>
      <c r="BG303" s="415"/>
      <c r="BH303" s="415"/>
      <c r="BI303" s="415"/>
      <c r="BJ303" s="415"/>
      <c r="BK303" s="415"/>
      <c r="BL303" s="415"/>
      <c r="BM303" s="415"/>
      <c r="BN303" s="415"/>
      <c r="BO303" s="415"/>
      <c r="BP303" s="415"/>
      <c r="BQ303" s="415"/>
      <c r="BR303" s="415"/>
      <c r="BS303" s="415"/>
      <c r="BT303" s="415"/>
      <c r="BU303" s="415"/>
      <c r="BV303" s="415"/>
      <c r="BW303" s="415"/>
      <c r="BX303" s="415"/>
      <c r="BY303" s="415"/>
      <c r="BZ303" s="415"/>
      <c r="CA303" s="415"/>
      <c r="CB303" s="415"/>
      <c r="CC303" s="415"/>
      <c r="CD303" s="415"/>
      <c r="CE303" s="415"/>
      <c r="CF303" s="415"/>
      <c r="CG303" s="415"/>
      <c r="CH303" s="415"/>
      <c r="CI303" s="415"/>
      <c r="CJ303" s="415"/>
      <c r="CK303" s="415"/>
      <c r="CL303" s="415"/>
      <c r="CM303" s="415"/>
      <c r="CN303" s="415"/>
      <c r="CO303" s="415"/>
      <c r="CP303" s="415"/>
      <c r="CQ303" s="415"/>
      <c r="CR303" s="415"/>
      <c r="CS303" s="415"/>
      <c r="CT303" s="415"/>
      <c r="CU303" s="415"/>
      <c r="CV303" s="415"/>
      <c r="CW303" s="415"/>
      <c r="CX303" s="415"/>
      <c r="CY303" s="415"/>
      <c r="CZ303" s="415"/>
      <c r="DA303" s="415"/>
      <c r="DB303" s="415"/>
      <c r="DC303" s="415"/>
      <c r="DD303" s="415"/>
      <c r="DE303" s="415"/>
      <c r="DF303" s="415"/>
      <c r="DG303" s="415"/>
      <c r="DH303" s="415"/>
      <c r="DI303" s="415"/>
      <c r="DJ303" s="415"/>
      <c r="DK303" s="415"/>
      <c r="DL303" s="415"/>
      <c r="DM303" s="415"/>
      <c r="DN303" s="415"/>
      <c r="DO303" s="415"/>
      <c r="DP303" s="415"/>
      <c r="DQ303" s="415"/>
      <c r="DR303" s="415"/>
      <c r="DS303" s="415"/>
      <c r="DT303" s="415"/>
      <c r="DU303" s="415"/>
      <c r="DV303" s="415"/>
      <c r="DW303" s="415"/>
      <c r="DX303" s="415"/>
      <c r="DY303" s="415"/>
      <c r="DZ303" s="415"/>
      <c r="EA303" s="415"/>
      <c r="EB303" s="415"/>
      <c r="EC303" s="415"/>
      <c r="ED303" s="415"/>
      <c r="EE303" s="415"/>
      <c r="EF303" s="415"/>
      <c r="EG303" s="415"/>
      <c r="EH303" s="415"/>
      <c r="EI303" s="415"/>
      <c r="EJ303" s="415"/>
      <c r="EK303" s="415"/>
      <c r="EL303" s="415"/>
      <c r="EM303" s="416"/>
      <c r="EN303" s="416"/>
      <c r="EO303" s="416"/>
      <c r="EP303" s="416"/>
      <c r="EQ303" s="416"/>
      <c r="ER303" s="416"/>
      <c r="ES303" s="416"/>
      <c r="ET303" s="416"/>
      <c r="EU303" s="416"/>
      <c r="EV303" s="416"/>
      <c r="EW303" s="416"/>
      <c r="EX303" s="416"/>
      <c r="EY303" s="416"/>
      <c r="EZ303" s="416"/>
      <c r="FA303" s="416"/>
      <c r="FB303" s="416"/>
      <c r="FC303" s="416"/>
      <c r="FD303" s="416"/>
      <c r="FE303" s="416"/>
      <c r="FF303" s="416"/>
      <c r="FG303" s="416"/>
      <c r="FH303" s="416"/>
      <c r="FI303" s="416"/>
      <c r="FJ303" s="416"/>
      <c r="FK303" s="416"/>
      <c r="FL303" s="416"/>
      <c r="FM303" s="416"/>
      <c r="FN303" s="416"/>
      <c r="FO303" s="416"/>
      <c r="FP303" s="416"/>
      <c r="FQ303" s="416"/>
      <c r="FR303" s="416"/>
      <c r="FS303" s="416"/>
      <c r="FT303" s="416"/>
      <c r="FU303" s="416"/>
      <c r="FV303" s="416"/>
      <c r="FW303" s="416"/>
      <c r="FX303" s="416"/>
      <c r="FY303" s="416"/>
      <c r="FZ303" s="416"/>
      <c r="GA303" s="416"/>
      <c r="GB303" s="416"/>
      <c r="GC303" s="416"/>
      <c r="GD303" s="416"/>
      <c r="GE303" s="416"/>
      <c r="GF303" s="416"/>
      <c r="GG303" s="416"/>
      <c r="GH303" s="416"/>
      <c r="GI303" s="416"/>
      <c r="GJ303" s="416"/>
      <c r="GK303" s="416"/>
      <c r="GL303" s="416"/>
      <c r="GM303" s="416"/>
      <c r="GN303" s="416"/>
      <c r="GO303" s="416"/>
      <c r="GP303" s="416"/>
      <c r="GQ303" s="416"/>
      <c r="GR303" s="416"/>
      <c r="GS303" s="416"/>
      <c r="GT303" s="416"/>
      <c r="GU303" s="416"/>
      <c r="GV303" s="416"/>
      <c r="GW303" s="416"/>
      <c r="GX303" s="416"/>
      <c r="GY303" s="416"/>
      <c r="GZ303" s="416"/>
      <c r="HA303" s="416"/>
      <c r="HB303" s="416"/>
      <c r="HC303" s="416"/>
      <c r="HD303" s="416"/>
      <c r="HE303" s="416"/>
      <c r="HF303" s="416"/>
      <c r="HG303" s="416"/>
      <c r="HH303" s="416"/>
      <c r="HI303" s="416"/>
      <c r="HJ303" s="416"/>
      <c r="HK303" s="416"/>
      <c r="HL303" s="416"/>
      <c r="HM303" s="416"/>
      <c r="HN303" s="416"/>
      <c r="HO303" s="416"/>
      <c r="HP303" s="416"/>
      <c r="HQ303" s="416"/>
      <c r="HR303" s="416"/>
      <c r="HS303" s="416"/>
      <c r="HT303" s="416"/>
      <c r="HU303" s="416"/>
      <c r="HV303" s="416"/>
      <c r="HW303" s="416"/>
      <c r="HX303" s="416"/>
      <c r="HY303" s="416"/>
      <c r="HZ303" s="416"/>
      <c r="IA303" s="416"/>
      <c r="IB303" s="416"/>
      <c r="IC303" s="416"/>
      <c r="ID303" s="416"/>
      <c r="IE303" s="416"/>
      <c r="IF303" s="416"/>
      <c r="IG303" s="416"/>
      <c r="IH303" s="416"/>
      <c r="II303" s="416"/>
      <c r="IJ303" s="416"/>
      <c r="IK303" s="416"/>
      <c r="IL303" s="416"/>
      <c r="IM303" s="416"/>
      <c r="IN303" s="416"/>
      <c r="IO303" s="416"/>
      <c r="IP303" s="416"/>
      <c r="IQ303" s="416"/>
      <c r="IR303" s="416"/>
      <c r="IS303" s="416"/>
      <c r="IT303" s="416"/>
      <c r="IU303" s="416"/>
      <c r="IV303" s="416"/>
      <c r="IW303" s="416"/>
    </row>
    <row r="304" customFormat="false" ht="12.75" hidden="false" customHeight="false" outlineLevel="0" collapsed="false">
      <c r="A304" s="412"/>
      <c r="B304" s="413" t="s">
        <v>381</v>
      </c>
      <c r="C304" s="413"/>
      <c r="D304" s="413"/>
      <c r="E304" s="423" t="n">
        <v>0.28</v>
      </c>
      <c r="F304" s="421" t="s">
        <v>354</v>
      </c>
      <c r="G304" s="413"/>
      <c r="H304" s="413"/>
      <c r="I304" s="413"/>
      <c r="J304" s="415"/>
      <c r="K304" s="415"/>
      <c r="L304" s="415"/>
      <c r="M304" s="415"/>
      <c r="N304" s="415"/>
      <c r="O304" s="415"/>
      <c r="P304" s="415"/>
      <c r="Q304" s="415"/>
      <c r="R304" s="415"/>
      <c r="S304" s="415"/>
      <c r="T304" s="415"/>
      <c r="U304" s="415"/>
      <c r="V304" s="415"/>
      <c r="W304" s="415"/>
      <c r="X304" s="415"/>
      <c r="Y304" s="415"/>
      <c r="Z304" s="415"/>
      <c r="AA304" s="415"/>
      <c r="AB304" s="415"/>
      <c r="AC304" s="415"/>
      <c r="AD304" s="415"/>
      <c r="AE304" s="415"/>
      <c r="AF304" s="415"/>
      <c r="AG304" s="415"/>
      <c r="AH304" s="415"/>
      <c r="AI304" s="415"/>
      <c r="AJ304" s="415"/>
      <c r="AK304" s="415"/>
      <c r="AL304" s="415"/>
      <c r="AM304" s="415"/>
      <c r="AN304" s="415"/>
      <c r="AO304" s="415"/>
      <c r="AP304" s="415"/>
      <c r="AQ304" s="415"/>
      <c r="AR304" s="415"/>
      <c r="AS304" s="415"/>
      <c r="AT304" s="415"/>
      <c r="AU304" s="415"/>
      <c r="AV304" s="415"/>
      <c r="AW304" s="415"/>
      <c r="AX304" s="415"/>
      <c r="AY304" s="415"/>
      <c r="AZ304" s="415"/>
      <c r="BA304" s="415"/>
      <c r="BB304" s="415"/>
      <c r="BC304" s="415"/>
      <c r="BD304" s="415"/>
      <c r="BE304" s="415"/>
      <c r="BF304" s="415"/>
      <c r="BG304" s="415"/>
      <c r="BH304" s="415"/>
      <c r="BI304" s="415"/>
      <c r="BJ304" s="415"/>
      <c r="BK304" s="415"/>
      <c r="BL304" s="415"/>
      <c r="BM304" s="415"/>
      <c r="BN304" s="415"/>
      <c r="BO304" s="415"/>
      <c r="BP304" s="415"/>
      <c r="BQ304" s="415"/>
      <c r="BR304" s="415"/>
      <c r="BS304" s="415"/>
      <c r="BT304" s="415"/>
      <c r="BU304" s="415"/>
      <c r="BV304" s="415"/>
      <c r="BW304" s="415"/>
      <c r="BX304" s="415"/>
      <c r="BY304" s="415"/>
      <c r="BZ304" s="415"/>
      <c r="CA304" s="415"/>
      <c r="CB304" s="415"/>
      <c r="CC304" s="415"/>
      <c r="CD304" s="415"/>
      <c r="CE304" s="415"/>
      <c r="CF304" s="415"/>
      <c r="CG304" s="415"/>
      <c r="CH304" s="415"/>
      <c r="CI304" s="415"/>
      <c r="CJ304" s="415"/>
      <c r="CK304" s="415"/>
      <c r="CL304" s="415"/>
      <c r="CM304" s="415"/>
      <c r="CN304" s="415"/>
      <c r="CO304" s="415"/>
      <c r="CP304" s="415"/>
      <c r="CQ304" s="415"/>
      <c r="CR304" s="415"/>
      <c r="CS304" s="415"/>
      <c r="CT304" s="415"/>
      <c r="CU304" s="415"/>
      <c r="CV304" s="415"/>
      <c r="CW304" s="415"/>
      <c r="CX304" s="415"/>
      <c r="CY304" s="415"/>
      <c r="CZ304" s="415"/>
      <c r="DA304" s="415"/>
      <c r="DB304" s="415"/>
      <c r="DC304" s="415"/>
      <c r="DD304" s="415"/>
      <c r="DE304" s="415"/>
      <c r="DF304" s="415"/>
      <c r="DG304" s="415"/>
      <c r="DH304" s="415"/>
      <c r="DI304" s="415"/>
      <c r="DJ304" s="415"/>
      <c r="DK304" s="415"/>
      <c r="DL304" s="415"/>
      <c r="DM304" s="415"/>
      <c r="DN304" s="415"/>
      <c r="DO304" s="415"/>
      <c r="DP304" s="415"/>
      <c r="DQ304" s="415"/>
      <c r="DR304" s="415"/>
      <c r="DS304" s="415"/>
      <c r="DT304" s="415"/>
      <c r="DU304" s="415"/>
      <c r="DV304" s="415"/>
      <c r="DW304" s="415"/>
      <c r="DX304" s="415"/>
      <c r="DY304" s="415"/>
      <c r="DZ304" s="415"/>
      <c r="EA304" s="415"/>
      <c r="EB304" s="415"/>
      <c r="EC304" s="415"/>
      <c r="ED304" s="415"/>
      <c r="EE304" s="415"/>
      <c r="EF304" s="415"/>
      <c r="EG304" s="415"/>
      <c r="EH304" s="415"/>
      <c r="EI304" s="415"/>
      <c r="EJ304" s="415"/>
      <c r="EK304" s="415"/>
      <c r="EL304" s="415"/>
      <c r="EM304" s="416"/>
      <c r="EN304" s="416"/>
      <c r="EO304" s="416"/>
      <c r="EP304" s="416"/>
      <c r="EQ304" s="416"/>
      <c r="ER304" s="416"/>
      <c r="ES304" s="416"/>
      <c r="ET304" s="416"/>
      <c r="EU304" s="416"/>
      <c r="EV304" s="416"/>
      <c r="EW304" s="416"/>
      <c r="EX304" s="416"/>
      <c r="EY304" s="416"/>
      <c r="EZ304" s="416"/>
      <c r="FA304" s="416"/>
      <c r="FB304" s="416"/>
      <c r="FC304" s="416"/>
      <c r="FD304" s="416"/>
      <c r="FE304" s="416"/>
      <c r="FF304" s="416"/>
      <c r="FG304" s="416"/>
      <c r="FH304" s="416"/>
      <c r="FI304" s="416"/>
      <c r="FJ304" s="416"/>
      <c r="FK304" s="416"/>
      <c r="FL304" s="416"/>
      <c r="FM304" s="416"/>
      <c r="FN304" s="416"/>
      <c r="FO304" s="416"/>
      <c r="FP304" s="416"/>
      <c r="FQ304" s="416"/>
      <c r="FR304" s="416"/>
      <c r="FS304" s="416"/>
      <c r="FT304" s="416"/>
      <c r="FU304" s="416"/>
      <c r="FV304" s="416"/>
      <c r="FW304" s="416"/>
      <c r="FX304" s="416"/>
      <c r="FY304" s="416"/>
      <c r="FZ304" s="416"/>
      <c r="GA304" s="416"/>
      <c r="GB304" s="416"/>
      <c r="GC304" s="416"/>
      <c r="GD304" s="416"/>
      <c r="GE304" s="416"/>
      <c r="GF304" s="416"/>
      <c r="GG304" s="416"/>
      <c r="GH304" s="416"/>
      <c r="GI304" s="416"/>
      <c r="GJ304" s="416"/>
      <c r="GK304" s="416"/>
      <c r="GL304" s="416"/>
      <c r="GM304" s="416"/>
      <c r="GN304" s="416"/>
      <c r="GO304" s="416"/>
      <c r="GP304" s="416"/>
      <c r="GQ304" s="416"/>
      <c r="GR304" s="416"/>
      <c r="GS304" s="416"/>
      <c r="GT304" s="416"/>
      <c r="GU304" s="416"/>
      <c r="GV304" s="416"/>
      <c r="GW304" s="416"/>
      <c r="GX304" s="416"/>
      <c r="GY304" s="416"/>
      <c r="GZ304" s="416"/>
      <c r="HA304" s="416"/>
      <c r="HB304" s="416"/>
      <c r="HC304" s="416"/>
      <c r="HD304" s="416"/>
      <c r="HE304" s="416"/>
      <c r="HF304" s="416"/>
      <c r="HG304" s="416"/>
      <c r="HH304" s="416"/>
      <c r="HI304" s="416"/>
      <c r="HJ304" s="416"/>
      <c r="HK304" s="416"/>
      <c r="HL304" s="416"/>
      <c r="HM304" s="416"/>
      <c r="HN304" s="416"/>
      <c r="HO304" s="416"/>
      <c r="HP304" s="416"/>
      <c r="HQ304" s="416"/>
      <c r="HR304" s="416"/>
      <c r="HS304" s="416"/>
      <c r="HT304" s="416"/>
      <c r="HU304" s="416"/>
      <c r="HV304" s="416"/>
      <c r="HW304" s="416"/>
      <c r="HX304" s="416"/>
      <c r="HY304" s="416"/>
      <c r="HZ304" s="416"/>
      <c r="IA304" s="416"/>
      <c r="IB304" s="416"/>
      <c r="IC304" s="416"/>
      <c r="ID304" s="416"/>
      <c r="IE304" s="416"/>
      <c r="IF304" s="416"/>
      <c r="IG304" s="416"/>
      <c r="IH304" s="416"/>
      <c r="II304" s="416"/>
      <c r="IJ304" s="416"/>
      <c r="IK304" s="416"/>
      <c r="IL304" s="416"/>
      <c r="IM304" s="416"/>
      <c r="IN304" s="416"/>
      <c r="IO304" s="416"/>
      <c r="IP304" s="416"/>
      <c r="IQ304" s="416"/>
      <c r="IR304" s="416"/>
      <c r="IS304" s="416"/>
      <c r="IT304" s="416"/>
      <c r="IU304" s="416"/>
      <c r="IV304" s="416"/>
      <c r="IW304" s="416"/>
    </row>
    <row r="305" customFormat="false" ht="12.75" hidden="false" customHeight="false" outlineLevel="0" collapsed="false">
      <c r="A305" s="412"/>
      <c r="B305" s="413" t="s">
        <v>382</v>
      </c>
      <c r="C305" s="413"/>
      <c r="D305" s="413"/>
      <c r="E305" s="425" t="n">
        <v>0.93</v>
      </c>
      <c r="F305" s="421" t="s">
        <v>354</v>
      </c>
      <c r="G305" s="412"/>
      <c r="H305" s="415"/>
      <c r="I305" s="415"/>
      <c r="J305" s="415"/>
      <c r="K305" s="415"/>
      <c r="L305" s="415"/>
      <c r="M305" s="415"/>
      <c r="N305" s="415"/>
      <c r="O305" s="415"/>
      <c r="P305" s="415"/>
      <c r="Q305" s="415"/>
      <c r="R305" s="415"/>
      <c r="S305" s="415"/>
      <c r="T305" s="415"/>
      <c r="U305" s="415"/>
      <c r="V305" s="415"/>
      <c r="W305" s="415"/>
      <c r="X305" s="415"/>
      <c r="Y305" s="415"/>
      <c r="Z305" s="415"/>
      <c r="AA305" s="415"/>
      <c r="AB305" s="415"/>
      <c r="AC305" s="415"/>
      <c r="AD305" s="415"/>
      <c r="AE305" s="415"/>
      <c r="AF305" s="415"/>
      <c r="AG305" s="415"/>
      <c r="AH305" s="415"/>
      <c r="AI305" s="415"/>
      <c r="AJ305" s="415"/>
      <c r="AK305" s="415"/>
      <c r="AL305" s="415"/>
      <c r="AM305" s="415"/>
      <c r="AN305" s="415"/>
      <c r="AO305" s="415"/>
      <c r="AP305" s="415"/>
      <c r="AQ305" s="415"/>
      <c r="AR305" s="415"/>
      <c r="AS305" s="415"/>
      <c r="AT305" s="415"/>
      <c r="AU305" s="415"/>
      <c r="AV305" s="415"/>
      <c r="AW305" s="415"/>
      <c r="AX305" s="415"/>
      <c r="AY305" s="415"/>
      <c r="AZ305" s="415"/>
      <c r="BA305" s="415"/>
      <c r="BB305" s="415"/>
      <c r="BC305" s="415"/>
      <c r="BD305" s="415"/>
      <c r="BE305" s="415"/>
      <c r="BF305" s="415"/>
      <c r="BG305" s="415"/>
      <c r="BH305" s="415"/>
      <c r="BI305" s="415"/>
      <c r="BJ305" s="415"/>
      <c r="BK305" s="415"/>
      <c r="BL305" s="415"/>
      <c r="BM305" s="415"/>
      <c r="BN305" s="415"/>
      <c r="BO305" s="415"/>
      <c r="BP305" s="415"/>
      <c r="BQ305" s="415"/>
      <c r="BR305" s="415"/>
      <c r="BS305" s="415"/>
      <c r="BT305" s="415"/>
      <c r="BU305" s="415"/>
      <c r="BV305" s="415"/>
      <c r="BW305" s="415"/>
      <c r="BX305" s="415"/>
      <c r="BY305" s="415"/>
      <c r="BZ305" s="415"/>
      <c r="CA305" s="415"/>
      <c r="CB305" s="415"/>
      <c r="CC305" s="415"/>
      <c r="CD305" s="415"/>
      <c r="CE305" s="415"/>
      <c r="CF305" s="415"/>
      <c r="CG305" s="415"/>
      <c r="CH305" s="415"/>
      <c r="CI305" s="415"/>
      <c r="CJ305" s="415"/>
      <c r="CK305" s="415"/>
      <c r="CL305" s="415"/>
      <c r="CM305" s="415"/>
      <c r="CN305" s="415"/>
      <c r="CO305" s="415"/>
      <c r="CP305" s="415"/>
      <c r="CQ305" s="415"/>
      <c r="CR305" s="415"/>
      <c r="CS305" s="415"/>
      <c r="CT305" s="415"/>
      <c r="CU305" s="415"/>
      <c r="CV305" s="415"/>
      <c r="CW305" s="415"/>
      <c r="CX305" s="415"/>
      <c r="CY305" s="415"/>
      <c r="CZ305" s="415"/>
      <c r="DA305" s="415"/>
      <c r="DB305" s="415"/>
      <c r="DC305" s="415"/>
      <c r="DD305" s="415"/>
      <c r="DE305" s="415"/>
      <c r="DF305" s="415"/>
      <c r="DG305" s="415"/>
      <c r="DH305" s="415"/>
      <c r="DI305" s="415"/>
      <c r="DJ305" s="415"/>
      <c r="DK305" s="415"/>
      <c r="DL305" s="415"/>
      <c r="DM305" s="415"/>
      <c r="DN305" s="415"/>
      <c r="DO305" s="415"/>
      <c r="DP305" s="415"/>
      <c r="DQ305" s="415"/>
      <c r="DR305" s="415"/>
      <c r="DS305" s="415"/>
      <c r="DT305" s="415"/>
      <c r="DU305" s="415"/>
      <c r="DV305" s="415"/>
      <c r="DW305" s="415"/>
      <c r="DX305" s="415"/>
      <c r="DY305" s="415"/>
      <c r="DZ305" s="415"/>
      <c r="EA305" s="415"/>
      <c r="EB305" s="415"/>
      <c r="EC305" s="415"/>
      <c r="ED305" s="415"/>
      <c r="EE305" s="415"/>
      <c r="EF305" s="415"/>
      <c r="EG305" s="415"/>
      <c r="EH305" s="415"/>
      <c r="EI305" s="415"/>
      <c r="EJ305" s="415"/>
      <c r="EK305" s="415"/>
      <c r="EL305" s="415"/>
      <c r="EM305" s="416"/>
      <c r="EN305" s="416"/>
      <c r="EO305" s="416"/>
      <c r="EP305" s="416"/>
      <c r="EQ305" s="416"/>
      <c r="ER305" s="416"/>
      <c r="ES305" s="416"/>
      <c r="ET305" s="416"/>
      <c r="EU305" s="416"/>
      <c r="EV305" s="416"/>
      <c r="EW305" s="416"/>
      <c r="EX305" s="416"/>
      <c r="EY305" s="416"/>
      <c r="EZ305" s="416"/>
      <c r="FA305" s="416"/>
      <c r="FB305" s="416"/>
      <c r="FC305" s="416"/>
      <c r="FD305" s="416"/>
      <c r="FE305" s="416"/>
      <c r="FF305" s="416"/>
      <c r="FG305" s="416"/>
      <c r="FH305" s="416"/>
      <c r="FI305" s="416"/>
      <c r="FJ305" s="416"/>
      <c r="FK305" s="416"/>
      <c r="FL305" s="416"/>
      <c r="FM305" s="416"/>
      <c r="FN305" s="416"/>
      <c r="FO305" s="416"/>
      <c r="FP305" s="416"/>
      <c r="FQ305" s="416"/>
      <c r="FR305" s="416"/>
      <c r="FS305" s="416"/>
      <c r="FT305" s="416"/>
      <c r="FU305" s="416"/>
      <c r="FV305" s="416"/>
      <c r="FW305" s="416"/>
      <c r="FX305" s="416"/>
      <c r="FY305" s="416"/>
      <c r="FZ305" s="416"/>
      <c r="GA305" s="416"/>
      <c r="GB305" s="416"/>
      <c r="GC305" s="416"/>
      <c r="GD305" s="416"/>
      <c r="GE305" s="416"/>
      <c r="GF305" s="416"/>
      <c r="GG305" s="416"/>
      <c r="GH305" s="416"/>
      <c r="GI305" s="416"/>
      <c r="GJ305" s="416"/>
      <c r="GK305" s="416"/>
      <c r="GL305" s="416"/>
      <c r="GM305" s="416"/>
      <c r="GN305" s="416"/>
      <c r="GO305" s="416"/>
      <c r="GP305" s="416"/>
      <c r="GQ305" s="416"/>
      <c r="GR305" s="416"/>
      <c r="GS305" s="416"/>
      <c r="GT305" s="416"/>
      <c r="GU305" s="416"/>
      <c r="GV305" s="416"/>
      <c r="GW305" s="416"/>
      <c r="GX305" s="416"/>
      <c r="GY305" s="416"/>
      <c r="GZ305" s="416"/>
      <c r="HA305" s="416"/>
      <c r="HB305" s="416"/>
      <c r="HC305" s="416"/>
      <c r="HD305" s="416"/>
      <c r="HE305" s="416"/>
      <c r="HF305" s="416"/>
      <c r="HG305" s="416"/>
      <c r="HH305" s="416"/>
      <c r="HI305" s="416"/>
      <c r="HJ305" s="416"/>
      <c r="HK305" s="416"/>
      <c r="HL305" s="416"/>
      <c r="HM305" s="416"/>
      <c r="HN305" s="416"/>
      <c r="HO305" s="416"/>
      <c r="HP305" s="416"/>
      <c r="HQ305" s="416"/>
      <c r="HR305" s="416"/>
      <c r="HS305" s="416"/>
      <c r="HT305" s="416"/>
      <c r="HU305" s="416"/>
      <c r="HV305" s="416"/>
      <c r="HW305" s="416"/>
      <c r="HX305" s="416"/>
      <c r="HY305" s="416"/>
      <c r="HZ305" s="416"/>
      <c r="IA305" s="416"/>
      <c r="IB305" s="416"/>
      <c r="IC305" s="416"/>
      <c r="ID305" s="416"/>
      <c r="IE305" s="416"/>
      <c r="IF305" s="416"/>
      <c r="IG305" s="416"/>
      <c r="IH305" s="416"/>
      <c r="II305" s="416"/>
      <c r="IJ305" s="416"/>
      <c r="IK305" s="416"/>
      <c r="IL305" s="416"/>
      <c r="IM305" s="416"/>
      <c r="IN305" s="416"/>
      <c r="IO305" s="416"/>
      <c r="IP305" s="416"/>
      <c r="IQ305" s="416"/>
      <c r="IR305" s="416"/>
      <c r="IS305" s="416"/>
      <c r="IT305" s="416"/>
      <c r="IU305" s="416"/>
      <c r="IV305" s="416"/>
      <c r="IW305" s="416"/>
    </row>
    <row r="306" customFormat="false" ht="12.75" hidden="false" customHeight="false" outlineLevel="0" collapsed="false">
      <c r="A306" s="412"/>
      <c r="B306" s="413" t="s">
        <v>383</v>
      </c>
      <c r="C306" s="413"/>
      <c r="D306" s="413"/>
      <c r="E306" s="425" t="n">
        <v>0.93</v>
      </c>
      <c r="F306" s="421" t="s">
        <v>354</v>
      </c>
      <c r="G306" s="412"/>
      <c r="H306" s="415"/>
      <c r="I306" s="415"/>
      <c r="J306" s="415"/>
      <c r="K306" s="415"/>
      <c r="L306" s="415"/>
      <c r="M306" s="415"/>
      <c r="N306" s="415"/>
      <c r="O306" s="415"/>
      <c r="P306" s="415"/>
      <c r="Q306" s="415"/>
      <c r="R306" s="415"/>
      <c r="S306" s="415"/>
      <c r="T306" s="415"/>
      <c r="U306" s="415"/>
      <c r="V306" s="415"/>
      <c r="W306" s="415"/>
      <c r="X306" s="415"/>
      <c r="Y306" s="415"/>
      <c r="Z306" s="415"/>
      <c r="AA306" s="415"/>
      <c r="AB306" s="415"/>
      <c r="AC306" s="415"/>
      <c r="AD306" s="415"/>
      <c r="AE306" s="415"/>
      <c r="AF306" s="415"/>
      <c r="AG306" s="415"/>
      <c r="AH306" s="415"/>
      <c r="AI306" s="415"/>
      <c r="AJ306" s="415"/>
      <c r="AK306" s="415"/>
      <c r="AL306" s="415"/>
      <c r="AM306" s="415"/>
      <c r="AN306" s="415"/>
      <c r="AO306" s="415"/>
      <c r="AP306" s="415"/>
      <c r="AQ306" s="415"/>
      <c r="AR306" s="415"/>
      <c r="AS306" s="415"/>
      <c r="AT306" s="415"/>
      <c r="AU306" s="415"/>
      <c r="AV306" s="415"/>
      <c r="AW306" s="415"/>
      <c r="AX306" s="415"/>
      <c r="AY306" s="415"/>
      <c r="AZ306" s="415"/>
      <c r="BA306" s="415"/>
      <c r="BB306" s="415"/>
      <c r="BC306" s="415"/>
      <c r="BD306" s="415"/>
      <c r="BE306" s="415"/>
      <c r="BF306" s="415"/>
      <c r="BG306" s="415"/>
      <c r="BH306" s="415"/>
      <c r="BI306" s="415"/>
      <c r="BJ306" s="415"/>
      <c r="BK306" s="415"/>
      <c r="BL306" s="415"/>
      <c r="BM306" s="415"/>
      <c r="BN306" s="415"/>
      <c r="BO306" s="415"/>
      <c r="BP306" s="415"/>
      <c r="BQ306" s="415"/>
      <c r="BR306" s="415"/>
      <c r="BS306" s="415"/>
      <c r="BT306" s="415"/>
      <c r="BU306" s="415"/>
      <c r="BV306" s="415"/>
      <c r="BW306" s="415"/>
      <c r="BX306" s="415"/>
      <c r="BY306" s="415"/>
      <c r="BZ306" s="415"/>
      <c r="CA306" s="415"/>
      <c r="CB306" s="415"/>
      <c r="CC306" s="415"/>
      <c r="CD306" s="415"/>
      <c r="CE306" s="415"/>
      <c r="CF306" s="415"/>
      <c r="CG306" s="415"/>
      <c r="CH306" s="415"/>
      <c r="CI306" s="415"/>
      <c r="CJ306" s="415"/>
      <c r="CK306" s="415"/>
      <c r="CL306" s="415"/>
      <c r="CM306" s="415"/>
      <c r="CN306" s="415"/>
      <c r="CO306" s="415"/>
      <c r="CP306" s="415"/>
      <c r="CQ306" s="415"/>
      <c r="CR306" s="415"/>
      <c r="CS306" s="415"/>
      <c r="CT306" s="415"/>
      <c r="CU306" s="415"/>
      <c r="CV306" s="415"/>
      <c r="CW306" s="415"/>
      <c r="CX306" s="415"/>
      <c r="CY306" s="415"/>
      <c r="CZ306" s="415"/>
      <c r="DA306" s="415"/>
      <c r="DB306" s="415"/>
      <c r="DC306" s="415"/>
      <c r="DD306" s="415"/>
      <c r="DE306" s="415"/>
      <c r="DF306" s="415"/>
      <c r="DG306" s="415"/>
      <c r="DH306" s="415"/>
      <c r="DI306" s="415"/>
      <c r="DJ306" s="415"/>
      <c r="DK306" s="415"/>
      <c r="DL306" s="415"/>
      <c r="DM306" s="415"/>
      <c r="DN306" s="415"/>
      <c r="DO306" s="415"/>
      <c r="DP306" s="415"/>
      <c r="DQ306" s="415"/>
      <c r="DR306" s="415"/>
      <c r="DS306" s="415"/>
      <c r="DT306" s="415"/>
      <c r="DU306" s="415"/>
      <c r="DV306" s="415"/>
      <c r="DW306" s="415"/>
      <c r="DX306" s="415"/>
      <c r="DY306" s="415"/>
      <c r="DZ306" s="415"/>
      <c r="EA306" s="415"/>
      <c r="EB306" s="415"/>
      <c r="EC306" s="415"/>
      <c r="ED306" s="415"/>
      <c r="EE306" s="415"/>
      <c r="EF306" s="415"/>
      <c r="EG306" s="415"/>
      <c r="EH306" s="415"/>
      <c r="EI306" s="415"/>
      <c r="EJ306" s="415"/>
      <c r="EK306" s="415"/>
      <c r="EL306" s="415"/>
      <c r="EM306" s="416"/>
      <c r="EN306" s="416"/>
      <c r="EO306" s="416"/>
      <c r="EP306" s="416"/>
      <c r="EQ306" s="416"/>
      <c r="ER306" s="416"/>
      <c r="ES306" s="416"/>
      <c r="ET306" s="416"/>
      <c r="EU306" s="416"/>
      <c r="EV306" s="416"/>
      <c r="EW306" s="416"/>
      <c r="EX306" s="416"/>
      <c r="EY306" s="416"/>
      <c r="EZ306" s="416"/>
      <c r="FA306" s="416"/>
      <c r="FB306" s="416"/>
      <c r="FC306" s="416"/>
      <c r="FD306" s="416"/>
      <c r="FE306" s="416"/>
      <c r="FF306" s="416"/>
      <c r="FG306" s="416"/>
      <c r="FH306" s="416"/>
      <c r="FI306" s="416"/>
      <c r="FJ306" s="416"/>
      <c r="FK306" s="416"/>
      <c r="FL306" s="416"/>
      <c r="FM306" s="416"/>
      <c r="FN306" s="416"/>
      <c r="FO306" s="416"/>
      <c r="FP306" s="416"/>
      <c r="FQ306" s="416"/>
      <c r="FR306" s="416"/>
      <c r="FS306" s="416"/>
      <c r="FT306" s="416"/>
      <c r="FU306" s="416"/>
      <c r="FV306" s="416"/>
      <c r="FW306" s="416"/>
      <c r="FX306" s="416"/>
      <c r="FY306" s="416"/>
      <c r="FZ306" s="416"/>
      <c r="GA306" s="416"/>
      <c r="GB306" s="416"/>
      <c r="GC306" s="416"/>
      <c r="GD306" s="416"/>
      <c r="GE306" s="416"/>
      <c r="GF306" s="416"/>
      <c r="GG306" s="416"/>
      <c r="GH306" s="416"/>
      <c r="GI306" s="416"/>
      <c r="GJ306" s="416"/>
      <c r="GK306" s="416"/>
      <c r="GL306" s="416"/>
      <c r="GM306" s="416"/>
      <c r="GN306" s="416"/>
      <c r="GO306" s="416"/>
      <c r="GP306" s="416"/>
      <c r="GQ306" s="416"/>
      <c r="GR306" s="416"/>
      <c r="GS306" s="416"/>
      <c r="GT306" s="416"/>
      <c r="GU306" s="416"/>
      <c r="GV306" s="416"/>
      <c r="GW306" s="416"/>
      <c r="GX306" s="416"/>
      <c r="GY306" s="416"/>
      <c r="GZ306" s="416"/>
      <c r="HA306" s="416"/>
      <c r="HB306" s="416"/>
      <c r="HC306" s="416"/>
      <c r="HD306" s="416"/>
      <c r="HE306" s="416"/>
      <c r="HF306" s="416"/>
      <c r="HG306" s="416"/>
      <c r="HH306" s="416"/>
      <c r="HI306" s="416"/>
      <c r="HJ306" s="416"/>
      <c r="HK306" s="416"/>
      <c r="HL306" s="416"/>
      <c r="HM306" s="416"/>
      <c r="HN306" s="416"/>
      <c r="HO306" s="416"/>
      <c r="HP306" s="416"/>
      <c r="HQ306" s="416"/>
      <c r="HR306" s="416"/>
      <c r="HS306" s="416"/>
      <c r="HT306" s="416"/>
      <c r="HU306" s="416"/>
      <c r="HV306" s="416"/>
      <c r="HW306" s="416"/>
      <c r="HX306" s="416"/>
      <c r="HY306" s="416"/>
      <c r="HZ306" s="416"/>
      <c r="IA306" s="416"/>
      <c r="IB306" s="416"/>
      <c r="IC306" s="416"/>
      <c r="ID306" s="416"/>
      <c r="IE306" s="416"/>
      <c r="IF306" s="416"/>
      <c r="IG306" s="416"/>
      <c r="IH306" s="416"/>
      <c r="II306" s="416"/>
      <c r="IJ306" s="416"/>
      <c r="IK306" s="416"/>
      <c r="IL306" s="416"/>
      <c r="IM306" s="416"/>
      <c r="IN306" s="416"/>
      <c r="IO306" s="416"/>
      <c r="IP306" s="416"/>
      <c r="IQ306" s="416"/>
      <c r="IR306" s="416"/>
      <c r="IS306" s="416"/>
      <c r="IT306" s="416"/>
      <c r="IU306" s="416"/>
      <c r="IV306" s="416"/>
      <c r="IW306" s="416"/>
    </row>
    <row r="307" customFormat="false" ht="12.75" hidden="false" customHeight="false" outlineLevel="0" collapsed="false">
      <c r="A307" s="23"/>
      <c r="B307" s="22"/>
      <c r="C307" s="22"/>
      <c r="D307" s="22"/>
      <c r="E307" s="3"/>
      <c r="F307" s="22"/>
      <c r="G307" s="23"/>
      <c r="H307" s="24"/>
      <c r="I307" s="24"/>
      <c r="J307" s="24"/>
      <c r="K307" s="24"/>
      <c r="L307" s="24"/>
      <c r="M307" s="24"/>
      <c r="N307" s="24"/>
      <c r="O307" s="24"/>
      <c r="P307" s="24"/>
      <c r="Q307" s="24"/>
      <c r="R307" s="24"/>
      <c r="S307" s="24"/>
      <c r="T307" s="24"/>
      <c r="U307" s="24"/>
      <c r="V307" s="24"/>
      <c r="W307" s="24"/>
      <c r="X307" s="24"/>
      <c r="Y307" s="24"/>
      <c r="Z307" s="24"/>
      <c r="AA307" s="24"/>
      <c r="AB307" s="24"/>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c r="BH307" s="24"/>
      <c r="BI307" s="24"/>
      <c r="BJ307" s="24"/>
      <c r="BK307" s="24"/>
      <c r="BL307" s="24"/>
      <c r="BM307" s="24"/>
      <c r="BN307" s="24"/>
      <c r="BO307" s="24"/>
      <c r="BP307" s="24"/>
      <c r="BQ307" s="24"/>
      <c r="BR307" s="24"/>
      <c r="BS307" s="24"/>
      <c r="BT307" s="24"/>
      <c r="BU307" s="24"/>
      <c r="BV307" s="24"/>
      <c r="BW307" s="24"/>
      <c r="BX307" s="24"/>
      <c r="BY307" s="24"/>
      <c r="BZ307" s="24"/>
      <c r="CA307" s="24"/>
      <c r="CB307" s="24"/>
      <c r="CC307" s="24"/>
      <c r="CD307" s="24"/>
      <c r="CE307" s="24"/>
      <c r="CF307" s="24"/>
      <c r="CG307" s="24"/>
      <c r="CH307" s="24"/>
      <c r="CI307" s="24"/>
      <c r="CJ307" s="24"/>
      <c r="CK307" s="24"/>
      <c r="CL307" s="24"/>
      <c r="CM307" s="24"/>
      <c r="CN307" s="24"/>
      <c r="CO307" s="24"/>
      <c r="CP307" s="24"/>
      <c r="CQ307" s="24"/>
      <c r="CR307" s="24"/>
      <c r="CS307" s="24"/>
      <c r="CT307" s="24"/>
      <c r="CU307" s="24"/>
      <c r="CV307" s="24"/>
      <c r="CW307" s="24"/>
      <c r="CX307" s="24"/>
      <c r="CY307" s="24"/>
      <c r="CZ307" s="24"/>
      <c r="DA307" s="24"/>
      <c r="DB307" s="24"/>
      <c r="DC307" s="24"/>
      <c r="DD307" s="24"/>
      <c r="DE307" s="24"/>
      <c r="DF307" s="24"/>
      <c r="DG307" s="24"/>
      <c r="DH307" s="24"/>
      <c r="DI307" s="24"/>
      <c r="DJ307" s="24"/>
      <c r="DK307" s="24"/>
      <c r="DL307" s="24"/>
      <c r="DM307" s="24"/>
      <c r="DN307" s="24"/>
      <c r="DO307" s="24"/>
      <c r="DP307" s="24"/>
      <c r="DQ307" s="24"/>
      <c r="DR307" s="24"/>
      <c r="DS307" s="24"/>
      <c r="DT307" s="24"/>
      <c r="DU307" s="24"/>
      <c r="DV307" s="24"/>
      <c r="DW307" s="24"/>
      <c r="DX307" s="24"/>
      <c r="DY307" s="24"/>
      <c r="DZ307" s="24"/>
      <c r="EA307" s="24"/>
      <c r="EB307" s="24"/>
      <c r="EC307" s="24"/>
      <c r="ED307" s="24"/>
      <c r="EE307" s="24"/>
      <c r="EF307" s="24"/>
      <c r="EG307" s="24"/>
      <c r="EH307" s="24"/>
      <c r="EI307" s="24"/>
      <c r="EJ307" s="24"/>
      <c r="EK307" s="24"/>
      <c r="EL307" s="24"/>
      <c r="EM307" s="3"/>
      <c r="EN307" s="3"/>
      <c r="EO307" s="3"/>
      <c r="EP307" s="3"/>
      <c r="EQ307" s="3"/>
      <c r="ER307" s="3"/>
      <c r="ES307" s="3"/>
      <c r="ET307" s="3"/>
      <c r="EU307" s="3"/>
      <c r="EV307" s="3"/>
      <c r="EW307" s="3"/>
      <c r="EX307" s="3"/>
      <c r="EY307" s="3"/>
      <c r="EZ307" s="3"/>
      <c r="FA307" s="3"/>
      <c r="FB307" s="3"/>
      <c r="FC307" s="3"/>
      <c r="FD307" s="3"/>
      <c r="FE307" s="3"/>
      <c r="FF307" s="3"/>
      <c r="FG307" s="3"/>
      <c r="FH307" s="3"/>
      <c r="FI307" s="3"/>
      <c r="FJ307" s="3"/>
      <c r="FK307" s="3"/>
      <c r="FL307" s="3"/>
      <c r="FM307" s="3"/>
      <c r="FN307" s="3"/>
      <c r="FO307" s="3"/>
      <c r="FP307" s="3"/>
      <c r="FQ307" s="3"/>
      <c r="FR307" s="3"/>
      <c r="FS307" s="3"/>
      <c r="FT307" s="3"/>
      <c r="FU307" s="3"/>
      <c r="FV307" s="3"/>
      <c r="FW307" s="3"/>
      <c r="FX307" s="3"/>
      <c r="FY307" s="3"/>
      <c r="FZ307" s="3"/>
      <c r="GA307" s="3"/>
      <c r="GB307" s="3"/>
      <c r="GC307" s="3"/>
      <c r="GD307" s="3"/>
      <c r="GE307" s="3"/>
      <c r="GF307" s="3"/>
      <c r="GG307" s="3"/>
      <c r="GH307" s="3"/>
      <c r="GI307" s="3"/>
      <c r="GJ307" s="3"/>
      <c r="GK307" s="3"/>
      <c r="GL307" s="3"/>
      <c r="GM307" s="3"/>
      <c r="GN307" s="3"/>
      <c r="GO307" s="3"/>
      <c r="GP307" s="3"/>
      <c r="GQ307" s="3"/>
      <c r="GR307" s="3"/>
      <c r="GS307" s="3"/>
      <c r="GT307" s="3"/>
      <c r="GU307" s="3"/>
      <c r="GV307" s="3"/>
      <c r="GW307" s="3"/>
      <c r="GX307" s="3"/>
      <c r="GY307" s="3"/>
      <c r="GZ307" s="3"/>
      <c r="HA307" s="3"/>
      <c r="HB307" s="3"/>
      <c r="HC307" s="3"/>
      <c r="HD307" s="3"/>
      <c r="HE307" s="3"/>
      <c r="HF307" s="3"/>
      <c r="HG307" s="3"/>
      <c r="HH307" s="3"/>
      <c r="HI307" s="3"/>
      <c r="HJ307" s="3"/>
      <c r="HK307" s="3"/>
      <c r="HL307" s="3"/>
      <c r="HM307" s="3"/>
      <c r="HN307" s="3"/>
      <c r="HO307" s="3"/>
      <c r="HP307" s="3"/>
      <c r="HQ307" s="3"/>
      <c r="HR307" s="3"/>
      <c r="HS307" s="3"/>
      <c r="HT307" s="3"/>
      <c r="HU307" s="3"/>
      <c r="HV307" s="3"/>
      <c r="HW307" s="3"/>
      <c r="HX307" s="3"/>
      <c r="HY307" s="3"/>
      <c r="HZ307" s="3"/>
      <c r="IA307" s="3"/>
      <c r="IB307" s="3"/>
      <c r="IC307" s="3"/>
      <c r="ID307" s="3"/>
      <c r="IE307" s="3"/>
      <c r="IF307" s="3"/>
      <c r="IG307" s="3"/>
      <c r="IH307" s="3"/>
      <c r="II307" s="3"/>
      <c r="IJ307" s="3"/>
      <c r="IK307" s="3"/>
      <c r="IL307" s="3"/>
      <c r="IM307" s="3"/>
      <c r="IN307" s="3"/>
      <c r="IO307" s="3"/>
      <c r="IP307" s="3"/>
      <c r="IQ307" s="3"/>
      <c r="IR307" s="3"/>
      <c r="IS307" s="3"/>
      <c r="IT307" s="3"/>
      <c r="IU307" s="3"/>
      <c r="IV307" s="3"/>
      <c r="IW307" s="3"/>
    </row>
    <row r="308" customFormat="false" ht="12.75" hidden="false" customHeight="false" outlineLevel="0" collapsed="false">
      <c r="A308" s="23"/>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4"/>
      <c r="AA308" s="24"/>
      <c r="AB308" s="24"/>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c r="BH308" s="24"/>
      <c r="BI308" s="24"/>
      <c r="BJ308" s="24"/>
      <c r="BK308" s="24"/>
      <c r="BL308" s="24"/>
      <c r="BM308" s="24"/>
      <c r="BN308" s="24"/>
      <c r="BO308" s="24"/>
      <c r="BP308" s="24"/>
      <c r="BQ308" s="24"/>
      <c r="BR308" s="24"/>
      <c r="BS308" s="24"/>
      <c r="BT308" s="24"/>
      <c r="BU308" s="24"/>
      <c r="BV308" s="24"/>
      <c r="BW308" s="24"/>
      <c r="BX308" s="24"/>
      <c r="BY308" s="24"/>
      <c r="BZ308" s="24"/>
      <c r="CA308" s="24"/>
      <c r="CB308" s="24"/>
      <c r="CC308" s="24"/>
      <c r="CD308" s="24"/>
      <c r="CE308" s="24"/>
      <c r="CF308" s="24"/>
      <c r="CG308" s="24"/>
      <c r="CH308" s="24"/>
      <c r="CI308" s="24"/>
      <c r="CJ308" s="24"/>
      <c r="CK308" s="24"/>
      <c r="CL308" s="24"/>
      <c r="CM308" s="24"/>
      <c r="CN308" s="24"/>
      <c r="CO308" s="24"/>
      <c r="CP308" s="24"/>
      <c r="CQ308" s="24"/>
      <c r="CR308" s="24"/>
      <c r="CS308" s="24"/>
      <c r="CT308" s="24"/>
      <c r="CU308" s="24"/>
      <c r="CV308" s="24"/>
      <c r="CW308" s="24"/>
      <c r="CX308" s="24"/>
      <c r="CY308" s="24"/>
      <c r="CZ308" s="24"/>
      <c r="DA308" s="24"/>
      <c r="DB308" s="24"/>
      <c r="DC308" s="24"/>
      <c r="DD308" s="24"/>
      <c r="DE308" s="24"/>
      <c r="DF308" s="24"/>
      <c r="DG308" s="24"/>
      <c r="DH308" s="24"/>
      <c r="DI308" s="24"/>
      <c r="DJ308" s="24"/>
      <c r="DK308" s="24"/>
      <c r="DL308" s="24"/>
      <c r="DM308" s="24"/>
      <c r="DN308" s="24"/>
      <c r="DO308" s="24"/>
      <c r="DP308" s="24"/>
      <c r="DQ308" s="24"/>
      <c r="DR308" s="24"/>
      <c r="DS308" s="24"/>
      <c r="DT308" s="24"/>
      <c r="DU308" s="24"/>
      <c r="DV308" s="24"/>
      <c r="DW308" s="24"/>
      <c r="DX308" s="24"/>
      <c r="DY308" s="24"/>
      <c r="DZ308" s="24"/>
      <c r="EA308" s="24"/>
      <c r="EB308" s="24"/>
      <c r="EC308" s="24"/>
      <c r="ED308" s="24"/>
      <c r="EE308" s="24"/>
      <c r="EF308" s="24"/>
      <c r="EG308" s="24"/>
      <c r="EH308" s="24"/>
      <c r="EI308" s="24"/>
      <c r="EJ308" s="24"/>
      <c r="EK308" s="24"/>
      <c r="EL308" s="24"/>
      <c r="EM308" s="3"/>
      <c r="EN308" s="3"/>
      <c r="EO308" s="3"/>
      <c r="EP308" s="3"/>
      <c r="EQ308" s="3"/>
      <c r="ER308" s="3"/>
      <c r="ES308" s="3"/>
      <c r="ET308" s="3"/>
      <c r="EU308" s="3"/>
      <c r="EV308" s="3"/>
      <c r="EW308" s="3"/>
      <c r="EX308" s="3"/>
      <c r="EY308" s="3"/>
      <c r="EZ308" s="3"/>
      <c r="FA308" s="3"/>
      <c r="FB308" s="3"/>
      <c r="FC308" s="3"/>
      <c r="FD308" s="3"/>
      <c r="FE308" s="3"/>
      <c r="FF308" s="3"/>
      <c r="FG308" s="3"/>
      <c r="FH308" s="3"/>
      <c r="FI308" s="3"/>
      <c r="FJ308" s="3"/>
      <c r="FK308" s="3"/>
      <c r="FL308" s="3"/>
      <c r="FM308" s="3"/>
      <c r="FN308" s="3"/>
      <c r="FO308" s="3"/>
      <c r="FP308" s="3"/>
      <c r="FQ308" s="3"/>
      <c r="FR308" s="3"/>
      <c r="FS308" s="3"/>
      <c r="FT308" s="3"/>
      <c r="FU308" s="3"/>
      <c r="FV308" s="3"/>
      <c r="FW308" s="3"/>
      <c r="FX308" s="3"/>
      <c r="FY308" s="3"/>
      <c r="FZ308" s="3"/>
      <c r="GA308" s="3"/>
      <c r="GB308" s="3"/>
      <c r="GC308" s="3"/>
      <c r="GD308" s="3"/>
      <c r="GE308" s="3"/>
      <c r="GF308" s="3"/>
      <c r="GG308" s="3"/>
      <c r="GH308" s="3"/>
      <c r="GI308" s="3"/>
      <c r="GJ308" s="3"/>
      <c r="GK308" s="3"/>
      <c r="GL308" s="3"/>
      <c r="GM308" s="3"/>
      <c r="GN308" s="3"/>
      <c r="GO308" s="3"/>
      <c r="GP308" s="3"/>
      <c r="GQ308" s="3"/>
      <c r="GR308" s="3"/>
      <c r="GS308" s="3"/>
      <c r="GT308" s="3"/>
      <c r="GU308" s="3"/>
      <c r="GV308" s="3"/>
      <c r="GW308" s="3"/>
      <c r="GX308" s="3"/>
      <c r="GY308" s="3"/>
      <c r="GZ308" s="3"/>
      <c r="HA308" s="3"/>
      <c r="HB308" s="3"/>
      <c r="HC308" s="3"/>
      <c r="HD308" s="3"/>
      <c r="HE308" s="3"/>
      <c r="HF308" s="3"/>
      <c r="HG308" s="3"/>
      <c r="HH308" s="3"/>
      <c r="HI308" s="3"/>
      <c r="HJ308" s="3"/>
      <c r="HK308" s="3"/>
      <c r="HL308" s="3"/>
      <c r="HM308" s="3"/>
      <c r="HN308" s="3"/>
      <c r="HO308" s="3"/>
      <c r="HP308" s="3"/>
      <c r="HQ308" s="3"/>
      <c r="HR308" s="3"/>
      <c r="HS308" s="3"/>
      <c r="HT308" s="3"/>
      <c r="HU308" s="3"/>
      <c r="HV308" s="3"/>
      <c r="HW308" s="3"/>
      <c r="HX308" s="3"/>
      <c r="HY308" s="3"/>
      <c r="HZ308" s="3"/>
      <c r="IA308" s="3"/>
      <c r="IB308" s="3"/>
      <c r="IC308" s="3"/>
      <c r="ID308" s="3"/>
      <c r="IE308" s="3"/>
      <c r="IF308" s="3"/>
      <c r="IG308" s="3"/>
      <c r="IH308" s="3"/>
      <c r="II308" s="3"/>
      <c r="IJ308" s="3"/>
      <c r="IK308" s="3"/>
      <c r="IL308" s="3"/>
      <c r="IM308" s="3"/>
      <c r="IN308" s="3"/>
      <c r="IO308" s="3"/>
      <c r="IP308" s="3"/>
      <c r="IQ308" s="3"/>
      <c r="IR308" s="3"/>
      <c r="IS308" s="3"/>
      <c r="IT308" s="3"/>
      <c r="IU308" s="3"/>
      <c r="IV308" s="3"/>
      <c r="IW308" s="3"/>
    </row>
    <row r="309" customFormat="false" ht="12.75" hidden="false" customHeight="false" outlineLevel="0" collapsed="false">
      <c r="A309" s="23"/>
      <c r="B309" s="22"/>
      <c r="C309" s="22"/>
      <c r="D309" s="22"/>
      <c r="E309" s="24"/>
      <c r="F309" s="23"/>
      <c r="G309" s="23"/>
      <c r="H309" s="24"/>
      <c r="I309" s="24"/>
      <c r="J309" s="24"/>
      <c r="K309" s="24"/>
      <c r="L309" s="24"/>
      <c r="M309" s="24"/>
      <c r="N309" s="24"/>
      <c r="O309" s="24"/>
      <c r="P309" s="24"/>
      <c r="Q309" s="24"/>
      <c r="R309" s="24"/>
      <c r="S309" s="24"/>
      <c r="T309" s="24"/>
      <c r="U309" s="24"/>
      <c r="V309" s="24"/>
      <c r="W309" s="24"/>
      <c r="X309" s="24"/>
      <c r="Y309" s="24"/>
      <c r="Z309" s="24"/>
      <c r="AA309" s="24"/>
      <c r="AB309" s="24"/>
      <c r="AC309" s="24"/>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c r="BH309" s="24"/>
      <c r="BI309" s="24"/>
      <c r="BJ309" s="24"/>
      <c r="BK309" s="24"/>
      <c r="BL309" s="24"/>
      <c r="BM309" s="24"/>
      <c r="BN309" s="24"/>
      <c r="BO309" s="24"/>
      <c r="BP309" s="24"/>
      <c r="BQ309" s="24"/>
      <c r="BR309" s="24"/>
      <c r="BS309" s="24"/>
      <c r="BT309" s="24"/>
      <c r="BU309" s="24"/>
      <c r="BV309" s="24"/>
      <c r="BW309" s="24"/>
      <c r="BX309" s="24"/>
      <c r="BY309" s="24"/>
      <c r="BZ309" s="24"/>
      <c r="CA309" s="24"/>
      <c r="CB309" s="24"/>
      <c r="CC309" s="24"/>
      <c r="CD309" s="24"/>
      <c r="CE309" s="24"/>
      <c r="CF309" s="24"/>
      <c r="CG309" s="24"/>
      <c r="CH309" s="24"/>
      <c r="CI309" s="24"/>
      <c r="CJ309" s="24"/>
      <c r="CK309" s="24"/>
      <c r="CL309" s="24"/>
      <c r="CM309" s="24"/>
      <c r="CN309" s="24"/>
      <c r="CO309" s="24"/>
      <c r="CP309" s="24"/>
      <c r="CQ309" s="24"/>
      <c r="CR309" s="24"/>
      <c r="CS309" s="24"/>
      <c r="CT309" s="24"/>
      <c r="CU309" s="24"/>
      <c r="CV309" s="24"/>
      <c r="CW309" s="24"/>
      <c r="CX309" s="24"/>
      <c r="CY309" s="24"/>
      <c r="CZ309" s="24"/>
      <c r="DA309" s="24"/>
      <c r="DB309" s="24"/>
      <c r="DC309" s="24"/>
      <c r="DD309" s="24"/>
      <c r="DE309" s="24"/>
      <c r="DF309" s="24"/>
      <c r="DG309" s="24"/>
      <c r="DH309" s="24"/>
      <c r="DI309" s="24"/>
      <c r="DJ309" s="24"/>
      <c r="DK309" s="24"/>
      <c r="DL309" s="24"/>
      <c r="DM309" s="24"/>
      <c r="DN309" s="24"/>
      <c r="DO309" s="24"/>
      <c r="DP309" s="24"/>
      <c r="DQ309" s="24"/>
      <c r="DR309" s="24"/>
      <c r="DS309" s="24"/>
      <c r="DT309" s="24"/>
      <c r="DU309" s="24"/>
      <c r="DV309" s="24"/>
      <c r="DW309" s="24"/>
      <c r="DX309" s="24"/>
      <c r="DY309" s="24"/>
      <c r="DZ309" s="24"/>
      <c r="EA309" s="24"/>
      <c r="EB309" s="24"/>
      <c r="EC309" s="24"/>
      <c r="ED309" s="24"/>
      <c r="EE309" s="24"/>
      <c r="EF309" s="24"/>
      <c r="EG309" s="24"/>
      <c r="EH309" s="24"/>
      <c r="EI309" s="24"/>
      <c r="EJ309" s="24"/>
      <c r="EK309" s="24"/>
      <c r="EL309" s="24"/>
      <c r="EM309" s="3"/>
      <c r="EN309" s="3"/>
      <c r="EO309" s="3"/>
      <c r="EP309" s="3"/>
      <c r="EQ309" s="3"/>
      <c r="ER309" s="3"/>
      <c r="ES309" s="3"/>
      <c r="ET309" s="3"/>
      <c r="EU309" s="3"/>
      <c r="EV309" s="3"/>
      <c r="EW309" s="3"/>
      <c r="EX309" s="3"/>
      <c r="EY309" s="3"/>
      <c r="EZ309" s="3"/>
      <c r="FA309" s="3"/>
      <c r="FB309" s="3"/>
      <c r="FC309" s="3"/>
      <c r="FD309" s="3"/>
      <c r="FE309" s="3"/>
      <c r="FF309" s="3"/>
      <c r="FG309" s="3"/>
      <c r="FH309" s="3"/>
      <c r="FI309" s="3"/>
      <c r="FJ309" s="3"/>
      <c r="FK309" s="3"/>
      <c r="FL309" s="3"/>
      <c r="FM309" s="3"/>
      <c r="FN309" s="3"/>
      <c r="FO309" s="3"/>
      <c r="FP309" s="3"/>
      <c r="FQ309" s="3"/>
      <c r="FR309" s="3"/>
      <c r="FS309" s="3"/>
      <c r="FT309" s="3"/>
      <c r="FU309" s="3"/>
      <c r="FV309" s="3"/>
      <c r="FW309" s="3"/>
      <c r="FX309" s="3"/>
      <c r="FY309" s="3"/>
      <c r="FZ309" s="3"/>
      <c r="GA309" s="3"/>
      <c r="GB309" s="3"/>
      <c r="GC309" s="3"/>
      <c r="GD309" s="3"/>
      <c r="GE309" s="3"/>
      <c r="GF309" s="3"/>
      <c r="GG309" s="3"/>
      <c r="GH309" s="3"/>
      <c r="GI309" s="3"/>
      <c r="GJ309" s="3"/>
      <c r="GK309" s="3"/>
      <c r="GL309" s="3"/>
      <c r="GM309" s="3"/>
      <c r="GN309" s="3"/>
      <c r="GO309" s="3"/>
      <c r="GP309" s="3"/>
      <c r="GQ309" s="3"/>
      <c r="GR309" s="3"/>
      <c r="GS309" s="3"/>
      <c r="GT309" s="3"/>
      <c r="GU309" s="3"/>
      <c r="GV309" s="3"/>
      <c r="GW309" s="3"/>
      <c r="GX309" s="3"/>
      <c r="GY309" s="3"/>
      <c r="GZ309" s="3"/>
      <c r="HA309" s="3"/>
      <c r="HB309" s="3"/>
      <c r="HC309" s="3"/>
      <c r="HD309" s="3"/>
      <c r="HE309" s="3"/>
      <c r="HF309" s="3"/>
      <c r="HG309" s="3"/>
      <c r="HH309" s="3"/>
      <c r="HI309" s="3"/>
      <c r="HJ309" s="3"/>
      <c r="HK309" s="3"/>
      <c r="HL309" s="3"/>
      <c r="HM309" s="3"/>
      <c r="HN309" s="3"/>
      <c r="HO309" s="3"/>
      <c r="HP309" s="3"/>
      <c r="HQ309" s="3"/>
      <c r="HR309" s="3"/>
      <c r="HS309" s="3"/>
      <c r="HT309" s="3"/>
      <c r="HU309" s="3"/>
      <c r="HV309" s="3"/>
      <c r="HW309" s="3"/>
      <c r="HX309" s="3"/>
      <c r="HY309" s="3"/>
      <c r="HZ309" s="3"/>
      <c r="IA309" s="3"/>
      <c r="IB309" s="3"/>
      <c r="IC309" s="3"/>
      <c r="ID309" s="3"/>
      <c r="IE309" s="3"/>
      <c r="IF309" s="3"/>
      <c r="IG309" s="3"/>
      <c r="IH309" s="3"/>
      <c r="II309" s="3"/>
      <c r="IJ309" s="3"/>
      <c r="IK309" s="3"/>
      <c r="IL309" s="3"/>
      <c r="IM309" s="3"/>
      <c r="IN309" s="3"/>
      <c r="IO309" s="3"/>
      <c r="IP309" s="3"/>
      <c r="IQ309" s="3"/>
      <c r="IR309" s="3"/>
      <c r="IS309" s="3"/>
      <c r="IT309" s="3"/>
      <c r="IU309" s="3"/>
      <c r="IV309" s="3"/>
      <c r="IW309" s="3"/>
    </row>
    <row r="310" customFormat="false" ht="12.75" hidden="false" customHeight="false" outlineLevel="0" collapsed="false">
      <c r="A310" s="3"/>
      <c r="B310" s="177" t="s">
        <v>384</v>
      </c>
      <c r="C310" s="155"/>
      <c r="D310" s="22"/>
      <c r="E310" s="3"/>
      <c r="F310" s="22"/>
      <c r="G310" s="23"/>
      <c r="H310" s="24"/>
      <c r="I310" s="24"/>
      <c r="J310" s="24"/>
      <c r="K310" s="24"/>
      <c r="L310" s="24"/>
      <c r="M310" s="24"/>
      <c r="N310" s="24"/>
      <c r="O310" s="24"/>
      <c r="P310" s="24"/>
      <c r="Q310" s="24"/>
      <c r="R310" s="24"/>
      <c r="S310" s="24"/>
      <c r="T310" s="24"/>
      <c r="U310" s="24"/>
      <c r="V310" s="24"/>
      <c r="W310" s="24"/>
      <c r="X310" s="24"/>
      <c r="Y310" s="24"/>
      <c r="Z310" s="24"/>
      <c r="AA310" s="24"/>
      <c r="AB310" s="24"/>
      <c r="AC310" s="24"/>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c r="BH310" s="24"/>
      <c r="BI310" s="24"/>
      <c r="BJ310" s="24"/>
      <c r="BK310" s="24"/>
      <c r="BL310" s="24"/>
      <c r="BM310" s="24"/>
      <c r="BN310" s="24"/>
      <c r="BO310" s="24"/>
      <c r="BP310" s="24"/>
      <c r="BQ310" s="24"/>
      <c r="BR310" s="24"/>
      <c r="BS310" s="24"/>
      <c r="BT310" s="24"/>
      <c r="BU310" s="24"/>
      <c r="BV310" s="24"/>
      <c r="BW310" s="24"/>
      <c r="BX310" s="24"/>
      <c r="BY310" s="24"/>
      <c r="BZ310" s="24"/>
      <c r="CA310" s="24"/>
      <c r="CB310" s="24"/>
      <c r="CC310" s="24"/>
      <c r="CD310" s="24"/>
      <c r="CE310" s="24"/>
      <c r="CF310" s="24"/>
      <c r="CG310" s="24"/>
      <c r="CH310" s="24"/>
      <c r="CI310" s="24"/>
      <c r="CJ310" s="24"/>
      <c r="CK310" s="24"/>
      <c r="CL310" s="24"/>
      <c r="CM310" s="24"/>
      <c r="CN310" s="24"/>
      <c r="CO310" s="24"/>
      <c r="CP310" s="24"/>
      <c r="CQ310" s="24"/>
      <c r="CR310" s="24"/>
      <c r="CS310" s="24"/>
      <c r="CT310" s="24"/>
      <c r="CU310" s="24"/>
      <c r="CV310" s="24"/>
      <c r="CW310" s="24"/>
      <c r="CX310" s="24"/>
      <c r="CY310" s="24"/>
      <c r="CZ310" s="24"/>
      <c r="DA310" s="24"/>
      <c r="DB310" s="24"/>
      <c r="DC310" s="24"/>
      <c r="DD310" s="24"/>
      <c r="DE310" s="24"/>
      <c r="DF310" s="24"/>
      <c r="DG310" s="24"/>
      <c r="DH310" s="24"/>
      <c r="DI310" s="24"/>
      <c r="DJ310" s="24"/>
      <c r="DK310" s="24"/>
      <c r="DL310" s="24"/>
      <c r="DM310" s="24"/>
      <c r="DN310" s="24"/>
      <c r="DO310" s="24"/>
      <c r="DP310" s="24"/>
      <c r="DQ310" s="24"/>
      <c r="DR310" s="24"/>
      <c r="DS310" s="24"/>
      <c r="DT310" s="24"/>
      <c r="DU310" s="24"/>
      <c r="DV310" s="24"/>
      <c r="DW310" s="24"/>
      <c r="DX310" s="24"/>
      <c r="DY310" s="24"/>
      <c r="DZ310" s="24"/>
      <c r="EA310" s="24"/>
      <c r="EB310" s="24"/>
      <c r="EC310" s="24"/>
      <c r="ED310" s="24"/>
      <c r="EE310" s="24"/>
      <c r="EF310" s="24"/>
      <c r="EG310" s="24"/>
      <c r="EH310" s="24"/>
      <c r="EI310" s="24"/>
      <c r="EJ310" s="24"/>
      <c r="EK310" s="24"/>
      <c r="EL310" s="24"/>
      <c r="EM310" s="3"/>
      <c r="EN310" s="3"/>
      <c r="EO310" s="3"/>
      <c r="EP310" s="3"/>
      <c r="EQ310" s="3"/>
      <c r="ER310" s="3"/>
      <c r="ES310" s="3"/>
      <c r="ET310" s="3"/>
      <c r="EU310" s="3"/>
      <c r="EV310" s="3"/>
      <c r="EW310" s="3"/>
      <c r="EX310" s="3"/>
      <c r="EY310" s="3"/>
      <c r="EZ310" s="3"/>
      <c r="FA310" s="3"/>
      <c r="FB310" s="3"/>
      <c r="FC310" s="3"/>
      <c r="FD310" s="3"/>
      <c r="FE310" s="3"/>
      <c r="FF310" s="3"/>
      <c r="FG310" s="3"/>
      <c r="FH310" s="3"/>
      <c r="FI310" s="3"/>
      <c r="FJ310" s="3"/>
      <c r="FK310" s="3"/>
      <c r="FL310" s="3"/>
      <c r="FM310" s="3"/>
      <c r="FN310" s="3"/>
      <c r="FO310" s="3"/>
      <c r="FP310" s="3"/>
      <c r="FQ310" s="3"/>
      <c r="FR310" s="3"/>
      <c r="FS310" s="3"/>
      <c r="FT310" s="3"/>
      <c r="FU310" s="3"/>
      <c r="FV310" s="3"/>
      <c r="FW310" s="3"/>
      <c r="FX310" s="3"/>
      <c r="FY310" s="3"/>
      <c r="FZ310" s="3"/>
      <c r="GA310" s="3"/>
      <c r="GB310" s="3"/>
      <c r="GC310" s="3"/>
      <c r="GD310" s="3"/>
      <c r="GE310" s="3"/>
      <c r="GF310" s="3"/>
      <c r="GG310" s="3"/>
      <c r="GH310" s="3"/>
      <c r="GI310" s="3"/>
      <c r="GJ310" s="3"/>
      <c r="GK310" s="3"/>
      <c r="GL310" s="3"/>
      <c r="GM310" s="3"/>
      <c r="GN310" s="3"/>
      <c r="GO310" s="3"/>
      <c r="GP310" s="3"/>
      <c r="GQ310" s="3"/>
      <c r="GR310" s="3"/>
      <c r="GS310" s="3"/>
      <c r="GT310" s="3"/>
      <c r="GU310" s="3"/>
      <c r="GV310" s="3"/>
      <c r="GW310" s="3"/>
      <c r="GX310" s="3"/>
      <c r="GY310" s="3"/>
      <c r="GZ310" s="3"/>
      <c r="HA310" s="3"/>
      <c r="HB310" s="3"/>
      <c r="HC310" s="3"/>
      <c r="HD310" s="3"/>
      <c r="HE310" s="3"/>
      <c r="HF310" s="3"/>
      <c r="HG310" s="3"/>
      <c r="HH310" s="3"/>
      <c r="HI310" s="3"/>
      <c r="HJ310" s="3"/>
      <c r="HK310" s="3"/>
      <c r="HL310" s="3"/>
      <c r="HM310" s="3"/>
      <c r="HN310" s="3"/>
      <c r="HO310" s="3"/>
      <c r="HP310" s="3"/>
      <c r="HQ310" s="3"/>
      <c r="HR310" s="3"/>
      <c r="HS310" s="3"/>
      <c r="HT310" s="3"/>
      <c r="HU310" s="3"/>
      <c r="HV310" s="3"/>
      <c r="HW310" s="3"/>
      <c r="HX310" s="3"/>
      <c r="HY310" s="3"/>
      <c r="HZ310" s="3"/>
      <c r="IA310" s="3"/>
      <c r="IB310" s="3"/>
      <c r="IC310" s="3"/>
      <c r="ID310" s="3"/>
      <c r="IE310" s="3"/>
      <c r="IF310" s="3"/>
      <c r="IG310" s="3"/>
      <c r="IH310" s="3"/>
      <c r="II310" s="3"/>
      <c r="IJ310" s="3"/>
      <c r="IK310" s="3"/>
      <c r="IL310" s="3"/>
      <c r="IM310" s="3"/>
      <c r="IN310" s="3"/>
      <c r="IO310" s="3"/>
      <c r="IP310" s="3"/>
      <c r="IQ310" s="3"/>
      <c r="IR310" s="3"/>
      <c r="IS310" s="3"/>
      <c r="IT310" s="3"/>
      <c r="IU310" s="3"/>
      <c r="IV310" s="3"/>
      <c r="IW310" s="3"/>
    </row>
    <row r="311" customFormat="false" ht="12.75" hidden="false" customHeight="false" outlineLevel="0" collapsed="false">
      <c r="A311" s="3"/>
      <c r="B311" s="24"/>
      <c r="C311" s="24"/>
      <c r="D311" s="22"/>
      <c r="E311" s="24"/>
      <c r="F311" s="22"/>
      <c r="G311" s="23"/>
      <c r="H311" s="24"/>
      <c r="I311" s="24"/>
      <c r="J311" s="24"/>
      <c r="K311" s="24"/>
      <c r="L311" s="24"/>
      <c r="M311" s="24"/>
      <c r="N311" s="24"/>
      <c r="O311" s="24"/>
      <c r="P311" s="24"/>
      <c r="Q311" s="24"/>
      <c r="R311" s="24"/>
      <c r="S311" s="24"/>
      <c r="T311" s="24"/>
      <c r="U311" s="24"/>
      <c r="V311" s="24"/>
      <c r="W311" s="24"/>
      <c r="X311" s="24"/>
      <c r="Y311" s="24"/>
      <c r="Z311" s="24"/>
      <c r="AA311" s="24"/>
      <c r="AB311" s="24"/>
      <c r="AC311" s="24"/>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c r="BH311" s="24"/>
      <c r="BI311" s="24"/>
      <c r="BJ311" s="24"/>
      <c r="BK311" s="24"/>
      <c r="BL311" s="24"/>
      <c r="BM311" s="24"/>
      <c r="BN311" s="24"/>
      <c r="BO311" s="24"/>
      <c r="BP311" s="24"/>
      <c r="BQ311" s="24"/>
      <c r="BR311" s="24"/>
      <c r="BS311" s="24"/>
      <c r="BT311" s="24"/>
      <c r="BU311" s="24"/>
      <c r="BV311" s="24"/>
      <c r="BW311" s="24"/>
      <c r="BX311" s="24"/>
      <c r="BY311" s="24"/>
      <c r="BZ311" s="24"/>
      <c r="CA311" s="24"/>
      <c r="CB311" s="24"/>
      <c r="CC311" s="24"/>
      <c r="CD311" s="24"/>
      <c r="CE311" s="24"/>
      <c r="CF311" s="24"/>
      <c r="CG311" s="24"/>
      <c r="CH311" s="24"/>
      <c r="CI311" s="24"/>
      <c r="CJ311" s="24"/>
      <c r="CK311" s="24"/>
      <c r="CL311" s="24"/>
      <c r="CM311" s="24"/>
      <c r="CN311" s="24"/>
      <c r="CO311" s="24"/>
      <c r="CP311" s="24"/>
      <c r="CQ311" s="24"/>
      <c r="CR311" s="24"/>
      <c r="CS311" s="24"/>
      <c r="CT311" s="24"/>
      <c r="CU311" s="24"/>
      <c r="CV311" s="24"/>
      <c r="CW311" s="24"/>
      <c r="CX311" s="24"/>
      <c r="CY311" s="24"/>
      <c r="CZ311" s="24"/>
      <c r="DA311" s="24"/>
      <c r="DB311" s="24"/>
      <c r="DC311" s="24"/>
      <c r="DD311" s="24"/>
      <c r="DE311" s="24"/>
      <c r="DF311" s="24"/>
      <c r="DG311" s="24"/>
      <c r="DH311" s="24"/>
      <c r="DI311" s="24"/>
      <c r="DJ311" s="24"/>
      <c r="DK311" s="24"/>
      <c r="DL311" s="24"/>
      <c r="DM311" s="24"/>
      <c r="DN311" s="24"/>
      <c r="DO311" s="24"/>
      <c r="DP311" s="24"/>
      <c r="DQ311" s="24"/>
      <c r="DR311" s="24"/>
      <c r="DS311" s="24"/>
      <c r="DT311" s="24"/>
      <c r="DU311" s="24"/>
      <c r="DV311" s="24"/>
      <c r="DW311" s="24"/>
      <c r="DX311" s="24"/>
      <c r="DY311" s="24"/>
      <c r="DZ311" s="24"/>
      <c r="EA311" s="24"/>
      <c r="EB311" s="24"/>
      <c r="EC311" s="24"/>
      <c r="ED311" s="24"/>
      <c r="EE311" s="24"/>
      <c r="EF311" s="24"/>
      <c r="EG311" s="24"/>
      <c r="EH311" s="24"/>
      <c r="EI311" s="24"/>
      <c r="EJ311" s="24"/>
      <c r="EK311" s="24"/>
      <c r="EL311" s="24"/>
      <c r="EM311" s="3"/>
      <c r="EN311" s="3"/>
      <c r="EO311" s="3"/>
      <c r="EP311" s="3"/>
      <c r="EQ311" s="3"/>
      <c r="ER311" s="3"/>
      <c r="ES311" s="3"/>
      <c r="ET311" s="3"/>
      <c r="EU311" s="3"/>
      <c r="EV311" s="3"/>
      <c r="EW311" s="3"/>
      <c r="EX311" s="3"/>
      <c r="EY311" s="3"/>
      <c r="EZ311" s="3"/>
      <c r="FA311" s="3"/>
      <c r="FB311" s="3"/>
      <c r="FC311" s="3"/>
      <c r="FD311" s="3"/>
      <c r="FE311" s="3"/>
      <c r="FF311" s="3"/>
      <c r="FG311" s="3"/>
      <c r="FH311" s="3"/>
      <c r="FI311" s="3"/>
      <c r="FJ311" s="3"/>
      <c r="FK311" s="3"/>
      <c r="FL311" s="3"/>
      <c r="FM311" s="3"/>
      <c r="FN311" s="3"/>
      <c r="FO311" s="3"/>
      <c r="FP311" s="3"/>
      <c r="FQ311" s="3"/>
      <c r="FR311" s="3"/>
      <c r="FS311" s="3"/>
      <c r="FT311" s="3"/>
      <c r="FU311" s="3"/>
      <c r="FV311" s="3"/>
      <c r="FW311" s="3"/>
      <c r="FX311" s="3"/>
      <c r="FY311" s="3"/>
      <c r="FZ311" s="3"/>
      <c r="GA311" s="3"/>
      <c r="GB311" s="3"/>
      <c r="GC311" s="3"/>
      <c r="GD311" s="3"/>
      <c r="GE311" s="3"/>
      <c r="GF311" s="3"/>
      <c r="GG311" s="3"/>
      <c r="GH311" s="3"/>
      <c r="GI311" s="3"/>
      <c r="GJ311" s="3"/>
      <c r="GK311" s="3"/>
      <c r="GL311" s="3"/>
      <c r="GM311" s="3"/>
      <c r="GN311" s="3"/>
      <c r="GO311" s="3"/>
      <c r="GP311" s="3"/>
      <c r="GQ311" s="3"/>
      <c r="GR311" s="3"/>
      <c r="GS311" s="3"/>
      <c r="GT311" s="3"/>
      <c r="GU311" s="3"/>
      <c r="GV311" s="3"/>
      <c r="GW311" s="3"/>
      <c r="GX311" s="3"/>
      <c r="GY311" s="3"/>
      <c r="GZ311" s="3"/>
      <c r="HA311" s="3"/>
      <c r="HB311" s="3"/>
      <c r="HC311" s="3"/>
      <c r="HD311" s="3"/>
      <c r="HE311" s="3"/>
      <c r="HF311" s="3"/>
      <c r="HG311" s="3"/>
      <c r="HH311" s="3"/>
      <c r="HI311" s="3"/>
      <c r="HJ311" s="3"/>
      <c r="HK311" s="3"/>
      <c r="HL311" s="3"/>
      <c r="HM311" s="3"/>
      <c r="HN311" s="3"/>
      <c r="HO311" s="3"/>
      <c r="HP311" s="3"/>
      <c r="HQ311" s="3"/>
      <c r="HR311" s="3"/>
      <c r="HS311" s="3"/>
      <c r="HT311" s="3"/>
      <c r="HU311" s="3"/>
      <c r="HV311" s="3"/>
      <c r="HW311" s="3"/>
      <c r="HX311" s="3"/>
      <c r="HY311" s="3"/>
      <c r="HZ311" s="3"/>
      <c r="IA311" s="3"/>
      <c r="IB311" s="3"/>
      <c r="IC311" s="3"/>
      <c r="ID311" s="3"/>
      <c r="IE311" s="3"/>
      <c r="IF311" s="3"/>
      <c r="IG311" s="3"/>
      <c r="IH311" s="3"/>
      <c r="II311" s="3"/>
      <c r="IJ311" s="3"/>
      <c r="IK311" s="3"/>
      <c r="IL311" s="3"/>
      <c r="IM311" s="3"/>
      <c r="IN311" s="3"/>
      <c r="IO311" s="3"/>
      <c r="IP311" s="3"/>
      <c r="IQ311" s="3"/>
      <c r="IR311" s="3"/>
      <c r="IS311" s="3"/>
      <c r="IT311" s="3"/>
      <c r="IU311" s="3"/>
      <c r="IV311" s="3"/>
      <c r="IW311" s="3"/>
    </row>
    <row r="312" customFormat="false" ht="12.75" hidden="false" customHeight="false" outlineLevel="0" collapsed="false">
      <c r="A312" s="23"/>
      <c r="B312" s="290" t="s">
        <v>385</v>
      </c>
      <c r="C312" s="290"/>
      <c r="D312" s="300"/>
      <c r="E312" s="22"/>
      <c r="F312" s="22"/>
      <c r="G312" s="23"/>
      <c r="H312" s="24"/>
      <c r="I312" s="24"/>
      <c r="J312" s="24"/>
      <c r="K312" s="24"/>
      <c r="L312" s="24"/>
      <c r="M312" s="24"/>
      <c r="N312" s="24"/>
      <c r="O312" s="24"/>
      <c r="P312" s="24"/>
      <c r="Q312" s="24"/>
      <c r="R312" s="24"/>
      <c r="S312" s="24"/>
      <c r="T312" s="24"/>
      <c r="U312" s="24"/>
      <c r="V312" s="24"/>
      <c r="W312" s="24"/>
      <c r="X312" s="24"/>
      <c r="Y312" s="24"/>
      <c r="Z312" s="24"/>
      <c r="AA312" s="24"/>
      <c r="AB312" s="24"/>
      <c r="AC312" s="24"/>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c r="BH312" s="24"/>
      <c r="BI312" s="24"/>
      <c r="BJ312" s="24"/>
      <c r="BK312" s="24"/>
      <c r="BL312" s="24"/>
      <c r="BM312" s="24"/>
      <c r="BN312" s="24"/>
      <c r="BO312" s="24"/>
      <c r="BP312" s="24"/>
      <c r="BQ312" s="24"/>
      <c r="BR312" s="24"/>
      <c r="BS312" s="24"/>
      <c r="BT312" s="24"/>
      <c r="BU312" s="24"/>
      <c r="BV312" s="24"/>
      <c r="BW312" s="24"/>
      <c r="BX312" s="24"/>
      <c r="BY312" s="24"/>
      <c r="BZ312" s="24"/>
      <c r="CA312" s="24"/>
      <c r="CB312" s="24"/>
      <c r="CC312" s="24"/>
      <c r="CD312" s="24"/>
      <c r="CE312" s="24"/>
      <c r="CF312" s="24"/>
      <c r="CG312" s="24"/>
      <c r="CH312" s="24"/>
      <c r="CI312" s="24"/>
      <c r="CJ312" s="24"/>
      <c r="CK312" s="24"/>
      <c r="CL312" s="24"/>
      <c r="CM312" s="24"/>
      <c r="CN312" s="24"/>
      <c r="CO312" s="24"/>
      <c r="CP312" s="24"/>
      <c r="CQ312" s="24"/>
      <c r="CR312" s="24"/>
      <c r="CS312" s="24"/>
      <c r="CT312" s="24"/>
      <c r="CU312" s="24"/>
      <c r="CV312" s="24"/>
      <c r="CW312" s="24"/>
      <c r="CX312" s="24"/>
      <c r="CY312" s="24"/>
      <c r="CZ312" s="24"/>
      <c r="DA312" s="24"/>
      <c r="DB312" s="24"/>
      <c r="DC312" s="24"/>
      <c r="DD312" s="24"/>
      <c r="DE312" s="24"/>
      <c r="DF312" s="24"/>
      <c r="DG312" s="24"/>
      <c r="DH312" s="24"/>
      <c r="DI312" s="24"/>
      <c r="DJ312" s="24"/>
      <c r="DK312" s="24"/>
      <c r="DL312" s="24"/>
      <c r="DM312" s="24"/>
      <c r="DN312" s="24"/>
      <c r="DO312" s="24"/>
      <c r="DP312" s="24"/>
      <c r="DQ312" s="24"/>
      <c r="DR312" s="24"/>
      <c r="DS312" s="24"/>
      <c r="DT312" s="24"/>
      <c r="DU312" s="24"/>
      <c r="DV312" s="24"/>
      <c r="DW312" s="24"/>
      <c r="DX312" s="24"/>
      <c r="DY312" s="24"/>
      <c r="DZ312" s="24"/>
      <c r="EA312" s="24"/>
      <c r="EB312" s="24"/>
      <c r="EC312" s="24"/>
      <c r="ED312" s="24"/>
      <c r="EE312" s="24"/>
      <c r="EF312" s="24"/>
      <c r="EG312" s="24"/>
      <c r="EH312" s="24"/>
      <c r="EI312" s="24"/>
      <c r="EJ312" s="24"/>
      <c r="EK312" s="24"/>
      <c r="EL312" s="24"/>
      <c r="EM312" s="3"/>
      <c r="EN312" s="3"/>
      <c r="EO312" s="3"/>
      <c r="EP312" s="3"/>
      <c r="EQ312" s="3"/>
      <c r="ER312" s="3"/>
      <c r="ES312" s="3"/>
      <c r="ET312" s="3"/>
      <c r="EU312" s="3"/>
      <c r="EV312" s="3"/>
      <c r="EW312" s="3"/>
      <c r="EX312" s="3"/>
      <c r="EY312" s="3"/>
      <c r="EZ312" s="3"/>
      <c r="FA312" s="3"/>
      <c r="FB312" s="3"/>
      <c r="FC312" s="3"/>
      <c r="FD312" s="3"/>
      <c r="FE312" s="3"/>
      <c r="FF312" s="3"/>
      <c r="FG312" s="3"/>
      <c r="FH312" s="3"/>
      <c r="FI312" s="3"/>
      <c r="FJ312" s="3"/>
      <c r="FK312" s="3"/>
      <c r="FL312" s="3"/>
      <c r="FM312" s="3"/>
      <c r="FN312" s="3"/>
      <c r="FO312" s="3"/>
      <c r="FP312" s="3"/>
      <c r="FQ312" s="3"/>
      <c r="FR312" s="3"/>
      <c r="FS312" s="3"/>
      <c r="FT312" s="3"/>
      <c r="FU312" s="3"/>
      <c r="FV312" s="3"/>
      <c r="FW312" s="3"/>
      <c r="FX312" s="3"/>
      <c r="FY312" s="3"/>
      <c r="FZ312" s="3"/>
      <c r="GA312" s="3"/>
      <c r="GB312" s="3"/>
      <c r="GC312" s="3"/>
      <c r="GD312" s="3"/>
      <c r="GE312" s="3"/>
      <c r="GF312" s="3"/>
      <c r="GG312" s="3"/>
      <c r="GH312" s="3"/>
      <c r="GI312" s="3"/>
      <c r="GJ312" s="3"/>
      <c r="GK312" s="3"/>
      <c r="GL312" s="3"/>
      <c r="GM312" s="3"/>
      <c r="GN312" s="3"/>
      <c r="GO312" s="3"/>
      <c r="GP312" s="3"/>
      <c r="GQ312" s="3"/>
      <c r="GR312" s="3"/>
      <c r="GS312" s="3"/>
      <c r="GT312" s="3"/>
      <c r="GU312" s="3"/>
      <c r="GV312" s="3"/>
      <c r="GW312" s="3"/>
      <c r="GX312" s="3"/>
      <c r="GY312" s="3"/>
      <c r="GZ312" s="3"/>
      <c r="HA312" s="3"/>
      <c r="HB312" s="3"/>
      <c r="HC312" s="3"/>
      <c r="HD312" s="3"/>
      <c r="HE312" s="3"/>
      <c r="HF312" s="3"/>
      <c r="HG312" s="3"/>
      <c r="HH312" s="3"/>
      <c r="HI312" s="3"/>
      <c r="HJ312" s="3"/>
      <c r="HK312" s="3"/>
      <c r="HL312" s="3"/>
      <c r="HM312" s="3"/>
      <c r="HN312" s="3"/>
      <c r="HO312" s="3"/>
      <c r="HP312" s="3"/>
      <c r="HQ312" s="3"/>
      <c r="HR312" s="3"/>
      <c r="HS312" s="3"/>
      <c r="HT312" s="3"/>
      <c r="HU312" s="3"/>
      <c r="HV312" s="3"/>
      <c r="HW312" s="3"/>
      <c r="HX312" s="3"/>
      <c r="HY312" s="3"/>
      <c r="HZ312" s="3"/>
      <c r="IA312" s="3"/>
      <c r="IB312" s="3"/>
      <c r="IC312" s="3"/>
      <c r="ID312" s="3"/>
      <c r="IE312" s="3"/>
      <c r="IF312" s="3"/>
      <c r="IG312" s="3"/>
      <c r="IH312" s="3"/>
      <c r="II312" s="3"/>
      <c r="IJ312" s="3"/>
      <c r="IK312" s="3"/>
      <c r="IL312" s="3"/>
      <c r="IM312" s="3"/>
      <c r="IN312" s="3"/>
      <c r="IO312" s="3"/>
      <c r="IP312" s="3"/>
      <c r="IQ312" s="3"/>
      <c r="IR312" s="3"/>
      <c r="IS312" s="3"/>
      <c r="IT312" s="3"/>
      <c r="IU312" s="3"/>
      <c r="IV312" s="3"/>
      <c r="IW312" s="3"/>
    </row>
    <row r="313" customFormat="false" ht="12.75" hidden="false" customHeight="false" outlineLevel="0" collapsed="false">
      <c r="A313" s="23"/>
      <c r="B313" s="22" t="s">
        <v>386</v>
      </c>
      <c r="C313" s="22"/>
      <c r="D313" s="22"/>
      <c r="E313" s="56" t="n">
        <v>0.015</v>
      </c>
      <c r="F313" s="58" t="s">
        <v>154</v>
      </c>
      <c r="G313" s="23"/>
      <c r="H313" s="24"/>
      <c r="I313" s="24"/>
      <c r="J313" s="24"/>
      <c r="K313" s="24"/>
      <c r="L313" s="24"/>
      <c r="M313" s="24"/>
      <c r="N313" s="24"/>
      <c r="O313" s="24"/>
      <c r="P313" s="24"/>
      <c r="Q313" s="24"/>
      <c r="R313" s="24"/>
      <c r="S313" s="24"/>
      <c r="T313" s="24"/>
      <c r="U313" s="24"/>
      <c r="V313" s="24"/>
      <c r="W313" s="24"/>
      <c r="X313" s="24"/>
      <c r="Y313" s="24"/>
      <c r="Z313" s="24"/>
      <c r="AA313" s="24"/>
      <c r="AB313" s="24"/>
      <c r="AC313" s="24"/>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c r="BH313" s="24"/>
      <c r="BI313" s="24"/>
      <c r="BJ313" s="24"/>
      <c r="BK313" s="24"/>
      <c r="BL313" s="24"/>
      <c r="BM313" s="24"/>
      <c r="BN313" s="24"/>
      <c r="BO313" s="24"/>
      <c r="BP313" s="24"/>
      <c r="BQ313" s="24"/>
      <c r="BR313" s="24"/>
      <c r="BS313" s="24"/>
      <c r="BT313" s="24"/>
      <c r="BU313" s="24"/>
      <c r="BV313" s="24"/>
      <c r="BW313" s="24"/>
      <c r="BX313" s="24"/>
      <c r="BY313" s="24"/>
      <c r="BZ313" s="24"/>
      <c r="CA313" s="24"/>
      <c r="CB313" s="24"/>
      <c r="CC313" s="24"/>
      <c r="CD313" s="24"/>
      <c r="CE313" s="24"/>
      <c r="CF313" s="24"/>
      <c r="CG313" s="24"/>
      <c r="CH313" s="24"/>
      <c r="CI313" s="24"/>
      <c r="CJ313" s="24"/>
      <c r="CK313" s="24"/>
      <c r="CL313" s="24"/>
      <c r="CM313" s="24"/>
      <c r="CN313" s="24"/>
      <c r="CO313" s="24"/>
      <c r="CP313" s="24"/>
      <c r="CQ313" s="24"/>
      <c r="CR313" s="24"/>
      <c r="CS313" s="24"/>
      <c r="CT313" s="24"/>
      <c r="CU313" s="24"/>
      <c r="CV313" s="24"/>
      <c r="CW313" s="24"/>
      <c r="CX313" s="24"/>
      <c r="CY313" s="24"/>
      <c r="CZ313" s="24"/>
      <c r="DA313" s="24"/>
      <c r="DB313" s="24"/>
      <c r="DC313" s="24"/>
      <c r="DD313" s="24"/>
      <c r="DE313" s="24"/>
      <c r="DF313" s="24"/>
      <c r="DG313" s="24"/>
      <c r="DH313" s="24"/>
      <c r="DI313" s="24"/>
      <c r="DJ313" s="24"/>
      <c r="DK313" s="24"/>
      <c r="DL313" s="24"/>
      <c r="DM313" s="24"/>
      <c r="DN313" s="24"/>
      <c r="DO313" s="24"/>
      <c r="DP313" s="24"/>
      <c r="DQ313" s="24"/>
      <c r="DR313" s="24"/>
      <c r="DS313" s="24"/>
      <c r="DT313" s="24"/>
      <c r="DU313" s="24"/>
      <c r="DV313" s="24"/>
      <c r="DW313" s="24"/>
      <c r="DX313" s="24"/>
      <c r="DY313" s="24"/>
      <c r="DZ313" s="24"/>
      <c r="EA313" s="24"/>
      <c r="EB313" s="24"/>
      <c r="EC313" s="24"/>
      <c r="ED313" s="24"/>
      <c r="EE313" s="24"/>
      <c r="EF313" s="24"/>
      <c r="EG313" s="24"/>
      <c r="EH313" s="24"/>
      <c r="EI313" s="24"/>
      <c r="EJ313" s="24"/>
      <c r="EK313" s="24"/>
      <c r="EL313" s="24"/>
      <c r="EM313" s="3"/>
      <c r="EN313" s="3"/>
      <c r="EO313" s="3"/>
      <c r="EP313" s="3"/>
      <c r="EQ313" s="3"/>
      <c r="ER313" s="3"/>
      <c r="ES313" s="3"/>
      <c r="ET313" s="3"/>
      <c r="EU313" s="3"/>
      <c r="EV313" s="3"/>
      <c r="EW313" s="3"/>
      <c r="EX313" s="3"/>
      <c r="EY313" s="3"/>
      <c r="EZ313" s="3"/>
      <c r="FA313" s="3"/>
      <c r="FB313" s="3"/>
      <c r="FC313" s="3"/>
      <c r="FD313" s="3"/>
      <c r="FE313" s="3"/>
      <c r="FF313" s="3"/>
      <c r="FG313" s="3"/>
      <c r="FH313" s="3"/>
      <c r="FI313" s="3"/>
      <c r="FJ313" s="3"/>
      <c r="FK313" s="3"/>
      <c r="FL313" s="3"/>
      <c r="FM313" s="3"/>
      <c r="FN313" s="3"/>
      <c r="FO313" s="3"/>
      <c r="FP313" s="3"/>
      <c r="FQ313" s="3"/>
      <c r="FR313" s="3"/>
      <c r="FS313" s="3"/>
      <c r="FT313" s="3"/>
      <c r="FU313" s="3"/>
      <c r="FV313" s="3"/>
      <c r="FW313" s="3"/>
      <c r="FX313" s="3"/>
      <c r="FY313" s="3"/>
      <c r="FZ313" s="3"/>
      <c r="GA313" s="3"/>
      <c r="GB313" s="3"/>
      <c r="GC313" s="3"/>
      <c r="GD313" s="3"/>
      <c r="GE313" s="3"/>
      <c r="GF313" s="3"/>
      <c r="GG313" s="3"/>
      <c r="GH313" s="3"/>
      <c r="GI313" s="3"/>
      <c r="GJ313" s="3"/>
      <c r="GK313" s="3"/>
      <c r="GL313" s="3"/>
      <c r="GM313" s="3"/>
      <c r="GN313" s="3"/>
      <c r="GO313" s="3"/>
      <c r="GP313" s="3"/>
      <c r="GQ313" s="3"/>
      <c r="GR313" s="3"/>
      <c r="GS313" s="3"/>
      <c r="GT313" s="3"/>
      <c r="GU313" s="3"/>
      <c r="GV313" s="3"/>
      <c r="GW313" s="3"/>
      <c r="GX313" s="3"/>
      <c r="GY313" s="3"/>
      <c r="GZ313" s="3"/>
      <c r="HA313" s="3"/>
      <c r="HB313" s="3"/>
      <c r="HC313" s="3"/>
      <c r="HD313" s="3"/>
      <c r="HE313" s="3"/>
      <c r="HF313" s="3"/>
      <c r="HG313" s="3"/>
      <c r="HH313" s="3"/>
      <c r="HI313" s="3"/>
      <c r="HJ313" s="3"/>
      <c r="HK313" s="3"/>
      <c r="HL313" s="3"/>
      <c r="HM313" s="3"/>
      <c r="HN313" s="3"/>
      <c r="HO313" s="3"/>
      <c r="HP313" s="3"/>
      <c r="HQ313" s="3"/>
      <c r="HR313" s="3"/>
      <c r="HS313" s="3"/>
      <c r="HT313" s="3"/>
      <c r="HU313" s="3"/>
      <c r="HV313" s="3"/>
      <c r="HW313" s="3"/>
      <c r="HX313" s="3"/>
      <c r="HY313" s="3"/>
      <c r="HZ313" s="3"/>
      <c r="IA313" s="3"/>
      <c r="IB313" s="3"/>
      <c r="IC313" s="3"/>
      <c r="ID313" s="3"/>
      <c r="IE313" s="3"/>
      <c r="IF313" s="3"/>
      <c r="IG313" s="3"/>
      <c r="IH313" s="3"/>
      <c r="II313" s="3"/>
      <c r="IJ313" s="3"/>
      <c r="IK313" s="3"/>
      <c r="IL313" s="3"/>
      <c r="IM313" s="3"/>
      <c r="IN313" s="3"/>
      <c r="IO313" s="3"/>
      <c r="IP313" s="3"/>
      <c r="IQ313" s="3"/>
      <c r="IR313" s="3"/>
      <c r="IS313" s="3"/>
      <c r="IT313" s="3"/>
      <c r="IU313" s="3"/>
      <c r="IV313" s="3"/>
      <c r="IW313" s="3"/>
    </row>
    <row r="314" customFormat="false" ht="12.75" hidden="false" customHeight="false" outlineLevel="0" collapsed="false">
      <c r="A314" s="23"/>
      <c r="B314" s="22" t="s">
        <v>387</v>
      </c>
      <c r="C314" s="22"/>
      <c r="D314" s="22"/>
      <c r="E314" s="56" t="n">
        <v>0.015</v>
      </c>
      <c r="F314" s="58" t="s">
        <v>154</v>
      </c>
      <c r="G314" s="23"/>
      <c r="H314" s="24"/>
      <c r="I314" s="24"/>
      <c r="J314" s="24"/>
      <c r="K314" s="24"/>
      <c r="L314" s="24"/>
      <c r="M314" s="24"/>
      <c r="N314" s="24"/>
      <c r="O314" s="24"/>
      <c r="P314" s="24"/>
      <c r="Q314" s="24"/>
      <c r="R314" s="24"/>
      <c r="S314" s="24"/>
      <c r="T314" s="24"/>
      <c r="U314" s="24"/>
      <c r="V314" s="24"/>
      <c r="W314" s="24"/>
      <c r="X314" s="24"/>
      <c r="Y314" s="24"/>
      <c r="Z314" s="24"/>
      <c r="AA314" s="24"/>
      <c r="AB314" s="24"/>
      <c r="AC314" s="24"/>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c r="BH314" s="24"/>
      <c r="BI314" s="24"/>
      <c r="BJ314" s="24"/>
      <c r="BK314" s="24"/>
      <c r="BL314" s="24"/>
      <c r="BM314" s="24"/>
      <c r="BN314" s="24"/>
      <c r="BO314" s="24"/>
      <c r="BP314" s="24"/>
      <c r="BQ314" s="24"/>
      <c r="BR314" s="24"/>
      <c r="BS314" s="24"/>
      <c r="BT314" s="24"/>
      <c r="BU314" s="24"/>
      <c r="BV314" s="24"/>
      <c r="BW314" s="24"/>
      <c r="BX314" s="24"/>
      <c r="BY314" s="24"/>
      <c r="BZ314" s="24"/>
      <c r="CA314" s="24"/>
      <c r="CB314" s="24"/>
      <c r="CC314" s="24"/>
      <c r="CD314" s="24"/>
      <c r="CE314" s="24"/>
      <c r="CF314" s="24"/>
      <c r="CG314" s="24"/>
      <c r="CH314" s="24"/>
      <c r="CI314" s="24"/>
      <c r="CJ314" s="24"/>
      <c r="CK314" s="24"/>
      <c r="CL314" s="24"/>
      <c r="CM314" s="24"/>
      <c r="CN314" s="24"/>
      <c r="CO314" s="24"/>
      <c r="CP314" s="24"/>
      <c r="CQ314" s="24"/>
      <c r="CR314" s="24"/>
      <c r="CS314" s="24"/>
      <c r="CT314" s="24"/>
      <c r="CU314" s="24"/>
      <c r="CV314" s="24"/>
      <c r="CW314" s="24"/>
      <c r="CX314" s="24"/>
      <c r="CY314" s="24"/>
      <c r="CZ314" s="24"/>
      <c r="DA314" s="24"/>
      <c r="DB314" s="24"/>
      <c r="DC314" s="24"/>
      <c r="DD314" s="24"/>
      <c r="DE314" s="24"/>
      <c r="DF314" s="24"/>
      <c r="DG314" s="24"/>
      <c r="DH314" s="24"/>
      <c r="DI314" s="24"/>
      <c r="DJ314" s="24"/>
      <c r="DK314" s="24"/>
      <c r="DL314" s="24"/>
      <c r="DM314" s="24"/>
      <c r="DN314" s="24"/>
      <c r="DO314" s="24"/>
      <c r="DP314" s="24"/>
      <c r="DQ314" s="24"/>
      <c r="DR314" s="24"/>
      <c r="DS314" s="24"/>
      <c r="DT314" s="24"/>
      <c r="DU314" s="24"/>
      <c r="DV314" s="24"/>
      <c r="DW314" s="24"/>
      <c r="DX314" s="24"/>
      <c r="DY314" s="24"/>
      <c r="DZ314" s="24"/>
      <c r="EA314" s="24"/>
      <c r="EB314" s="24"/>
      <c r="EC314" s="24"/>
      <c r="ED314" s="24"/>
      <c r="EE314" s="24"/>
      <c r="EF314" s="24"/>
      <c r="EG314" s="24"/>
      <c r="EH314" s="24"/>
      <c r="EI314" s="24"/>
      <c r="EJ314" s="24"/>
      <c r="EK314" s="24"/>
      <c r="EL314" s="24"/>
      <c r="EM314" s="3"/>
      <c r="EN314" s="3"/>
      <c r="EO314" s="3"/>
      <c r="EP314" s="3"/>
      <c r="EQ314" s="3"/>
      <c r="ER314" s="3"/>
      <c r="ES314" s="3"/>
      <c r="ET314" s="3"/>
      <c r="EU314" s="3"/>
      <c r="EV314" s="3"/>
      <c r="EW314" s="3"/>
      <c r="EX314" s="3"/>
      <c r="EY314" s="3"/>
      <c r="EZ314" s="3"/>
      <c r="FA314" s="3"/>
      <c r="FB314" s="3"/>
      <c r="FC314" s="3"/>
      <c r="FD314" s="3"/>
      <c r="FE314" s="3"/>
      <c r="FF314" s="3"/>
      <c r="FG314" s="3"/>
      <c r="FH314" s="3"/>
      <c r="FI314" s="3"/>
      <c r="FJ314" s="3"/>
      <c r="FK314" s="3"/>
      <c r="FL314" s="3"/>
      <c r="FM314" s="3"/>
      <c r="FN314" s="3"/>
      <c r="FO314" s="3"/>
      <c r="FP314" s="3"/>
      <c r="FQ314" s="3"/>
      <c r="FR314" s="3"/>
      <c r="FS314" s="3"/>
      <c r="FT314" s="3"/>
      <c r="FU314" s="3"/>
      <c r="FV314" s="3"/>
      <c r="FW314" s="3"/>
      <c r="FX314" s="3"/>
      <c r="FY314" s="3"/>
      <c r="FZ314" s="3"/>
      <c r="GA314" s="3"/>
      <c r="GB314" s="3"/>
      <c r="GC314" s="3"/>
      <c r="GD314" s="3"/>
      <c r="GE314" s="3"/>
      <c r="GF314" s="3"/>
      <c r="GG314" s="3"/>
      <c r="GH314" s="3"/>
      <c r="GI314" s="3"/>
      <c r="GJ314" s="3"/>
      <c r="GK314" s="3"/>
      <c r="GL314" s="3"/>
      <c r="GM314" s="3"/>
      <c r="GN314" s="3"/>
      <c r="GO314" s="3"/>
      <c r="GP314" s="3"/>
      <c r="GQ314" s="3"/>
      <c r="GR314" s="3"/>
      <c r="GS314" s="3"/>
      <c r="GT314" s="3"/>
      <c r="GU314" s="3"/>
      <c r="GV314" s="3"/>
      <c r="GW314" s="3"/>
      <c r="GX314" s="3"/>
      <c r="GY314" s="3"/>
      <c r="GZ314" s="3"/>
      <c r="HA314" s="3"/>
      <c r="HB314" s="3"/>
      <c r="HC314" s="3"/>
      <c r="HD314" s="3"/>
      <c r="HE314" s="3"/>
      <c r="HF314" s="3"/>
      <c r="HG314" s="3"/>
      <c r="HH314" s="3"/>
      <c r="HI314" s="3"/>
      <c r="HJ314" s="3"/>
      <c r="HK314" s="3"/>
      <c r="HL314" s="3"/>
      <c r="HM314" s="3"/>
      <c r="HN314" s="3"/>
      <c r="HO314" s="3"/>
      <c r="HP314" s="3"/>
      <c r="HQ314" s="3"/>
      <c r="HR314" s="3"/>
      <c r="HS314" s="3"/>
      <c r="HT314" s="3"/>
      <c r="HU314" s="3"/>
      <c r="HV314" s="3"/>
      <c r="HW314" s="3"/>
      <c r="HX314" s="3"/>
      <c r="HY314" s="3"/>
      <c r="HZ314" s="3"/>
      <c r="IA314" s="3"/>
      <c r="IB314" s="3"/>
      <c r="IC314" s="3"/>
      <c r="ID314" s="3"/>
      <c r="IE314" s="3"/>
      <c r="IF314" s="3"/>
      <c r="IG314" s="3"/>
      <c r="IH314" s="3"/>
      <c r="II314" s="3"/>
      <c r="IJ314" s="3"/>
      <c r="IK314" s="3"/>
      <c r="IL314" s="3"/>
      <c r="IM314" s="3"/>
      <c r="IN314" s="3"/>
      <c r="IO314" s="3"/>
      <c r="IP314" s="3"/>
      <c r="IQ314" s="3"/>
      <c r="IR314" s="3"/>
      <c r="IS314" s="3"/>
      <c r="IT314" s="3"/>
      <c r="IU314" s="3"/>
      <c r="IV314" s="3"/>
      <c r="IW314" s="3"/>
    </row>
    <row r="315" customFormat="false" ht="12.75" hidden="false" customHeight="false" outlineLevel="0" collapsed="false">
      <c r="A315" s="23"/>
      <c r="B315" s="22" t="s">
        <v>388</v>
      </c>
      <c r="C315" s="22"/>
      <c r="D315" s="22"/>
      <c r="E315" s="96" t="n">
        <v>0.5</v>
      </c>
      <c r="F315" s="58" t="s">
        <v>154</v>
      </c>
      <c r="G315" s="23"/>
      <c r="H315" s="24"/>
      <c r="I315" s="24"/>
      <c r="J315" s="24"/>
      <c r="K315" s="24"/>
      <c r="L315" s="24"/>
      <c r="M315" s="24"/>
      <c r="N315" s="24"/>
      <c r="O315" s="24"/>
      <c r="P315" s="24"/>
      <c r="Q315" s="24"/>
      <c r="R315" s="24"/>
      <c r="S315" s="24"/>
      <c r="T315" s="24"/>
      <c r="U315" s="24"/>
      <c r="V315" s="24"/>
      <c r="W315" s="24"/>
      <c r="X315" s="24"/>
      <c r="Y315" s="24"/>
      <c r="Z315" s="24"/>
      <c r="AA315" s="24"/>
      <c r="AB315" s="24"/>
      <c r="AC315" s="24"/>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c r="BH315" s="24"/>
      <c r="BI315" s="24"/>
      <c r="BJ315" s="24"/>
      <c r="BK315" s="24"/>
      <c r="BL315" s="24"/>
      <c r="BM315" s="24"/>
      <c r="BN315" s="24"/>
      <c r="BO315" s="24"/>
      <c r="BP315" s="24"/>
      <c r="BQ315" s="24"/>
      <c r="BR315" s="24"/>
      <c r="BS315" s="24"/>
      <c r="BT315" s="24"/>
      <c r="BU315" s="24"/>
      <c r="BV315" s="24"/>
      <c r="BW315" s="24"/>
      <c r="BX315" s="24"/>
      <c r="BY315" s="24"/>
      <c r="BZ315" s="24"/>
      <c r="CA315" s="24"/>
      <c r="CB315" s="24"/>
      <c r="CC315" s="24"/>
      <c r="CD315" s="24"/>
      <c r="CE315" s="24"/>
      <c r="CF315" s="24"/>
      <c r="CG315" s="24"/>
      <c r="CH315" s="24"/>
      <c r="CI315" s="24"/>
      <c r="CJ315" s="24"/>
      <c r="CK315" s="24"/>
      <c r="CL315" s="24"/>
      <c r="CM315" s="24"/>
      <c r="CN315" s="24"/>
      <c r="CO315" s="24"/>
      <c r="CP315" s="24"/>
      <c r="CQ315" s="24"/>
      <c r="CR315" s="24"/>
      <c r="CS315" s="24"/>
      <c r="CT315" s="24"/>
      <c r="CU315" s="24"/>
      <c r="CV315" s="24"/>
      <c r="CW315" s="24"/>
      <c r="CX315" s="24"/>
      <c r="CY315" s="24"/>
      <c r="CZ315" s="24"/>
      <c r="DA315" s="24"/>
      <c r="DB315" s="24"/>
      <c r="DC315" s="24"/>
      <c r="DD315" s="24"/>
      <c r="DE315" s="24"/>
      <c r="DF315" s="24"/>
      <c r="DG315" s="24"/>
      <c r="DH315" s="24"/>
      <c r="DI315" s="24"/>
      <c r="DJ315" s="24"/>
      <c r="DK315" s="24"/>
      <c r="DL315" s="24"/>
      <c r="DM315" s="24"/>
      <c r="DN315" s="24"/>
      <c r="DO315" s="24"/>
      <c r="DP315" s="24"/>
      <c r="DQ315" s="24"/>
      <c r="DR315" s="24"/>
      <c r="DS315" s="24"/>
      <c r="DT315" s="24"/>
      <c r="DU315" s="24"/>
      <c r="DV315" s="24"/>
      <c r="DW315" s="24"/>
      <c r="DX315" s="24"/>
      <c r="DY315" s="24"/>
      <c r="DZ315" s="24"/>
      <c r="EA315" s="24"/>
      <c r="EB315" s="24"/>
      <c r="EC315" s="24"/>
      <c r="ED315" s="24"/>
      <c r="EE315" s="24"/>
      <c r="EF315" s="24"/>
      <c r="EG315" s="24"/>
      <c r="EH315" s="24"/>
      <c r="EI315" s="24"/>
      <c r="EJ315" s="24"/>
      <c r="EK315" s="24"/>
      <c r="EL315" s="24"/>
      <c r="EM315" s="3"/>
      <c r="EN315" s="3"/>
      <c r="EO315" s="3"/>
      <c r="EP315" s="3"/>
      <c r="EQ315" s="3"/>
      <c r="ER315" s="3"/>
      <c r="ES315" s="3"/>
      <c r="ET315" s="3"/>
      <c r="EU315" s="3"/>
      <c r="EV315" s="3"/>
      <c r="EW315" s="3"/>
      <c r="EX315" s="3"/>
      <c r="EY315" s="3"/>
      <c r="EZ315" s="3"/>
      <c r="FA315" s="3"/>
      <c r="FB315" s="3"/>
      <c r="FC315" s="3"/>
      <c r="FD315" s="3"/>
      <c r="FE315" s="3"/>
      <c r="FF315" s="3"/>
      <c r="FG315" s="3"/>
      <c r="FH315" s="3"/>
      <c r="FI315" s="3"/>
      <c r="FJ315" s="3"/>
      <c r="FK315" s="3"/>
      <c r="FL315" s="3"/>
      <c r="FM315" s="3"/>
      <c r="FN315" s="3"/>
      <c r="FO315" s="3"/>
      <c r="FP315" s="3"/>
      <c r="FQ315" s="3"/>
      <c r="FR315" s="3"/>
      <c r="FS315" s="3"/>
      <c r="FT315" s="3"/>
      <c r="FU315" s="3"/>
      <c r="FV315" s="3"/>
      <c r="FW315" s="3"/>
      <c r="FX315" s="3"/>
      <c r="FY315" s="3"/>
      <c r="FZ315" s="3"/>
      <c r="GA315" s="3"/>
      <c r="GB315" s="3"/>
      <c r="GC315" s="3"/>
      <c r="GD315" s="3"/>
      <c r="GE315" s="3"/>
      <c r="GF315" s="3"/>
      <c r="GG315" s="3"/>
      <c r="GH315" s="3"/>
      <c r="GI315" s="3"/>
      <c r="GJ315" s="3"/>
      <c r="GK315" s="3"/>
      <c r="GL315" s="3"/>
      <c r="GM315" s="3"/>
      <c r="GN315" s="3"/>
      <c r="GO315" s="3"/>
      <c r="GP315" s="3"/>
      <c r="GQ315" s="3"/>
      <c r="GR315" s="3"/>
      <c r="GS315" s="3"/>
      <c r="GT315" s="3"/>
      <c r="GU315" s="3"/>
      <c r="GV315" s="3"/>
      <c r="GW315" s="3"/>
      <c r="GX315" s="3"/>
      <c r="GY315" s="3"/>
      <c r="GZ315" s="3"/>
      <c r="HA315" s="3"/>
      <c r="HB315" s="3"/>
      <c r="HC315" s="3"/>
      <c r="HD315" s="3"/>
      <c r="HE315" s="3"/>
      <c r="HF315" s="3"/>
      <c r="HG315" s="3"/>
      <c r="HH315" s="3"/>
      <c r="HI315" s="3"/>
      <c r="HJ315" s="3"/>
      <c r="HK315" s="3"/>
      <c r="HL315" s="3"/>
      <c r="HM315" s="3"/>
      <c r="HN315" s="3"/>
      <c r="HO315" s="3"/>
      <c r="HP315" s="3"/>
      <c r="HQ315" s="3"/>
      <c r="HR315" s="3"/>
      <c r="HS315" s="3"/>
      <c r="HT315" s="3"/>
      <c r="HU315" s="3"/>
      <c r="HV315" s="3"/>
      <c r="HW315" s="3"/>
      <c r="HX315" s="3"/>
      <c r="HY315" s="3"/>
      <c r="HZ315" s="3"/>
      <c r="IA315" s="3"/>
      <c r="IB315" s="3"/>
      <c r="IC315" s="3"/>
      <c r="ID315" s="3"/>
      <c r="IE315" s="3"/>
      <c r="IF315" s="3"/>
      <c r="IG315" s="3"/>
      <c r="IH315" s="3"/>
      <c r="II315" s="3"/>
      <c r="IJ315" s="3"/>
      <c r="IK315" s="3"/>
      <c r="IL315" s="3"/>
      <c r="IM315" s="3"/>
      <c r="IN315" s="3"/>
      <c r="IO315" s="3"/>
      <c r="IP315" s="3"/>
      <c r="IQ315" s="3"/>
      <c r="IR315" s="3"/>
      <c r="IS315" s="3"/>
      <c r="IT315" s="3"/>
      <c r="IU315" s="3"/>
      <c r="IV315" s="3"/>
      <c r="IW315" s="3"/>
    </row>
    <row r="316" customFormat="false" ht="12.75" hidden="false" customHeight="false" outlineLevel="0" collapsed="false">
      <c r="A316" s="23"/>
      <c r="B316" s="290" t="s">
        <v>389</v>
      </c>
      <c r="C316" s="290"/>
      <c r="D316" s="22"/>
      <c r="E316" s="59"/>
      <c r="F316" s="58"/>
      <c r="G316" s="23"/>
      <c r="H316" s="24"/>
      <c r="I316" s="24"/>
      <c r="J316" s="24"/>
      <c r="K316" s="24"/>
      <c r="L316" s="24"/>
      <c r="M316" s="24"/>
      <c r="N316" s="24"/>
      <c r="O316" s="24"/>
      <c r="P316" s="24"/>
      <c r="Q316" s="24"/>
      <c r="R316" s="24"/>
      <c r="S316" s="24"/>
      <c r="T316" s="24"/>
      <c r="U316" s="24"/>
      <c r="V316" s="24"/>
      <c r="W316" s="24"/>
      <c r="X316" s="24"/>
      <c r="Y316" s="24"/>
      <c r="Z316" s="24"/>
      <c r="AA316" s="24"/>
      <c r="AB316" s="24"/>
      <c r="AC316" s="24"/>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c r="BH316" s="24"/>
      <c r="BI316" s="24"/>
      <c r="BJ316" s="24"/>
      <c r="BK316" s="24"/>
      <c r="BL316" s="24"/>
      <c r="BM316" s="24"/>
      <c r="BN316" s="24"/>
      <c r="BO316" s="24"/>
      <c r="BP316" s="24"/>
      <c r="BQ316" s="24"/>
      <c r="BR316" s="24"/>
      <c r="BS316" s="24"/>
      <c r="BT316" s="24"/>
      <c r="BU316" s="24"/>
      <c r="BV316" s="24"/>
      <c r="BW316" s="24"/>
      <c r="BX316" s="24"/>
      <c r="BY316" s="24"/>
      <c r="BZ316" s="24"/>
      <c r="CA316" s="24"/>
      <c r="CB316" s="24"/>
      <c r="CC316" s="24"/>
      <c r="CD316" s="24"/>
      <c r="CE316" s="24"/>
      <c r="CF316" s="24"/>
      <c r="CG316" s="24"/>
      <c r="CH316" s="24"/>
      <c r="CI316" s="24"/>
      <c r="CJ316" s="24"/>
      <c r="CK316" s="24"/>
      <c r="CL316" s="24"/>
      <c r="CM316" s="24"/>
      <c r="CN316" s="24"/>
      <c r="CO316" s="24"/>
      <c r="CP316" s="24"/>
      <c r="CQ316" s="24"/>
      <c r="CR316" s="24"/>
      <c r="CS316" s="24"/>
      <c r="CT316" s="24"/>
      <c r="CU316" s="24"/>
      <c r="CV316" s="24"/>
      <c r="CW316" s="24"/>
      <c r="CX316" s="24"/>
      <c r="CY316" s="24"/>
      <c r="CZ316" s="24"/>
      <c r="DA316" s="24"/>
      <c r="DB316" s="24"/>
      <c r="DC316" s="24"/>
      <c r="DD316" s="24"/>
      <c r="DE316" s="24"/>
      <c r="DF316" s="24"/>
      <c r="DG316" s="24"/>
      <c r="DH316" s="24"/>
      <c r="DI316" s="24"/>
      <c r="DJ316" s="24"/>
      <c r="DK316" s="24"/>
      <c r="DL316" s="24"/>
      <c r="DM316" s="24"/>
      <c r="DN316" s="24"/>
      <c r="DO316" s="24"/>
      <c r="DP316" s="24"/>
      <c r="DQ316" s="24"/>
      <c r="DR316" s="24"/>
      <c r="DS316" s="24"/>
      <c r="DT316" s="24"/>
      <c r="DU316" s="24"/>
      <c r="DV316" s="24"/>
      <c r="DW316" s="24"/>
      <c r="DX316" s="24"/>
      <c r="DY316" s="24"/>
      <c r="DZ316" s="24"/>
      <c r="EA316" s="24"/>
      <c r="EB316" s="24"/>
      <c r="EC316" s="24"/>
      <c r="ED316" s="24"/>
      <c r="EE316" s="24"/>
      <c r="EF316" s="24"/>
      <c r="EG316" s="24"/>
      <c r="EH316" s="24"/>
      <c r="EI316" s="24"/>
      <c r="EJ316" s="24"/>
      <c r="EK316" s="24"/>
      <c r="EL316" s="24"/>
      <c r="EM316" s="3"/>
      <c r="EN316" s="3"/>
      <c r="EO316" s="3"/>
      <c r="EP316" s="3"/>
      <c r="EQ316" s="3"/>
      <c r="ER316" s="3"/>
      <c r="ES316" s="3"/>
      <c r="ET316" s="3"/>
      <c r="EU316" s="3"/>
      <c r="EV316" s="3"/>
      <c r="EW316" s="3"/>
      <c r="EX316" s="3"/>
      <c r="EY316" s="3"/>
      <c r="EZ316" s="3"/>
      <c r="FA316" s="3"/>
      <c r="FB316" s="3"/>
      <c r="FC316" s="3"/>
      <c r="FD316" s="3"/>
      <c r="FE316" s="3"/>
      <c r="FF316" s="3"/>
      <c r="FG316" s="3"/>
      <c r="FH316" s="3"/>
      <c r="FI316" s="3"/>
      <c r="FJ316" s="3"/>
      <c r="FK316" s="3"/>
      <c r="FL316" s="3"/>
      <c r="FM316" s="3"/>
      <c r="FN316" s="3"/>
      <c r="FO316" s="3"/>
      <c r="FP316" s="3"/>
      <c r="FQ316" s="3"/>
      <c r="FR316" s="3"/>
      <c r="FS316" s="3"/>
      <c r="FT316" s="3"/>
      <c r="FU316" s="3"/>
      <c r="FV316" s="3"/>
      <c r="FW316" s="3"/>
      <c r="FX316" s="3"/>
      <c r="FY316" s="3"/>
      <c r="FZ316" s="3"/>
      <c r="GA316" s="3"/>
      <c r="GB316" s="3"/>
      <c r="GC316" s="3"/>
      <c r="GD316" s="3"/>
      <c r="GE316" s="3"/>
      <c r="GF316" s="3"/>
      <c r="GG316" s="3"/>
      <c r="GH316" s="3"/>
      <c r="GI316" s="3"/>
      <c r="GJ316" s="3"/>
      <c r="GK316" s="3"/>
      <c r="GL316" s="3"/>
      <c r="GM316" s="3"/>
      <c r="GN316" s="3"/>
      <c r="GO316" s="3"/>
      <c r="GP316" s="3"/>
      <c r="GQ316" s="3"/>
      <c r="GR316" s="3"/>
      <c r="GS316" s="3"/>
      <c r="GT316" s="3"/>
      <c r="GU316" s="3"/>
      <c r="GV316" s="3"/>
      <c r="GW316" s="3"/>
      <c r="GX316" s="3"/>
      <c r="GY316" s="3"/>
      <c r="GZ316" s="3"/>
      <c r="HA316" s="3"/>
      <c r="HB316" s="3"/>
      <c r="HC316" s="3"/>
      <c r="HD316" s="3"/>
      <c r="HE316" s="3"/>
      <c r="HF316" s="3"/>
      <c r="HG316" s="3"/>
      <c r="HH316" s="3"/>
      <c r="HI316" s="3"/>
      <c r="HJ316" s="3"/>
      <c r="HK316" s="3"/>
      <c r="HL316" s="3"/>
      <c r="HM316" s="3"/>
      <c r="HN316" s="3"/>
      <c r="HO316" s="3"/>
      <c r="HP316" s="3"/>
      <c r="HQ316" s="3"/>
      <c r="HR316" s="3"/>
      <c r="HS316" s="3"/>
      <c r="HT316" s="3"/>
      <c r="HU316" s="3"/>
      <c r="HV316" s="3"/>
      <c r="HW316" s="3"/>
      <c r="HX316" s="3"/>
      <c r="HY316" s="3"/>
      <c r="HZ316" s="3"/>
      <c r="IA316" s="3"/>
      <c r="IB316" s="3"/>
      <c r="IC316" s="3"/>
      <c r="ID316" s="3"/>
      <c r="IE316" s="3"/>
      <c r="IF316" s="3"/>
      <c r="IG316" s="3"/>
      <c r="IH316" s="3"/>
      <c r="II316" s="3"/>
      <c r="IJ316" s="3"/>
      <c r="IK316" s="3"/>
      <c r="IL316" s="3"/>
      <c r="IM316" s="3"/>
      <c r="IN316" s="3"/>
      <c r="IO316" s="3"/>
      <c r="IP316" s="3"/>
      <c r="IQ316" s="3"/>
      <c r="IR316" s="3"/>
      <c r="IS316" s="3"/>
      <c r="IT316" s="3"/>
      <c r="IU316" s="3"/>
      <c r="IV316" s="3"/>
      <c r="IW316" s="3"/>
    </row>
    <row r="317" customFormat="false" ht="12.75" hidden="false" customHeight="false" outlineLevel="0" collapsed="false">
      <c r="A317" s="23"/>
      <c r="B317" s="23" t="s">
        <v>390</v>
      </c>
      <c r="C317" s="23"/>
      <c r="D317" s="23"/>
      <c r="E317" s="260" t="n">
        <v>0.015</v>
      </c>
      <c r="F317" s="58" t="s">
        <v>154</v>
      </c>
      <c r="G317" s="23"/>
      <c r="H317" s="24"/>
      <c r="I317" s="24"/>
      <c r="J317" s="24"/>
      <c r="K317" s="24"/>
      <c r="L317" s="24"/>
      <c r="M317" s="24"/>
      <c r="N317" s="24"/>
      <c r="O317" s="24"/>
      <c r="P317" s="24"/>
      <c r="Q317" s="24"/>
      <c r="R317" s="24"/>
      <c r="S317" s="24"/>
      <c r="T317" s="24"/>
      <c r="U317" s="24"/>
      <c r="V317" s="24"/>
      <c r="W317" s="24"/>
      <c r="X317" s="24"/>
      <c r="Y317" s="24"/>
      <c r="Z317" s="24"/>
      <c r="AA317" s="24"/>
      <c r="AB317" s="24"/>
      <c r="AC317" s="24"/>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c r="BH317" s="24"/>
      <c r="BI317" s="24"/>
      <c r="BJ317" s="24"/>
      <c r="BK317" s="24"/>
      <c r="BL317" s="24"/>
      <c r="BM317" s="24"/>
      <c r="BN317" s="24"/>
      <c r="BO317" s="24"/>
      <c r="BP317" s="24"/>
      <c r="BQ317" s="24"/>
      <c r="BR317" s="24"/>
      <c r="BS317" s="24"/>
      <c r="BT317" s="24"/>
      <c r="BU317" s="24"/>
      <c r="BV317" s="24"/>
      <c r="BW317" s="24"/>
      <c r="BX317" s="24"/>
      <c r="BY317" s="24"/>
      <c r="BZ317" s="24"/>
      <c r="CA317" s="24"/>
      <c r="CB317" s="24"/>
      <c r="CC317" s="24"/>
      <c r="CD317" s="24"/>
      <c r="CE317" s="24"/>
      <c r="CF317" s="24"/>
      <c r="CG317" s="24"/>
      <c r="CH317" s="24"/>
      <c r="CI317" s="24"/>
      <c r="CJ317" s="24"/>
      <c r="CK317" s="24"/>
      <c r="CL317" s="24"/>
      <c r="CM317" s="24"/>
      <c r="CN317" s="24"/>
      <c r="CO317" s="24"/>
      <c r="CP317" s="24"/>
      <c r="CQ317" s="24"/>
      <c r="CR317" s="24"/>
      <c r="CS317" s="24"/>
      <c r="CT317" s="24"/>
      <c r="CU317" s="24"/>
      <c r="CV317" s="24"/>
      <c r="CW317" s="24"/>
      <c r="CX317" s="24"/>
      <c r="CY317" s="24"/>
      <c r="CZ317" s="24"/>
      <c r="DA317" s="24"/>
      <c r="DB317" s="24"/>
      <c r="DC317" s="24"/>
      <c r="DD317" s="24"/>
      <c r="DE317" s="24"/>
      <c r="DF317" s="24"/>
      <c r="DG317" s="24"/>
      <c r="DH317" s="24"/>
      <c r="DI317" s="24"/>
      <c r="DJ317" s="24"/>
      <c r="DK317" s="24"/>
      <c r="DL317" s="24"/>
      <c r="DM317" s="24"/>
      <c r="DN317" s="24"/>
      <c r="DO317" s="24"/>
      <c r="DP317" s="24"/>
      <c r="DQ317" s="24"/>
      <c r="DR317" s="24"/>
      <c r="DS317" s="24"/>
      <c r="DT317" s="24"/>
      <c r="DU317" s="24"/>
      <c r="DV317" s="24"/>
      <c r="DW317" s="24"/>
      <c r="DX317" s="24"/>
      <c r="DY317" s="24"/>
      <c r="DZ317" s="24"/>
      <c r="EA317" s="24"/>
      <c r="EB317" s="24"/>
      <c r="EC317" s="24"/>
      <c r="ED317" s="24"/>
      <c r="EE317" s="24"/>
      <c r="EF317" s="24"/>
      <c r="EG317" s="24"/>
      <c r="EH317" s="24"/>
      <c r="EI317" s="24"/>
      <c r="EJ317" s="24"/>
      <c r="EK317" s="24"/>
      <c r="EL317" s="24"/>
      <c r="EM317" s="3"/>
      <c r="EN317" s="3"/>
      <c r="EO317" s="3"/>
      <c r="EP317" s="3"/>
      <c r="EQ317" s="3"/>
      <c r="ER317" s="3"/>
      <c r="ES317" s="3"/>
      <c r="ET317" s="3"/>
      <c r="EU317" s="3"/>
      <c r="EV317" s="3"/>
      <c r="EW317" s="3"/>
      <c r="EX317" s="3"/>
      <c r="EY317" s="3"/>
      <c r="EZ317" s="3"/>
      <c r="FA317" s="3"/>
      <c r="FB317" s="3"/>
      <c r="FC317" s="3"/>
      <c r="FD317" s="3"/>
      <c r="FE317" s="3"/>
      <c r="FF317" s="3"/>
      <c r="FG317" s="3"/>
      <c r="FH317" s="3"/>
      <c r="FI317" s="3"/>
      <c r="FJ317" s="3"/>
      <c r="FK317" s="3"/>
      <c r="FL317" s="3"/>
      <c r="FM317" s="3"/>
      <c r="FN317" s="3"/>
      <c r="FO317" s="3"/>
      <c r="FP317" s="3"/>
      <c r="FQ317" s="3"/>
      <c r="FR317" s="3"/>
      <c r="FS317" s="3"/>
      <c r="FT317" s="3"/>
      <c r="FU317" s="3"/>
      <c r="FV317" s="3"/>
      <c r="FW317" s="3"/>
      <c r="FX317" s="3"/>
      <c r="FY317" s="3"/>
      <c r="FZ317" s="3"/>
      <c r="GA317" s="3"/>
      <c r="GB317" s="3"/>
      <c r="GC317" s="3"/>
      <c r="GD317" s="3"/>
      <c r="GE317" s="3"/>
      <c r="GF317" s="3"/>
      <c r="GG317" s="3"/>
      <c r="GH317" s="3"/>
      <c r="GI317" s="3"/>
      <c r="GJ317" s="3"/>
      <c r="GK317" s="3"/>
      <c r="GL317" s="3"/>
      <c r="GM317" s="3"/>
      <c r="GN317" s="3"/>
      <c r="GO317" s="3"/>
      <c r="GP317" s="3"/>
      <c r="GQ317" s="3"/>
      <c r="GR317" s="3"/>
      <c r="GS317" s="3"/>
      <c r="GT317" s="3"/>
      <c r="GU317" s="3"/>
      <c r="GV317" s="3"/>
      <c r="GW317" s="3"/>
      <c r="GX317" s="3"/>
      <c r="GY317" s="3"/>
      <c r="GZ317" s="3"/>
      <c r="HA317" s="3"/>
      <c r="HB317" s="3"/>
      <c r="HC317" s="3"/>
      <c r="HD317" s="3"/>
      <c r="HE317" s="3"/>
      <c r="HF317" s="3"/>
      <c r="HG317" s="3"/>
      <c r="HH317" s="3"/>
      <c r="HI317" s="3"/>
      <c r="HJ317" s="3"/>
      <c r="HK317" s="3"/>
      <c r="HL317" s="3"/>
      <c r="HM317" s="3"/>
      <c r="HN317" s="3"/>
      <c r="HO317" s="3"/>
      <c r="HP317" s="3"/>
      <c r="HQ317" s="3"/>
      <c r="HR317" s="3"/>
      <c r="HS317" s="3"/>
      <c r="HT317" s="3"/>
      <c r="HU317" s="3"/>
      <c r="HV317" s="3"/>
      <c r="HW317" s="3"/>
      <c r="HX317" s="3"/>
      <c r="HY317" s="3"/>
      <c r="HZ317" s="3"/>
      <c r="IA317" s="3"/>
      <c r="IB317" s="3"/>
      <c r="IC317" s="3"/>
      <c r="ID317" s="3"/>
      <c r="IE317" s="3"/>
      <c r="IF317" s="3"/>
      <c r="IG317" s="3"/>
      <c r="IH317" s="3"/>
      <c r="II317" s="3"/>
      <c r="IJ317" s="3"/>
      <c r="IK317" s="3"/>
      <c r="IL317" s="3"/>
      <c r="IM317" s="3"/>
      <c r="IN317" s="3"/>
      <c r="IO317" s="3"/>
      <c r="IP317" s="3"/>
      <c r="IQ317" s="3"/>
      <c r="IR317" s="3"/>
      <c r="IS317" s="3"/>
      <c r="IT317" s="3"/>
      <c r="IU317" s="3"/>
      <c r="IV317" s="3"/>
      <c r="IW317" s="3"/>
    </row>
    <row r="318" customFormat="false" ht="12.75" hidden="false" customHeight="false" outlineLevel="0" collapsed="false">
      <c r="A318" s="23"/>
      <c r="B318" s="23" t="s">
        <v>391</v>
      </c>
      <c r="C318" s="23"/>
      <c r="D318" s="23"/>
      <c r="E318" s="263" t="n">
        <v>0.5</v>
      </c>
      <c r="F318" s="58" t="s">
        <v>154</v>
      </c>
      <c r="G318" s="23"/>
      <c r="H318" s="24"/>
      <c r="I318" s="24"/>
      <c r="J318" s="24"/>
      <c r="K318" s="24"/>
      <c r="L318" s="24"/>
      <c r="M318" s="24"/>
      <c r="N318" s="24"/>
      <c r="O318" s="24"/>
      <c r="P318" s="24"/>
      <c r="Q318" s="24"/>
      <c r="R318" s="24"/>
      <c r="S318" s="24"/>
      <c r="T318" s="24"/>
      <c r="U318" s="24"/>
      <c r="V318" s="24"/>
      <c r="W318" s="24"/>
      <c r="X318" s="24"/>
      <c r="Y318" s="24"/>
      <c r="Z318" s="24"/>
      <c r="AA318" s="24"/>
      <c r="AB318" s="24"/>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c r="BH318" s="24"/>
      <c r="BI318" s="24"/>
      <c r="BJ318" s="24"/>
      <c r="BK318" s="24"/>
      <c r="BL318" s="24"/>
      <c r="BM318" s="24"/>
      <c r="BN318" s="24"/>
      <c r="BO318" s="24"/>
      <c r="BP318" s="24"/>
      <c r="BQ318" s="24"/>
      <c r="BR318" s="24"/>
      <c r="BS318" s="24"/>
      <c r="BT318" s="24"/>
      <c r="BU318" s="24"/>
      <c r="BV318" s="24"/>
      <c r="BW318" s="24"/>
      <c r="BX318" s="24"/>
      <c r="BY318" s="24"/>
      <c r="BZ318" s="24"/>
      <c r="CA318" s="24"/>
      <c r="CB318" s="24"/>
      <c r="CC318" s="24"/>
      <c r="CD318" s="24"/>
      <c r="CE318" s="24"/>
      <c r="CF318" s="24"/>
      <c r="CG318" s="24"/>
      <c r="CH318" s="24"/>
      <c r="CI318" s="24"/>
      <c r="CJ318" s="24"/>
      <c r="CK318" s="24"/>
      <c r="CL318" s="24"/>
      <c r="CM318" s="24"/>
      <c r="CN318" s="24"/>
      <c r="CO318" s="24"/>
      <c r="CP318" s="24"/>
      <c r="CQ318" s="24"/>
      <c r="CR318" s="24"/>
      <c r="CS318" s="24"/>
      <c r="CT318" s="24"/>
      <c r="CU318" s="24"/>
      <c r="CV318" s="24"/>
      <c r="CW318" s="24"/>
      <c r="CX318" s="24"/>
      <c r="CY318" s="24"/>
      <c r="CZ318" s="24"/>
      <c r="DA318" s="24"/>
      <c r="DB318" s="24"/>
      <c r="DC318" s="24"/>
      <c r="DD318" s="24"/>
      <c r="DE318" s="24"/>
      <c r="DF318" s="24"/>
      <c r="DG318" s="24"/>
      <c r="DH318" s="24"/>
      <c r="DI318" s="24"/>
      <c r="DJ318" s="24"/>
      <c r="DK318" s="24"/>
      <c r="DL318" s="24"/>
      <c r="DM318" s="24"/>
      <c r="DN318" s="24"/>
      <c r="DO318" s="24"/>
      <c r="DP318" s="24"/>
      <c r="DQ318" s="24"/>
      <c r="DR318" s="24"/>
      <c r="DS318" s="24"/>
      <c r="DT318" s="24"/>
      <c r="DU318" s="24"/>
      <c r="DV318" s="24"/>
      <c r="DW318" s="24"/>
      <c r="DX318" s="24"/>
      <c r="DY318" s="24"/>
      <c r="DZ318" s="24"/>
      <c r="EA318" s="24"/>
      <c r="EB318" s="24"/>
      <c r="EC318" s="24"/>
      <c r="ED318" s="24"/>
      <c r="EE318" s="24"/>
      <c r="EF318" s="24"/>
      <c r="EG318" s="24"/>
      <c r="EH318" s="24"/>
      <c r="EI318" s="24"/>
      <c r="EJ318" s="24"/>
      <c r="EK318" s="24"/>
      <c r="EL318" s="24"/>
      <c r="EM318" s="3"/>
      <c r="EN318" s="3"/>
      <c r="EO318" s="3"/>
      <c r="EP318" s="3"/>
      <c r="EQ318" s="3"/>
      <c r="ER318" s="3"/>
      <c r="ES318" s="3"/>
      <c r="ET318" s="3"/>
      <c r="EU318" s="3"/>
      <c r="EV318" s="3"/>
      <c r="EW318" s="3"/>
      <c r="EX318" s="3"/>
      <c r="EY318" s="3"/>
      <c r="EZ318" s="3"/>
      <c r="FA318" s="3"/>
      <c r="FB318" s="3"/>
      <c r="FC318" s="3"/>
      <c r="FD318" s="3"/>
      <c r="FE318" s="3"/>
      <c r="FF318" s="3"/>
      <c r="FG318" s="3"/>
      <c r="FH318" s="3"/>
      <c r="FI318" s="3"/>
      <c r="FJ318" s="3"/>
      <c r="FK318" s="3"/>
      <c r="FL318" s="3"/>
      <c r="FM318" s="3"/>
      <c r="FN318" s="3"/>
      <c r="FO318" s="3"/>
      <c r="FP318" s="3"/>
      <c r="FQ318" s="3"/>
      <c r="FR318" s="3"/>
      <c r="FS318" s="3"/>
      <c r="FT318" s="3"/>
      <c r="FU318" s="3"/>
      <c r="FV318" s="3"/>
      <c r="FW318" s="3"/>
      <c r="FX318" s="3"/>
      <c r="FY318" s="3"/>
      <c r="FZ318" s="3"/>
      <c r="GA318" s="3"/>
      <c r="GB318" s="3"/>
      <c r="GC318" s="3"/>
      <c r="GD318" s="3"/>
      <c r="GE318" s="3"/>
      <c r="GF318" s="3"/>
      <c r="GG318" s="3"/>
      <c r="GH318" s="3"/>
      <c r="GI318" s="3"/>
      <c r="GJ318" s="3"/>
      <c r="GK318" s="3"/>
      <c r="GL318" s="3"/>
      <c r="GM318" s="3"/>
      <c r="GN318" s="3"/>
      <c r="GO318" s="3"/>
      <c r="GP318" s="3"/>
      <c r="GQ318" s="3"/>
      <c r="GR318" s="3"/>
      <c r="GS318" s="3"/>
      <c r="GT318" s="3"/>
      <c r="GU318" s="3"/>
      <c r="GV318" s="3"/>
      <c r="GW318" s="3"/>
      <c r="GX318" s="3"/>
      <c r="GY318" s="3"/>
      <c r="GZ318" s="3"/>
      <c r="HA318" s="3"/>
      <c r="HB318" s="3"/>
      <c r="HC318" s="3"/>
      <c r="HD318" s="3"/>
      <c r="HE318" s="3"/>
      <c r="HF318" s="3"/>
      <c r="HG318" s="3"/>
      <c r="HH318" s="3"/>
      <c r="HI318" s="3"/>
      <c r="HJ318" s="3"/>
      <c r="HK318" s="3"/>
      <c r="HL318" s="3"/>
      <c r="HM318" s="3"/>
      <c r="HN318" s="3"/>
      <c r="HO318" s="3"/>
      <c r="HP318" s="3"/>
      <c r="HQ318" s="3"/>
      <c r="HR318" s="3"/>
      <c r="HS318" s="3"/>
      <c r="HT318" s="3"/>
      <c r="HU318" s="3"/>
      <c r="HV318" s="3"/>
      <c r="HW318" s="3"/>
      <c r="HX318" s="3"/>
      <c r="HY318" s="3"/>
      <c r="HZ318" s="3"/>
      <c r="IA318" s="3"/>
      <c r="IB318" s="3"/>
      <c r="IC318" s="3"/>
      <c r="ID318" s="3"/>
      <c r="IE318" s="3"/>
      <c r="IF318" s="3"/>
      <c r="IG318" s="3"/>
      <c r="IH318" s="3"/>
      <c r="II318" s="3"/>
      <c r="IJ318" s="3"/>
      <c r="IK318" s="3"/>
      <c r="IL318" s="3"/>
      <c r="IM318" s="3"/>
      <c r="IN318" s="3"/>
      <c r="IO318" s="3"/>
      <c r="IP318" s="3"/>
      <c r="IQ318" s="3"/>
      <c r="IR318" s="3"/>
      <c r="IS318" s="3"/>
      <c r="IT318" s="3"/>
      <c r="IU318" s="3"/>
      <c r="IV318" s="3"/>
      <c r="IW318" s="3"/>
    </row>
    <row r="319" customFormat="false" ht="12.75" hidden="false" customHeight="false" outlineLevel="0" collapsed="false">
      <c r="A319" s="52"/>
      <c r="B319" s="22"/>
      <c r="C319" s="22"/>
      <c r="D319" s="22"/>
      <c r="E319" s="59"/>
      <c r="F319" s="22"/>
      <c r="G319" s="23"/>
      <c r="H319" s="64"/>
      <c r="I319" s="64"/>
      <c r="J319" s="24"/>
      <c r="K319" s="24"/>
      <c r="L319" s="24"/>
      <c r="M319" s="24"/>
      <c r="N319" s="24"/>
      <c r="O319" s="24"/>
      <c r="P319" s="24"/>
      <c r="Q319" s="24"/>
      <c r="R319" s="24"/>
      <c r="S319" s="24"/>
      <c r="T319" s="24"/>
      <c r="U319" s="24"/>
      <c r="V319" s="24"/>
      <c r="W319" s="24"/>
      <c r="X319" s="24"/>
      <c r="Y319" s="24"/>
      <c r="Z319" s="24"/>
      <c r="AA319" s="24"/>
      <c r="AB319" s="24"/>
      <c r="AC319" s="24"/>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c r="BH319" s="24"/>
      <c r="BI319" s="24"/>
      <c r="BJ319" s="24"/>
      <c r="BK319" s="24"/>
      <c r="BL319" s="24"/>
      <c r="BM319" s="24"/>
      <c r="BN319" s="24"/>
      <c r="BO319" s="24"/>
      <c r="BP319" s="24"/>
      <c r="BQ319" s="24"/>
      <c r="BR319" s="24"/>
      <c r="BS319" s="24"/>
      <c r="BT319" s="24"/>
      <c r="BU319" s="24"/>
      <c r="BV319" s="24"/>
      <c r="BW319" s="24"/>
      <c r="BX319" s="24"/>
      <c r="BY319" s="24"/>
      <c r="BZ319" s="24"/>
      <c r="CA319" s="24"/>
      <c r="CB319" s="24"/>
      <c r="CC319" s="24"/>
      <c r="CD319" s="24"/>
      <c r="CE319" s="24"/>
      <c r="CF319" s="24"/>
      <c r="CG319" s="24"/>
      <c r="CH319" s="24"/>
      <c r="CI319" s="24"/>
      <c r="CJ319" s="24"/>
      <c r="CK319" s="24"/>
      <c r="CL319" s="24"/>
      <c r="CM319" s="24"/>
      <c r="CN319" s="24"/>
      <c r="CO319" s="24"/>
      <c r="CP319" s="24"/>
      <c r="CQ319" s="24"/>
      <c r="CR319" s="24"/>
      <c r="CS319" s="24"/>
      <c r="CT319" s="24"/>
      <c r="CU319" s="24"/>
      <c r="CV319" s="24"/>
      <c r="CW319" s="24"/>
      <c r="CX319" s="24"/>
      <c r="CY319" s="24"/>
      <c r="CZ319" s="24"/>
      <c r="DA319" s="24"/>
      <c r="DB319" s="24"/>
      <c r="DC319" s="24"/>
      <c r="DD319" s="24"/>
      <c r="DE319" s="24"/>
      <c r="DF319" s="24"/>
      <c r="DG319" s="24"/>
      <c r="DH319" s="24"/>
      <c r="DI319" s="24"/>
      <c r="DJ319" s="24"/>
      <c r="DK319" s="24"/>
      <c r="DL319" s="24"/>
      <c r="DM319" s="24"/>
      <c r="DN319" s="24"/>
      <c r="DO319" s="24"/>
      <c r="DP319" s="24"/>
      <c r="DQ319" s="24"/>
      <c r="DR319" s="24"/>
      <c r="DS319" s="24"/>
      <c r="DT319" s="24"/>
      <c r="DU319" s="24"/>
      <c r="DV319" s="24"/>
      <c r="DW319" s="24"/>
      <c r="DX319" s="24"/>
      <c r="DY319" s="24"/>
      <c r="DZ319" s="24"/>
      <c r="EA319" s="24"/>
      <c r="EB319" s="24"/>
      <c r="EC319" s="24"/>
      <c r="ED319" s="24"/>
      <c r="EE319" s="24"/>
      <c r="EF319" s="24"/>
      <c r="EG319" s="24"/>
      <c r="EH319" s="24"/>
      <c r="EI319" s="24"/>
      <c r="EJ319" s="24"/>
      <c r="EK319" s="24"/>
      <c r="EL319" s="24"/>
      <c r="EM319" s="3"/>
      <c r="EN319" s="3"/>
      <c r="EO319" s="3"/>
      <c r="EP319" s="3"/>
      <c r="EQ319" s="3"/>
      <c r="ER319" s="3"/>
      <c r="ES319" s="3"/>
      <c r="ET319" s="3"/>
      <c r="EU319" s="3"/>
      <c r="EV319" s="3"/>
      <c r="EW319" s="3"/>
      <c r="EX319" s="3"/>
      <c r="EY319" s="3"/>
      <c r="EZ319" s="3"/>
      <c r="FA319" s="3"/>
      <c r="FB319" s="3"/>
      <c r="FC319" s="3"/>
      <c r="FD319" s="3"/>
      <c r="FE319" s="3"/>
      <c r="FF319" s="3"/>
      <c r="FG319" s="3"/>
      <c r="FH319" s="3"/>
      <c r="FI319" s="3"/>
      <c r="FJ319" s="3"/>
      <c r="FK319" s="3"/>
      <c r="FL319" s="3"/>
      <c r="FM319" s="3"/>
      <c r="FN319" s="3"/>
      <c r="FO319" s="3"/>
      <c r="FP319" s="3"/>
      <c r="FQ319" s="3"/>
      <c r="FR319" s="3"/>
      <c r="FS319" s="3"/>
      <c r="FT319" s="3"/>
      <c r="FU319" s="3"/>
      <c r="FV319" s="3"/>
      <c r="FW319" s="3"/>
      <c r="FX319" s="3"/>
      <c r="FY319" s="3"/>
      <c r="FZ319" s="3"/>
      <c r="GA319" s="3"/>
      <c r="GB319" s="3"/>
      <c r="GC319" s="3"/>
      <c r="GD319" s="3"/>
      <c r="GE319" s="3"/>
      <c r="GF319" s="3"/>
      <c r="GG319" s="3"/>
      <c r="GH319" s="3"/>
      <c r="GI319" s="3"/>
      <c r="GJ319" s="3"/>
      <c r="GK319" s="3"/>
      <c r="GL319" s="3"/>
      <c r="GM319" s="3"/>
      <c r="GN319" s="3"/>
      <c r="GO319" s="3"/>
      <c r="GP319" s="3"/>
      <c r="GQ319" s="3"/>
      <c r="GR319" s="3"/>
      <c r="GS319" s="3"/>
      <c r="GT319" s="3"/>
      <c r="GU319" s="3"/>
      <c r="GV319" s="3"/>
      <c r="GW319" s="3"/>
      <c r="GX319" s="3"/>
      <c r="GY319" s="3"/>
      <c r="GZ319" s="3"/>
      <c r="HA319" s="3"/>
      <c r="HB319" s="3"/>
      <c r="HC319" s="3"/>
      <c r="HD319" s="3"/>
      <c r="HE319" s="3"/>
      <c r="HF319" s="3"/>
      <c r="HG319" s="3"/>
      <c r="HH319" s="3"/>
      <c r="HI319" s="3"/>
      <c r="HJ319" s="3"/>
      <c r="HK319" s="3"/>
      <c r="HL319" s="3"/>
      <c r="HM319" s="3"/>
      <c r="HN319" s="3"/>
      <c r="HO319" s="3"/>
      <c r="HP319" s="3"/>
      <c r="HQ319" s="3"/>
      <c r="HR319" s="3"/>
      <c r="HS319" s="3"/>
      <c r="HT319" s="3"/>
      <c r="HU319" s="3"/>
      <c r="HV319" s="3"/>
      <c r="HW319" s="3"/>
      <c r="HX319" s="3"/>
      <c r="HY319" s="3"/>
      <c r="HZ319" s="3"/>
      <c r="IA319" s="3"/>
      <c r="IB319" s="3"/>
      <c r="IC319" s="3"/>
      <c r="ID319" s="3"/>
      <c r="IE319" s="3"/>
      <c r="IF319" s="3"/>
      <c r="IG319" s="3"/>
      <c r="IH319" s="3"/>
      <c r="II319" s="3"/>
      <c r="IJ319" s="3"/>
      <c r="IK319" s="3"/>
      <c r="IL319" s="3"/>
      <c r="IM319" s="3"/>
      <c r="IN319" s="3"/>
      <c r="IO319" s="3"/>
      <c r="IP319" s="3"/>
      <c r="IQ319" s="3"/>
      <c r="IR319" s="3"/>
      <c r="IS319" s="3"/>
      <c r="IT319" s="3"/>
      <c r="IU319" s="3"/>
      <c r="IV319" s="3"/>
      <c r="IW319" s="3"/>
    </row>
    <row r="320" customFormat="false" ht="12.75" hidden="false" customHeight="false" outlineLevel="0" collapsed="false">
      <c r="A320" s="52"/>
      <c r="B320" s="22"/>
      <c r="C320" s="22"/>
      <c r="D320" s="22"/>
      <c r="E320" s="59"/>
      <c r="F320" s="22"/>
      <c r="G320" s="23"/>
      <c r="H320" s="64"/>
      <c r="I320" s="64"/>
      <c r="J320" s="24"/>
      <c r="K320" s="24"/>
      <c r="L320" s="24"/>
      <c r="M320" s="24"/>
      <c r="N320" s="24"/>
      <c r="O320" s="24"/>
      <c r="P320" s="24"/>
      <c r="Q320" s="24"/>
      <c r="R320" s="24"/>
      <c r="S320" s="24"/>
      <c r="T320" s="24"/>
      <c r="U320" s="24"/>
      <c r="V320" s="24"/>
      <c r="W320" s="24"/>
      <c r="X320" s="24"/>
      <c r="Y320" s="24"/>
      <c r="Z320" s="24"/>
      <c r="AA320" s="24"/>
      <c r="AB320" s="24"/>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c r="BH320" s="24"/>
      <c r="BI320" s="24"/>
      <c r="BJ320" s="24"/>
      <c r="BK320" s="24"/>
      <c r="BL320" s="24"/>
      <c r="BM320" s="24"/>
      <c r="BN320" s="24"/>
      <c r="BO320" s="24"/>
      <c r="BP320" s="24"/>
      <c r="BQ320" s="24"/>
      <c r="BR320" s="24"/>
      <c r="BS320" s="24"/>
      <c r="BT320" s="24"/>
      <c r="BU320" s="24"/>
      <c r="BV320" s="24"/>
      <c r="BW320" s="24"/>
      <c r="BX320" s="24"/>
      <c r="BY320" s="24"/>
      <c r="BZ320" s="24"/>
      <c r="CA320" s="24"/>
      <c r="CB320" s="24"/>
      <c r="CC320" s="24"/>
      <c r="CD320" s="24"/>
      <c r="CE320" s="24"/>
      <c r="CF320" s="24"/>
      <c r="CG320" s="24"/>
      <c r="CH320" s="24"/>
      <c r="CI320" s="24"/>
      <c r="CJ320" s="24"/>
      <c r="CK320" s="24"/>
      <c r="CL320" s="24"/>
      <c r="CM320" s="24"/>
      <c r="CN320" s="24"/>
      <c r="CO320" s="24"/>
      <c r="CP320" s="24"/>
      <c r="CQ320" s="24"/>
      <c r="CR320" s="24"/>
      <c r="CS320" s="24"/>
      <c r="CT320" s="24"/>
      <c r="CU320" s="24"/>
      <c r="CV320" s="24"/>
      <c r="CW320" s="24"/>
      <c r="CX320" s="24"/>
      <c r="CY320" s="24"/>
      <c r="CZ320" s="24"/>
      <c r="DA320" s="24"/>
      <c r="DB320" s="24"/>
      <c r="DC320" s="24"/>
      <c r="DD320" s="24"/>
      <c r="DE320" s="24"/>
      <c r="DF320" s="24"/>
      <c r="DG320" s="24"/>
      <c r="DH320" s="24"/>
      <c r="DI320" s="24"/>
      <c r="DJ320" s="24"/>
      <c r="DK320" s="24"/>
      <c r="DL320" s="24"/>
      <c r="DM320" s="24"/>
      <c r="DN320" s="24"/>
      <c r="DO320" s="24"/>
      <c r="DP320" s="24"/>
      <c r="DQ320" s="24"/>
      <c r="DR320" s="24"/>
      <c r="DS320" s="24"/>
      <c r="DT320" s="24"/>
      <c r="DU320" s="24"/>
      <c r="DV320" s="24"/>
      <c r="DW320" s="24"/>
      <c r="DX320" s="24"/>
      <c r="DY320" s="24"/>
      <c r="DZ320" s="24"/>
      <c r="EA320" s="24"/>
      <c r="EB320" s="24"/>
      <c r="EC320" s="24"/>
      <c r="ED320" s="24"/>
      <c r="EE320" s="24"/>
      <c r="EF320" s="24"/>
      <c r="EG320" s="24"/>
      <c r="EH320" s="24"/>
      <c r="EI320" s="24"/>
      <c r="EJ320" s="24"/>
      <c r="EK320" s="24"/>
      <c r="EL320" s="24"/>
      <c r="EM320" s="3"/>
      <c r="EN320" s="3"/>
      <c r="EO320" s="3"/>
      <c r="EP320" s="3"/>
      <c r="EQ320" s="3"/>
      <c r="ER320" s="3"/>
      <c r="ES320" s="3"/>
      <c r="ET320" s="3"/>
      <c r="EU320" s="3"/>
      <c r="EV320" s="3"/>
      <c r="EW320" s="3"/>
      <c r="EX320" s="3"/>
      <c r="EY320" s="3"/>
      <c r="EZ320" s="3"/>
      <c r="FA320" s="3"/>
      <c r="FB320" s="3"/>
      <c r="FC320" s="3"/>
      <c r="FD320" s="3"/>
      <c r="FE320" s="3"/>
      <c r="FF320" s="3"/>
      <c r="FG320" s="3"/>
      <c r="FH320" s="3"/>
      <c r="FI320" s="3"/>
      <c r="FJ320" s="3"/>
      <c r="FK320" s="3"/>
      <c r="FL320" s="3"/>
      <c r="FM320" s="3"/>
      <c r="FN320" s="3"/>
      <c r="FO320" s="3"/>
      <c r="FP320" s="3"/>
      <c r="FQ320" s="3"/>
      <c r="FR320" s="3"/>
      <c r="FS320" s="3"/>
      <c r="FT320" s="3"/>
      <c r="FU320" s="3"/>
      <c r="FV320" s="3"/>
      <c r="FW320" s="3"/>
      <c r="FX320" s="3"/>
      <c r="FY320" s="3"/>
      <c r="FZ320" s="3"/>
      <c r="GA320" s="3"/>
      <c r="GB320" s="3"/>
      <c r="GC320" s="3"/>
      <c r="GD320" s="3"/>
      <c r="GE320" s="3"/>
      <c r="GF320" s="3"/>
      <c r="GG320" s="3"/>
      <c r="GH320" s="3"/>
      <c r="GI320" s="3"/>
      <c r="GJ320" s="3"/>
      <c r="GK320" s="3"/>
      <c r="GL320" s="3"/>
      <c r="GM320" s="3"/>
      <c r="GN320" s="3"/>
      <c r="GO320" s="3"/>
      <c r="GP320" s="3"/>
      <c r="GQ320" s="3"/>
      <c r="GR320" s="3"/>
      <c r="GS320" s="3"/>
      <c r="GT320" s="3"/>
      <c r="GU320" s="3"/>
      <c r="GV320" s="3"/>
      <c r="GW320" s="3"/>
      <c r="GX320" s="3"/>
      <c r="GY320" s="3"/>
      <c r="GZ320" s="3"/>
      <c r="HA320" s="3"/>
      <c r="HB320" s="3"/>
      <c r="HC320" s="3"/>
      <c r="HD320" s="3"/>
      <c r="HE320" s="3"/>
      <c r="HF320" s="3"/>
      <c r="HG320" s="3"/>
      <c r="HH320" s="3"/>
      <c r="HI320" s="3"/>
      <c r="HJ320" s="3"/>
      <c r="HK320" s="3"/>
      <c r="HL320" s="3"/>
      <c r="HM320" s="3"/>
      <c r="HN320" s="3"/>
      <c r="HO320" s="3"/>
      <c r="HP320" s="3"/>
      <c r="HQ320" s="3"/>
      <c r="HR320" s="3"/>
      <c r="HS320" s="3"/>
      <c r="HT320" s="3"/>
      <c r="HU320" s="3"/>
      <c r="HV320" s="3"/>
      <c r="HW320" s="3"/>
      <c r="HX320" s="3"/>
      <c r="HY320" s="3"/>
      <c r="HZ320" s="3"/>
      <c r="IA320" s="3"/>
      <c r="IB320" s="3"/>
      <c r="IC320" s="3"/>
      <c r="ID320" s="3"/>
      <c r="IE320" s="3"/>
      <c r="IF320" s="3"/>
      <c r="IG320" s="3"/>
      <c r="IH320" s="3"/>
      <c r="II320" s="3"/>
      <c r="IJ320" s="3"/>
      <c r="IK320" s="3"/>
      <c r="IL320" s="3"/>
      <c r="IM320" s="3"/>
      <c r="IN320" s="3"/>
      <c r="IO320" s="3"/>
      <c r="IP320" s="3"/>
      <c r="IQ320" s="3"/>
      <c r="IR320" s="3"/>
      <c r="IS320" s="3"/>
      <c r="IT320" s="3"/>
      <c r="IU320" s="3"/>
      <c r="IV320" s="3"/>
      <c r="IW320" s="3"/>
    </row>
    <row r="321" customFormat="false" ht="12.75" hidden="false" customHeight="false" outlineLevel="0" collapsed="false">
      <c r="A321" s="3"/>
      <c r="B321" s="177" t="s">
        <v>392</v>
      </c>
      <c r="C321" s="155"/>
      <c r="D321" s="22"/>
      <c r="E321" s="366" t="s">
        <v>393</v>
      </c>
      <c r="F321" s="24"/>
      <c r="G321" s="24"/>
      <c r="H321" s="24"/>
      <c r="I321" s="24"/>
      <c r="J321" s="24"/>
      <c r="K321" s="24"/>
      <c r="L321" s="24"/>
      <c r="M321" s="24"/>
      <c r="N321" s="24"/>
      <c r="O321" s="24"/>
      <c r="P321" s="24"/>
      <c r="Q321" s="24"/>
      <c r="R321" s="24"/>
      <c r="S321" s="24"/>
      <c r="T321" s="24"/>
      <c r="U321" s="24"/>
      <c r="V321" s="24"/>
      <c r="W321" s="24"/>
      <c r="X321" s="24"/>
      <c r="Y321" s="24"/>
      <c r="Z321" s="24"/>
      <c r="AA321" s="24"/>
      <c r="AB321" s="24"/>
      <c r="AC321" s="24"/>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c r="BH321" s="24"/>
      <c r="BI321" s="24"/>
      <c r="BJ321" s="24"/>
      <c r="BK321" s="24"/>
      <c r="BL321" s="24"/>
      <c r="BM321" s="24"/>
      <c r="BN321" s="24"/>
      <c r="BO321" s="24"/>
      <c r="BP321" s="24"/>
      <c r="BQ321" s="24"/>
      <c r="BR321" s="24"/>
      <c r="BS321" s="24"/>
      <c r="BT321" s="24"/>
      <c r="BU321" s="24"/>
      <c r="BV321" s="24"/>
      <c r="BW321" s="24"/>
      <c r="BX321" s="24"/>
      <c r="BY321" s="24"/>
      <c r="BZ321" s="24"/>
      <c r="CA321" s="24"/>
      <c r="CB321" s="24"/>
      <c r="CC321" s="24"/>
      <c r="CD321" s="24"/>
      <c r="CE321" s="24"/>
      <c r="CF321" s="24"/>
      <c r="CG321" s="24"/>
      <c r="CH321" s="24"/>
      <c r="CI321" s="24"/>
      <c r="CJ321" s="24"/>
      <c r="CK321" s="24"/>
      <c r="CL321" s="24"/>
      <c r="CM321" s="24"/>
      <c r="CN321" s="24"/>
      <c r="CO321" s="24"/>
      <c r="CP321" s="24"/>
      <c r="CQ321" s="24"/>
      <c r="CR321" s="24"/>
      <c r="CS321" s="24"/>
      <c r="CT321" s="24"/>
      <c r="CU321" s="24"/>
      <c r="CV321" s="24"/>
      <c r="CW321" s="24"/>
      <c r="CX321" s="24"/>
      <c r="CY321" s="24"/>
      <c r="CZ321" s="24"/>
      <c r="DA321" s="24"/>
      <c r="DB321" s="24"/>
      <c r="DC321" s="24"/>
      <c r="DD321" s="24"/>
      <c r="DE321" s="24"/>
      <c r="DF321" s="24"/>
      <c r="DG321" s="24"/>
      <c r="DH321" s="24"/>
      <c r="DI321" s="24"/>
      <c r="DJ321" s="24"/>
      <c r="DK321" s="24"/>
      <c r="DL321" s="24"/>
      <c r="DM321" s="24"/>
      <c r="DN321" s="24"/>
      <c r="DO321" s="24"/>
      <c r="DP321" s="24"/>
      <c r="DQ321" s="24"/>
      <c r="DR321" s="24"/>
      <c r="DS321" s="24"/>
      <c r="DT321" s="24"/>
      <c r="DU321" s="24"/>
      <c r="DV321" s="24"/>
      <c r="DW321" s="24"/>
      <c r="DX321" s="24"/>
      <c r="DY321" s="24"/>
      <c r="DZ321" s="24"/>
      <c r="EA321" s="24"/>
      <c r="EB321" s="24"/>
      <c r="EC321" s="24"/>
      <c r="ED321" s="24"/>
      <c r="EE321" s="24"/>
      <c r="EF321" s="24"/>
      <c r="EG321" s="24"/>
      <c r="EH321" s="24"/>
      <c r="EI321" s="24"/>
      <c r="EJ321" s="24"/>
      <c r="EK321" s="24"/>
      <c r="EL321" s="24"/>
      <c r="EM321" s="3"/>
      <c r="EN321" s="3"/>
      <c r="EO321" s="3"/>
      <c r="EP321" s="3"/>
      <c r="EQ321" s="3"/>
      <c r="ER321" s="3"/>
      <c r="ES321" s="3"/>
      <c r="ET321" s="3"/>
      <c r="EU321" s="3"/>
      <c r="EV321" s="3"/>
      <c r="EW321" s="3"/>
      <c r="EX321" s="3"/>
      <c r="EY321" s="3"/>
      <c r="EZ321" s="3"/>
      <c r="FA321" s="3"/>
      <c r="FB321" s="3"/>
      <c r="FC321" s="3"/>
      <c r="FD321" s="3"/>
      <c r="FE321" s="3"/>
      <c r="FF321" s="3"/>
      <c r="FG321" s="3"/>
      <c r="FH321" s="3"/>
      <c r="FI321" s="3"/>
      <c r="FJ321" s="3"/>
      <c r="FK321" s="3"/>
      <c r="FL321" s="3"/>
      <c r="FM321" s="3"/>
      <c r="FN321" s="3"/>
      <c r="FO321" s="3"/>
      <c r="FP321" s="3"/>
      <c r="FQ321" s="3"/>
      <c r="FR321" s="3"/>
      <c r="FS321" s="3"/>
      <c r="FT321" s="3"/>
      <c r="FU321" s="3"/>
      <c r="FV321" s="3"/>
      <c r="FW321" s="3"/>
      <c r="FX321" s="3"/>
      <c r="FY321" s="3"/>
      <c r="FZ321" s="3"/>
      <c r="GA321" s="3"/>
      <c r="GB321" s="3"/>
      <c r="GC321" s="3"/>
      <c r="GD321" s="3"/>
      <c r="GE321" s="3"/>
      <c r="GF321" s="3"/>
      <c r="GG321" s="3"/>
      <c r="GH321" s="3"/>
      <c r="GI321" s="3"/>
      <c r="GJ321" s="3"/>
      <c r="GK321" s="3"/>
      <c r="GL321" s="3"/>
      <c r="GM321" s="3"/>
      <c r="GN321" s="3"/>
      <c r="GO321" s="3"/>
      <c r="GP321" s="3"/>
      <c r="GQ321" s="3"/>
      <c r="GR321" s="3"/>
      <c r="GS321" s="3"/>
      <c r="GT321" s="3"/>
      <c r="GU321" s="3"/>
      <c r="GV321" s="3"/>
      <c r="GW321" s="3"/>
      <c r="GX321" s="3"/>
      <c r="GY321" s="3"/>
      <c r="GZ321" s="3"/>
      <c r="HA321" s="3"/>
      <c r="HB321" s="3"/>
      <c r="HC321" s="3"/>
      <c r="HD321" s="3"/>
      <c r="HE321" s="3"/>
      <c r="HF321" s="3"/>
      <c r="HG321" s="3"/>
      <c r="HH321" s="3"/>
      <c r="HI321" s="3"/>
      <c r="HJ321" s="3"/>
      <c r="HK321" s="3"/>
      <c r="HL321" s="3"/>
      <c r="HM321" s="3"/>
      <c r="HN321" s="3"/>
      <c r="HO321" s="3"/>
      <c r="HP321" s="3"/>
      <c r="HQ321" s="3"/>
      <c r="HR321" s="3"/>
      <c r="HS321" s="3"/>
      <c r="HT321" s="3"/>
      <c r="HU321" s="3"/>
      <c r="HV321" s="3"/>
      <c r="HW321" s="3"/>
      <c r="HX321" s="3"/>
      <c r="HY321" s="3"/>
      <c r="HZ321" s="3"/>
      <c r="IA321" s="3"/>
      <c r="IB321" s="3"/>
      <c r="IC321" s="3"/>
      <c r="ID321" s="3"/>
      <c r="IE321" s="3"/>
      <c r="IF321" s="3"/>
      <c r="IG321" s="3"/>
      <c r="IH321" s="3"/>
      <c r="II321" s="3"/>
      <c r="IJ321" s="3"/>
      <c r="IK321" s="3"/>
      <c r="IL321" s="3"/>
      <c r="IM321" s="3"/>
      <c r="IN321" s="3"/>
      <c r="IO321" s="3"/>
      <c r="IP321" s="3"/>
      <c r="IQ321" s="3"/>
      <c r="IR321" s="3"/>
      <c r="IS321" s="3"/>
      <c r="IT321" s="3"/>
      <c r="IU321" s="3"/>
      <c r="IV321" s="3"/>
      <c r="IW321" s="3"/>
    </row>
    <row r="322" customFormat="false" ht="12.75" hidden="false" customHeight="false" outlineLevel="0" collapsed="false">
      <c r="A322" s="3"/>
      <c r="B322" s="426" t="s">
        <v>394</v>
      </c>
      <c r="C322" s="155"/>
      <c r="D322" s="22"/>
      <c r="E322" s="427" t="n">
        <f aca="false">E242</f>
        <v>36158</v>
      </c>
      <c r="F322" s="24" t="s">
        <v>395</v>
      </c>
      <c r="G322" s="24"/>
      <c r="H322" s="24"/>
      <c r="I322" s="24"/>
      <c r="J322" s="24"/>
      <c r="K322" s="24"/>
      <c r="L322" s="24"/>
      <c r="M322" s="24"/>
      <c r="N322" s="24"/>
      <c r="O322" s="24"/>
      <c r="P322" s="24"/>
      <c r="Q322" s="24"/>
      <c r="R322" s="24"/>
      <c r="S322" s="24"/>
      <c r="T322" s="24"/>
      <c r="U322" s="24"/>
      <c r="V322" s="24"/>
      <c r="W322" s="24"/>
      <c r="X322" s="24"/>
      <c r="Y322" s="24"/>
      <c r="Z322" s="24"/>
      <c r="AA322" s="24"/>
      <c r="AB322" s="24"/>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c r="BH322" s="24"/>
      <c r="BI322" s="24"/>
      <c r="BJ322" s="24"/>
      <c r="BK322" s="24"/>
      <c r="BL322" s="24"/>
      <c r="BM322" s="24"/>
      <c r="BN322" s="24"/>
      <c r="BO322" s="24"/>
      <c r="BP322" s="24"/>
      <c r="BQ322" s="24"/>
      <c r="BR322" s="24"/>
      <c r="BS322" s="24"/>
      <c r="BT322" s="24"/>
      <c r="BU322" s="24"/>
      <c r="BV322" s="24"/>
      <c r="BW322" s="24"/>
      <c r="BX322" s="24"/>
      <c r="BY322" s="24"/>
      <c r="BZ322" s="24"/>
      <c r="CA322" s="24"/>
      <c r="CB322" s="24"/>
      <c r="CC322" s="24"/>
      <c r="CD322" s="24"/>
      <c r="CE322" s="24"/>
      <c r="CF322" s="24"/>
      <c r="CG322" s="24"/>
      <c r="CH322" s="24"/>
      <c r="CI322" s="24"/>
      <c r="CJ322" s="24"/>
      <c r="CK322" s="24"/>
      <c r="CL322" s="24"/>
      <c r="CM322" s="24"/>
      <c r="CN322" s="24"/>
      <c r="CO322" s="24"/>
      <c r="CP322" s="24"/>
      <c r="CQ322" s="24"/>
      <c r="CR322" s="24"/>
      <c r="CS322" s="24"/>
      <c r="CT322" s="24"/>
      <c r="CU322" s="24"/>
      <c r="CV322" s="24"/>
      <c r="CW322" s="24"/>
      <c r="CX322" s="24"/>
      <c r="CY322" s="24"/>
      <c r="CZ322" s="24"/>
      <c r="DA322" s="24"/>
      <c r="DB322" s="24"/>
      <c r="DC322" s="24"/>
      <c r="DD322" s="24"/>
      <c r="DE322" s="24"/>
      <c r="DF322" s="24"/>
      <c r="DG322" s="24"/>
      <c r="DH322" s="24"/>
      <c r="DI322" s="24"/>
      <c r="DJ322" s="24"/>
      <c r="DK322" s="24"/>
      <c r="DL322" s="24"/>
      <c r="DM322" s="24"/>
      <c r="DN322" s="24"/>
      <c r="DO322" s="24"/>
      <c r="DP322" s="24"/>
      <c r="DQ322" s="24"/>
      <c r="DR322" s="24"/>
      <c r="DS322" s="24"/>
      <c r="DT322" s="24"/>
      <c r="DU322" s="24"/>
      <c r="DV322" s="24"/>
      <c r="DW322" s="24"/>
      <c r="DX322" s="24"/>
      <c r="DY322" s="24"/>
      <c r="DZ322" s="24"/>
      <c r="EA322" s="24"/>
      <c r="EB322" s="24"/>
      <c r="EC322" s="24"/>
      <c r="ED322" s="24"/>
      <c r="EE322" s="24"/>
      <c r="EF322" s="24"/>
      <c r="EG322" s="24"/>
      <c r="EH322" s="24"/>
      <c r="EI322" s="24"/>
      <c r="EJ322" s="24"/>
      <c r="EK322" s="24"/>
      <c r="EL322" s="24"/>
      <c r="EM322" s="3"/>
      <c r="EN322" s="3"/>
      <c r="EO322" s="3"/>
      <c r="EP322" s="3"/>
      <c r="EQ322" s="3"/>
      <c r="ER322" s="3"/>
      <c r="ES322" s="3"/>
      <c r="ET322" s="3"/>
      <c r="EU322" s="3"/>
      <c r="EV322" s="3"/>
      <c r="EW322" s="3"/>
      <c r="EX322" s="3"/>
      <c r="EY322" s="3"/>
      <c r="EZ322" s="3"/>
      <c r="FA322" s="3"/>
      <c r="FB322" s="3"/>
      <c r="FC322" s="3"/>
      <c r="FD322" s="3"/>
      <c r="FE322" s="3"/>
      <c r="FF322" s="3"/>
      <c r="FG322" s="3"/>
      <c r="FH322" s="3"/>
      <c r="FI322" s="3"/>
      <c r="FJ322" s="3"/>
      <c r="FK322" s="3"/>
      <c r="FL322" s="3"/>
      <c r="FM322" s="3"/>
      <c r="FN322" s="3"/>
      <c r="FO322" s="3"/>
      <c r="FP322" s="3"/>
      <c r="FQ322" s="3"/>
      <c r="FR322" s="3"/>
      <c r="FS322" s="3"/>
      <c r="FT322" s="3"/>
      <c r="FU322" s="3"/>
      <c r="FV322" s="3"/>
      <c r="FW322" s="3"/>
      <c r="FX322" s="3"/>
      <c r="FY322" s="3"/>
      <c r="FZ322" s="3"/>
      <c r="GA322" s="3"/>
      <c r="GB322" s="3"/>
      <c r="GC322" s="3"/>
      <c r="GD322" s="3"/>
      <c r="GE322" s="3"/>
      <c r="GF322" s="3"/>
      <c r="GG322" s="3"/>
      <c r="GH322" s="3"/>
      <c r="GI322" s="3"/>
      <c r="GJ322" s="3"/>
      <c r="GK322" s="3"/>
      <c r="GL322" s="3"/>
      <c r="GM322" s="3"/>
      <c r="GN322" s="3"/>
      <c r="GO322" s="3"/>
      <c r="GP322" s="3"/>
      <c r="GQ322" s="3"/>
      <c r="GR322" s="3"/>
      <c r="GS322" s="3"/>
      <c r="GT322" s="3"/>
      <c r="GU322" s="3"/>
      <c r="GV322" s="3"/>
      <c r="GW322" s="3"/>
      <c r="GX322" s="3"/>
      <c r="GY322" s="3"/>
      <c r="GZ322" s="3"/>
      <c r="HA322" s="3"/>
      <c r="HB322" s="3"/>
      <c r="HC322" s="3"/>
      <c r="HD322" s="3"/>
      <c r="HE322" s="3"/>
      <c r="HF322" s="3"/>
      <c r="HG322" s="3"/>
      <c r="HH322" s="3"/>
      <c r="HI322" s="3"/>
      <c r="HJ322" s="3"/>
      <c r="HK322" s="3"/>
      <c r="HL322" s="3"/>
      <c r="HM322" s="3"/>
      <c r="HN322" s="3"/>
      <c r="HO322" s="3"/>
      <c r="HP322" s="3"/>
      <c r="HQ322" s="3"/>
      <c r="HR322" s="3"/>
      <c r="HS322" s="3"/>
      <c r="HT322" s="3"/>
      <c r="HU322" s="3"/>
      <c r="HV322" s="3"/>
      <c r="HW322" s="3"/>
      <c r="HX322" s="3"/>
      <c r="HY322" s="3"/>
      <c r="HZ322" s="3"/>
      <c r="IA322" s="3"/>
      <c r="IB322" s="3"/>
      <c r="IC322" s="3"/>
      <c r="ID322" s="3"/>
      <c r="IE322" s="3"/>
      <c r="IF322" s="3"/>
      <c r="IG322" s="3"/>
      <c r="IH322" s="3"/>
      <c r="II322" s="3"/>
      <c r="IJ322" s="3"/>
      <c r="IK322" s="3"/>
      <c r="IL322" s="3"/>
      <c r="IM322" s="3"/>
      <c r="IN322" s="3"/>
      <c r="IO322" s="3"/>
      <c r="IP322" s="3"/>
      <c r="IQ322" s="3"/>
      <c r="IR322" s="3"/>
      <c r="IS322" s="3"/>
      <c r="IT322" s="3"/>
      <c r="IU322" s="3"/>
      <c r="IV322" s="3"/>
      <c r="IW322" s="3"/>
    </row>
    <row r="323" customFormat="false" ht="12.75" hidden="false" customHeight="false" outlineLevel="0" collapsed="false">
      <c r="A323" s="3"/>
      <c r="B323" s="426"/>
      <c r="C323" s="428"/>
      <c r="D323" s="22"/>
      <c r="E323" s="429"/>
      <c r="F323" s="24"/>
      <c r="G323" s="24"/>
      <c r="H323" s="24"/>
      <c r="I323" s="24"/>
      <c r="J323" s="24"/>
      <c r="K323" s="24"/>
      <c r="L323" s="24"/>
      <c r="M323" s="24"/>
      <c r="N323" s="24"/>
      <c r="O323" s="24"/>
      <c r="P323" s="24"/>
      <c r="Q323" s="24"/>
      <c r="R323" s="24"/>
      <c r="S323" s="24"/>
      <c r="T323" s="24"/>
      <c r="U323" s="24"/>
      <c r="V323" s="24"/>
      <c r="W323" s="24"/>
      <c r="X323" s="24"/>
      <c r="Y323" s="24"/>
      <c r="Z323" s="24"/>
      <c r="AA323" s="24"/>
      <c r="AB323" s="24"/>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c r="BH323" s="24"/>
      <c r="BI323" s="24"/>
      <c r="BJ323" s="24"/>
      <c r="BK323" s="24"/>
      <c r="BL323" s="24"/>
      <c r="BM323" s="24"/>
      <c r="BN323" s="24"/>
      <c r="BO323" s="24"/>
      <c r="BP323" s="24"/>
      <c r="BQ323" s="24"/>
      <c r="BR323" s="24"/>
      <c r="BS323" s="24"/>
      <c r="BT323" s="24"/>
      <c r="BU323" s="24"/>
      <c r="BV323" s="24"/>
      <c r="BW323" s="24"/>
      <c r="BX323" s="24"/>
      <c r="BY323" s="24"/>
      <c r="BZ323" s="24"/>
      <c r="CA323" s="24"/>
      <c r="CB323" s="24"/>
      <c r="CC323" s="24"/>
      <c r="CD323" s="24"/>
      <c r="CE323" s="24"/>
      <c r="CF323" s="24"/>
      <c r="CG323" s="24"/>
      <c r="CH323" s="24"/>
      <c r="CI323" s="24"/>
      <c r="CJ323" s="24"/>
      <c r="CK323" s="24"/>
      <c r="CL323" s="24"/>
      <c r="CM323" s="24"/>
      <c r="CN323" s="24"/>
      <c r="CO323" s="24"/>
      <c r="CP323" s="24"/>
      <c r="CQ323" s="24"/>
      <c r="CR323" s="24"/>
      <c r="CS323" s="24"/>
      <c r="CT323" s="24"/>
      <c r="CU323" s="24"/>
      <c r="CV323" s="24"/>
      <c r="CW323" s="24"/>
      <c r="CX323" s="24"/>
      <c r="CY323" s="24"/>
      <c r="CZ323" s="24"/>
      <c r="DA323" s="24"/>
      <c r="DB323" s="24"/>
      <c r="DC323" s="24"/>
      <c r="DD323" s="24"/>
      <c r="DE323" s="24"/>
      <c r="DF323" s="24"/>
      <c r="DG323" s="24"/>
      <c r="DH323" s="24"/>
      <c r="DI323" s="24"/>
      <c r="DJ323" s="24"/>
      <c r="DK323" s="24"/>
      <c r="DL323" s="24"/>
      <c r="DM323" s="24"/>
      <c r="DN323" s="24"/>
      <c r="DO323" s="24"/>
      <c r="DP323" s="24"/>
      <c r="DQ323" s="24"/>
      <c r="DR323" s="24"/>
      <c r="DS323" s="24"/>
      <c r="DT323" s="24"/>
      <c r="DU323" s="24"/>
      <c r="DV323" s="24"/>
      <c r="DW323" s="24"/>
      <c r="DX323" s="24"/>
      <c r="DY323" s="24"/>
      <c r="DZ323" s="24"/>
      <c r="EA323" s="24"/>
      <c r="EB323" s="24"/>
      <c r="EC323" s="24"/>
      <c r="ED323" s="24"/>
      <c r="EE323" s="24"/>
      <c r="EF323" s="24"/>
      <c r="EG323" s="24"/>
      <c r="EH323" s="24"/>
      <c r="EI323" s="24"/>
      <c r="EJ323" s="24"/>
      <c r="EK323" s="24"/>
      <c r="EL323" s="24"/>
      <c r="EM323" s="3"/>
      <c r="EN323" s="3"/>
      <c r="EO323" s="3"/>
      <c r="EP323" s="3"/>
      <c r="EQ323" s="3"/>
      <c r="ER323" s="3"/>
      <c r="ES323" s="3"/>
      <c r="ET323" s="3"/>
      <c r="EU323" s="3"/>
      <c r="EV323" s="3"/>
      <c r="EW323" s="3"/>
      <c r="EX323" s="3"/>
      <c r="EY323" s="3"/>
      <c r="EZ323" s="3"/>
      <c r="FA323" s="3"/>
      <c r="FB323" s="3"/>
      <c r="FC323" s="3"/>
      <c r="FD323" s="3"/>
      <c r="FE323" s="3"/>
      <c r="FF323" s="3"/>
      <c r="FG323" s="3"/>
      <c r="FH323" s="3"/>
      <c r="FI323" s="3"/>
      <c r="FJ323" s="3"/>
      <c r="FK323" s="3"/>
      <c r="FL323" s="3"/>
      <c r="FM323" s="3"/>
      <c r="FN323" s="3"/>
      <c r="FO323" s="3"/>
      <c r="FP323" s="3"/>
      <c r="FQ323" s="3"/>
      <c r="FR323" s="3"/>
      <c r="FS323" s="3"/>
      <c r="FT323" s="3"/>
      <c r="FU323" s="3"/>
      <c r="FV323" s="3"/>
      <c r="FW323" s="3"/>
      <c r="FX323" s="3"/>
      <c r="FY323" s="3"/>
      <c r="FZ323" s="3"/>
      <c r="GA323" s="3"/>
      <c r="GB323" s="3"/>
      <c r="GC323" s="3"/>
      <c r="GD323" s="3"/>
      <c r="GE323" s="3"/>
      <c r="GF323" s="3"/>
      <c r="GG323" s="3"/>
      <c r="GH323" s="3"/>
      <c r="GI323" s="3"/>
      <c r="GJ323" s="3"/>
      <c r="GK323" s="3"/>
      <c r="GL323" s="3"/>
      <c r="GM323" s="3"/>
      <c r="GN323" s="3"/>
      <c r="GO323" s="3"/>
      <c r="GP323" s="3"/>
      <c r="GQ323" s="3"/>
      <c r="GR323" s="3"/>
      <c r="GS323" s="3"/>
      <c r="GT323" s="3"/>
      <c r="GU323" s="3"/>
      <c r="GV323" s="3"/>
      <c r="GW323" s="3"/>
      <c r="GX323" s="3"/>
      <c r="GY323" s="3"/>
      <c r="GZ323" s="3"/>
      <c r="HA323" s="3"/>
      <c r="HB323" s="3"/>
      <c r="HC323" s="3"/>
      <c r="HD323" s="3"/>
      <c r="HE323" s="3"/>
      <c r="HF323" s="3"/>
      <c r="HG323" s="3"/>
      <c r="HH323" s="3"/>
      <c r="HI323" s="3"/>
      <c r="HJ323" s="3"/>
      <c r="HK323" s="3"/>
      <c r="HL323" s="3"/>
      <c r="HM323" s="3"/>
      <c r="HN323" s="3"/>
      <c r="HO323" s="3"/>
      <c r="HP323" s="3"/>
      <c r="HQ323" s="3"/>
      <c r="HR323" s="3"/>
      <c r="HS323" s="3"/>
      <c r="HT323" s="3"/>
      <c r="HU323" s="3"/>
      <c r="HV323" s="3"/>
      <c r="HW323" s="3"/>
      <c r="HX323" s="3"/>
      <c r="HY323" s="3"/>
      <c r="HZ323" s="3"/>
      <c r="IA323" s="3"/>
      <c r="IB323" s="3"/>
      <c r="IC323" s="3"/>
      <c r="ID323" s="3"/>
      <c r="IE323" s="3"/>
      <c r="IF323" s="3"/>
      <c r="IG323" s="3"/>
      <c r="IH323" s="3"/>
      <c r="II323" s="3"/>
      <c r="IJ323" s="3"/>
      <c r="IK323" s="3"/>
      <c r="IL323" s="3"/>
      <c r="IM323" s="3"/>
      <c r="IN323" s="3"/>
      <c r="IO323" s="3"/>
      <c r="IP323" s="3"/>
      <c r="IQ323" s="3"/>
      <c r="IR323" s="3"/>
      <c r="IS323" s="3"/>
      <c r="IT323" s="3"/>
      <c r="IU323" s="3"/>
      <c r="IV323" s="3"/>
      <c r="IW323" s="3"/>
    </row>
    <row r="324" customFormat="false" ht="13.5" hidden="false" customHeight="false" outlineLevel="0" collapsed="false">
      <c r="A324" s="3"/>
      <c r="B324" s="426"/>
      <c r="C324" s="155"/>
      <c r="D324" s="22"/>
      <c r="E324" s="429"/>
      <c r="F324" s="24"/>
      <c r="G324" s="24"/>
      <c r="H324" s="24"/>
      <c r="I324" s="24"/>
      <c r="J324" s="24"/>
      <c r="K324" s="24"/>
      <c r="L324" s="24"/>
      <c r="M324" s="24"/>
      <c r="N324" s="24"/>
      <c r="O324" s="24"/>
      <c r="P324" s="24"/>
      <c r="Q324" s="24"/>
      <c r="R324" s="24"/>
      <c r="S324" s="24"/>
      <c r="T324" s="24"/>
      <c r="U324" s="24"/>
      <c r="V324" s="24"/>
      <c r="W324" s="24"/>
      <c r="X324" s="24"/>
      <c r="Y324" s="24"/>
      <c r="Z324" s="24"/>
      <c r="AA324" s="24"/>
      <c r="AB324" s="24"/>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c r="BH324" s="24"/>
      <c r="BI324" s="24"/>
      <c r="BJ324" s="24"/>
      <c r="BK324" s="24"/>
      <c r="BL324" s="24"/>
      <c r="BM324" s="24"/>
      <c r="BN324" s="24"/>
      <c r="BO324" s="24"/>
      <c r="BP324" s="24"/>
      <c r="BQ324" s="24"/>
      <c r="BR324" s="24"/>
      <c r="BS324" s="24"/>
      <c r="BT324" s="24"/>
      <c r="BU324" s="24"/>
      <c r="BV324" s="24"/>
      <c r="BW324" s="24"/>
      <c r="BX324" s="24"/>
      <c r="BY324" s="24"/>
      <c r="BZ324" s="24"/>
      <c r="CA324" s="24"/>
      <c r="CB324" s="24"/>
      <c r="CC324" s="24"/>
      <c r="CD324" s="24"/>
      <c r="CE324" s="24"/>
      <c r="CF324" s="24"/>
      <c r="CG324" s="24"/>
      <c r="CH324" s="24"/>
      <c r="CI324" s="24"/>
      <c r="CJ324" s="24"/>
      <c r="CK324" s="24"/>
      <c r="CL324" s="24"/>
      <c r="CM324" s="24"/>
      <c r="CN324" s="24"/>
      <c r="CO324" s="24"/>
      <c r="CP324" s="24"/>
      <c r="CQ324" s="24"/>
      <c r="CR324" s="24"/>
      <c r="CS324" s="24"/>
      <c r="CT324" s="24"/>
      <c r="CU324" s="24"/>
      <c r="CV324" s="24"/>
      <c r="CW324" s="24"/>
      <c r="CX324" s="24"/>
      <c r="CY324" s="24"/>
      <c r="CZ324" s="24"/>
      <c r="DA324" s="24"/>
      <c r="DB324" s="24"/>
      <c r="DC324" s="24"/>
      <c r="DD324" s="24"/>
      <c r="DE324" s="24"/>
      <c r="DF324" s="24"/>
      <c r="DG324" s="24"/>
      <c r="DH324" s="24"/>
      <c r="DI324" s="24"/>
      <c r="DJ324" s="24"/>
      <c r="DK324" s="24"/>
      <c r="DL324" s="24"/>
      <c r="DM324" s="24"/>
      <c r="DN324" s="24"/>
      <c r="DO324" s="24"/>
      <c r="DP324" s="24"/>
      <c r="DQ324" s="24"/>
      <c r="DR324" s="24"/>
      <c r="DS324" s="24"/>
      <c r="DT324" s="24"/>
      <c r="DU324" s="24"/>
      <c r="DV324" s="24"/>
      <c r="DW324" s="24"/>
      <c r="DX324" s="24"/>
      <c r="DY324" s="24"/>
      <c r="DZ324" s="24"/>
      <c r="EA324" s="24"/>
      <c r="EB324" s="24"/>
      <c r="EC324" s="24"/>
      <c r="ED324" s="24"/>
      <c r="EE324" s="24"/>
      <c r="EF324" s="24"/>
      <c r="EG324" s="24"/>
      <c r="EH324" s="24"/>
      <c r="EI324" s="24"/>
      <c r="EJ324" s="24"/>
      <c r="EK324" s="24"/>
      <c r="EL324" s="24"/>
      <c r="EM324" s="3"/>
      <c r="EN324" s="3"/>
      <c r="EO324" s="3"/>
      <c r="EP324" s="3"/>
      <c r="EQ324" s="3"/>
      <c r="ER324" s="3"/>
      <c r="ES324" s="3"/>
      <c r="ET324" s="3"/>
      <c r="EU324" s="3"/>
      <c r="EV324" s="3"/>
      <c r="EW324" s="3"/>
      <c r="EX324" s="3"/>
      <c r="EY324" s="3"/>
      <c r="EZ324" s="3"/>
      <c r="FA324" s="3"/>
      <c r="FB324" s="3"/>
      <c r="FC324" s="3"/>
      <c r="FD324" s="3"/>
      <c r="FE324" s="3"/>
      <c r="FF324" s="3"/>
      <c r="FG324" s="3"/>
      <c r="FH324" s="3"/>
      <c r="FI324" s="3"/>
      <c r="FJ324" s="3"/>
      <c r="FK324" s="3"/>
      <c r="FL324" s="3"/>
      <c r="FM324" s="3"/>
      <c r="FN324" s="3"/>
      <c r="FO324" s="3"/>
      <c r="FP324" s="3"/>
      <c r="FQ324" s="3"/>
      <c r="FR324" s="3"/>
      <c r="FS324" s="3"/>
      <c r="FT324" s="3"/>
      <c r="FU324" s="3"/>
      <c r="FV324" s="3"/>
      <c r="FW324" s="3"/>
      <c r="FX324" s="3"/>
      <c r="FY324" s="3"/>
      <c r="FZ324" s="3"/>
      <c r="GA324" s="3"/>
      <c r="GB324" s="3"/>
      <c r="GC324" s="3"/>
      <c r="GD324" s="3"/>
      <c r="GE324" s="3"/>
      <c r="GF324" s="3"/>
      <c r="GG324" s="3"/>
      <c r="GH324" s="3"/>
      <c r="GI324" s="3"/>
      <c r="GJ324" s="3"/>
      <c r="GK324" s="3"/>
      <c r="GL324" s="3"/>
      <c r="GM324" s="3"/>
      <c r="GN324" s="3"/>
      <c r="GO324" s="3"/>
      <c r="GP324" s="3"/>
      <c r="GQ324" s="3"/>
      <c r="GR324" s="3"/>
      <c r="GS324" s="3"/>
      <c r="GT324" s="3"/>
      <c r="GU324" s="3"/>
      <c r="GV324" s="3"/>
      <c r="GW324" s="3"/>
      <c r="GX324" s="3"/>
      <c r="GY324" s="3"/>
      <c r="GZ324" s="3"/>
      <c r="HA324" s="3"/>
      <c r="HB324" s="3"/>
      <c r="HC324" s="3"/>
      <c r="HD324" s="3"/>
      <c r="HE324" s="3"/>
      <c r="HF324" s="3"/>
      <c r="HG324" s="3"/>
      <c r="HH324" s="3"/>
      <c r="HI324" s="3"/>
      <c r="HJ324" s="3"/>
      <c r="HK324" s="3"/>
      <c r="HL324" s="3"/>
      <c r="HM324" s="3"/>
      <c r="HN324" s="3"/>
      <c r="HO324" s="3"/>
      <c r="HP324" s="3"/>
      <c r="HQ324" s="3"/>
      <c r="HR324" s="3"/>
      <c r="HS324" s="3"/>
      <c r="HT324" s="3"/>
      <c r="HU324" s="3"/>
      <c r="HV324" s="3"/>
      <c r="HW324" s="3"/>
      <c r="HX324" s="3"/>
      <c r="HY324" s="3"/>
      <c r="HZ324" s="3"/>
      <c r="IA324" s="3"/>
      <c r="IB324" s="3"/>
      <c r="IC324" s="3"/>
      <c r="ID324" s="3"/>
      <c r="IE324" s="3"/>
      <c r="IF324" s="3"/>
      <c r="IG324" s="3"/>
      <c r="IH324" s="3"/>
      <c r="II324" s="3"/>
      <c r="IJ324" s="3"/>
      <c r="IK324" s="3"/>
      <c r="IL324" s="3"/>
      <c r="IM324" s="3"/>
      <c r="IN324" s="3"/>
      <c r="IO324" s="3"/>
      <c r="IP324" s="3"/>
      <c r="IQ324" s="3"/>
      <c r="IR324" s="3"/>
      <c r="IS324" s="3"/>
      <c r="IT324" s="3"/>
      <c r="IU324" s="3"/>
      <c r="IV324" s="3"/>
      <c r="IW324" s="3"/>
    </row>
    <row r="325" customFormat="false" ht="13.5" hidden="false" customHeight="false" outlineLevel="0" collapsed="false">
      <c r="A325" s="269"/>
      <c r="B325" s="430" t="s">
        <v>396</v>
      </c>
      <c r="C325" s="431"/>
      <c r="D325" s="178"/>
      <c r="E325" s="432" t="n">
        <f aca="false">Outside!F66+EWC!F66</f>
        <v>26495.8086355692</v>
      </c>
      <c r="F325" s="24" t="s">
        <v>397</v>
      </c>
      <c r="G325" s="24"/>
      <c r="H325" s="24"/>
      <c r="I325" s="24"/>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c r="BH325" s="24"/>
      <c r="BI325" s="24"/>
      <c r="BJ325" s="24"/>
      <c r="BK325" s="24"/>
      <c r="BL325" s="24"/>
      <c r="BM325" s="24"/>
      <c r="BN325" s="24"/>
      <c r="BO325" s="24"/>
      <c r="BP325" s="24"/>
      <c r="BQ325" s="24"/>
      <c r="BR325" s="24"/>
      <c r="BS325" s="24"/>
      <c r="BT325" s="24"/>
      <c r="BU325" s="24"/>
      <c r="BV325" s="24"/>
      <c r="BW325" s="24"/>
      <c r="BX325" s="24"/>
      <c r="BY325" s="24"/>
      <c r="BZ325" s="24"/>
      <c r="CA325" s="24"/>
      <c r="CB325" s="24"/>
      <c r="CC325" s="24"/>
      <c r="CD325" s="24"/>
      <c r="CE325" s="24"/>
      <c r="CF325" s="24"/>
      <c r="CG325" s="24"/>
      <c r="CH325" s="24"/>
      <c r="CI325" s="24"/>
      <c r="CJ325" s="24"/>
      <c r="CK325" s="24"/>
      <c r="CL325" s="24"/>
      <c r="CM325" s="24"/>
      <c r="CN325" s="24"/>
      <c r="CO325" s="24"/>
      <c r="CP325" s="24"/>
      <c r="CQ325" s="24"/>
      <c r="CR325" s="24"/>
      <c r="CS325" s="24"/>
      <c r="CT325" s="24"/>
      <c r="CU325" s="24"/>
      <c r="CV325" s="24"/>
      <c r="CW325" s="24"/>
      <c r="CX325" s="24"/>
      <c r="CY325" s="24"/>
      <c r="CZ325" s="24"/>
      <c r="DA325" s="24"/>
      <c r="DB325" s="24"/>
      <c r="DC325" s="24"/>
      <c r="DD325" s="24"/>
      <c r="DE325" s="24"/>
      <c r="DF325" s="24"/>
      <c r="DG325" s="24"/>
      <c r="DH325" s="24"/>
      <c r="DI325" s="24"/>
      <c r="DJ325" s="24"/>
      <c r="DK325" s="24"/>
      <c r="DL325" s="24"/>
      <c r="DM325" s="24"/>
      <c r="DN325" s="24"/>
      <c r="DO325" s="24"/>
      <c r="DP325" s="24"/>
      <c r="DQ325" s="24"/>
      <c r="DR325" s="24"/>
      <c r="DS325" s="24"/>
      <c r="DT325" s="24"/>
      <c r="DU325" s="24"/>
      <c r="DV325" s="24"/>
      <c r="DW325" s="24"/>
      <c r="DX325" s="24"/>
      <c r="DY325" s="24"/>
      <c r="DZ325" s="24"/>
      <c r="EA325" s="24"/>
      <c r="EB325" s="24"/>
      <c r="EC325" s="24"/>
      <c r="ED325" s="24"/>
      <c r="EE325" s="24"/>
      <c r="EF325" s="24"/>
      <c r="EG325" s="24"/>
      <c r="EH325" s="24"/>
      <c r="EI325" s="24"/>
      <c r="EJ325" s="24"/>
      <c r="EK325" s="24"/>
      <c r="EL325" s="24"/>
      <c r="EM325" s="3"/>
      <c r="EN325" s="3"/>
      <c r="EO325" s="3"/>
      <c r="EP325" s="3"/>
      <c r="EQ325" s="3"/>
      <c r="ER325" s="3"/>
      <c r="ES325" s="3"/>
      <c r="ET325" s="3"/>
      <c r="EU325" s="3"/>
      <c r="EV325" s="3"/>
      <c r="EW325" s="3"/>
      <c r="EX325" s="3"/>
      <c r="EY325" s="3"/>
      <c r="EZ325" s="3"/>
      <c r="FA325" s="3"/>
      <c r="FB325" s="3"/>
      <c r="FC325" s="3"/>
      <c r="FD325" s="3"/>
      <c r="FE325" s="3"/>
      <c r="FF325" s="3"/>
      <c r="FG325" s="3"/>
      <c r="FH325" s="3"/>
      <c r="FI325" s="3"/>
      <c r="FJ325" s="3"/>
      <c r="FK325" s="3"/>
      <c r="FL325" s="3"/>
      <c r="FM325" s="3"/>
      <c r="FN325" s="3"/>
      <c r="FO325" s="3"/>
      <c r="FP325" s="3"/>
      <c r="FQ325" s="3"/>
      <c r="FR325" s="3"/>
      <c r="FS325" s="3"/>
      <c r="FT325" s="3"/>
      <c r="FU325" s="3"/>
      <c r="FV325" s="3"/>
      <c r="FW325" s="3"/>
      <c r="FX325" s="3"/>
      <c r="FY325" s="3"/>
      <c r="FZ325" s="3"/>
      <c r="GA325" s="3"/>
      <c r="GB325" s="3"/>
      <c r="GC325" s="3"/>
      <c r="GD325" s="3"/>
      <c r="GE325" s="3"/>
      <c r="GF325" s="3"/>
      <c r="GG325" s="3"/>
      <c r="GH325" s="3"/>
      <c r="GI325" s="3"/>
      <c r="GJ325" s="3"/>
      <c r="GK325" s="3"/>
      <c r="GL325" s="3"/>
      <c r="GM325" s="3"/>
      <c r="GN325" s="3"/>
      <c r="GO325" s="3"/>
      <c r="GP325" s="3"/>
      <c r="GQ325" s="3"/>
      <c r="GR325" s="3"/>
      <c r="GS325" s="3"/>
      <c r="GT325" s="3"/>
      <c r="GU325" s="3"/>
      <c r="GV325" s="3"/>
      <c r="GW325" s="3"/>
      <c r="GX325" s="3"/>
      <c r="GY325" s="3"/>
      <c r="GZ325" s="3"/>
      <c r="HA325" s="3"/>
      <c r="HB325" s="3"/>
      <c r="HC325" s="3"/>
      <c r="HD325" s="3"/>
      <c r="HE325" s="3"/>
      <c r="HF325" s="3"/>
      <c r="HG325" s="3"/>
      <c r="HH325" s="3"/>
      <c r="HI325" s="3"/>
      <c r="HJ325" s="3"/>
      <c r="HK325" s="3"/>
      <c r="HL325" s="3"/>
      <c r="HM325" s="3"/>
      <c r="HN325" s="3"/>
      <c r="HO325" s="3"/>
      <c r="HP325" s="3"/>
      <c r="HQ325" s="3"/>
      <c r="HR325" s="3"/>
      <c r="HS325" s="3"/>
      <c r="HT325" s="3"/>
      <c r="HU325" s="3"/>
      <c r="HV325" s="3"/>
      <c r="HW325" s="3"/>
      <c r="HX325" s="3"/>
      <c r="HY325" s="3"/>
      <c r="HZ325" s="3"/>
      <c r="IA325" s="3"/>
      <c r="IB325" s="3"/>
      <c r="IC325" s="3"/>
      <c r="ID325" s="3"/>
      <c r="IE325" s="3"/>
      <c r="IF325" s="3"/>
      <c r="IG325" s="3"/>
      <c r="IH325" s="3"/>
      <c r="II325" s="3"/>
      <c r="IJ325" s="3"/>
      <c r="IK325" s="3"/>
      <c r="IL325" s="3"/>
      <c r="IM325" s="3"/>
      <c r="IN325" s="3"/>
      <c r="IO325" s="3"/>
      <c r="IP325" s="3"/>
      <c r="IQ325" s="3"/>
      <c r="IR325" s="3"/>
      <c r="IS325" s="3"/>
      <c r="IT325" s="3"/>
      <c r="IU325" s="3"/>
      <c r="IV325" s="3"/>
      <c r="IW325" s="3"/>
    </row>
    <row r="326" customFormat="false" ht="12.75" hidden="false" customHeight="false" outlineLevel="0" collapsed="false">
      <c r="A326" s="269"/>
      <c r="B326" s="124" t="s">
        <v>398</v>
      </c>
      <c r="C326" s="23"/>
      <c r="D326" s="295"/>
      <c r="E326" s="56" t="n">
        <v>0.13</v>
      </c>
      <c r="F326" s="114" t="s">
        <v>399</v>
      </c>
      <c r="G326" s="24"/>
      <c r="H326" s="24"/>
      <c r="I326" s="24"/>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c r="BH326" s="24"/>
      <c r="BI326" s="24"/>
      <c r="BJ326" s="24"/>
      <c r="BK326" s="24"/>
      <c r="BL326" s="24"/>
      <c r="BM326" s="24"/>
      <c r="BN326" s="24"/>
      <c r="BO326" s="24"/>
      <c r="BP326" s="24"/>
      <c r="BQ326" s="24"/>
      <c r="BR326" s="24"/>
      <c r="BS326" s="24"/>
      <c r="BT326" s="24"/>
      <c r="BU326" s="24"/>
      <c r="BV326" s="24"/>
      <c r="BW326" s="24"/>
      <c r="BX326" s="24"/>
      <c r="BY326" s="24"/>
      <c r="BZ326" s="24"/>
      <c r="CA326" s="24"/>
      <c r="CB326" s="24"/>
      <c r="CC326" s="24"/>
      <c r="CD326" s="24"/>
      <c r="CE326" s="24"/>
      <c r="CF326" s="24"/>
      <c r="CG326" s="24"/>
      <c r="CH326" s="24"/>
      <c r="CI326" s="24"/>
      <c r="CJ326" s="24"/>
      <c r="CK326" s="24"/>
      <c r="CL326" s="24"/>
      <c r="CM326" s="24"/>
      <c r="CN326" s="24"/>
      <c r="CO326" s="24"/>
      <c r="CP326" s="24"/>
      <c r="CQ326" s="24"/>
      <c r="CR326" s="24"/>
      <c r="CS326" s="24"/>
      <c r="CT326" s="24"/>
      <c r="CU326" s="24"/>
      <c r="CV326" s="24"/>
      <c r="CW326" s="24"/>
      <c r="CX326" s="24"/>
      <c r="CY326" s="24"/>
      <c r="CZ326" s="24"/>
      <c r="DA326" s="24"/>
      <c r="DB326" s="24"/>
      <c r="DC326" s="24"/>
      <c r="DD326" s="24"/>
      <c r="DE326" s="24"/>
      <c r="DF326" s="24"/>
      <c r="DG326" s="24"/>
      <c r="DH326" s="24"/>
      <c r="DI326" s="24"/>
      <c r="DJ326" s="24"/>
      <c r="DK326" s="24"/>
      <c r="DL326" s="24"/>
      <c r="DM326" s="24"/>
      <c r="DN326" s="24"/>
      <c r="DO326" s="24"/>
      <c r="DP326" s="24"/>
      <c r="DQ326" s="24"/>
      <c r="DR326" s="24"/>
      <c r="DS326" s="24"/>
      <c r="DT326" s="24"/>
      <c r="DU326" s="24"/>
      <c r="DV326" s="24"/>
      <c r="DW326" s="24"/>
      <c r="DX326" s="24"/>
      <c r="DY326" s="24"/>
      <c r="DZ326" s="24"/>
      <c r="EA326" s="24"/>
      <c r="EB326" s="24"/>
      <c r="EC326" s="24"/>
      <c r="ED326" s="24"/>
      <c r="EE326" s="24"/>
      <c r="EF326" s="24"/>
      <c r="EG326" s="24"/>
      <c r="EH326" s="24"/>
      <c r="EI326" s="24"/>
      <c r="EJ326" s="24"/>
      <c r="EK326" s="24"/>
      <c r="EL326" s="24"/>
      <c r="EM326" s="3"/>
      <c r="EN326" s="3"/>
      <c r="EO326" s="3"/>
      <c r="EP326" s="3"/>
      <c r="EQ326" s="3"/>
      <c r="ER326" s="3"/>
      <c r="ES326" s="3"/>
      <c r="ET326" s="3"/>
      <c r="EU326" s="3"/>
      <c r="EV326" s="3"/>
      <c r="EW326" s="3"/>
      <c r="EX326" s="3"/>
      <c r="EY326" s="3"/>
      <c r="EZ326" s="3"/>
      <c r="FA326" s="3"/>
      <c r="FB326" s="3"/>
      <c r="FC326" s="3"/>
      <c r="FD326" s="3"/>
      <c r="FE326" s="3"/>
      <c r="FF326" s="3"/>
      <c r="FG326" s="3"/>
      <c r="FH326" s="3"/>
      <c r="FI326" s="3"/>
      <c r="FJ326" s="3"/>
      <c r="FK326" s="3"/>
      <c r="FL326" s="3"/>
      <c r="FM326" s="3"/>
      <c r="FN326" s="3"/>
      <c r="FO326" s="3"/>
      <c r="FP326" s="3"/>
      <c r="FQ326" s="3"/>
      <c r="FR326" s="3"/>
      <c r="FS326" s="3"/>
      <c r="FT326" s="3"/>
      <c r="FU326" s="3"/>
      <c r="FV326" s="3"/>
      <c r="FW326" s="3"/>
      <c r="FX326" s="3"/>
      <c r="FY326" s="3"/>
      <c r="FZ326" s="3"/>
      <c r="GA326" s="3"/>
      <c r="GB326" s="3"/>
      <c r="GC326" s="3"/>
      <c r="GD326" s="3"/>
      <c r="GE326" s="3"/>
      <c r="GF326" s="3"/>
      <c r="GG326" s="3"/>
      <c r="GH326" s="3"/>
      <c r="GI326" s="3"/>
      <c r="GJ326" s="3"/>
      <c r="GK326" s="3"/>
      <c r="GL326" s="3"/>
      <c r="GM326" s="3"/>
      <c r="GN326" s="3"/>
      <c r="GO326" s="3"/>
      <c r="GP326" s="3"/>
      <c r="GQ326" s="3"/>
      <c r="GR326" s="3"/>
      <c r="GS326" s="3"/>
      <c r="GT326" s="3"/>
      <c r="GU326" s="3"/>
      <c r="GV326" s="3"/>
      <c r="GW326" s="3"/>
      <c r="GX326" s="3"/>
      <c r="GY326" s="3"/>
      <c r="GZ326" s="3"/>
      <c r="HA326" s="3"/>
      <c r="HB326" s="3"/>
      <c r="HC326" s="3"/>
      <c r="HD326" s="3"/>
      <c r="HE326" s="3"/>
      <c r="HF326" s="3"/>
      <c r="HG326" s="3"/>
      <c r="HH326" s="3"/>
      <c r="HI326" s="3"/>
      <c r="HJ326" s="3"/>
      <c r="HK326" s="3"/>
      <c r="HL326" s="3"/>
      <c r="HM326" s="3"/>
      <c r="HN326" s="3"/>
      <c r="HO326" s="3"/>
      <c r="HP326" s="3"/>
      <c r="HQ326" s="3"/>
      <c r="HR326" s="3"/>
      <c r="HS326" s="3"/>
      <c r="HT326" s="3"/>
      <c r="HU326" s="3"/>
      <c r="HV326" s="3"/>
      <c r="HW326" s="3"/>
      <c r="HX326" s="3"/>
      <c r="HY326" s="3"/>
      <c r="HZ326" s="3"/>
      <c r="IA326" s="3"/>
      <c r="IB326" s="3"/>
      <c r="IC326" s="3"/>
      <c r="ID326" s="3"/>
      <c r="IE326" s="3"/>
      <c r="IF326" s="3"/>
      <c r="IG326" s="3"/>
      <c r="IH326" s="3"/>
      <c r="II326" s="3"/>
      <c r="IJ326" s="3"/>
      <c r="IK326" s="3"/>
      <c r="IL326" s="3"/>
      <c r="IM326" s="3"/>
      <c r="IN326" s="3"/>
      <c r="IO326" s="3"/>
      <c r="IP326" s="3"/>
      <c r="IQ326" s="3"/>
      <c r="IR326" s="3"/>
      <c r="IS326" s="3"/>
      <c r="IT326" s="3"/>
      <c r="IU326" s="3"/>
      <c r="IV326" s="3"/>
      <c r="IW326" s="3"/>
    </row>
    <row r="327" customFormat="false" ht="12.75" hidden="false" customHeight="false" outlineLevel="0" collapsed="false">
      <c r="A327" s="269"/>
      <c r="B327" s="433" t="s">
        <v>400</v>
      </c>
      <c r="C327" s="433"/>
      <c r="D327" s="434"/>
      <c r="E327" s="435" t="n">
        <v>1</v>
      </c>
      <c r="F327" s="24"/>
      <c r="G327" s="3"/>
      <c r="H327" s="24"/>
      <c r="I327" s="24"/>
      <c r="J327" s="24"/>
      <c r="K327" s="24"/>
      <c r="L327" s="24"/>
      <c r="M327" s="24"/>
      <c r="N327" s="24"/>
      <c r="O327" s="24"/>
      <c r="P327" s="24"/>
      <c r="Q327" s="24"/>
      <c r="R327" s="24"/>
      <c r="S327" s="24"/>
      <c r="T327" s="24"/>
      <c r="U327" s="24"/>
      <c r="V327" s="24"/>
      <c r="W327" s="24"/>
      <c r="X327" s="24"/>
      <c r="Y327" s="24"/>
      <c r="Z327" s="24"/>
      <c r="AA327" s="24"/>
      <c r="AB327" s="24"/>
      <c r="AC327" s="24"/>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c r="BH327" s="24"/>
      <c r="BI327" s="24"/>
      <c r="BJ327" s="24"/>
      <c r="BK327" s="24"/>
      <c r="BL327" s="24"/>
      <c r="BM327" s="24"/>
      <c r="BN327" s="24"/>
      <c r="BO327" s="24"/>
      <c r="BP327" s="24"/>
      <c r="BQ327" s="24"/>
      <c r="BR327" s="24"/>
      <c r="BS327" s="24"/>
      <c r="BT327" s="24"/>
      <c r="BU327" s="24"/>
      <c r="BV327" s="24"/>
      <c r="BW327" s="24"/>
      <c r="BX327" s="24"/>
      <c r="BY327" s="24"/>
      <c r="BZ327" s="24"/>
      <c r="CA327" s="24"/>
      <c r="CB327" s="24"/>
      <c r="CC327" s="24"/>
      <c r="CD327" s="24"/>
      <c r="CE327" s="24"/>
      <c r="CF327" s="24"/>
      <c r="CG327" s="24"/>
      <c r="CH327" s="24"/>
      <c r="CI327" s="24"/>
      <c r="CJ327" s="24"/>
      <c r="CK327" s="24"/>
      <c r="CL327" s="24"/>
      <c r="CM327" s="24"/>
      <c r="CN327" s="24"/>
      <c r="CO327" s="24"/>
      <c r="CP327" s="24"/>
      <c r="CQ327" s="24"/>
      <c r="CR327" s="24"/>
      <c r="CS327" s="24"/>
      <c r="CT327" s="24"/>
      <c r="CU327" s="24"/>
      <c r="CV327" s="24"/>
      <c r="CW327" s="24"/>
      <c r="CX327" s="24"/>
      <c r="CY327" s="24"/>
      <c r="CZ327" s="24"/>
      <c r="DA327" s="24"/>
      <c r="DB327" s="24"/>
      <c r="DC327" s="24"/>
      <c r="DD327" s="24"/>
      <c r="DE327" s="24"/>
      <c r="DF327" s="24"/>
      <c r="DG327" s="24"/>
      <c r="DH327" s="24"/>
      <c r="DI327" s="24"/>
      <c r="DJ327" s="24"/>
      <c r="DK327" s="24"/>
      <c r="DL327" s="24"/>
      <c r="DM327" s="24"/>
      <c r="DN327" s="24"/>
      <c r="DO327" s="24"/>
      <c r="DP327" s="24"/>
      <c r="DQ327" s="24"/>
      <c r="DR327" s="24"/>
      <c r="DS327" s="24"/>
      <c r="DT327" s="24"/>
      <c r="DU327" s="24"/>
      <c r="DV327" s="24"/>
      <c r="DW327" s="24"/>
      <c r="DX327" s="24"/>
      <c r="DY327" s="24"/>
      <c r="DZ327" s="24"/>
      <c r="EA327" s="24"/>
      <c r="EB327" s="24"/>
      <c r="EC327" s="24"/>
      <c r="ED327" s="24"/>
      <c r="EE327" s="24"/>
      <c r="EF327" s="24"/>
      <c r="EG327" s="24"/>
      <c r="EH327" s="24"/>
      <c r="EI327" s="24"/>
      <c r="EJ327" s="24"/>
      <c r="EK327" s="24"/>
      <c r="EL327" s="24"/>
      <c r="EM327" s="3"/>
      <c r="EN327" s="3"/>
      <c r="EO327" s="3"/>
      <c r="EP327" s="3"/>
      <c r="EQ327" s="3"/>
      <c r="ER327" s="3"/>
      <c r="ES327" s="3"/>
      <c r="ET327" s="3"/>
      <c r="EU327" s="3"/>
      <c r="EV327" s="3"/>
      <c r="EW327" s="3"/>
      <c r="EX327" s="3"/>
      <c r="EY327" s="3"/>
      <c r="EZ327" s="3"/>
      <c r="FA327" s="3"/>
      <c r="FB327" s="3"/>
      <c r="FC327" s="3"/>
      <c r="FD327" s="3"/>
      <c r="FE327" s="3"/>
      <c r="FF327" s="3"/>
      <c r="FG327" s="3"/>
      <c r="FH327" s="3"/>
      <c r="FI327" s="3"/>
      <c r="FJ327" s="3"/>
      <c r="FK327" s="3"/>
      <c r="FL327" s="3"/>
      <c r="FM327" s="3"/>
      <c r="FN327" s="3"/>
      <c r="FO327" s="3"/>
      <c r="FP327" s="3"/>
      <c r="FQ327" s="3"/>
      <c r="FR327" s="3"/>
      <c r="FS327" s="3"/>
      <c r="FT327" s="3"/>
      <c r="FU327" s="3"/>
      <c r="FV327" s="3"/>
      <c r="FW327" s="3"/>
      <c r="FX327" s="3"/>
      <c r="FY327" s="3"/>
      <c r="FZ327" s="3"/>
      <c r="GA327" s="3"/>
      <c r="GB327" s="3"/>
      <c r="GC327" s="3"/>
      <c r="GD327" s="3"/>
      <c r="GE327" s="3"/>
      <c r="GF327" s="3"/>
      <c r="GG327" s="3"/>
      <c r="GH327" s="3"/>
      <c r="GI327" s="3"/>
      <c r="GJ327" s="3"/>
      <c r="GK327" s="3"/>
      <c r="GL327" s="3"/>
      <c r="GM327" s="3"/>
      <c r="GN327" s="3"/>
      <c r="GO327" s="3"/>
      <c r="GP327" s="3"/>
      <c r="GQ327" s="3"/>
      <c r="GR327" s="3"/>
      <c r="GS327" s="3"/>
      <c r="GT327" s="3"/>
      <c r="GU327" s="3"/>
      <c r="GV327" s="3"/>
      <c r="GW327" s="3"/>
      <c r="GX327" s="3"/>
      <c r="GY327" s="3"/>
      <c r="GZ327" s="3"/>
      <c r="HA327" s="3"/>
      <c r="HB327" s="3"/>
      <c r="HC327" s="3"/>
      <c r="HD327" s="3"/>
      <c r="HE327" s="3"/>
      <c r="HF327" s="3"/>
      <c r="HG327" s="3"/>
      <c r="HH327" s="3"/>
      <c r="HI327" s="3"/>
      <c r="HJ327" s="3"/>
      <c r="HK327" s="3"/>
      <c r="HL327" s="3"/>
      <c r="HM327" s="3"/>
      <c r="HN327" s="3"/>
      <c r="HO327" s="3"/>
      <c r="HP327" s="3"/>
      <c r="HQ327" s="3"/>
      <c r="HR327" s="3"/>
      <c r="HS327" s="3"/>
      <c r="HT327" s="3"/>
      <c r="HU327" s="3"/>
      <c r="HV327" s="3"/>
      <c r="HW327" s="3"/>
      <c r="HX327" s="3"/>
      <c r="HY327" s="3"/>
      <c r="HZ327" s="3"/>
      <c r="IA327" s="3"/>
      <c r="IB327" s="3"/>
      <c r="IC327" s="3"/>
      <c r="ID327" s="3"/>
      <c r="IE327" s="3"/>
      <c r="IF327" s="3"/>
      <c r="IG327" s="3"/>
      <c r="IH327" s="3"/>
      <c r="II327" s="3"/>
      <c r="IJ327" s="3"/>
      <c r="IK327" s="3"/>
      <c r="IL327" s="3"/>
      <c r="IM327" s="3"/>
      <c r="IN327" s="3"/>
      <c r="IO327" s="3"/>
      <c r="IP327" s="3"/>
      <c r="IQ327" s="3"/>
      <c r="IR327" s="3"/>
      <c r="IS327" s="3"/>
      <c r="IT327" s="3"/>
      <c r="IU327" s="3"/>
      <c r="IV327" s="3"/>
      <c r="IW327" s="3"/>
    </row>
    <row r="328" customFormat="false" ht="12.75" hidden="false" customHeight="false" outlineLevel="0" collapsed="false">
      <c r="A328" s="52"/>
      <c r="B328" s="3"/>
      <c r="D328" s="3"/>
      <c r="E328" s="3"/>
      <c r="F328" s="22"/>
      <c r="G328" s="100"/>
      <c r="H328" s="22"/>
      <c r="I328" s="22"/>
      <c r="J328" s="24"/>
      <c r="K328" s="24"/>
      <c r="L328" s="24"/>
      <c r="M328" s="24"/>
      <c r="N328" s="24"/>
      <c r="O328" s="24"/>
      <c r="P328" s="24"/>
      <c r="Q328" s="24"/>
      <c r="R328" s="24"/>
      <c r="S328" s="24"/>
      <c r="T328" s="24"/>
      <c r="U328" s="24"/>
      <c r="V328" s="24"/>
      <c r="W328" s="24"/>
      <c r="X328" s="24"/>
      <c r="Y328" s="24"/>
      <c r="Z328" s="24"/>
      <c r="AA328" s="24"/>
      <c r="AB328" s="24"/>
      <c r="AC328" s="24"/>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c r="BH328" s="24"/>
      <c r="BI328" s="24"/>
      <c r="BJ328" s="24"/>
      <c r="BK328" s="24"/>
      <c r="BL328" s="24"/>
      <c r="BM328" s="24"/>
      <c r="BN328" s="24"/>
      <c r="BO328" s="24"/>
      <c r="BP328" s="24"/>
      <c r="BQ328" s="24"/>
      <c r="BR328" s="24"/>
      <c r="BS328" s="24"/>
      <c r="BT328" s="24"/>
      <c r="BU328" s="24"/>
      <c r="BV328" s="24"/>
      <c r="BW328" s="24"/>
      <c r="BX328" s="24"/>
      <c r="BY328" s="24"/>
      <c r="BZ328" s="24"/>
      <c r="CA328" s="24"/>
      <c r="CB328" s="24"/>
      <c r="CC328" s="24"/>
      <c r="CD328" s="24"/>
      <c r="CE328" s="24"/>
      <c r="CF328" s="24"/>
      <c r="CG328" s="24"/>
      <c r="CH328" s="24"/>
      <c r="CI328" s="24"/>
      <c r="CJ328" s="24"/>
      <c r="CK328" s="24"/>
      <c r="CL328" s="24"/>
      <c r="CM328" s="24"/>
      <c r="CN328" s="24"/>
      <c r="CO328" s="24"/>
      <c r="CP328" s="24"/>
      <c r="CQ328" s="24"/>
      <c r="CR328" s="24"/>
      <c r="CS328" s="24"/>
      <c r="CT328" s="24"/>
      <c r="CU328" s="24"/>
      <c r="CV328" s="24"/>
      <c r="CW328" s="24"/>
      <c r="CX328" s="24"/>
      <c r="CY328" s="24"/>
      <c r="CZ328" s="24"/>
      <c r="DA328" s="24"/>
      <c r="DB328" s="24"/>
      <c r="DC328" s="24"/>
      <c r="DD328" s="24"/>
      <c r="DE328" s="24"/>
      <c r="DF328" s="24"/>
      <c r="DG328" s="24"/>
      <c r="DH328" s="24"/>
      <c r="DI328" s="24"/>
      <c r="DJ328" s="24"/>
      <c r="DK328" s="24"/>
      <c r="DL328" s="24"/>
      <c r="DM328" s="24"/>
      <c r="DN328" s="24"/>
      <c r="DO328" s="24"/>
      <c r="DP328" s="24"/>
      <c r="DQ328" s="24"/>
      <c r="DR328" s="24"/>
      <c r="DS328" s="24"/>
      <c r="DT328" s="24"/>
      <c r="DU328" s="24"/>
      <c r="DV328" s="24"/>
      <c r="DW328" s="24"/>
      <c r="DX328" s="24"/>
      <c r="DY328" s="24"/>
      <c r="DZ328" s="24"/>
      <c r="EA328" s="24"/>
      <c r="EB328" s="24"/>
      <c r="EC328" s="24"/>
      <c r="ED328" s="24"/>
      <c r="EE328" s="24"/>
      <c r="EF328" s="24"/>
      <c r="EG328" s="24"/>
      <c r="EH328" s="24"/>
      <c r="EI328" s="24"/>
      <c r="EJ328" s="24"/>
      <c r="EK328" s="24"/>
      <c r="EL328" s="24"/>
      <c r="EM328" s="3"/>
      <c r="EN328" s="3"/>
      <c r="EO328" s="3"/>
      <c r="EP328" s="3"/>
      <c r="EQ328" s="3"/>
      <c r="ER328" s="3"/>
      <c r="ES328" s="3"/>
      <c r="ET328" s="3"/>
      <c r="EU328" s="3"/>
      <c r="EV328" s="3"/>
      <c r="EW328" s="3"/>
      <c r="EX328" s="3"/>
      <c r="EY328" s="3"/>
      <c r="EZ328" s="3"/>
      <c r="FA328" s="3"/>
      <c r="FB328" s="3"/>
      <c r="FC328" s="3"/>
      <c r="FD328" s="3"/>
      <c r="FE328" s="3"/>
      <c r="FF328" s="3"/>
      <c r="FG328" s="3"/>
      <c r="FH328" s="3"/>
      <c r="FI328" s="3"/>
      <c r="FJ328" s="3"/>
      <c r="FK328" s="3"/>
      <c r="FL328" s="3"/>
      <c r="FM328" s="3"/>
      <c r="FN328" s="3"/>
      <c r="FO328" s="3"/>
      <c r="FP328" s="3"/>
      <c r="FQ328" s="3"/>
      <c r="FR328" s="3"/>
      <c r="FS328" s="3"/>
      <c r="FT328" s="3"/>
      <c r="FU328" s="3"/>
      <c r="FV328" s="3"/>
      <c r="FW328" s="3"/>
      <c r="FX328" s="3"/>
      <c r="FY328" s="3"/>
      <c r="FZ328" s="3"/>
      <c r="GA328" s="3"/>
      <c r="GB328" s="3"/>
      <c r="GC328" s="3"/>
      <c r="GD328" s="3"/>
      <c r="GE328" s="3"/>
      <c r="GF328" s="3"/>
      <c r="GG328" s="3"/>
      <c r="GH328" s="3"/>
      <c r="GI328" s="3"/>
      <c r="GJ328" s="3"/>
      <c r="GK328" s="3"/>
      <c r="GL328" s="3"/>
      <c r="GM328" s="3"/>
      <c r="GN328" s="3"/>
      <c r="GO328" s="3"/>
      <c r="GP328" s="3"/>
      <c r="GQ328" s="3"/>
      <c r="GR328" s="3"/>
      <c r="GS328" s="3"/>
      <c r="GT328" s="3"/>
      <c r="GU328" s="3"/>
      <c r="GV328" s="3"/>
      <c r="GW328" s="3"/>
      <c r="GX328" s="3"/>
      <c r="GY328" s="3"/>
      <c r="GZ328" s="3"/>
      <c r="HA328" s="3"/>
      <c r="HB328" s="3"/>
      <c r="HC328" s="3"/>
      <c r="HD328" s="3"/>
      <c r="HE328" s="3"/>
      <c r="HF328" s="3"/>
      <c r="HG328" s="3"/>
      <c r="HH328" s="3"/>
      <c r="HI328" s="3"/>
      <c r="HJ328" s="3"/>
      <c r="HK328" s="3"/>
      <c r="HL328" s="3"/>
      <c r="HM328" s="3"/>
      <c r="HN328" s="3"/>
      <c r="HO328" s="3"/>
      <c r="HP328" s="3"/>
      <c r="HQ328" s="3"/>
      <c r="HR328" s="3"/>
      <c r="HS328" s="3"/>
      <c r="HT328" s="3"/>
      <c r="HU328" s="3"/>
      <c r="HV328" s="3"/>
      <c r="HW328" s="3"/>
      <c r="HX328" s="3"/>
      <c r="HY328" s="3"/>
      <c r="HZ328" s="3"/>
      <c r="IA328" s="3"/>
      <c r="IB328" s="3"/>
      <c r="IC328" s="3"/>
      <c r="ID328" s="3"/>
      <c r="IE328" s="3"/>
      <c r="IF328" s="3"/>
      <c r="IG328" s="3"/>
      <c r="IH328" s="3"/>
      <c r="II328" s="3"/>
      <c r="IJ328" s="3"/>
      <c r="IK328" s="3"/>
      <c r="IL328" s="3"/>
      <c r="IM328" s="3"/>
      <c r="IN328" s="3"/>
      <c r="IO328" s="3"/>
      <c r="IP328" s="3"/>
      <c r="IQ328" s="3"/>
      <c r="IR328" s="3"/>
      <c r="IS328" s="3"/>
      <c r="IT328" s="3"/>
      <c r="IU328" s="3"/>
      <c r="IV328" s="3"/>
      <c r="IW328" s="3"/>
    </row>
    <row r="329" customFormat="false" ht="13.5" hidden="false" customHeight="false" outlineLevel="0" collapsed="false">
      <c r="A329" s="52"/>
      <c r="B329" s="52" t="s">
        <v>401</v>
      </c>
      <c r="C329" s="52"/>
      <c r="D329" s="178"/>
      <c r="E329" s="436" t="n">
        <f aca="false">E325</f>
        <v>26495.8086355692</v>
      </c>
      <c r="F329" s="22"/>
      <c r="G329" s="437" t="s">
        <v>333</v>
      </c>
      <c r="H329" s="46" t="s">
        <v>334</v>
      </c>
      <c r="I329" s="3"/>
      <c r="J329" s="24"/>
      <c r="K329" s="24"/>
      <c r="L329" s="24"/>
      <c r="M329" s="24"/>
      <c r="N329" s="24"/>
      <c r="O329" s="24"/>
      <c r="P329" s="24"/>
      <c r="Q329" s="24"/>
      <c r="R329" s="24"/>
      <c r="S329" s="24"/>
      <c r="T329" s="24"/>
      <c r="U329" s="24"/>
      <c r="V329" s="24"/>
      <c r="W329" s="24"/>
      <c r="X329" s="24"/>
      <c r="Y329" s="24"/>
      <c r="Z329" s="24"/>
      <c r="AA329" s="24"/>
      <c r="AB329" s="24"/>
      <c r="AC329" s="24"/>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c r="BH329" s="24"/>
      <c r="BI329" s="24"/>
      <c r="BJ329" s="24"/>
      <c r="BK329" s="24"/>
      <c r="BL329" s="24"/>
      <c r="BM329" s="24"/>
      <c r="BN329" s="24"/>
      <c r="BO329" s="24"/>
      <c r="BP329" s="24"/>
      <c r="BQ329" s="24"/>
      <c r="BR329" s="24"/>
      <c r="BS329" s="24"/>
      <c r="BT329" s="24"/>
      <c r="BU329" s="24"/>
      <c r="BV329" s="24"/>
      <c r="BW329" s="24"/>
      <c r="BX329" s="24"/>
      <c r="BY329" s="24"/>
      <c r="BZ329" s="24"/>
      <c r="CA329" s="24"/>
      <c r="CB329" s="24"/>
      <c r="CC329" s="24"/>
      <c r="CD329" s="24"/>
      <c r="CE329" s="24"/>
      <c r="CF329" s="24"/>
      <c r="CG329" s="24"/>
      <c r="CH329" s="24"/>
      <c r="CI329" s="24"/>
      <c r="CJ329" s="24"/>
      <c r="CK329" s="24"/>
      <c r="CL329" s="24"/>
      <c r="CM329" s="24"/>
      <c r="CN329" s="24"/>
      <c r="CO329" s="24"/>
      <c r="CP329" s="24"/>
      <c r="CQ329" s="24"/>
      <c r="CR329" s="24"/>
      <c r="CS329" s="24"/>
      <c r="CT329" s="24"/>
      <c r="CU329" s="24"/>
      <c r="CV329" s="24"/>
      <c r="CW329" s="24"/>
      <c r="CX329" s="24"/>
      <c r="CY329" s="24"/>
      <c r="CZ329" s="24"/>
      <c r="DA329" s="24"/>
      <c r="DB329" s="24"/>
      <c r="DC329" s="24"/>
      <c r="DD329" s="24"/>
      <c r="DE329" s="24"/>
      <c r="DF329" s="24"/>
      <c r="DG329" s="24"/>
      <c r="DH329" s="24"/>
      <c r="DI329" s="24"/>
      <c r="DJ329" s="24"/>
      <c r="DK329" s="24"/>
      <c r="DL329" s="24"/>
      <c r="DM329" s="24"/>
      <c r="DN329" s="24"/>
      <c r="DO329" s="24"/>
      <c r="DP329" s="24"/>
      <c r="DQ329" s="24"/>
      <c r="DR329" s="24"/>
      <c r="DS329" s="24"/>
      <c r="DT329" s="24"/>
      <c r="DU329" s="24"/>
      <c r="DV329" s="24"/>
      <c r="DW329" s="24"/>
      <c r="DX329" s="24"/>
      <c r="DY329" s="24"/>
      <c r="DZ329" s="24"/>
      <c r="EA329" s="24"/>
      <c r="EB329" s="24"/>
      <c r="EC329" s="24"/>
      <c r="ED329" s="24"/>
      <c r="EE329" s="24"/>
      <c r="EF329" s="24"/>
      <c r="EG329" s="24"/>
      <c r="EH329" s="24"/>
      <c r="EI329" s="24"/>
      <c r="EJ329" s="24"/>
      <c r="EK329" s="24"/>
      <c r="EL329" s="24"/>
      <c r="EM329" s="3"/>
      <c r="EN329" s="3"/>
      <c r="EO329" s="3"/>
      <c r="EP329" s="3"/>
      <c r="EQ329" s="3"/>
      <c r="ER329" s="3"/>
      <c r="ES329" s="3"/>
      <c r="ET329" s="3"/>
      <c r="EU329" s="3"/>
      <c r="EV329" s="3"/>
      <c r="EW329" s="3"/>
      <c r="EX329" s="3"/>
      <c r="EY329" s="3"/>
      <c r="EZ329" s="3"/>
      <c r="FA329" s="3"/>
      <c r="FB329" s="3"/>
      <c r="FC329" s="3"/>
      <c r="FD329" s="3"/>
      <c r="FE329" s="3"/>
      <c r="FF329" s="3"/>
      <c r="FG329" s="3"/>
      <c r="FH329" s="3"/>
      <c r="FI329" s="3"/>
      <c r="FJ329" s="3"/>
      <c r="FK329" s="3"/>
      <c r="FL329" s="3"/>
      <c r="FM329" s="3"/>
      <c r="FN329" s="3"/>
      <c r="FO329" s="3"/>
      <c r="FP329" s="3"/>
      <c r="FQ329" s="3"/>
      <c r="FR329" s="3"/>
      <c r="FS329" s="3"/>
      <c r="FT329" s="3"/>
      <c r="FU329" s="3"/>
      <c r="FV329" s="3"/>
      <c r="FW329" s="3"/>
      <c r="FX329" s="3"/>
      <c r="FY329" s="3"/>
      <c r="FZ329" s="3"/>
      <c r="GA329" s="3"/>
      <c r="GB329" s="3"/>
      <c r="GC329" s="3"/>
      <c r="GD329" s="3"/>
      <c r="GE329" s="3"/>
      <c r="GF329" s="3"/>
      <c r="GG329" s="3"/>
      <c r="GH329" s="3"/>
      <c r="GI329" s="3"/>
      <c r="GJ329" s="3"/>
      <c r="GK329" s="3"/>
      <c r="GL329" s="3"/>
      <c r="GM329" s="3"/>
      <c r="GN329" s="3"/>
      <c r="GO329" s="3"/>
      <c r="GP329" s="3"/>
      <c r="GQ329" s="3"/>
      <c r="GR329" s="3"/>
      <c r="GS329" s="3"/>
      <c r="GT329" s="3"/>
      <c r="GU329" s="3"/>
      <c r="GV329" s="3"/>
      <c r="GW329" s="3"/>
      <c r="GX329" s="3"/>
      <c r="GY329" s="3"/>
      <c r="GZ329" s="3"/>
      <c r="HA329" s="3"/>
      <c r="HB329" s="3"/>
      <c r="HC329" s="3"/>
      <c r="HD329" s="3"/>
      <c r="HE329" s="3"/>
      <c r="HF329" s="3"/>
      <c r="HG329" s="3"/>
      <c r="HH329" s="3"/>
      <c r="HI329" s="3"/>
      <c r="HJ329" s="3"/>
      <c r="HK329" s="3"/>
      <c r="HL329" s="3"/>
      <c r="HM329" s="3"/>
      <c r="HN329" s="3"/>
      <c r="HO329" s="3"/>
      <c r="HP329" s="3"/>
      <c r="HQ329" s="3"/>
      <c r="HR329" s="3"/>
      <c r="HS329" s="3"/>
      <c r="HT329" s="3"/>
      <c r="HU329" s="3"/>
      <c r="HV329" s="3"/>
      <c r="HW329" s="3"/>
      <c r="HX329" s="3"/>
      <c r="HY329" s="3"/>
      <c r="HZ329" s="3"/>
      <c r="IA329" s="3"/>
      <c r="IB329" s="3"/>
      <c r="IC329" s="3"/>
      <c r="ID329" s="3"/>
      <c r="IE329" s="3"/>
      <c r="IF329" s="3"/>
      <c r="IG329" s="3"/>
      <c r="IH329" s="3"/>
      <c r="II329" s="3"/>
      <c r="IJ329" s="3"/>
      <c r="IK329" s="3"/>
      <c r="IL329" s="3"/>
      <c r="IM329" s="3"/>
      <c r="IN329" s="3"/>
      <c r="IO329" s="3"/>
      <c r="IP329" s="3"/>
      <c r="IQ329" s="3"/>
      <c r="IR329" s="3"/>
      <c r="IS329" s="3"/>
      <c r="IT329" s="3"/>
      <c r="IU329" s="3"/>
      <c r="IV329" s="3"/>
      <c r="IW329" s="3"/>
    </row>
    <row r="330" customFormat="false" ht="12.75" hidden="false" customHeight="false" outlineLevel="0" collapsed="false">
      <c r="A330" s="52"/>
      <c r="B330" s="52" t="s">
        <v>402</v>
      </c>
      <c r="C330" s="52"/>
      <c r="D330" s="438" t="n">
        <f aca="false">1-D331</f>
        <v>0.99</v>
      </c>
      <c r="E330" s="439" t="n">
        <f aca="false">E329*D330</f>
        <v>26230.8505492135</v>
      </c>
      <c r="F330" s="77"/>
      <c r="G330" s="440" t="n">
        <f aca="false">Outside!D65</f>
        <v>0.126472759435792</v>
      </c>
      <c r="H330" s="441" t="n">
        <f aca="false">EWC!D65</f>
        <v>0.126472759435792</v>
      </c>
      <c r="I330" s="442" t="s">
        <v>336</v>
      </c>
      <c r="J330" s="0"/>
      <c r="K330" s="0"/>
      <c r="L330" s="0"/>
      <c r="M330" s="0"/>
      <c r="N330" s="24"/>
      <c r="O330" s="24"/>
      <c r="P330" s="24"/>
      <c r="Q330" s="24"/>
      <c r="R330" s="24"/>
      <c r="S330" s="24"/>
      <c r="T330" s="24"/>
      <c r="U330" s="24"/>
      <c r="V330" s="24"/>
      <c r="W330" s="24"/>
      <c r="X330" s="24"/>
      <c r="Y330" s="24"/>
      <c r="Z330" s="24"/>
      <c r="AA330" s="24"/>
      <c r="AB330" s="24"/>
      <c r="AC330" s="24"/>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c r="BH330" s="24"/>
      <c r="BI330" s="24"/>
      <c r="BJ330" s="24"/>
      <c r="BK330" s="24"/>
      <c r="BL330" s="24"/>
      <c r="BM330" s="24"/>
      <c r="BN330" s="24"/>
      <c r="BO330" s="24"/>
      <c r="BP330" s="24"/>
      <c r="BQ330" s="24"/>
      <c r="BR330" s="24"/>
      <c r="BS330" s="24"/>
      <c r="BT330" s="24"/>
      <c r="BU330" s="24"/>
      <c r="BV330" s="24"/>
      <c r="BW330" s="24"/>
      <c r="BX330" s="24"/>
      <c r="BY330" s="24"/>
      <c r="BZ330" s="24"/>
      <c r="CA330" s="24"/>
      <c r="CB330" s="24"/>
      <c r="CC330" s="24"/>
      <c r="CD330" s="24"/>
      <c r="CE330" s="24"/>
      <c r="CF330" s="24"/>
      <c r="CG330" s="24"/>
      <c r="CH330" s="24"/>
      <c r="CI330" s="24"/>
      <c r="CJ330" s="24"/>
      <c r="CK330" s="24"/>
      <c r="CL330" s="24"/>
      <c r="CM330" s="24"/>
      <c r="CN330" s="24"/>
      <c r="CO330" s="24"/>
      <c r="CP330" s="24"/>
      <c r="CQ330" s="24"/>
      <c r="CR330" s="24"/>
      <c r="CS330" s="24"/>
      <c r="CT330" s="24"/>
      <c r="CU330" s="24"/>
      <c r="CV330" s="24"/>
      <c r="CW330" s="24"/>
      <c r="CX330" s="24"/>
      <c r="CY330" s="24"/>
      <c r="CZ330" s="24"/>
      <c r="DA330" s="24"/>
      <c r="DB330" s="24"/>
      <c r="DC330" s="24"/>
      <c r="DD330" s="24"/>
      <c r="DE330" s="24"/>
      <c r="DF330" s="24"/>
      <c r="DG330" s="24"/>
      <c r="DH330" s="24"/>
      <c r="DI330" s="24"/>
      <c r="DJ330" s="24"/>
      <c r="DK330" s="24"/>
      <c r="DL330" s="24"/>
      <c r="DM330" s="24"/>
      <c r="DN330" s="24"/>
      <c r="DO330" s="24"/>
      <c r="DP330" s="24"/>
      <c r="DQ330" s="24"/>
      <c r="DR330" s="24"/>
      <c r="DS330" s="24"/>
      <c r="DT330" s="24"/>
      <c r="DU330" s="24"/>
      <c r="DV330" s="24"/>
      <c r="DW330" s="24"/>
      <c r="DX330" s="24"/>
      <c r="DY330" s="24"/>
      <c r="DZ330" s="24"/>
      <c r="EA330" s="24"/>
      <c r="EB330" s="24"/>
      <c r="EC330" s="24"/>
      <c r="ED330" s="24"/>
      <c r="EE330" s="24"/>
      <c r="EF330" s="24"/>
      <c r="EG330" s="24"/>
      <c r="EH330" s="24"/>
      <c r="EI330" s="24"/>
      <c r="EJ330" s="24"/>
      <c r="EK330" s="24"/>
      <c r="EL330" s="24"/>
      <c r="EM330" s="3"/>
      <c r="EN330" s="3"/>
      <c r="EO330" s="3"/>
      <c r="EP330" s="3"/>
      <c r="EQ330" s="3"/>
      <c r="ER330" s="3"/>
      <c r="ES330" s="3"/>
      <c r="ET330" s="3"/>
      <c r="EU330" s="3"/>
      <c r="EV330" s="3"/>
      <c r="EW330" s="3"/>
      <c r="EX330" s="3"/>
      <c r="EY330" s="3"/>
      <c r="EZ330" s="3"/>
      <c r="FA330" s="3"/>
      <c r="FB330" s="3"/>
      <c r="FC330" s="3"/>
      <c r="FD330" s="3"/>
      <c r="FE330" s="3"/>
      <c r="FF330" s="3"/>
      <c r="FG330" s="3"/>
      <c r="FH330" s="3"/>
      <c r="FI330" s="3"/>
      <c r="FJ330" s="3"/>
      <c r="FK330" s="3"/>
      <c r="FL330" s="3"/>
      <c r="FM330" s="3"/>
      <c r="FN330" s="3"/>
      <c r="FO330" s="3"/>
      <c r="FP330" s="3"/>
      <c r="FQ330" s="3"/>
      <c r="FR330" s="3"/>
      <c r="FS330" s="3"/>
      <c r="FT330" s="3"/>
      <c r="FU330" s="3"/>
      <c r="FV330" s="3"/>
      <c r="FW330" s="3"/>
      <c r="FX330" s="3"/>
      <c r="FY330" s="3"/>
      <c r="FZ330" s="3"/>
      <c r="GA330" s="3"/>
      <c r="GB330" s="3"/>
      <c r="GC330" s="3"/>
      <c r="GD330" s="3"/>
      <c r="GE330" s="3"/>
      <c r="GF330" s="3"/>
      <c r="GG330" s="3"/>
      <c r="GH330" s="3"/>
      <c r="GI330" s="3"/>
      <c r="GJ330" s="3"/>
      <c r="GK330" s="3"/>
      <c r="GL330" s="3"/>
      <c r="GM330" s="3"/>
      <c r="GN330" s="3"/>
      <c r="GO330" s="3"/>
      <c r="GP330" s="3"/>
      <c r="GQ330" s="3"/>
      <c r="GR330" s="3"/>
      <c r="GS330" s="3"/>
      <c r="GT330" s="3"/>
      <c r="GU330" s="3"/>
      <c r="GV330" s="3"/>
      <c r="GW330" s="3"/>
      <c r="GX330" s="3"/>
      <c r="GY330" s="3"/>
      <c r="GZ330" s="3"/>
      <c r="HA330" s="3"/>
      <c r="HB330" s="3"/>
      <c r="HC330" s="3"/>
      <c r="HD330" s="3"/>
      <c r="HE330" s="3"/>
      <c r="HF330" s="3"/>
      <c r="HG330" s="3"/>
      <c r="HH330" s="3"/>
      <c r="HI330" s="3"/>
      <c r="HJ330" s="3"/>
      <c r="HK330" s="3"/>
      <c r="HL330" s="3"/>
      <c r="HM330" s="3"/>
      <c r="HN330" s="3"/>
      <c r="HO330" s="3"/>
      <c r="HP330" s="3"/>
      <c r="HQ330" s="3"/>
      <c r="HR330" s="3"/>
      <c r="HS330" s="3"/>
      <c r="HT330" s="3"/>
      <c r="HU330" s="3"/>
      <c r="HV330" s="3"/>
      <c r="HW330" s="3"/>
      <c r="HX330" s="3"/>
      <c r="HY330" s="3"/>
      <c r="HZ330" s="3"/>
      <c r="IA330" s="3"/>
      <c r="IB330" s="3"/>
      <c r="IC330" s="3"/>
      <c r="ID330" s="3"/>
      <c r="IE330" s="3"/>
      <c r="IF330" s="3"/>
      <c r="IG330" s="3"/>
      <c r="IH330" s="3"/>
      <c r="II330" s="3"/>
      <c r="IJ330" s="3"/>
      <c r="IK330" s="3"/>
      <c r="IL330" s="3"/>
      <c r="IM330" s="3"/>
      <c r="IN330" s="3"/>
      <c r="IO330" s="3"/>
      <c r="IP330" s="3"/>
      <c r="IQ330" s="3"/>
      <c r="IR330" s="3"/>
      <c r="IS330" s="3"/>
      <c r="IT330" s="3"/>
      <c r="IU330" s="3"/>
      <c r="IV330" s="3"/>
      <c r="IW330" s="3"/>
    </row>
    <row r="331" customFormat="false" ht="13.5" hidden="false" customHeight="false" outlineLevel="0" collapsed="false">
      <c r="A331" s="52"/>
      <c r="B331" s="52" t="s">
        <v>403</v>
      </c>
      <c r="C331" s="52"/>
      <c r="D331" s="443" t="n">
        <v>0.01</v>
      </c>
      <c r="E331" s="444" t="n">
        <f aca="false">E329*D331</f>
        <v>264.958086355692</v>
      </c>
      <c r="F331" s="24"/>
      <c r="G331" s="445" t="n">
        <f aca="false">Outside!D66</f>
        <v>0.13</v>
      </c>
      <c r="H331" s="446" t="n">
        <f aca="false">EWC!D66</f>
        <v>0.13</v>
      </c>
      <c r="I331" s="447" t="s">
        <v>404</v>
      </c>
      <c r="J331" s="0"/>
      <c r="K331" s="0"/>
      <c r="L331" s="0"/>
      <c r="M331" s="0"/>
      <c r="N331" s="24"/>
      <c r="O331" s="24"/>
      <c r="P331" s="24"/>
      <c r="Q331" s="24"/>
      <c r="R331" s="24"/>
      <c r="S331" s="24"/>
      <c r="T331" s="24"/>
      <c r="U331" s="24"/>
      <c r="V331" s="24"/>
      <c r="W331" s="24"/>
      <c r="X331" s="24"/>
      <c r="Y331" s="24"/>
      <c r="Z331" s="24"/>
      <c r="AA331" s="24"/>
      <c r="AB331" s="24"/>
      <c r="AC331" s="24"/>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c r="BH331" s="24"/>
      <c r="BI331" s="24"/>
      <c r="BJ331" s="24"/>
      <c r="BK331" s="24"/>
      <c r="BL331" s="24"/>
      <c r="BM331" s="24"/>
      <c r="BN331" s="24"/>
      <c r="BO331" s="24"/>
      <c r="BP331" s="24"/>
      <c r="BQ331" s="24"/>
      <c r="BR331" s="24"/>
      <c r="BS331" s="24"/>
      <c r="BT331" s="24"/>
      <c r="BU331" s="24"/>
      <c r="BV331" s="24"/>
      <c r="BW331" s="24"/>
      <c r="BX331" s="24"/>
      <c r="BY331" s="24"/>
      <c r="BZ331" s="24"/>
      <c r="CA331" s="24"/>
      <c r="CB331" s="24"/>
      <c r="CC331" s="24"/>
      <c r="CD331" s="24"/>
      <c r="CE331" s="24"/>
      <c r="CF331" s="24"/>
      <c r="CG331" s="24"/>
      <c r="CH331" s="24"/>
      <c r="CI331" s="24"/>
      <c r="CJ331" s="24"/>
      <c r="CK331" s="24"/>
      <c r="CL331" s="24"/>
      <c r="CM331" s="24"/>
      <c r="CN331" s="24"/>
      <c r="CO331" s="24"/>
      <c r="CP331" s="24"/>
      <c r="CQ331" s="24"/>
      <c r="CR331" s="24"/>
      <c r="CS331" s="24"/>
      <c r="CT331" s="24"/>
      <c r="CU331" s="24"/>
      <c r="CV331" s="24"/>
      <c r="CW331" s="24"/>
      <c r="CX331" s="24"/>
      <c r="CY331" s="24"/>
      <c r="CZ331" s="24"/>
      <c r="DA331" s="24"/>
      <c r="DB331" s="24"/>
      <c r="DC331" s="24"/>
      <c r="DD331" s="24"/>
      <c r="DE331" s="24"/>
      <c r="DF331" s="24"/>
      <c r="DG331" s="24"/>
      <c r="DH331" s="24"/>
      <c r="DI331" s="24"/>
      <c r="DJ331" s="24"/>
      <c r="DK331" s="24"/>
      <c r="DL331" s="24"/>
      <c r="DM331" s="24"/>
      <c r="DN331" s="24"/>
      <c r="DO331" s="24"/>
      <c r="DP331" s="24"/>
      <c r="DQ331" s="24"/>
      <c r="DR331" s="24"/>
      <c r="DS331" s="24"/>
      <c r="DT331" s="24"/>
      <c r="DU331" s="24"/>
      <c r="DV331" s="24"/>
      <c r="DW331" s="24"/>
      <c r="DX331" s="24"/>
      <c r="DY331" s="24"/>
      <c r="DZ331" s="24"/>
      <c r="EA331" s="24"/>
      <c r="EB331" s="24"/>
      <c r="EC331" s="24"/>
      <c r="ED331" s="24"/>
      <c r="EE331" s="24"/>
      <c r="EF331" s="24"/>
      <c r="EG331" s="24"/>
      <c r="EH331" s="24"/>
      <c r="EI331" s="24"/>
      <c r="EJ331" s="24"/>
      <c r="EK331" s="24"/>
      <c r="EL331" s="24"/>
      <c r="EM331" s="3"/>
      <c r="EN331" s="3"/>
      <c r="EO331" s="3"/>
      <c r="EP331" s="3"/>
      <c r="EQ331" s="3"/>
      <c r="ER331" s="3"/>
      <c r="ES331" s="3"/>
      <c r="ET331" s="3"/>
      <c r="EU331" s="3"/>
      <c r="EV331" s="3"/>
      <c r="EW331" s="3"/>
      <c r="EX331" s="3"/>
      <c r="EY331" s="3"/>
      <c r="EZ331" s="3"/>
      <c r="FA331" s="3"/>
      <c r="FB331" s="3"/>
      <c r="FC331" s="3"/>
      <c r="FD331" s="3"/>
      <c r="FE331" s="3"/>
      <c r="FF331" s="3"/>
      <c r="FG331" s="3"/>
      <c r="FH331" s="3"/>
      <c r="FI331" s="3"/>
      <c r="FJ331" s="3"/>
      <c r="FK331" s="3"/>
      <c r="FL331" s="3"/>
      <c r="FM331" s="3"/>
      <c r="FN331" s="3"/>
      <c r="FO331" s="3"/>
      <c r="FP331" s="3"/>
      <c r="FQ331" s="3"/>
      <c r="FR331" s="3"/>
      <c r="FS331" s="3"/>
      <c r="FT331" s="3"/>
      <c r="FU331" s="3"/>
      <c r="FV331" s="3"/>
      <c r="FW331" s="3"/>
      <c r="FX331" s="3"/>
      <c r="FY331" s="3"/>
      <c r="FZ331" s="3"/>
      <c r="GA331" s="3"/>
      <c r="GB331" s="3"/>
      <c r="GC331" s="3"/>
      <c r="GD331" s="3"/>
      <c r="GE331" s="3"/>
      <c r="GF331" s="3"/>
      <c r="GG331" s="3"/>
      <c r="GH331" s="3"/>
      <c r="GI331" s="3"/>
      <c r="GJ331" s="3"/>
      <c r="GK331" s="3"/>
      <c r="GL331" s="3"/>
      <c r="GM331" s="3"/>
      <c r="GN331" s="3"/>
      <c r="GO331" s="3"/>
      <c r="GP331" s="3"/>
      <c r="GQ331" s="3"/>
      <c r="GR331" s="3"/>
      <c r="GS331" s="3"/>
      <c r="GT331" s="3"/>
      <c r="GU331" s="3"/>
      <c r="GV331" s="3"/>
      <c r="GW331" s="3"/>
      <c r="GX331" s="3"/>
      <c r="GY331" s="3"/>
      <c r="GZ331" s="3"/>
      <c r="HA331" s="3"/>
      <c r="HB331" s="3"/>
      <c r="HC331" s="3"/>
      <c r="HD331" s="3"/>
      <c r="HE331" s="3"/>
      <c r="HF331" s="3"/>
      <c r="HG331" s="3"/>
      <c r="HH331" s="3"/>
      <c r="HI331" s="3"/>
      <c r="HJ331" s="3"/>
      <c r="HK331" s="3"/>
      <c r="HL331" s="3"/>
      <c r="HM331" s="3"/>
      <c r="HN331" s="3"/>
      <c r="HO331" s="3"/>
      <c r="HP331" s="3"/>
      <c r="HQ331" s="3"/>
      <c r="HR331" s="3"/>
      <c r="HS331" s="3"/>
      <c r="HT331" s="3"/>
      <c r="HU331" s="3"/>
      <c r="HV331" s="3"/>
      <c r="HW331" s="3"/>
      <c r="HX331" s="3"/>
      <c r="HY331" s="3"/>
      <c r="HZ331" s="3"/>
      <c r="IA331" s="3"/>
      <c r="IB331" s="3"/>
      <c r="IC331" s="3"/>
      <c r="ID331" s="3"/>
      <c r="IE331" s="3"/>
      <c r="IF331" s="3"/>
      <c r="IG331" s="3"/>
      <c r="IH331" s="3"/>
      <c r="II331" s="3"/>
      <c r="IJ331" s="3"/>
      <c r="IK331" s="3"/>
      <c r="IL331" s="3"/>
      <c r="IM331" s="3"/>
      <c r="IN331" s="3"/>
      <c r="IO331" s="3"/>
      <c r="IP331" s="3"/>
      <c r="IQ331" s="3"/>
      <c r="IR331" s="3"/>
      <c r="IS331" s="3"/>
      <c r="IT331" s="3"/>
      <c r="IU331" s="3"/>
      <c r="IV331" s="3"/>
      <c r="IW331" s="3"/>
    </row>
    <row r="332" customFormat="false" ht="12.75" hidden="false" customHeight="false" outlineLevel="0" collapsed="false">
      <c r="A332" s="295"/>
      <c r="B332" s="124"/>
      <c r="C332" s="23"/>
      <c r="D332" s="295"/>
      <c r="E332" s="114"/>
      <c r="F332" s="114"/>
      <c r="G332" s="114"/>
      <c r="H332" s="114"/>
      <c r="I332" s="114"/>
      <c r="J332" s="114"/>
      <c r="K332" s="114"/>
      <c r="L332" s="114"/>
      <c r="M332" s="114"/>
      <c r="N332" s="114"/>
      <c r="O332" s="114"/>
      <c r="P332" s="114"/>
      <c r="Q332" s="114"/>
      <c r="R332" s="114"/>
      <c r="S332" s="114"/>
      <c r="T332" s="114"/>
      <c r="U332" s="114"/>
      <c r="V332" s="114"/>
      <c r="W332" s="114"/>
      <c r="X332" s="114"/>
      <c r="Y332" s="114"/>
      <c r="Z332" s="114"/>
      <c r="AA332" s="114"/>
      <c r="AB332" s="114"/>
      <c r="AC332" s="114"/>
      <c r="AD332" s="114"/>
      <c r="AE332" s="114"/>
      <c r="AF332" s="114"/>
      <c r="AG332" s="114"/>
      <c r="AH332" s="114"/>
      <c r="AI332" s="114"/>
      <c r="AJ332" s="114"/>
      <c r="AK332" s="114"/>
      <c r="AL332" s="114"/>
      <c r="AM332" s="114"/>
      <c r="AN332" s="114"/>
      <c r="AO332" s="114"/>
      <c r="AP332" s="114"/>
      <c r="AQ332" s="114"/>
      <c r="AR332" s="114"/>
      <c r="AS332" s="114"/>
      <c r="AT332" s="114"/>
      <c r="AU332" s="114"/>
      <c r="AV332" s="114"/>
      <c r="AW332" s="114"/>
      <c r="AX332" s="114"/>
      <c r="AY332" s="114"/>
      <c r="AZ332" s="114"/>
      <c r="BA332" s="114"/>
      <c r="BB332" s="114"/>
      <c r="BC332" s="114"/>
      <c r="BD332" s="114"/>
      <c r="BE332" s="114"/>
      <c r="BF332" s="114"/>
      <c r="BG332" s="114"/>
      <c r="BH332" s="114"/>
      <c r="BI332" s="114"/>
      <c r="BJ332" s="114"/>
      <c r="BK332" s="114"/>
      <c r="BL332" s="114"/>
      <c r="BM332" s="114"/>
      <c r="BN332" s="114"/>
      <c r="BO332" s="114"/>
      <c r="BP332" s="114"/>
      <c r="BQ332" s="114"/>
      <c r="BR332" s="114"/>
      <c r="BS332" s="114"/>
      <c r="BT332" s="114"/>
      <c r="BU332" s="114"/>
      <c r="BV332" s="114"/>
      <c r="BW332" s="114"/>
      <c r="BX332" s="114"/>
      <c r="BY332" s="114"/>
      <c r="BZ332" s="114"/>
      <c r="CA332" s="114"/>
      <c r="CB332" s="114"/>
      <c r="CC332" s="114"/>
      <c r="CD332" s="114"/>
      <c r="CE332" s="114"/>
      <c r="CF332" s="114"/>
      <c r="CG332" s="114"/>
      <c r="CH332" s="114"/>
      <c r="CI332" s="114"/>
      <c r="CJ332" s="114"/>
      <c r="CK332" s="114"/>
      <c r="CL332" s="114"/>
      <c r="CM332" s="114"/>
      <c r="CN332" s="114"/>
      <c r="CO332" s="114"/>
      <c r="CP332" s="114"/>
      <c r="CQ332" s="114"/>
      <c r="CR332" s="114"/>
      <c r="CS332" s="114"/>
      <c r="CT332" s="114"/>
      <c r="CU332" s="114"/>
      <c r="CV332" s="114"/>
      <c r="CW332" s="114"/>
      <c r="CX332" s="114"/>
      <c r="CY332" s="114"/>
      <c r="CZ332" s="114"/>
      <c r="DA332" s="114"/>
      <c r="DB332" s="114"/>
      <c r="DC332" s="114"/>
      <c r="DD332" s="114"/>
      <c r="DE332" s="114"/>
      <c r="DF332" s="114"/>
      <c r="DG332" s="114"/>
      <c r="DH332" s="114"/>
      <c r="DI332" s="114"/>
      <c r="DJ332" s="114"/>
      <c r="DK332" s="114"/>
      <c r="DL332" s="114"/>
      <c r="DM332" s="114"/>
      <c r="DN332" s="114"/>
      <c r="DO332" s="114"/>
      <c r="DP332" s="114"/>
      <c r="DQ332" s="114"/>
      <c r="DR332" s="114"/>
      <c r="DS332" s="114"/>
      <c r="DT332" s="114"/>
      <c r="DU332" s="114"/>
      <c r="DV332" s="114"/>
      <c r="DW332" s="114"/>
      <c r="DX332" s="114"/>
      <c r="DY332" s="114"/>
      <c r="DZ332" s="114"/>
      <c r="EA332" s="114"/>
      <c r="EB332" s="114"/>
      <c r="EC332" s="114"/>
      <c r="ED332" s="114"/>
      <c r="EE332" s="114"/>
      <c r="EF332" s="114"/>
      <c r="EG332" s="114"/>
      <c r="EH332" s="114"/>
      <c r="EI332" s="114"/>
      <c r="EJ332" s="114"/>
      <c r="EK332" s="114"/>
      <c r="EL332" s="114"/>
    </row>
    <row r="333" customFormat="false" ht="12.75" hidden="false" customHeight="false" outlineLevel="0" collapsed="false">
      <c r="A333" s="295"/>
      <c r="B333" s="124"/>
      <c r="C333" s="23"/>
      <c r="D333" s="295"/>
      <c r="E333" s="325"/>
      <c r="F333" s="114"/>
      <c r="G333" s="114"/>
      <c r="H333" s="114"/>
      <c r="I333" s="114"/>
      <c r="J333" s="114"/>
      <c r="K333" s="114"/>
      <c r="L333" s="114"/>
      <c r="M333" s="114"/>
      <c r="N333" s="114"/>
      <c r="O333" s="114"/>
      <c r="P333" s="114"/>
      <c r="Q333" s="114"/>
      <c r="R333" s="114"/>
      <c r="S333" s="114"/>
      <c r="T333" s="114"/>
      <c r="U333" s="114"/>
      <c r="V333" s="114"/>
      <c r="W333" s="114"/>
      <c r="X333" s="114"/>
      <c r="Y333" s="114"/>
      <c r="Z333" s="114"/>
      <c r="AA333" s="114"/>
      <c r="AB333" s="114"/>
      <c r="AC333" s="114"/>
      <c r="AD333" s="114"/>
      <c r="AE333" s="114"/>
      <c r="AF333" s="114"/>
      <c r="AG333" s="114"/>
      <c r="AH333" s="114"/>
      <c r="AI333" s="114"/>
      <c r="AJ333" s="114"/>
      <c r="AK333" s="114"/>
      <c r="AL333" s="114"/>
      <c r="AM333" s="114"/>
      <c r="AN333" s="114"/>
      <c r="AO333" s="114"/>
      <c r="AP333" s="114"/>
      <c r="AQ333" s="114"/>
      <c r="AR333" s="114"/>
      <c r="AS333" s="114"/>
      <c r="AT333" s="114"/>
      <c r="AU333" s="114"/>
      <c r="AV333" s="114"/>
      <c r="AW333" s="114"/>
      <c r="AX333" s="114"/>
      <c r="AY333" s="114"/>
      <c r="AZ333" s="114"/>
      <c r="BA333" s="114"/>
      <c r="BB333" s="114"/>
      <c r="BC333" s="114"/>
      <c r="BD333" s="114"/>
      <c r="BE333" s="114"/>
      <c r="BF333" s="114"/>
      <c r="BG333" s="114"/>
      <c r="BH333" s="114"/>
      <c r="BI333" s="114"/>
      <c r="BJ333" s="114"/>
      <c r="BK333" s="114"/>
      <c r="BL333" s="114"/>
      <c r="BM333" s="114"/>
      <c r="BN333" s="114"/>
      <c r="BO333" s="114"/>
      <c r="BP333" s="114"/>
      <c r="BQ333" s="114"/>
      <c r="BR333" s="114"/>
      <c r="BS333" s="114"/>
      <c r="BT333" s="114"/>
      <c r="BU333" s="114"/>
      <c r="BV333" s="114"/>
      <c r="BW333" s="114"/>
      <c r="BX333" s="114"/>
      <c r="BY333" s="114"/>
      <c r="BZ333" s="114"/>
      <c r="CA333" s="114"/>
      <c r="CB333" s="114"/>
      <c r="CC333" s="114"/>
      <c r="CD333" s="114"/>
      <c r="CE333" s="114"/>
      <c r="CF333" s="114"/>
      <c r="CG333" s="114"/>
      <c r="CH333" s="114"/>
      <c r="CI333" s="114"/>
      <c r="CJ333" s="114"/>
      <c r="CK333" s="114"/>
      <c r="CL333" s="114"/>
      <c r="CM333" s="114"/>
      <c r="CN333" s="114"/>
      <c r="CO333" s="114"/>
      <c r="CP333" s="114"/>
      <c r="CQ333" s="114"/>
      <c r="CR333" s="114"/>
      <c r="CS333" s="114"/>
      <c r="CT333" s="114"/>
      <c r="CU333" s="114"/>
      <c r="CV333" s="114"/>
      <c r="CW333" s="114"/>
      <c r="CX333" s="114"/>
      <c r="CY333" s="114"/>
      <c r="CZ333" s="114"/>
      <c r="DA333" s="114"/>
      <c r="DB333" s="114"/>
      <c r="DC333" s="114"/>
      <c r="DD333" s="114"/>
      <c r="DE333" s="114"/>
      <c r="DF333" s="114"/>
      <c r="DG333" s="114"/>
      <c r="DH333" s="114"/>
      <c r="DI333" s="114"/>
      <c r="DJ333" s="114"/>
      <c r="DK333" s="114"/>
      <c r="DL333" s="114"/>
      <c r="DM333" s="114"/>
      <c r="DN333" s="114"/>
      <c r="DO333" s="114"/>
      <c r="DP333" s="114"/>
      <c r="DQ333" s="114"/>
      <c r="DR333" s="114"/>
      <c r="DS333" s="114"/>
      <c r="DT333" s="114"/>
      <c r="DU333" s="114"/>
      <c r="DV333" s="114"/>
      <c r="DW333" s="114"/>
      <c r="DX333" s="114"/>
      <c r="DY333" s="114"/>
      <c r="DZ333" s="114"/>
      <c r="EA333" s="114"/>
      <c r="EB333" s="114"/>
      <c r="EC333" s="114"/>
      <c r="ED333" s="114"/>
      <c r="EE333" s="114"/>
      <c r="EF333" s="114"/>
      <c r="EG333" s="114"/>
      <c r="EH333" s="114"/>
      <c r="EI333" s="114"/>
      <c r="EJ333" s="114"/>
      <c r="EK333" s="114"/>
      <c r="EL333" s="114"/>
    </row>
    <row r="334" customFormat="false" ht="12.75" hidden="false" customHeight="false" outlineLevel="0" collapsed="false">
      <c r="A334" s="295"/>
      <c r="B334" s="124"/>
      <c r="C334" s="23"/>
      <c r="D334" s="295"/>
      <c r="E334" s="4" t="n">
        <v>1</v>
      </c>
      <c r="F334" s="5" t="n">
        <v>2</v>
      </c>
      <c r="G334" s="5" t="n">
        <v>3</v>
      </c>
      <c r="H334" s="5" t="n">
        <v>4</v>
      </c>
      <c r="I334" s="5" t="n">
        <v>5</v>
      </c>
      <c r="J334" s="5" t="n">
        <v>6</v>
      </c>
      <c r="K334" s="5" t="n">
        <v>7</v>
      </c>
      <c r="L334" s="5" t="n">
        <v>8</v>
      </c>
      <c r="M334" s="5" t="n">
        <v>9</v>
      </c>
      <c r="N334" s="5" t="n">
        <v>10</v>
      </c>
      <c r="O334" s="5" t="n">
        <v>11</v>
      </c>
      <c r="P334" s="5" t="n">
        <v>12</v>
      </c>
      <c r="Q334" s="5" t="n">
        <v>13</v>
      </c>
      <c r="R334" s="5" t="n">
        <v>14</v>
      </c>
      <c r="S334" s="5" t="n">
        <v>15</v>
      </c>
      <c r="T334" s="5" t="n">
        <v>16</v>
      </c>
      <c r="U334" s="5" t="n">
        <v>17</v>
      </c>
      <c r="V334" s="5" t="n">
        <v>18</v>
      </c>
      <c r="W334" s="5" t="n">
        <v>19</v>
      </c>
      <c r="X334" s="5" t="n">
        <v>20</v>
      </c>
      <c r="Y334" s="5" t="n">
        <v>21</v>
      </c>
      <c r="Z334" s="5" t="n">
        <v>22</v>
      </c>
      <c r="AA334" s="5" t="n">
        <v>23</v>
      </c>
      <c r="AB334" s="5" t="n">
        <v>24</v>
      </c>
      <c r="AC334" s="5" t="n">
        <v>25</v>
      </c>
      <c r="AD334" s="5" t="n">
        <v>26</v>
      </c>
      <c r="AE334" s="5" t="n">
        <v>27</v>
      </c>
      <c r="AF334" s="5" t="n">
        <v>28</v>
      </c>
      <c r="AG334" s="5" t="n">
        <v>29</v>
      </c>
      <c r="AH334" s="6" t="n">
        <v>30</v>
      </c>
      <c r="AI334" s="6" t="n">
        <v>31</v>
      </c>
      <c r="AJ334" s="114"/>
      <c r="AK334" s="114"/>
      <c r="AL334" s="114"/>
      <c r="AM334" s="114"/>
      <c r="AN334" s="114"/>
      <c r="AO334" s="114"/>
      <c r="AP334" s="114"/>
      <c r="AQ334" s="114"/>
      <c r="AR334" s="114"/>
      <c r="AS334" s="114"/>
      <c r="AT334" s="114"/>
      <c r="AU334" s="114"/>
      <c r="AV334" s="114"/>
      <c r="AW334" s="114"/>
      <c r="AX334" s="114"/>
      <c r="AY334" s="114"/>
      <c r="AZ334" s="114"/>
      <c r="BA334" s="114"/>
      <c r="BB334" s="114"/>
      <c r="BC334" s="114"/>
      <c r="BD334" s="114"/>
      <c r="BE334" s="114"/>
      <c r="BF334" s="114"/>
      <c r="BG334" s="114"/>
      <c r="BH334" s="114"/>
      <c r="BI334" s="114"/>
      <c r="BJ334" s="114"/>
      <c r="BK334" s="114"/>
      <c r="BL334" s="114"/>
      <c r="BM334" s="114"/>
      <c r="BN334" s="114"/>
      <c r="BO334" s="114"/>
      <c r="BP334" s="114"/>
      <c r="BQ334" s="114"/>
      <c r="BR334" s="114"/>
      <c r="BS334" s="114"/>
      <c r="BT334" s="114"/>
      <c r="BU334" s="114"/>
      <c r="BV334" s="114"/>
      <c r="BW334" s="114"/>
      <c r="BX334" s="114"/>
      <c r="BY334" s="114"/>
      <c r="BZ334" s="114"/>
      <c r="CA334" s="114"/>
      <c r="CB334" s="114"/>
      <c r="CC334" s="114"/>
      <c r="CD334" s="114"/>
      <c r="CE334" s="114"/>
      <c r="CF334" s="114"/>
      <c r="CG334" s="114"/>
      <c r="CH334" s="114"/>
      <c r="CI334" s="114"/>
      <c r="CJ334" s="114"/>
      <c r="CK334" s="114"/>
      <c r="CL334" s="114"/>
      <c r="CM334" s="114"/>
      <c r="CN334" s="114"/>
      <c r="CO334" s="114"/>
      <c r="CP334" s="114"/>
      <c r="CQ334" s="114"/>
      <c r="CR334" s="114"/>
      <c r="CS334" s="114"/>
      <c r="CT334" s="114"/>
      <c r="CU334" s="114"/>
      <c r="CV334" s="114"/>
      <c r="CW334" s="114"/>
      <c r="CX334" s="114"/>
      <c r="CY334" s="114"/>
      <c r="CZ334" s="114"/>
      <c r="DA334" s="114"/>
      <c r="DB334" s="114"/>
      <c r="DC334" s="114"/>
      <c r="DD334" s="114"/>
      <c r="DE334" s="114"/>
      <c r="DF334" s="114"/>
      <c r="DG334" s="114"/>
      <c r="DH334" s="114"/>
      <c r="DI334" s="114"/>
      <c r="DJ334" s="114"/>
      <c r="DK334" s="114"/>
      <c r="DL334" s="114"/>
      <c r="DM334" s="114"/>
      <c r="DN334" s="114"/>
      <c r="DO334" s="114"/>
      <c r="DP334" s="114"/>
      <c r="DQ334" s="114"/>
      <c r="DR334" s="114"/>
      <c r="DS334" s="114"/>
      <c r="DT334" s="114"/>
      <c r="DU334" s="114"/>
      <c r="DV334" s="114"/>
      <c r="DW334" s="114"/>
      <c r="DX334" s="114"/>
      <c r="DY334" s="114"/>
      <c r="DZ334" s="114"/>
      <c r="EA334" s="114"/>
      <c r="EB334" s="114"/>
      <c r="EC334" s="114"/>
      <c r="ED334" s="114"/>
      <c r="EE334" s="114"/>
      <c r="EF334" s="114"/>
      <c r="EG334" s="114"/>
      <c r="EH334" s="114"/>
      <c r="EI334" s="114"/>
      <c r="EJ334" s="114"/>
      <c r="EK334" s="114"/>
      <c r="EL334" s="114"/>
    </row>
    <row r="335" customFormat="false" ht="12.75" hidden="false" customHeight="false" outlineLevel="0" collapsed="false">
      <c r="A335" s="321"/>
      <c r="B335" s="448"/>
      <c r="C335" s="431"/>
      <c r="D335" s="295"/>
      <c r="E335" s="7" t="n">
        <f aca="false">Assum!$H$25</f>
        <v>2002</v>
      </c>
      <c r="F335" s="8" t="n">
        <f aca="false">E335+1</f>
        <v>2003</v>
      </c>
      <c r="G335" s="8" t="n">
        <f aca="false">F335+1</f>
        <v>2004</v>
      </c>
      <c r="H335" s="8" t="n">
        <f aca="false">G335+1</f>
        <v>2005</v>
      </c>
      <c r="I335" s="8" t="n">
        <f aca="false">H335+1</f>
        <v>2006</v>
      </c>
      <c r="J335" s="8" t="n">
        <f aca="false">I335+1</f>
        <v>2007</v>
      </c>
      <c r="K335" s="8" t="n">
        <f aca="false">J335+1</f>
        <v>2008</v>
      </c>
      <c r="L335" s="8" t="n">
        <f aca="false">K335+1</f>
        <v>2009</v>
      </c>
      <c r="M335" s="8" t="n">
        <f aca="false">L335+1</f>
        <v>2010</v>
      </c>
      <c r="N335" s="8" t="n">
        <f aca="false">M335+1</f>
        <v>2011</v>
      </c>
      <c r="O335" s="8" t="n">
        <f aca="false">N335+1</f>
        <v>2012</v>
      </c>
      <c r="P335" s="8" t="n">
        <f aca="false">O335+1</f>
        <v>2013</v>
      </c>
      <c r="Q335" s="8" t="n">
        <f aca="false">P335+1</f>
        <v>2014</v>
      </c>
      <c r="R335" s="8" t="n">
        <f aca="false">Q335+1</f>
        <v>2015</v>
      </c>
      <c r="S335" s="8" t="n">
        <f aca="false">R335+1</f>
        <v>2016</v>
      </c>
      <c r="T335" s="8" t="n">
        <f aca="false">S335+1</f>
        <v>2017</v>
      </c>
      <c r="U335" s="8" t="n">
        <f aca="false">T335+1</f>
        <v>2018</v>
      </c>
      <c r="V335" s="8" t="n">
        <f aca="false">U335+1</f>
        <v>2019</v>
      </c>
      <c r="W335" s="8" t="n">
        <f aca="false">V335+1</f>
        <v>2020</v>
      </c>
      <c r="X335" s="8" t="n">
        <f aca="false">W335+1</f>
        <v>2021</v>
      </c>
      <c r="Y335" s="8" t="n">
        <f aca="false">X335+1</f>
        <v>2022</v>
      </c>
      <c r="Z335" s="8" t="n">
        <f aca="false">Y335+1</f>
        <v>2023</v>
      </c>
      <c r="AA335" s="8" t="n">
        <f aca="false">Z335+1</f>
        <v>2024</v>
      </c>
      <c r="AB335" s="8" t="n">
        <f aca="false">AA335+1</f>
        <v>2025</v>
      </c>
      <c r="AC335" s="8" t="n">
        <f aca="false">AB335+1</f>
        <v>2026</v>
      </c>
      <c r="AD335" s="8" t="n">
        <f aca="false">AC335+1</f>
        <v>2027</v>
      </c>
      <c r="AE335" s="8" t="n">
        <f aca="false">AD335+1</f>
        <v>2028</v>
      </c>
      <c r="AF335" s="8" t="n">
        <f aca="false">AE335+1</f>
        <v>2029</v>
      </c>
      <c r="AG335" s="8" t="n">
        <f aca="false">AF335+1</f>
        <v>2030</v>
      </c>
      <c r="AH335" s="9" t="n">
        <f aca="false">AG335+1</f>
        <v>2031</v>
      </c>
      <c r="AI335" s="9" t="n">
        <f aca="false">AH335+1</f>
        <v>2032</v>
      </c>
      <c r="AJ335" s="114"/>
      <c r="AK335" s="114"/>
      <c r="AL335" s="114"/>
      <c r="AM335" s="114"/>
      <c r="AN335" s="114"/>
      <c r="AO335" s="114"/>
      <c r="AP335" s="114"/>
      <c r="AQ335" s="114"/>
      <c r="AR335" s="114"/>
      <c r="AS335" s="114"/>
      <c r="AT335" s="114"/>
      <c r="AU335" s="114"/>
      <c r="AV335" s="114"/>
      <c r="AW335" s="114"/>
      <c r="AX335" s="114"/>
      <c r="AY335" s="114"/>
      <c r="AZ335" s="114"/>
      <c r="BA335" s="114"/>
      <c r="BB335" s="114"/>
      <c r="BC335" s="114"/>
      <c r="BD335" s="114"/>
      <c r="BE335" s="114"/>
      <c r="BF335" s="114"/>
      <c r="BG335" s="114"/>
      <c r="BH335" s="114"/>
      <c r="BI335" s="114"/>
      <c r="BJ335" s="114"/>
      <c r="BK335" s="114"/>
      <c r="BL335" s="114"/>
      <c r="BM335" s="114"/>
      <c r="BN335" s="114"/>
      <c r="BO335" s="114"/>
      <c r="BP335" s="114"/>
      <c r="BQ335" s="114"/>
      <c r="BR335" s="114"/>
      <c r="BS335" s="114"/>
      <c r="BT335" s="114"/>
      <c r="BU335" s="114"/>
      <c r="BV335" s="114"/>
      <c r="BW335" s="114"/>
      <c r="BX335" s="114"/>
      <c r="BY335" s="114"/>
      <c r="BZ335" s="114"/>
      <c r="CA335" s="114"/>
      <c r="CB335" s="114"/>
      <c r="CC335" s="114"/>
      <c r="CD335" s="114"/>
      <c r="CE335" s="114"/>
      <c r="CF335" s="114"/>
      <c r="CG335" s="114"/>
      <c r="CH335" s="114"/>
      <c r="CI335" s="114"/>
      <c r="CJ335" s="114"/>
      <c r="CK335" s="114"/>
      <c r="CL335" s="114"/>
      <c r="CM335" s="114"/>
      <c r="CN335" s="114"/>
      <c r="CO335" s="114"/>
      <c r="CP335" s="114"/>
      <c r="CQ335" s="114"/>
      <c r="CR335" s="114"/>
      <c r="CS335" s="114"/>
      <c r="CT335" s="114"/>
      <c r="CU335" s="114"/>
      <c r="CV335" s="114"/>
      <c r="CW335" s="114"/>
      <c r="CX335" s="114"/>
      <c r="CY335" s="114"/>
      <c r="CZ335" s="114"/>
      <c r="DA335" s="114"/>
      <c r="DB335" s="114"/>
      <c r="DC335" s="114"/>
      <c r="DD335" s="114"/>
      <c r="DE335" s="114"/>
      <c r="DF335" s="114"/>
      <c r="DG335" s="114"/>
      <c r="DH335" s="114"/>
      <c r="DI335" s="114"/>
      <c r="DJ335" s="114"/>
      <c r="DK335" s="114"/>
      <c r="DL335" s="114"/>
      <c r="DM335" s="114"/>
      <c r="DN335" s="114"/>
      <c r="DO335" s="114"/>
      <c r="DP335" s="114"/>
      <c r="DQ335" s="114"/>
      <c r="DR335" s="114"/>
      <c r="DS335" s="114"/>
      <c r="DT335" s="114"/>
      <c r="DU335" s="114"/>
      <c r="DV335" s="114"/>
      <c r="DW335" s="114"/>
      <c r="DX335" s="114"/>
      <c r="DY335" s="114"/>
      <c r="DZ335" s="114"/>
      <c r="EA335" s="114"/>
      <c r="EB335" s="114"/>
      <c r="EC335" s="114"/>
      <c r="ED335" s="114"/>
      <c r="EE335" s="114"/>
      <c r="EF335" s="114"/>
      <c r="EG335" s="114"/>
      <c r="EH335" s="114"/>
      <c r="EI335" s="114"/>
      <c r="EJ335" s="114"/>
      <c r="EK335" s="114"/>
      <c r="EL335" s="114"/>
    </row>
    <row r="336" customFormat="false" ht="12.75" hidden="false" customHeight="false" outlineLevel="0" collapsed="false">
      <c r="A336" s="321"/>
      <c r="B336" s="448" t="s">
        <v>405</v>
      </c>
      <c r="C336" s="431"/>
      <c r="D336" s="449"/>
      <c r="E336" s="114" t="s">
        <v>406</v>
      </c>
      <c r="F336" s="111"/>
      <c r="G336" s="111"/>
      <c r="H336" s="111"/>
      <c r="I336" s="111"/>
      <c r="J336" s="111"/>
      <c r="K336" s="111"/>
      <c r="L336" s="111"/>
      <c r="M336" s="111"/>
      <c r="N336" s="111"/>
      <c r="O336" s="111"/>
      <c r="P336" s="111"/>
      <c r="Q336" s="111"/>
      <c r="R336" s="111"/>
      <c r="S336" s="111"/>
      <c r="T336" s="111"/>
      <c r="U336" s="111"/>
      <c r="V336" s="111"/>
      <c r="W336" s="111"/>
      <c r="X336" s="111"/>
      <c r="Y336" s="111"/>
      <c r="Z336" s="111"/>
      <c r="AA336" s="111"/>
      <c r="AB336" s="111"/>
      <c r="AC336" s="111"/>
      <c r="AD336" s="111"/>
      <c r="AE336" s="111"/>
      <c r="AF336" s="111"/>
      <c r="AG336" s="111"/>
      <c r="AH336" s="111"/>
      <c r="AI336" s="114"/>
      <c r="AJ336" s="114"/>
      <c r="AK336" s="114"/>
      <c r="AL336" s="114"/>
      <c r="AM336" s="114"/>
      <c r="AN336" s="114"/>
      <c r="AO336" s="114"/>
      <c r="AP336" s="114"/>
      <c r="AQ336" s="114"/>
      <c r="AR336" s="114"/>
      <c r="AS336" s="114"/>
      <c r="AT336" s="114"/>
      <c r="AU336" s="114"/>
      <c r="AV336" s="114"/>
      <c r="AW336" s="114"/>
      <c r="AX336" s="114"/>
      <c r="AY336" s="114"/>
      <c r="AZ336" s="114"/>
      <c r="BA336" s="114"/>
      <c r="BB336" s="114"/>
      <c r="BC336" s="114"/>
      <c r="BD336" s="114"/>
      <c r="BE336" s="114"/>
      <c r="BF336" s="114"/>
      <c r="BG336" s="114"/>
      <c r="BH336" s="114"/>
      <c r="BI336" s="114"/>
      <c r="BJ336" s="114"/>
      <c r="BK336" s="114"/>
      <c r="BL336" s="114"/>
      <c r="BM336" s="114"/>
      <c r="BN336" s="114"/>
      <c r="BO336" s="114"/>
      <c r="BP336" s="114"/>
      <c r="BQ336" s="114"/>
      <c r="BR336" s="114"/>
      <c r="BS336" s="114"/>
      <c r="BT336" s="114"/>
      <c r="BU336" s="114"/>
      <c r="BV336" s="114"/>
      <c r="BW336" s="114"/>
      <c r="BX336" s="114"/>
      <c r="BY336" s="114"/>
      <c r="BZ336" s="114"/>
      <c r="CA336" s="114"/>
      <c r="CB336" s="114"/>
      <c r="CC336" s="114"/>
      <c r="CD336" s="114"/>
      <c r="CE336" s="114"/>
      <c r="CF336" s="114"/>
      <c r="CG336" s="114"/>
      <c r="CH336" s="114"/>
      <c r="CI336" s="114"/>
      <c r="CJ336" s="114"/>
      <c r="CK336" s="114"/>
      <c r="CL336" s="114"/>
      <c r="CM336" s="114"/>
      <c r="CN336" s="114"/>
      <c r="CO336" s="114"/>
      <c r="CP336" s="114"/>
      <c r="CQ336" s="114"/>
      <c r="CR336" s="114"/>
      <c r="CS336" s="114"/>
      <c r="CT336" s="114"/>
      <c r="CU336" s="114"/>
      <c r="CV336" s="114"/>
      <c r="CW336" s="114"/>
      <c r="CX336" s="114"/>
      <c r="CY336" s="114"/>
      <c r="CZ336" s="114"/>
      <c r="DA336" s="114"/>
      <c r="DB336" s="114"/>
      <c r="DC336" s="114"/>
      <c r="DD336" s="114"/>
      <c r="DE336" s="114"/>
      <c r="DF336" s="114"/>
      <c r="DG336" s="114"/>
      <c r="DH336" s="114"/>
      <c r="DI336" s="114"/>
      <c r="DJ336" s="114"/>
      <c r="DK336" s="114"/>
      <c r="DL336" s="114"/>
      <c r="DM336" s="114"/>
      <c r="DN336" s="114"/>
      <c r="DO336" s="114"/>
      <c r="DP336" s="114"/>
      <c r="DQ336" s="114"/>
      <c r="DR336" s="114"/>
      <c r="DS336" s="114"/>
      <c r="DT336" s="114"/>
      <c r="DU336" s="114"/>
      <c r="DV336" s="114"/>
      <c r="DW336" s="114"/>
      <c r="DX336" s="114"/>
      <c r="DY336" s="114"/>
      <c r="DZ336" s="114"/>
      <c r="EA336" s="114"/>
      <c r="EB336" s="114"/>
      <c r="EC336" s="114"/>
      <c r="ED336" s="114"/>
      <c r="EE336" s="114"/>
      <c r="EF336" s="114"/>
      <c r="EG336" s="114"/>
      <c r="EH336" s="114"/>
      <c r="EI336" s="114"/>
      <c r="EJ336" s="114"/>
      <c r="EK336" s="114"/>
      <c r="EL336" s="114"/>
    </row>
    <row r="337" customFormat="false" ht="12.75" hidden="false" customHeight="false" outlineLevel="0" collapsed="false">
      <c r="A337" s="450"/>
      <c r="B337" s="438" t="s">
        <v>407</v>
      </c>
      <c r="C337" s="438"/>
      <c r="D337" s="438"/>
      <c r="E337" s="325" t="n">
        <f aca="false">1-E338</f>
        <v>0.99</v>
      </c>
      <c r="F337" s="325" t="n">
        <f aca="false">1-F338</f>
        <v>0.99</v>
      </c>
      <c r="G337" s="325" t="n">
        <f aca="false">1-G338</f>
        <v>0.99</v>
      </c>
      <c r="H337" s="325" t="n">
        <f aca="false">1-H338</f>
        <v>0.99</v>
      </c>
      <c r="I337" s="325" t="n">
        <f aca="false">1-I338</f>
        <v>0.99</v>
      </c>
      <c r="J337" s="325" t="n">
        <f aca="false">1-J338</f>
        <v>0.99</v>
      </c>
      <c r="K337" s="325" t="n">
        <f aca="false">1-K338</f>
        <v>0.99</v>
      </c>
      <c r="L337" s="325" t="n">
        <f aca="false">1-L338</f>
        <v>0.99</v>
      </c>
      <c r="M337" s="325" t="n">
        <f aca="false">1-M338</f>
        <v>0.99</v>
      </c>
      <c r="N337" s="325" t="n">
        <f aca="false">1-N338</f>
        <v>0.99</v>
      </c>
      <c r="O337" s="325" t="n">
        <f aca="false">1-O338</f>
        <v>0.99</v>
      </c>
      <c r="P337" s="325" t="n">
        <f aca="false">1-P338</f>
        <v>0.99</v>
      </c>
      <c r="Q337" s="325" t="n">
        <f aca="false">1-Q338</f>
        <v>0.99</v>
      </c>
      <c r="R337" s="325" t="n">
        <f aca="false">1-R338</f>
        <v>0.99</v>
      </c>
      <c r="S337" s="325" t="n">
        <f aca="false">1-S338</f>
        <v>0.99</v>
      </c>
      <c r="T337" s="325" t="n">
        <f aca="false">1-T338</f>
        <v>0.99</v>
      </c>
      <c r="U337" s="325" t="n">
        <f aca="false">1-U338</f>
        <v>0.99</v>
      </c>
      <c r="V337" s="325" t="n">
        <f aca="false">1-V338</f>
        <v>0.99</v>
      </c>
      <c r="W337" s="325" t="n">
        <f aca="false">1-W338</f>
        <v>0.99</v>
      </c>
      <c r="X337" s="325" t="n">
        <f aca="false">1-X338</f>
        <v>0.99</v>
      </c>
      <c r="Y337" s="325" t="n">
        <f aca="false">1-Y338</f>
        <v>0.99</v>
      </c>
      <c r="Z337" s="325" t="n">
        <f aca="false">1-Z338</f>
        <v>0.99</v>
      </c>
      <c r="AA337" s="325" t="n">
        <f aca="false">1-AA338</f>
        <v>0.99</v>
      </c>
      <c r="AB337" s="325" t="n">
        <f aca="false">1-AB338</f>
        <v>0.99</v>
      </c>
      <c r="AC337" s="325" t="n">
        <f aca="false">1-AC338</f>
        <v>0.99</v>
      </c>
      <c r="AD337" s="325" t="n">
        <f aca="false">1-AD338</f>
        <v>0.99</v>
      </c>
      <c r="AE337" s="325" t="n">
        <f aca="false">1-AE338</f>
        <v>0.99</v>
      </c>
      <c r="AF337" s="325" t="n">
        <f aca="false">1-AF338</f>
        <v>0.99</v>
      </c>
      <c r="AG337" s="325" t="n">
        <f aca="false">1-AG338</f>
        <v>0.99</v>
      </c>
      <c r="AH337" s="325" t="n">
        <f aca="false">1-AH338</f>
        <v>0.99</v>
      </c>
      <c r="AI337" s="325"/>
      <c r="AJ337" s="325"/>
      <c r="AK337" s="325"/>
      <c r="AL337" s="325"/>
      <c r="AM337" s="325"/>
      <c r="AN337" s="325"/>
      <c r="AO337" s="325"/>
      <c r="AP337" s="325"/>
      <c r="AQ337" s="325"/>
      <c r="AR337" s="325"/>
      <c r="AS337" s="325"/>
      <c r="AT337" s="325"/>
      <c r="AU337" s="325"/>
      <c r="AV337" s="325"/>
      <c r="AW337" s="325"/>
      <c r="AX337" s="325"/>
      <c r="AY337" s="325"/>
      <c r="AZ337" s="325"/>
      <c r="BA337" s="325"/>
      <c r="BB337" s="325"/>
      <c r="BC337" s="325"/>
      <c r="BD337" s="325"/>
      <c r="BE337" s="325"/>
      <c r="BF337" s="325"/>
      <c r="BG337" s="325"/>
      <c r="BH337" s="325"/>
      <c r="BI337" s="325"/>
      <c r="BJ337" s="325"/>
      <c r="BK337" s="325"/>
      <c r="BL337" s="325"/>
      <c r="BM337" s="325"/>
      <c r="BN337" s="325"/>
      <c r="BO337" s="325"/>
      <c r="BP337" s="325"/>
      <c r="BQ337" s="325"/>
      <c r="BR337" s="325"/>
      <c r="BS337" s="325"/>
      <c r="BT337" s="325"/>
      <c r="BU337" s="325"/>
      <c r="BV337" s="325"/>
      <c r="BW337" s="325"/>
      <c r="BX337" s="325"/>
      <c r="BY337" s="325"/>
      <c r="BZ337" s="325"/>
      <c r="CA337" s="325"/>
      <c r="CB337" s="325"/>
      <c r="CC337" s="325"/>
      <c r="CD337" s="325"/>
      <c r="CE337" s="325"/>
      <c r="CF337" s="325"/>
      <c r="CG337" s="325"/>
      <c r="CH337" s="325"/>
      <c r="CI337" s="325"/>
      <c r="CJ337" s="325"/>
      <c r="CK337" s="325"/>
      <c r="CL337" s="325"/>
      <c r="CM337" s="325"/>
      <c r="CN337" s="325"/>
      <c r="CO337" s="325"/>
      <c r="CP337" s="325"/>
      <c r="CQ337" s="325"/>
      <c r="CR337" s="325"/>
      <c r="CS337" s="325"/>
      <c r="CT337" s="325"/>
      <c r="CU337" s="325"/>
      <c r="CV337" s="325"/>
      <c r="CW337" s="325"/>
      <c r="CX337" s="325"/>
      <c r="CY337" s="325"/>
      <c r="CZ337" s="325"/>
      <c r="DA337" s="325"/>
      <c r="DB337" s="325"/>
      <c r="DC337" s="325"/>
      <c r="DD337" s="325"/>
      <c r="DE337" s="325"/>
      <c r="DF337" s="325"/>
      <c r="DG337" s="325"/>
      <c r="DH337" s="325"/>
      <c r="DI337" s="325"/>
      <c r="DJ337" s="325"/>
      <c r="DK337" s="325"/>
      <c r="DL337" s="325"/>
      <c r="DM337" s="325"/>
      <c r="DN337" s="325"/>
      <c r="DO337" s="325"/>
      <c r="DP337" s="325"/>
      <c r="DQ337" s="325"/>
      <c r="DR337" s="325"/>
      <c r="DS337" s="325"/>
      <c r="DT337" s="325"/>
      <c r="DU337" s="325"/>
      <c r="DV337" s="325"/>
      <c r="DW337" s="325"/>
      <c r="DX337" s="325"/>
      <c r="DY337" s="325"/>
      <c r="DZ337" s="325"/>
      <c r="EA337" s="325"/>
      <c r="EB337" s="325"/>
      <c r="EC337" s="325"/>
      <c r="ED337" s="325"/>
      <c r="EE337" s="325"/>
      <c r="EF337" s="325"/>
      <c r="EG337" s="325"/>
      <c r="EH337" s="325"/>
      <c r="EI337" s="325"/>
      <c r="EJ337" s="325"/>
      <c r="EK337" s="325"/>
      <c r="EL337" s="325"/>
      <c r="EM337" s="451"/>
      <c r="EN337" s="451"/>
      <c r="EO337" s="451"/>
      <c r="EP337" s="451"/>
      <c r="EQ337" s="451"/>
      <c r="ER337" s="451"/>
      <c r="ES337" s="451"/>
      <c r="ET337" s="451"/>
      <c r="EU337" s="451"/>
      <c r="EV337" s="451"/>
      <c r="EW337" s="451"/>
      <c r="EX337" s="451"/>
      <c r="EY337" s="451"/>
      <c r="EZ337" s="451"/>
      <c r="FA337" s="451"/>
      <c r="FB337" s="451"/>
      <c r="FC337" s="451"/>
      <c r="FD337" s="451"/>
      <c r="FE337" s="451"/>
      <c r="FF337" s="451"/>
      <c r="FG337" s="451"/>
      <c r="FH337" s="451"/>
      <c r="FI337" s="451"/>
      <c r="FJ337" s="451"/>
      <c r="FK337" s="451"/>
      <c r="FL337" s="451"/>
      <c r="FM337" s="451"/>
      <c r="FN337" s="451"/>
      <c r="FO337" s="451"/>
      <c r="FP337" s="451"/>
      <c r="FQ337" s="451"/>
      <c r="FR337" s="451"/>
      <c r="FS337" s="451"/>
      <c r="FT337" s="451"/>
      <c r="FU337" s="451"/>
      <c r="FV337" s="451"/>
      <c r="FW337" s="451"/>
      <c r="FX337" s="451"/>
      <c r="FY337" s="451"/>
      <c r="FZ337" s="451"/>
      <c r="GA337" s="451"/>
      <c r="GB337" s="451"/>
      <c r="GC337" s="451"/>
      <c r="GD337" s="451"/>
      <c r="GE337" s="451"/>
      <c r="GF337" s="451"/>
      <c r="GG337" s="451"/>
      <c r="GH337" s="451"/>
      <c r="GI337" s="451"/>
      <c r="GJ337" s="451"/>
      <c r="GK337" s="451"/>
      <c r="GL337" s="451"/>
      <c r="GM337" s="451"/>
      <c r="GN337" s="451"/>
      <c r="GO337" s="451"/>
      <c r="GP337" s="451"/>
      <c r="GQ337" s="451"/>
      <c r="GR337" s="451"/>
      <c r="GS337" s="451"/>
      <c r="GT337" s="451"/>
      <c r="GU337" s="451"/>
      <c r="GV337" s="451"/>
      <c r="GW337" s="451"/>
      <c r="GX337" s="451"/>
      <c r="GY337" s="451"/>
      <c r="GZ337" s="451"/>
      <c r="HA337" s="451"/>
      <c r="HB337" s="451"/>
      <c r="HC337" s="451"/>
      <c r="HD337" s="451"/>
      <c r="HE337" s="451"/>
      <c r="HF337" s="451"/>
      <c r="HG337" s="451"/>
      <c r="HH337" s="451"/>
      <c r="HI337" s="451"/>
      <c r="HJ337" s="451"/>
      <c r="HK337" s="451"/>
      <c r="HL337" s="451"/>
      <c r="HM337" s="451"/>
      <c r="HN337" s="451"/>
      <c r="HO337" s="451"/>
      <c r="HP337" s="451"/>
      <c r="HQ337" s="451"/>
      <c r="HR337" s="451"/>
      <c r="HS337" s="451"/>
      <c r="HT337" s="451"/>
      <c r="HU337" s="451"/>
      <c r="HV337" s="451"/>
      <c r="HW337" s="451"/>
      <c r="HX337" s="451"/>
      <c r="HY337" s="451"/>
      <c r="HZ337" s="451"/>
      <c r="IA337" s="451"/>
      <c r="IB337" s="451"/>
      <c r="IC337" s="451"/>
      <c r="ID337" s="451"/>
      <c r="IE337" s="451"/>
      <c r="IF337" s="451"/>
      <c r="IG337" s="451"/>
      <c r="IH337" s="451"/>
      <c r="II337" s="451"/>
      <c r="IJ337" s="451"/>
      <c r="IK337" s="451"/>
      <c r="IL337" s="451"/>
      <c r="IM337" s="451"/>
      <c r="IN337" s="451"/>
      <c r="IO337" s="451"/>
      <c r="IP337" s="451"/>
      <c r="IQ337" s="451"/>
      <c r="IR337" s="451"/>
      <c r="IS337" s="451"/>
      <c r="IT337" s="451"/>
      <c r="IU337" s="451"/>
      <c r="IV337" s="451"/>
      <c r="IW337" s="451"/>
    </row>
    <row r="338" customFormat="false" ht="12.75" hidden="false" customHeight="false" outlineLevel="0" collapsed="false">
      <c r="A338" s="450"/>
      <c r="B338" s="438" t="s">
        <v>408</v>
      </c>
      <c r="C338" s="451"/>
      <c r="D338" s="438"/>
      <c r="E338" s="96" t="n">
        <f aca="false">D331</f>
        <v>0.01</v>
      </c>
      <c r="F338" s="96" t="n">
        <f aca="false">E338</f>
        <v>0.01</v>
      </c>
      <c r="G338" s="96" t="n">
        <f aca="false">F338</f>
        <v>0.01</v>
      </c>
      <c r="H338" s="96" t="n">
        <f aca="false">G338</f>
        <v>0.01</v>
      </c>
      <c r="I338" s="96" t="n">
        <f aca="false">H338</f>
        <v>0.01</v>
      </c>
      <c r="J338" s="96" t="n">
        <f aca="false">I338</f>
        <v>0.01</v>
      </c>
      <c r="K338" s="96" t="n">
        <f aca="false">J338</f>
        <v>0.01</v>
      </c>
      <c r="L338" s="96" t="n">
        <f aca="false">K338</f>
        <v>0.01</v>
      </c>
      <c r="M338" s="96" t="n">
        <f aca="false">L338</f>
        <v>0.01</v>
      </c>
      <c r="N338" s="96" t="n">
        <f aca="false">M338</f>
        <v>0.01</v>
      </c>
      <c r="O338" s="96" t="n">
        <f aca="false">N338</f>
        <v>0.01</v>
      </c>
      <c r="P338" s="96" t="n">
        <f aca="false">O338</f>
        <v>0.01</v>
      </c>
      <c r="Q338" s="96" t="n">
        <f aca="false">P338</f>
        <v>0.01</v>
      </c>
      <c r="R338" s="96" t="n">
        <f aca="false">Q338</f>
        <v>0.01</v>
      </c>
      <c r="S338" s="96" t="n">
        <f aca="false">R338</f>
        <v>0.01</v>
      </c>
      <c r="T338" s="96" t="n">
        <f aca="false">S338</f>
        <v>0.01</v>
      </c>
      <c r="U338" s="96" t="n">
        <f aca="false">T338</f>
        <v>0.01</v>
      </c>
      <c r="V338" s="96" t="n">
        <f aca="false">U338</f>
        <v>0.01</v>
      </c>
      <c r="W338" s="96" t="n">
        <f aca="false">V338</f>
        <v>0.01</v>
      </c>
      <c r="X338" s="96" t="n">
        <f aca="false">W338</f>
        <v>0.01</v>
      </c>
      <c r="Y338" s="96" t="n">
        <f aca="false">X338</f>
        <v>0.01</v>
      </c>
      <c r="Z338" s="96" t="n">
        <f aca="false">Y338</f>
        <v>0.01</v>
      </c>
      <c r="AA338" s="96" t="n">
        <f aca="false">Z338</f>
        <v>0.01</v>
      </c>
      <c r="AB338" s="96" t="n">
        <f aca="false">AA338</f>
        <v>0.01</v>
      </c>
      <c r="AC338" s="96" t="n">
        <f aca="false">AB338</f>
        <v>0.01</v>
      </c>
      <c r="AD338" s="96" t="n">
        <f aca="false">AC338</f>
        <v>0.01</v>
      </c>
      <c r="AE338" s="96" t="n">
        <f aca="false">AD338</f>
        <v>0.01</v>
      </c>
      <c r="AF338" s="96" t="n">
        <f aca="false">AE338</f>
        <v>0.01</v>
      </c>
      <c r="AG338" s="96" t="n">
        <f aca="false">AF338</f>
        <v>0.01</v>
      </c>
      <c r="AH338" s="96" t="n">
        <f aca="false">AG338</f>
        <v>0.01</v>
      </c>
      <c r="AI338" s="325"/>
      <c r="AJ338" s="325"/>
      <c r="AK338" s="325"/>
      <c r="AL338" s="325"/>
      <c r="AM338" s="325"/>
      <c r="AN338" s="325"/>
      <c r="AO338" s="325"/>
      <c r="AP338" s="325"/>
      <c r="AQ338" s="325"/>
      <c r="AR338" s="325"/>
      <c r="AS338" s="325"/>
      <c r="AT338" s="325"/>
      <c r="AU338" s="325"/>
      <c r="AV338" s="325"/>
      <c r="AW338" s="325"/>
      <c r="AX338" s="325"/>
      <c r="AY338" s="325"/>
      <c r="AZ338" s="325"/>
      <c r="BA338" s="325"/>
      <c r="BB338" s="325"/>
      <c r="BC338" s="325"/>
      <c r="BD338" s="325"/>
      <c r="BE338" s="325"/>
      <c r="BF338" s="325"/>
      <c r="BG338" s="325"/>
      <c r="BH338" s="325"/>
      <c r="BI338" s="325"/>
      <c r="BJ338" s="325"/>
      <c r="BK338" s="325"/>
      <c r="BL338" s="325"/>
      <c r="BM338" s="325"/>
      <c r="BN338" s="325"/>
      <c r="BO338" s="325"/>
      <c r="BP338" s="325"/>
      <c r="BQ338" s="325"/>
      <c r="BR338" s="325"/>
      <c r="BS338" s="325"/>
      <c r="BT338" s="325"/>
      <c r="BU338" s="325"/>
      <c r="BV338" s="325"/>
      <c r="BW338" s="325"/>
      <c r="BX338" s="325"/>
      <c r="BY338" s="325"/>
      <c r="BZ338" s="325"/>
      <c r="CA338" s="325"/>
      <c r="CB338" s="325"/>
      <c r="CC338" s="325"/>
      <c r="CD338" s="325"/>
      <c r="CE338" s="325"/>
      <c r="CF338" s="325"/>
      <c r="CG338" s="325"/>
      <c r="CH338" s="325"/>
      <c r="CI338" s="325"/>
      <c r="CJ338" s="325"/>
      <c r="CK338" s="325"/>
      <c r="CL338" s="325"/>
      <c r="CM338" s="325"/>
      <c r="CN338" s="325"/>
      <c r="CO338" s="325"/>
      <c r="CP338" s="325"/>
      <c r="CQ338" s="325"/>
      <c r="CR338" s="325"/>
      <c r="CS338" s="325"/>
      <c r="CT338" s="325"/>
      <c r="CU338" s="325"/>
      <c r="CV338" s="325"/>
      <c r="CW338" s="325"/>
      <c r="CX338" s="325"/>
      <c r="CY338" s="325"/>
      <c r="CZ338" s="325"/>
      <c r="DA338" s="325"/>
      <c r="DB338" s="325"/>
      <c r="DC338" s="325"/>
      <c r="DD338" s="325"/>
      <c r="DE338" s="325"/>
      <c r="DF338" s="325"/>
      <c r="DG338" s="325"/>
      <c r="DH338" s="325"/>
      <c r="DI338" s="325"/>
      <c r="DJ338" s="325"/>
      <c r="DK338" s="325"/>
      <c r="DL338" s="325"/>
      <c r="DM338" s="325"/>
      <c r="DN338" s="325"/>
      <c r="DO338" s="325"/>
      <c r="DP338" s="325"/>
      <c r="DQ338" s="325"/>
      <c r="DR338" s="325"/>
      <c r="DS338" s="325"/>
      <c r="DT338" s="325"/>
      <c r="DU338" s="325"/>
      <c r="DV338" s="325"/>
      <c r="DW338" s="325"/>
      <c r="DX338" s="325"/>
      <c r="DY338" s="325"/>
      <c r="DZ338" s="325"/>
      <c r="EA338" s="325"/>
      <c r="EB338" s="325"/>
      <c r="EC338" s="325"/>
      <c r="ED338" s="325"/>
      <c r="EE338" s="325"/>
      <c r="EF338" s="325"/>
      <c r="EG338" s="325"/>
      <c r="EH338" s="325"/>
      <c r="EI338" s="325"/>
      <c r="EJ338" s="325"/>
      <c r="EK338" s="325"/>
      <c r="EL338" s="325"/>
      <c r="EM338" s="451"/>
      <c r="EN338" s="451"/>
      <c r="EO338" s="451"/>
      <c r="EP338" s="451"/>
      <c r="EQ338" s="451"/>
      <c r="ER338" s="451"/>
      <c r="ES338" s="451"/>
      <c r="ET338" s="451"/>
      <c r="EU338" s="451"/>
      <c r="EV338" s="451"/>
      <c r="EW338" s="451"/>
      <c r="EX338" s="451"/>
      <c r="EY338" s="451"/>
      <c r="EZ338" s="451"/>
      <c r="FA338" s="451"/>
      <c r="FB338" s="451"/>
      <c r="FC338" s="451"/>
      <c r="FD338" s="451"/>
      <c r="FE338" s="451"/>
      <c r="FF338" s="451"/>
      <c r="FG338" s="451"/>
      <c r="FH338" s="451"/>
      <c r="FI338" s="451"/>
      <c r="FJ338" s="451"/>
      <c r="FK338" s="451"/>
      <c r="FL338" s="451"/>
      <c r="FM338" s="451"/>
      <c r="FN338" s="451"/>
      <c r="FO338" s="451"/>
      <c r="FP338" s="451"/>
      <c r="FQ338" s="451"/>
      <c r="FR338" s="451"/>
      <c r="FS338" s="451"/>
      <c r="FT338" s="451"/>
      <c r="FU338" s="451"/>
      <c r="FV338" s="451"/>
      <c r="FW338" s="451"/>
      <c r="FX338" s="451"/>
      <c r="FY338" s="451"/>
      <c r="FZ338" s="451"/>
      <c r="GA338" s="451"/>
      <c r="GB338" s="451"/>
      <c r="GC338" s="451"/>
      <c r="GD338" s="451"/>
      <c r="GE338" s="451"/>
      <c r="GF338" s="451"/>
      <c r="GG338" s="451"/>
      <c r="GH338" s="451"/>
      <c r="GI338" s="451"/>
      <c r="GJ338" s="451"/>
      <c r="GK338" s="451"/>
      <c r="GL338" s="451"/>
      <c r="GM338" s="451"/>
      <c r="GN338" s="451"/>
      <c r="GO338" s="451"/>
      <c r="GP338" s="451"/>
      <c r="GQ338" s="451"/>
      <c r="GR338" s="451"/>
      <c r="GS338" s="451"/>
      <c r="GT338" s="451"/>
      <c r="GU338" s="451"/>
      <c r="GV338" s="451"/>
      <c r="GW338" s="451"/>
      <c r="GX338" s="451"/>
      <c r="GY338" s="451"/>
      <c r="GZ338" s="451"/>
      <c r="HA338" s="451"/>
      <c r="HB338" s="451"/>
      <c r="HC338" s="451"/>
      <c r="HD338" s="451"/>
      <c r="HE338" s="451"/>
      <c r="HF338" s="451"/>
      <c r="HG338" s="451"/>
      <c r="HH338" s="451"/>
      <c r="HI338" s="451"/>
      <c r="HJ338" s="451"/>
      <c r="HK338" s="451"/>
      <c r="HL338" s="451"/>
      <c r="HM338" s="451"/>
      <c r="HN338" s="451"/>
      <c r="HO338" s="451"/>
      <c r="HP338" s="451"/>
      <c r="HQ338" s="451"/>
      <c r="HR338" s="451"/>
      <c r="HS338" s="451"/>
      <c r="HT338" s="451"/>
      <c r="HU338" s="451"/>
      <c r="HV338" s="451"/>
      <c r="HW338" s="451"/>
      <c r="HX338" s="451"/>
      <c r="HY338" s="451"/>
      <c r="HZ338" s="451"/>
      <c r="IA338" s="451"/>
      <c r="IB338" s="451"/>
      <c r="IC338" s="451"/>
      <c r="ID338" s="451"/>
      <c r="IE338" s="451"/>
      <c r="IF338" s="451"/>
      <c r="IG338" s="451"/>
      <c r="IH338" s="451"/>
      <c r="II338" s="451"/>
      <c r="IJ338" s="451"/>
      <c r="IK338" s="451"/>
      <c r="IL338" s="451"/>
      <c r="IM338" s="451"/>
      <c r="IN338" s="451"/>
      <c r="IO338" s="451"/>
      <c r="IP338" s="451"/>
      <c r="IQ338" s="451"/>
      <c r="IR338" s="451"/>
      <c r="IS338" s="451"/>
      <c r="IT338" s="451"/>
      <c r="IU338" s="451"/>
      <c r="IV338" s="451"/>
      <c r="IW338" s="451"/>
    </row>
    <row r="339" customFormat="false" ht="12.75" hidden="false" customHeight="false" outlineLevel="0" collapsed="false">
      <c r="A339" s="450"/>
      <c r="B339" s="438"/>
      <c r="C339" s="451"/>
      <c r="D339" s="438"/>
      <c r="E339" s="451"/>
      <c r="F339" s="325"/>
      <c r="G339" s="325"/>
      <c r="H339" s="325"/>
      <c r="I339" s="325"/>
      <c r="J339" s="325"/>
      <c r="K339" s="325"/>
      <c r="L339" s="325"/>
      <c r="M339" s="325"/>
      <c r="N339" s="325"/>
      <c r="O339" s="325"/>
      <c r="P339" s="325"/>
      <c r="Q339" s="325"/>
      <c r="R339" s="325"/>
      <c r="S339" s="325"/>
      <c r="T339" s="325"/>
      <c r="U339" s="325"/>
      <c r="V339" s="325"/>
      <c r="W339" s="325"/>
      <c r="X339" s="325"/>
      <c r="Y339" s="325"/>
      <c r="Z339" s="325"/>
      <c r="AA339" s="325"/>
      <c r="AB339" s="325"/>
      <c r="AC339" s="325"/>
      <c r="AD339" s="325"/>
      <c r="AE339" s="325"/>
      <c r="AF339" s="325"/>
      <c r="AG339" s="325"/>
      <c r="AH339" s="325"/>
      <c r="AI339" s="325"/>
      <c r="AJ339" s="325"/>
      <c r="AK339" s="325"/>
      <c r="AL339" s="325"/>
      <c r="AM339" s="325"/>
      <c r="AN339" s="325"/>
      <c r="AO339" s="325"/>
      <c r="AP339" s="325"/>
      <c r="AQ339" s="325"/>
      <c r="AR339" s="325"/>
      <c r="AS339" s="325"/>
      <c r="AT339" s="325"/>
      <c r="AU339" s="325"/>
      <c r="AV339" s="325"/>
      <c r="AW339" s="325"/>
      <c r="AX339" s="325"/>
      <c r="AY339" s="325"/>
      <c r="AZ339" s="325"/>
      <c r="BA339" s="325"/>
      <c r="BB339" s="325"/>
      <c r="BC339" s="325"/>
      <c r="BD339" s="325"/>
      <c r="BE339" s="325"/>
      <c r="BF339" s="325"/>
      <c r="BG339" s="325"/>
      <c r="BH339" s="325"/>
      <c r="BI339" s="325"/>
      <c r="BJ339" s="325"/>
      <c r="BK339" s="325"/>
      <c r="BL339" s="325"/>
      <c r="BM339" s="325"/>
      <c r="BN339" s="325"/>
      <c r="BO339" s="325"/>
      <c r="BP339" s="325"/>
      <c r="BQ339" s="325"/>
      <c r="BR339" s="325"/>
      <c r="BS339" s="325"/>
      <c r="BT339" s="325"/>
      <c r="BU339" s="325"/>
      <c r="BV339" s="325"/>
      <c r="BW339" s="325"/>
      <c r="BX339" s="325"/>
      <c r="BY339" s="325"/>
      <c r="BZ339" s="325"/>
      <c r="CA339" s="325"/>
      <c r="CB339" s="325"/>
      <c r="CC339" s="325"/>
      <c r="CD339" s="325"/>
      <c r="CE339" s="325"/>
      <c r="CF339" s="325"/>
      <c r="CG339" s="325"/>
      <c r="CH339" s="325"/>
      <c r="CI339" s="325"/>
      <c r="CJ339" s="325"/>
      <c r="CK339" s="325"/>
      <c r="CL339" s="325"/>
      <c r="CM339" s="325"/>
      <c r="CN339" s="325"/>
      <c r="CO339" s="325"/>
      <c r="CP339" s="325"/>
      <c r="CQ339" s="325"/>
      <c r="CR339" s="325"/>
      <c r="CS339" s="325"/>
      <c r="CT339" s="325"/>
      <c r="CU339" s="325"/>
      <c r="CV339" s="325"/>
      <c r="CW339" s="325"/>
      <c r="CX339" s="325"/>
      <c r="CY339" s="325"/>
      <c r="CZ339" s="325"/>
      <c r="DA339" s="325"/>
      <c r="DB339" s="325"/>
      <c r="DC339" s="325"/>
      <c r="DD339" s="325"/>
      <c r="DE339" s="325"/>
      <c r="DF339" s="325"/>
      <c r="DG339" s="325"/>
      <c r="DH339" s="325"/>
      <c r="DI339" s="325"/>
      <c r="DJ339" s="325"/>
      <c r="DK339" s="325"/>
      <c r="DL339" s="325"/>
      <c r="DM339" s="325"/>
      <c r="DN339" s="325"/>
      <c r="DO339" s="325"/>
      <c r="DP339" s="325"/>
      <c r="DQ339" s="325"/>
      <c r="DR339" s="325"/>
      <c r="DS339" s="325"/>
      <c r="DT339" s="325"/>
      <c r="DU339" s="325"/>
      <c r="DV339" s="325"/>
      <c r="DW339" s="325"/>
      <c r="DX339" s="325"/>
      <c r="DY339" s="325"/>
      <c r="DZ339" s="325"/>
      <c r="EA339" s="325"/>
      <c r="EB339" s="325"/>
      <c r="EC339" s="325"/>
      <c r="ED339" s="325"/>
      <c r="EE339" s="325"/>
      <c r="EF339" s="325"/>
      <c r="EG339" s="325"/>
      <c r="EH339" s="325"/>
      <c r="EI339" s="325"/>
      <c r="EJ339" s="325"/>
      <c r="EK339" s="325"/>
      <c r="EL339" s="325"/>
      <c r="EM339" s="451"/>
      <c r="EN339" s="451"/>
      <c r="EO339" s="451"/>
      <c r="EP339" s="451"/>
      <c r="EQ339" s="451"/>
      <c r="ER339" s="451"/>
      <c r="ES339" s="451"/>
      <c r="ET339" s="451"/>
      <c r="EU339" s="451"/>
      <c r="EV339" s="451"/>
      <c r="EW339" s="451"/>
      <c r="EX339" s="451"/>
      <c r="EY339" s="451"/>
      <c r="EZ339" s="451"/>
      <c r="FA339" s="451"/>
      <c r="FB339" s="451"/>
      <c r="FC339" s="451"/>
      <c r="FD339" s="451"/>
      <c r="FE339" s="451"/>
      <c r="FF339" s="451"/>
      <c r="FG339" s="451"/>
      <c r="FH339" s="451"/>
      <c r="FI339" s="451"/>
      <c r="FJ339" s="451"/>
      <c r="FK339" s="451"/>
      <c r="FL339" s="451"/>
      <c r="FM339" s="451"/>
      <c r="FN339" s="451"/>
      <c r="FO339" s="451"/>
      <c r="FP339" s="451"/>
      <c r="FQ339" s="451"/>
      <c r="FR339" s="451"/>
      <c r="FS339" s="451"/>
      <c r="FT339" s="451"/>
      <c r="FU339" s="451"/>
      <c r="FV339" s="451"/>
      <c r="FW339" s="451"/>
      <c r="FX339" s="451"/>
      <c r="FY339" s="451"/>
      <c r="FZ339" s="451"/>
      <c r="GA339" s="451"/>
      <c r="GB339" s="451"/>
      <c r="GC339" s="451"/>
      <c r="GD339" s="451"/>
      <c r="GE339" s="451"/>
      <c r="GF339" s="451"/>
      <c r="GG339" s="451"/>
      <c r="GH339" s="451"/>
      <c r="GI339" s="451"/>
      <c r="GJ339" s="451"/>
      <c r="GK339" s="451"/>
      <c r="GL339" s="451"/>
      <c r="GM339" s="451"/>
      <c r="GN339" s="451"/>
      <c r="GO339" s="451"/>
      <c r="GP339" s="451"/>
      <c r="GQ339" s="451"/>
      <c r="GR339" s="451"/>
      <c r="GS339" s="451"/>
      <c r="GT339" s="451"/>
      <c r="GU339" s="451"/>
      <c r="GV339" s="451"/>
      <c r="GW339" s="451"/>
      <c r="GX339" s="451"/>
      <c r="GY339" s="451"/>
      <c r="GZ339" s="451"/>
      <c r="HA339" s="451"/>
      <c r="HB339" s="451"/>
      <c r="HC339" s="451"/>
      <c r="HD339" s="451"/>
      <c r="HE339" s="451"/>
      <c r="HF339" s="451"/>
      <c r="HG339" s="451"/>
      <c r="HH339" s="451"/>
      <c r="HI339" s="451"/>
      <c r="HJ339" s="451"/>
      <c r="HK339" s="451"/>
      <c r="HL339" s="451"/>
      <c r="HM339" s="451"/>
      <c r="HN339" s="451"/>
      <c r="HO339" s="451"/>
      <c r="HP339" s="451"/>
      <c r="HQ339" s="451"/>
      <c r="HR339" s="451"/>
      <c r="HS339" s="451"/>
      <c r="HT339" s="451"/>
      <c r="HU339" s="451"/>
      <c r="HV339" s="451"/>
      <c r="HW339" s="451"/>
      <c r="HX339" s="451"/>
      <c r="HY339" s="451"/>
      <c r="HZ339" s="451"/>
      <c r="IA339" s="451"/>
      <c r="IB339" s="451"/>
      <c r="IC339" s="451"/>
      <c r="ID339" s="451"/>
      <c r="IE339" s="451"/>
      <c r="IF339" s="451"/>
      <c r="IG339" s="451"/>
      <c r="IH339" s="451"/>
      <c r="II339" s="451"/>
      <c r="IJ339" s="451"/>
      <c r="IK339" s="451"/>
      <c r="IL339" s="451"/>
      <c r="IM339" s="451"/>
      <c r="IN339" s="451"/>
      <c r="IO339" s="451"/>
      <c r="IP339" s="451"/>
      <c r="IQ339" s="451"/>
      <c r="IR339" s="451"/>
      <c r="IS339" s="451"/>
      <c r="IT339" s="451"/>
      <c r="IU339" s="451"/>
      <c r="IV339" s="451"/>
      <c r="IW339" s="451"/>
    </row>
    <row r="340" customFormat="false" ht="12.75" hidden="false" customHeight="false" outlineLevel="0" collapsed="false">
      <c r="A340" s="450"/>
      <c r="B340" s="452" t="s">
        <v>409</v>
      </c>
      <c r="C340" s="452"/>
      <c r="D340" s="438"/>
      <c r="E340" s="114" t="s">
        <v>406</v>
      </c>
      <c r="F340" s="325"/>
      <c r="G340" s="325"/>
      <c r="H340" s="325"/>
      <c r="I340" s="325"/>
      <c r="J340" s="325"/>
      <c r="K340" s="325"/>
      <c r="L340" s="325"/>
      <c r="M340" s="325"/>
      <c r="N340" s="325"/>
      <c r="O340" s="325"/>
      <c r="P340" s="325"/>
      <c r="Q340" s="325"/>
      <c r="R340" s="325"/>
      <c r="S340" s="325"/>
      <c r="T340" s="325"/>
      <c r="U340" s="325"/>
      <c r="V340" s="325"/>
      <c r="W340" s="325"/>
      <c r="X340" s="325"/>
      <c r="Y340" s="325"/>
      <c r="Z340" s="325"/>
      <c r="AA340" s="325"/>
      <c r="AB340" s="325"/>
      <c r="AC340" s="325"/>
      <c r="AD340" s="325"/>
      <c r="AE340" s="325"/>
      <c r="AF340" s="325"/>
      <c r="AG340" s="325"/>
      <c r="AH340" s="325"/>
      <c r="AI340" s="325"/>
      <c r="AJ340" s="325"/>
      <c r="AK340" s="325"/>
      <c r="AL340" s="325"/>
      <c r="AM340" s="325"/>
      <c r="AN340" s="325"/>
      <c r="AO340" s="325"/>
      <c r="AP340" s="325"/>
      <c r="AQ340" s="325"/>
      <c r="AR340" s="325"/>
      <c r="AS340" s="325"/>
      <c r="AT340" s="325"/>
      <c r="AU340" s="325"/>
      <c r="AV340" s="325"/>
      <c r="AW340" s="325"/>
      <c r="AX340" s="325"/>
      <c r="AY340" s="325"/>
      <c r="AZ340" s="325"/>
      <c r="BA340" s="325"/>
      <c r="BB340" s="325"/>
      <c r="BC340" s="325"/>
      <c r="BD340" s="325"/>
      <c r="BE340" s="325"/>
      <c r="BF340" s="325"/>
      <c r="BG340" s="325"/>
      <c r="BH340" s="325"/>
      <c r="BI340" s="325"/>
      <c r="BJ340" s="325"/>
      <c r="BK340" s="325"/>
      <c r="BL340" s="325"/>
      <c r="BM340" s="325"/>
      <c r="BN340" s="325"/>
      <c r="BO340" s="325"/>
      <c r="BP340" s="325"/>
      <c r="BQ340" s="325"/>
      <c r="BR340" s="325"/>
      <c r="BS340" s="325"/>
      <c r="BT340" s="325"/>
      <c r="BU340" s="325"/>
      <c r="BV340" s="325"/>
      <c r="BW340" s="325"/>
      <c r="BX340" s="325"/>
      <c r="BY340" s="325"/>
      <c r="BZ340" s="325"/>
      <c r="CA340" s="325"/>
      <c r="CB340" s="325"/>
      <c r="CC340" s="325"/>
      <c r="CD340" s="325"/>
      <c r="CE340" s="325"/>
      <c r="CF340" s="325"/>
      <c r="CG340" s="325"/>
      <c r="CH340" s="325"/>
      <c r="CI340" s="325"/>
      <c r="CJ340" s="325"/>
      <c r="CK340" s="325"/>
      <c r="CL340" s="325"/>
      <c r="CM340" s="325"/>
      <c r="CN340" s="325"/>
      <c r="CO340" s="325"/>
      <c r="CP340" s="325"/>
      <c r="CQ340" s="325"/>
      <c r="CR340" s="325"/>
      <c r="CS340" s="325"/>
      <c r="CT340" s="325"/>
      <c r="CU340" s="325"/>
      <c r="CV340" s="325"/>
      <c r="CW340" s="325"/>
      <c r="CX340" s="325"/>
      <c r="CY340" s="325"/>
      <c r="CZ340" s="325"/>
      <c r="DA340" s="325"/>
      <c r="DB340" s="325"/>
      <c r="DC340" s="325"/>
      <c r="DD340" s="325"/>
      <c r="DE340" s="325"/>
      <c r="DF340" s="325"/>
      <c r="DG340" s="325"/>
      <c r="DH340" s="325"/>
      <c r="DI340" s="325"/>
      <c r="DJ340" s="325"/>
      <c r="DK340" s="325"/>
      <c r="DL340" s="325"/>
      <c r="DM340" s="325"/>
      <c r="DN340" s="325"/>
      <c r="DO340" s="325"/>
      <c r="DP340" s="325"/>
      <c r="DQ340" s="325"/>
      <c r="DR340" s="325"/>
      <c r="DS340" s="325"/>
      <c r="DT340" s="325"/>
      <c r="DU340" s="325"/>
      <c r="DV340" s="325"/>
      <c r="DW340" s="325"/>
      <c r="DX340" s="325"/>
      <c r="DY340" s="325"/>
      <c r="DZ340" s="325"/>
      <c r="EA340" s="325"/>
      <c r="EB340" s="325"/>
      <c r="EC340" s="325"/>
      <c r="ED340" s="325"/>
      <c r="EE340" s="325"/>
      <c r="EF340" s="325"/>
      <c r="EG340" s="325"/>
      <c r="EH340" s="325"/>
      <c r="EI340" s="325"/>
      <c r="EJ340" s="325"/>
      <c r="EK340" s="325"/>
      <c r="EL340" s="325"/>
      <c r="EM340" s="451"/>
      <c r="EN340" s="451"/>
      <c r="EO340" s="451"/>
      <c r="EP340" s="451"/>
      <c r="EQ340" s="451"/>
      <c r="ER340" s="451"/>
      <c r="ES340" s="451"/>
      <c r="ET340" s="451"/>
      <c r="EU340" s="451"/>
      <c r="EV340" s="451"/>
      <c r="EW340" s="451"/>
      <c r="EX340" s="451"/>
      <c r="EY340" s="451"/>
      <c r="EZ340" s="451"/>
      <c r="FA340" s="451"/>
      <c r="FB340" s="451"/>
      <c r="FC340" s="451"/>
      <c r="FD340" s="451"/>
      <c r="FE340" s="451"/>
      <c r="FF340" s="451"/>
      <c r="FG340" s="451"/>
      <c r="FH340" s="451"/>
      <c r="FI340" s="451"/>
      <c r="FJ340" s="451"/>
      <c r="FK340" s="451"/>
      <c r="FL340" s="451"/>
      <c r="FM340" s="451"/>
      <c r="FN340" s="451"/>
      <c r="FO340" s="451"/>
      <c r="FP340" s="451"/>
      <c r="FQ340" s="451"/>
      <c r="FR340" s="451"/>
      <c r="FS340" s="451"/>
      <c r="FT340" s="451"/>
      <c r="FU340" s="451"/>
      <c r="FV340" s="451"/>
      <c r="FW340" s="451"/>
      <c r="FX340" s="451"/>
      <c r="FY340" s="451"/>
      <c r="FZ340" s="451"/>
      <c r="GA340" s="451"/>
      <c r="GB340" s="451"/>
      <c r="GC340" s="451"/>
      <c r="GD340" s="451"/>
      <c r="GE340" s="451"/>
      <c r="GF340" s="451"/>
      <c r="GG340" s="451"/>
      <c r="GH340" s="451"/>
      <c r="GI340" s="451"/>
      <c r="GJ340" s="451"/>
      <c r="GK340" s="451"/>
      <c r="GL340" s="451"/>
      <c r="GM340" s="451"/>
      <c r="GN340" s="451"/>
      <c r="GO340" s="451"/>
      <c r="GP340" s="451"/>
      <c r="GQ340" s="451"/>
      <c r="GR340" s="451"/>
      <c r="GS340" s="451"/>
      <c r="GT340" s="451"/>
      <c r="GU340" s="451"/>
      <c r="GV340" s="451"/>
      <c r="GW340" s="451"/>
      <c r="GX340" s="451"/>
      <c r="GY340" s="451"/>
      <c r="GZ340" s="451"/>
      <c r="HA340" s="451"/>
      <c r="HB340" s="451"/>
      <c r="HC340" s="451"/>
      <c r="HD340" s="451"/>
      <c r="HE340" s="451"/>
      <c r="HF340" s="451"/>
      <c r="HG340" s="451"/>
      <c r="HH340" s="451"/>
      <c r="HI340" s="451"/>
      <c r="HJ340" s="451"/>
      <c r="HK340" s="451"/>
      <c r="HL340" s="451"/>
      <c r="HM340" s="451"/>
      <c r="HN340" s="451"/>
      <c r="HO340" s="451"/>
      <c r="HP340" s="451"/>
      <c r="HQ340" s="451"/>
      <c r="HR340" s="451"/>
      <c r="HS340" s="451"/>
      <c r="HT340" s="451"/>
      <c r="HU340" s="451"/>
      <c r="HV340" s="451"/>
      <c r="HW340" s="451"/>
      <c r="HX340" s="451"/>
      <c r="HY340" s="451"/>
      <c r="HZ340" s="451"/>
      <c r="IA340" s="451"/>
      <c r="IB340" s="451"/>
      <c r="IC340" s="451"/>
      <c r="ID340" s="451"/>
      <c r="IE340" s="451"/>
      <c r="IF340" s="451"/>
      <c r="IG340" s="451"/>
      <c r="IH340" s="451"/>
      <c r="II340" s="451"/>
      <c r="IJ340" s="451"/>
      <c r="IK340" s="451"/>
      <c r="IL340" s="451"/>
      <c r="IM340" s="451"/>
      <c r="IN340" s="451"/>
      <c r="IO340" s="451"/>
      <c r="IP340" s="451"/>
      <c r="IQ340" s="451"/>
      <c r="IR340" s="451"/>
      <c r="IS340" s="451"/>
      <c r="IT340" s="451"/>
      <c r="IU340" s="451"/>
      <c r="IV340" s="451"/>
      <c r="IW340" s="451"/>
    </row>
    <row r="341" customFormat="false" ht="12.75" hidden="false" customHeight="false" outlineLevel="0" collapsed="false">
      <c r="A341" s="450"/>
      <c r="B341" s="438" t="s">
        <v>407</v>
      </c>
      <c r="C341" s="438"/>
      <c r="D341" s="438"/>
      <c r="E341" s="325" t="n">
        <f aca="false">1-E342</f>
        <v>0.99</v>
      </c>
      <c r="F341" s="325" t="n">
        <f aca="false">1-F342</f>
        <v>0.99</v>
      </c>
      <c r="G341" s="325" t="n">
        <f aca="false">1-G342</f>
        <v>0.99</v>
      </c>
      <c r="H341" s="325" t="n">
        <f aca="false">1-H342</f>
        <v>0.99</v>
      </c>
      <c r="I341" s="325" t="n">
        <f aca="false">1-I342</f>
        <v>0.99</v>
      </c>
      <c r="J341" s="325" t="n">
        <f aca="false">1-J342</f>
        <v>0.99</v>
      </c>
      <c r="K341" s="325" t="n">
        <f aca="false">1-K342</f>
        <v>0.99</v>
      </c>
      <c r="L341" s="325" t="n">
        <f aca="false">1-L342</f>
        <v>0.99</v>
      </c>
      <c r="M341" s="325" t="n">
        <f aca="false">1-M342</f>
        <v>0.99</v>
      </c>
      <c r="N341" s="325" t="n">
        <f aca="false">1-N342</f>
        <v>0.99</v>
      </c>
      <c r="O341" s="325" t="n">
        <f aca="false">1-O342</f>
        <v>0.99</v>
      </c>
      <c r="P341" s="325" t="n">
        <f aca="false">1-P342</f>
        <v>0.99</v>
      </c>
      <c r="Q341" s="325" t="n">
        <f aca="false">1-Q342</f>
        <v>0.99</v>
      </c>
      <c r="R341" s="325" t="n">
        <f aca="false">1-R342</f>
        <v>0.99</v>
      </c>
      <c r="S341" s="325" t="n">
        <f aca="false">1-S342</f>
        <v>0.99</v>
      </c>
      <c r="T341" s="325" t="n">
        <f aca="false">1-T342</f>
        <v>0.99</v>
      </c>
      <c r="U341" s="325" t="n">
        <f aca="false">1-U342</f>
        <v>0.99</v>
      </c>
      <c r="V341" s="325" t="n">
        <f aca="false">1-V342</f>
        <v>0.99</v>
      </c>
      <c r="W341" s="325" t="n">
        <f aca="false">1-W342</f>
        <v>0.99</v>
      </c>
      <c r="X341" s="325" t="n">
        <f aca="false">1-X342</f>
        <v>0.99</v>
      </c>
      <c r="Y341" s="325" t="n">
        <f aca="false">1-Y342</f>
        <v>0.99</v>
      </c>
      <c r="Z341" s="325" t="n">
        <f aca="false">1-Z342</f>
        <v>0.99</v>
      </c>
      <c r="AA341" s="325" t="n">
        <f aca="false">1-AA342</f>
        <v>0.99</v>
      </c>
      <c r="AB341" s="325" t="n">
        <f aca="false">1-AB342</f>
        <v>0.99</v>
      </c>
      <c r="AC341" s="325" t="n">
        <f aca="false">1-AC342</f>
        <v>0.99</v>
      </c>
      <c r="AD341" s="325" t="n">
        <f aca="false">1-AD342</f>
        <v>0.99</v>
      </c>
      <c r="AE341" s="325" t="n">
        <f aca="false">1-AE342</f>
        <v>0.99</v>
      </c>
      <c r="AF341" s="325" t="n">
        <f aca="false">1-AF342</f>
        <v>0.99</v>
      </c>
      <c r="AG341" s="325" t="n">
        <f aca="false">1-AG342</f>
        <v>0.99</v>
      </c>
      <c r="AH341" s="325" t="n">
        <f aca="false">1-AH342</f>
        <v>0.99</v>
      </c>
      <c r="AI341" s="325"/>
      <c r="AJ341" s="325"/>
      <c r="AK341" s="325"/>
      <c r="AL341" s="325"/>
      <c r="AM341" s="325"/>
      <c r="AN341" s="325"/>
      <c r="AO341" s="325"/>
      <c r="AP341" s="325"/>
      <c r="AQ341" s="325"/>
      <c r="AR341" s="325"/>
      <c r="AS341" s="325"/>
      <c r="AT341" s="325"/>
      <c r="AU341" s="325"/>
      <c r="AV341" s="325"/>
      <c r="AW341" s="325"/>
      <c r="AX341" s="325"/>
      <c r="AY341" s="325"/>
      <c r="AZ341" s="325"/>
      <c r="BA341" s="325"/>
      <c r="BB341" s="325"/>
      <c r="BC341" s="325"/>
      <c r="BD341" s="325"/>
      <c r="BE341" s="325"/>
      <c r="BF341" s="325"/>
      <c r="BG341" s="325"/>
      <c r="BH341" s="325"/>
      <c r="BI341" s="325"/>
      <c r="BJ341" s="325"/>
      <c r="BK341" s="325"/>
      <c r="BL341" s="325"/>
      <c r="BM341" s="325"/>
      <c r="BN341" s="325"/>
      <c r="BO341" s="325"/>
      <c r="BP341" s="325"/>
      <c r="BQ341" s="325"/>
      <c r="BR341" s="325"/>
      <c r="BS341" s="325"/>
      <c r="BT341" s="325"/>
      <c r="BU341" s="325"/>
      <c r="BV341" s="325"/>
      <c r="BW341" s="325"/>
      <c r="BX341" s="325"/>
      <c r="BY341" s="325"/>
      <c r="BZ341" s="325"/>
      <c r="CA341" s="325"/>
      <c r="CB341" s="325"/>
      <c r="CC341" s="325"/>
      <c r="CD341" s="325"/>
      <c r="CE341" s="325"/>
      <c r="CF341" s="325"/>
      <c r="CG341" s="325"/>
      <c r="CH341" s="325"/>
      <c r="CI341" s="325"/>
      <c r="CJ341" s="325"/>
      <c r="CK341" s="325"/>
      <c r="CL341" s="325"/>
      <c r="CM341" s="325"/>
      <c r="CN341" s="325"/>
      <c r="CO341" s="325"/>
      <c r="CP341" s="325"/>
      <c r="CQ341" s="325"/>
      <c r="CR341" s="325"/>
      <c r="CS341" s="325"/>
      <c r="CT341" s="325"/>
      <c r="CU341" s="325"/>
      <c r="CV341" s="325"/>
      <c r="CW341" s="325"/>
      <c r="CX341" s="325"/>
      <c r="CY341" s="325"/>
      <c r="CZ341" s="325"/>
      <c r="DA341" s="325"/>
      <c r="DB341" s="325"/>
      <c r="DC341" s="325"/>
      <c r="DD341" s="325"/>
      <c r="DE341" s="325"/>
      <c r="DF341" s="325"/>
      <c r="DG341" s="325"/>
      <c r="DH341" s="325"/>
      <c r="DI341" s="325"/>
      <c r="DJ341" s="325"/>
      <c r="DK341" s="325"/>
      <c r="DL341" s="325"/>
      <c r="DM341" s="325"/>
      <c r="DN341" s="325"/>
      <c r="DO341" s="325"/>
      <c r="DP341" s="325"/>
      <c r="DQ341" s="325"/>
      <c r="DR341" s="325"/>
      <c r="DS341" s="325"/>
      <c r="DT341" s="325"/>
      <c r="DU341" s="325"/>
      <c r="DV341" s="325"/>
      <c r="DW341" s="325"/>
      <c r="DX341" s="325"/>
      <c r="DY341" s="325"/>
      <c r="DZ341" s="325"/>
      <c r="EA341" s="325"/>
      <c r="EB341" s="325"/>
      <c r="EC341" s="325"/>
      <c r="ED341" s="325"/>
      <c r="EE341" s="325"/>
      <c r="EF341" s="325"/>
      <c r="EG341" s="325"/>
      <c r="EH341" s="325"/>
      <c r="EI341" s="325"/>
      <c r="EJ341" s="325"/>
      <c r="EK341" s="325"/>
      <c r="EL341" s="325"/>
      <c r="EM341" s="451"/>
      <c r="EN341" s="451"/>
      <c r="EO341" s="451"/>
      <c r="EP341" s="451"/>
      <c r="EQ341" s="451"/>
      <c r="ER341" s="451"/>
      <c r="ES341" s="451"/>
      <c r="ET341" s="451"/>
      <c r="EU341" s="451"/>
      <c r="EV341" s="451"/>
      <c r="EW341" s="451"/>
      <c r="EX341" s="451"/>
      <c r="EY341" s="451"/>
      <c r="EZ341" s="451"/>
      <c r="FA341" s="451"/>
      <c r="FB341" s="451"/>
      <c r="FC341" s="451"/>
      <c r="FD341" s="451"/>
      <c r="FE341" s="451"/>
      <c r="FF341" s="451"/>
      <c r="FG341" s="451"/>
      <c r="FH341" s="451"/>
      <c r="FI341" s="451"/>
      <c r="FJ341" s="451"/>
      <c r="FK341" s="451"/>
      <c r="FL341" s="451"/>
      <c r="FM341" s="451"/>
      <c r="FN341" s="451"/>
      <c r="FO341" s="451"/>
      <c r="FP341" s="451"/>
      <c r="FQ341" s="451"/>
      <c r="FR341" s="451"/>
      <c r="FS341" s="451"/>
      <c r="FT341" s="451"/>
      <c r="FU341" s="451"/>
      <c r="FV341" s="451"/>
      <c r="FW341" s="451"/>
      <c r="FX341" s="451"/>
      <c r="FY341" s="451"/>
      <c r="FZ341" s="451"/>
      <c r="GA341" s="451"/>
      <c r="GB341" s="451"/>
      <c r="GC341" s="451"/>
      <c r="GD341" s="451"/>
      <c r="GE341" s="451"/>
      <c r="GF341" s="451"/>
      <c r="GG341" s="451"/>
      <c r="GH341" s="451"/>
      <c r="GI341" s="451"/>
      <c r="GJ341" s="451"/>
      <c r="GK341" s="451"/>
      <c r="GL341" s="451"/>
      <c r="GM341" s="451"/>
      <c r="GN341" s="451"/>
      <c r="GO341" s="451"/>
      <c r="GP341" s="451"/>
      <c r="GQ341" s="451"/>
      <c r="GR341" s="451"/>
      <c r="GS341" s="451"/>
      <c r="GT341" s="451"/>
      <c r="GU341" s="451"/>
      <c r="GV341" s="451"/>
      <c r="GW341" s="451"/>
      <c r="GX341" s="451"/>
      <c r="GY341" s="451"/>
      <c r="GZ341" s="451"/>
      <c r="HA341" s="451"/>
      <c r="HB341" s="451"/>
      <c r="HC341" s="451"/>
      <c r="HD341" s="451"/>
      <c r="HE341" s="451"/>
      <c r="HF341" s="451"/>
      <c r="HG341" s="451"/>
      <c r="HH341" s="451"/>
      <c r="HI341" s="451"/>
      <c r="HJ341" s="451"/>
      <c r="HK341" s="451"/>
      <c r="HL341" s="451"/>
      <c r="HM341" s="451"/>
      <c r="HN341" s="451"/>
      <c r="HO341" s="451"/>
      <c r="HP341" s="451"/>
      <c r="HQ341" s="451"/>
      <c r="HR341" s="451"/>
      <c r="HS341" s="451"/>
      <c r="HT341" s="451"/>
      <c r="HU341" s="451"/>
      <c r="HV341" s="451"/>
      <c r="HW341" s="451"/>
      <c r="HX341" s="451"/>
      <c r="HY341" s="451"/>
      <c r="HZ341" s="451"/>
      <c r="IA341" s="451"/>
      <c r="IB341" s="451"/>
      <c r="IC341" s="451"/>
      <c r="ID341" s="451"/>
      <c r="IE341" s="451"/>
      <c r="IF341" s="451"/>
      <c r="IG341" s="451"/>
      <c r="IH341" s="451"/>
      <c r="II341" s="451"/>
      <c r="IJ341" s="451"/>
      <c r="IK341" s="451"/>
      <c r="IL341" s="451"/>
      <c r="IM341" s="451"/>
      <c r="IN341" s="451"/>
      <c r="IO341" s="451"/>
      <c r="IP341" s="451"/>
      <c r="IQ341" s="451"/>
      <c r="IR341" s="451"/>
      <c r="IS341" s="451"/>
      <c r="IT341" s="451"/>
      <c r="IU341" s="451"/>
      <c r="IV341" s="451"/>
      <c r="IW341" s="451"/>
    </row>
    <row r="342" customFormat="false" ht="12.75" hidden="false" customHeight="false" outlineLevel="0" collapsed="false">
      <c r="A342" s="450"/>
      <c r="B342" s="438" t="s">
        <v>408</v>
      </c>
      <c r="C342" s="438"/>
      <c r="D342" s="438"/>
      <c r="E342" s="96" t="n">
        <f aca="false">D331</f>
        <v>0.01</v>
      </c>
      <c r="F342" s="96" t="n">
        <f aca="false">E342</f>
        <v>0.01</v>
      </c>
      <c r="G342" s="96" t="n">
        <f aca="false">F342</f>
        <v>0.01</v>
      </c>
      <c r="H342" s="96" t="n">
        <f aca="false">G342</f>
        <v>0.01</v>
      </c>
      <c r="I342" s="96" t="n">
        <f aca="false">H342</f>
        <v>0.01</v>
      </c>
      <c r="J342" s="96" t="n">
        <f aca="false">I342</f>
        <v>0.01</v>
      </c>
      <c r="K342" s="96" t="n">
        <f aca="false">J342</f>
        <v>0.01</v>
      </c>
      <c r="L342" s="96" t="n">
        <f aca="false">K342</f>
        <v>0.01</v>
      </c>
      <c r="M342" s="96" t="n">
        <f aca="false">L342</f>
        <v>0.01</v>
      </c>
      <c r="N342" s="96" t="n">
        <f aca="false">M342</f>
        <v>0.01</v>
      </c>
      <c r="O342" s="96" t="n">
        <f aca="false">N342</f>
        <v>0.01</v>
      </c>
      <c r="P342" s="96" t="n">
        <f aca="false">O342</f>
        <v>0.01</v>
      </c>
      <c r="Q342" s="96" t="n">
        <f aca="false">P342</f>
        <v>0.01</v>
      </c>
      <c r="R342" s="96" t="n">
        <f aca="false">Q342</f>
        <v>0.01</v>
      </c>
      <c r="S342" s="96" t="n">
        <f aca="false">R342</f>
        <v>0.01</v>
      </c>
      <c r="T342" s="96" t="n">
        <f aca="false">S342</f>
        <v>0.01</v>
      </c>
      <c r="U342" s="96" t="n">
        <f aca="false">T342</f>
        <v>0.01</v>
      </c>
      <c r="V342" s="96" t="n">
        <f aca="false">U342</f>
        <v>0.01</v>
      </c>
      <c r="W342" s="96" t="n">
        <f aca="false">V342</f>
        <v>0.01</v>
      </c>
      <c r="X342" s="96" t="n">
        <f aca="false">W342</f>
        <v>0.01</v>
      </c>
      <c r="Y342" s="96" t="n">
        <f aca="false">X342</f>
        <v>0.01</v>
      </c>
      <c r="Z342" s="96" t="n">
        <f aca="false">Y342</f>
        <v>0.01</v>
      </c>
      <c r="AA342" s="96" t="n">
        <f aca="false">Z342</f>
        <v>0.01</v>
      </c>
      <c r="AB342" s="96" t="n">
        <f aca="false">AA342</f>
        <v>0.01</v>
      </c>
      <c r="AC342" s="96" t="n">
        <f aca="false">AB342</f>
        <v>0.01</v>
      </c>
      <c r="AD342" s="96" t="n">
        <f aca="false">AC342</f>
        <v>0.01</v>
      </c>
      <c r="AE342" s="96" t="n">
        <f aca="false">AD342</f>
        <v>0.01</v>
      </c>
      <c r="AF342" s="96" t="n">
        <f aca="false">AE342</f>
        <v>0.01</v>
      </c>
      <c r="AG342" s="96" t="n">
        <f aca="false">AF342</f>
        <v>0.01</v>
      </c>
      <c r="AH342" s="96" t="n">
        <f aca="false">AG342</f>
        <v>0.01</v>
      </c>
      <c r="AI342" s="325"/>
      <c r="AJ342" s="325"/>
      <c r="AK342" s="325"/>
      <c r="AL342" s="325"/>
      <c r="AM342" s="325"/>
      <c r="AN342" s="325"/>
      <c r="AO342" s="325"/>
      <c r="AP342" s="325"/>
      <c r="AQ342" s="325"/>
      <c r="AR342" s="325"/>
      <c r="AS342" s="325"/>
      <c r="AT342" s="325"/>
      <c r="AU342" s="325"/>
      <c r="AV342" s="325"/>
      <c r="AW342" s="325"/>
      <c r="AX342" s="325"/>
      <c r="AY342" s="325"/>
      <c r="AZ342" s="325"/>
      <c r="BA342" s="325"/>
      <c r="BB342" s="325"/>
      <c r="BC342" s="325"/>
      <c r="BD342" s="325"/>
      <c r="BE342" s="325"/>
      <c r="BF342" s="325"/>
      <c r="BG342" s="325"/>
      <c r="BH342" s="325"/>
      <c r="BI342" s="325"/>
      <c r="BJ342" s="325"/>
      <c r="BK342" s="325"/>
      <c r="BL342" s="325"/>
      <c r="BM342" s="325"/>
      <c r="BN342" s="325"/>
      <c r="BO342" s="325"/>
      <c r="BP342" s="325"/>
      <c r="BQ342" s="325"/>
      <c r="BR342" s="325"/>
      <c r="BS342" s="325"/>
      <c r="BT342" s="325"/>
      <c r="BU342" s="325"/>
      <c r="BV342" s="325"/>
      <c r="BW342" s="325"/>
      <c r="BX342" s="325"/>
      <c r="BY342" s="325"/>
      <c r="BZ342" s="325"/>
      <c r="CA342" s="325"/>
      <c r="CB342" s="325"/>
      <c r="CC342" s="325"/>
      <c r="CD342" s="325"/>
      <c r="CE342" s="325"/>
      <c r="CF342" s="325"/>
      <c r="CG342" s="325"/>
      <c r="CH342" s="325"/>
      <c r="CI342" s="325"/>
      <c r="CJ342" s="325"/>
      <c r="CK342" s="325"/>
      <c r="CL342" s="325"/>
      <c r="CM342" s="325"/>
      <c r="CN342" s="325"/>
      <c r="CO342" s="325"/>
      <c r="CP342" s="325"/>
      <c r="CQ342" s="325"/>
      <c r="CR342" s="325"/>
      <c r="CS342" s="325"/>
      <c r="CT342" s="325"/>
      <c r="CU342" s="325"/>
      <c r="CV342" s="325"/>
      <c r="CW342" s="325"/>
      <c r="CX342" s="325"/>
      <c r="CY342" s="325"/>
      <c r="CZ342" s="325"/>
      <c r="DA342" s="325"/>
      <c r="DB342" s="325"/>
      <c r="DC342" s="325"/>
      <c r="DD342" s="325"/>
      <c r="DE342" s="325"/>
      <c r="DF342" s="325"/>
      <c r="DG342" s="325"/>
      <c r="DH342" s="325"/>
      <c r="DI342" s="325"/>
      <c r="DJ342" s="325"/>
      <c r="DK342" s="325"/>
      <c r="DL342" s="325"/>
      <c r="DM342" s="325"/>
      <c r="DN342" s="325"/>
      <c r="DO342" s="325"/>
      <c r="DP342" s="325"/>
      <c r="DQ342" s="325"/>
      <c r="DR342" s="325"/>
      <c r="DS342" s="325"/>
      <c r="DT342" s="325"/>
      <c r="DU342" s="325"/>
      <c r="DV342" s="325"/>
      <c r="DW342" s="325"/>
      <c r="DX342" s="325"/>
      <c r="DY342" s="325"/>
      <c r="DZ342" s="325"/>
      <c r="EA342" s="325"/>
      <c r="EB342" s="325"/>
      <c r="EC342" s="325"/>
      <c r="ED342" s="325"/>
      <c r="EE342" s="325"/>
      <c r="EF342" s="325"/>
      <c r="EG342" s="325"/>
      <c r="EH342" s="325"/>
      <c r="EI342" s="325"/>
      <c r="EJ342" s="325"/>
      <c r="EK342" s="325"/>
      <c r="EL342" s="325"/>
      <c r="EM342" s="451"/>
      <c r="EN342" s="451"/>
      <c r="EO342" s="451"/>
      <c r="EP342" s="451"/>
      <c r="EQ342" s="451"/>
      <c r="ER342" s="451"/>
      <c r="ES342" s="451"/>
      <c r="ET342" s="451"/>
      <c r="EU342" s="451"/>
      <c r="EV342" s="451"/>
      <c r="EW342" s="451"/>
      <c r="EX342" s="451"/>
      <c r="EY342" s="451"/>
      <c r="EZ342" s="451"/>
      <c r="FA342" s="451"/>
      <c r="FB342" s="451"/>
      <c r="FC342" s="451"/>
      <c r="FD342" s="451"/>
      <c r="FE342" s="451"/>
      <c r="FF342" s="451"/>
      <c r="FG342" s="451"/>
      <c r="FH342" s="451"/>
      <c r="FI342" s="451"/>
      <c r="FJ342" s="451"/>
      <c r="FK342" s="451"/>
      <c r="FL342" s="451"/>
      <c r="FM342" s="451"/>
      <c r="FN342" s="451"/>
      <c r="FO342" s="451"/>
      <c r="FP342" s="451"/>
      <c r="FQ342" s="451"/>
      <c r="FR342" s="451"/>
      <c r="FS342" s="451"/>
      <c r="FT342" s="451"/>
      <c r="FU342" s="451"/>
      <c r="FV342" s="451"/>
      <c r="FW342" s="451"/>
      <c r="FX342" s="451"/>
      <c r="FY342" s="451"/>
      <c r="FZ342" s="451"/>
      <c r="GA342" s="451"/>
      <c r="GB342" s="451"/>
      <c r="GC342" s="451"/>
      <c r="GD342" s="451"/>
      <c r="GE342" s="451"/>
      <c r="GF342" s="451"/>
      <c r="GG342" s="451"/>
      <c r="GH342" s="451"/>
      <c r="GI342" s="451"/>
      <c r="GJ342" s="451"/>
      <c r="GK342" s="451"/>
      <c r="GL342" s="451"/>
      <c r="GM342" s="451"/>
      <c r="GN342" s="451"/>
      <c r="GO342" s="451"/>
      <c r="GP342" s="451"/>
      <c r="GQ342" s="451"/>
      <c r="GR342" s="451"/>
      <c r="GS342" s="451"/>
      <c r="GT342" s="451"/>
      <c r="GU342" s="451"/>
      <c r="GV342" s="451"/>
      <c r="GW342" s="451"/>
      <c r="GX342" s="451"/>
      <c r="GY342" s="451"/>
      <c r="GZ342" s="451"/>
      <c r="HA342" s="451"/>
      <c r="HB342" s="451"/>
      <c r="HC342" s="451"/>
      <c r="HD342" s="451"/>
      <c r="HE342" s="451"/>
      <c r="HF342" s="451"/>
      <c r="HG342" s="451"/>
      <c r="HH342" s="451"/>
      <c r="HI342" s="451"/>
      <c r="HJ342" s="451"/>
      <c r="HK342" s="451"/>
      <c r="HL342" s="451"/>
      <c r="HM342" s="451"/>
      <c r="HN342" s="451"/>
      <c r="HO342" s="451"/>
      <c r="HP342" s="451"/>
      <c r="HQ342" s="451"/>
      <c r="HR342" s="451"/>
      <c r="HS342" s="451"/>
      <c r="HT342" s="451"/>
      <c r="HU342" s="451"/>
      <c r="HV342" s="451"/>
      <c r="HW342" s="451"/>
      <c r="HX342" s="451"/>
      <c r="HY342" s="451"/>
      <c r="HZ342" s="451"/>
      <c r="IA342" s="451"/>
      <c r="IB342" s="451"/>
      <c r="IC342" s="451"/>
      <c r="ID342" s="451"/>
      <c r="IE342" s="451"/>
      <c r="IF342" s="451"/>
      <c r="IG342" s="451"/>
      <c r="IH342" s="451"/>
      <c r="II342" s="451"/>
      <c r="IJ342" s="451"/>
      <c r="IK342" s="451"/>
      <c r="IL342" s="451"/>
      <c r="IM342" s="451"/>
      <c r="IN342" s="451"/>
      <c r="IO342" s="451"/>
      <c r="IP342" s="451"/>
      <c r="IQ342" s="451"/>
      <c r="IR342" s="451"/>
      <c r="IS342" s="451"/>
      <c r="IT342" s="451"/>
      <c r="IU342" s="451"/>
      <c r="IV342" s="451"/>
      <c r="IW342" s="451"/>
    </row>
    <row r="343" customFormat="false" ht="12.75" hidden="false" customHeight="false" outlineLevel="0" collapsed="false">
      <c r="A343" s="124"/>
      <c r="B343" s="111"/>
      <c r="C343" s="1"/>
      <c r="D343" s="111"/>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4"/>
      <c r="AL343" s="114"/>
      <c r="AM343" s="114"/>
      <c r="AN343" s="114"/>
      <c r="AO343" s="114"/>
      <c r="AP343" s="114"/>
      <c r="AQ343" s="124"/>
      <c r="AR343" s="124"/>
      <c r="AS343" s="124"/>
      <c r="AT343" s="124"/>
      <c r="AU343" s="124"/>
      <c r="AV343" s="124"/>
      <c r="AW343" s="124"/>
      <c r="AX343" s="124"/>
      <c r="AY343" s="124"/>
      <c r="AZ343" s="124"/>
      <c r="BA343" s="124"/>
      <c r="BB343" s="124"/>
      <c r="BC343" s="124"/>
      <c r="BD343" s="124"/>
      <c r="BE343" s="124"/>
      <c r="BF343" s="124"/>
      <c r="BG343" s="124"/>
      <c r="BH343" s="124"/>
      <c r="BI343" s="124"/>
      <c r="BJ343" s="124"/>
      <c r="BK343" s="124"/>
      <c r="BL343" s="124"/>
      <c r="BM343" s="124"/>
      <c r="BN343" s="124"/>
      <c r="BO343" s="124"/>
      <c r="BP343" s="124"/>
      <c r="BQ343" s="124"/>
      <c r="BR343" s="124"/>
      <c r="BS343" s="124"/>
      <c r="BT343" s="124"/>
      <c r="BU343" s="124"/>
      <c r="BV343" s="124"/>
      <c r="BW343" s="124"/>
      <c r="BX343" s="124"/>
      <c r="BY343" s="124"/>
      <c r="BZ343" s="124"/>
      <c r="CA343" s="124"/>
      <c r="CB343" s="124"/>
      <c r="CC343" s="124"/>
      <c r="CD343" s="124"/>
      <c r="CE343" s="124"/>
      <c r="CF343" s="124"/>
      <c r="CG343" s="124"/>
      <c r="CH343" s="124"/>
      <c r="CI343" s="124"/>
      <c r="CJ343" s="124"/>
      <c r="CK343" s="124"/>
      <c r="CL343" s="124"/>
      <c r="CM343" s="124"/>
      <c r="CN343" s="124"/>
      <c r="CO343" s="124"/>
      <c r="CP343" s="124"/>
      <c r="CQ343" s="124"/>
      <c r="CR343" s="124"/>
      <c r="CS343" s="124"/>
      <c r="CT343" s="124"/>
      <c r="CU343" s="124"/>
      <c r="CV343" s="124"/>
      <c r="CW343" s="124"/>
      <c r="CX343" s="124"/>
      <c r="CY343" s="124"/>
      <c r="CZ343" s="124"/>
      <c r="DA343" s="124"/>
      <c r="DB343" s="124"/>
      <c r="DC343" s="124"/>
      <c r="DD343" s="124"/>
      <c r="DE343" s="124"/>
      <c r="DF343" s="124"/>
      <c r="DG343" s="124"/>
      <c r="DH343" s="124"/>
      <c r="DI343" s="124"/>
      <c r="DJ343" s="124"/>
      <c r="DK343" s="124"/>
      <c r="DL343" s="124"/>
      <c r="DM343" s="124"/>
      <c r="DN343" s="124"/>
      <c r="DO343" s="124"/>
      <c r="DP343" s="124"/>
      <c r="DQ343" s="124"/>
      <c r="DR343" s="124"/>
      <c r="DS343" s="124"/>
      <c r="DT343" s="124"/>
      <c r="DU343" s="124"/>
      <c r="DV343" s="124"/>
      <c r="DW343" s="124"/>
      <c r="DX343" s="124"/>
      <c r="DY343" s="124"/>
      <c r="DZ343" s="124"/>
      <c r="EA343" s="124"/>
      <c r="EB343" s="124"/>
      <c r="EC343" s="124"/>
      <c r="ED343" s="124"/>
      <c r="EE343" s="124"/>
      <c r="EF343" s="124"/>
      <c r="EG343" s="124"/>
      <c r="EH343" s="124"/>
      <c r="EI343" s="124"/>
      <c r="EJ343" s="124"/>
      <c r="EK343" s="124"/>
      <c r="EL343" s="124"/>
    </row>
    <row r="344" customFormat="false" ht="12.75" hidden="false" customHeight="false" outlineLevel="0" collapsed="false">
      <c r="A344" s="124"/>
      <c r="B344" s="124" t="s">
        <v>410</v>
      </c>
      <c r="C344" s="23"/>
      <c r="D344" s="295"/>
      <c r="E344" s="96" t="n">
        <f aca="false">D331</f>
        <v>0.01</v>
      </c>
      <c r="F344" s="114" t="s">
        <v>406</v>
      </c>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4"/>
      <c r="AL344" s="114"/>
      <c r="AM344" s="114"/>
      <c r="AN344" s="114"/>
      <c r="AO344" s="114"/>
      <c r="AP344" s="114"/>
      <c r="AQ344" s="124"/>
      <c r="AR344" s="124"/>
      <c r="AS344" s="124"/>
      <c r="AT344" s="124"/>
      <c r="AU344" s="124"/>
      <c r="AV344" s="124"/>
      <c r="AW344" s="124"/>
      <c r="AX344" s="124"/>
      <c r="AY344" s="124"/>
      <c r="AZ344" s="124"/>
      <c r="BA344" s="124"/>
      <c r="BB344" s="124"/>
      <c r="BC344" s="124"/>
      <c r="BD344" s="124"/>
      <c r="BE344" s="124"/>
      <c r="BF344" s="124"/>
      <c r="BG344" s="124"/>
      <c r="BH344" s="124"/>
      <c r="BI344" s="124"/>
      <c r="BJ344" s="124"/>
      <c r="BK344" s="124"/>
      <c r="BL344" s="124"/>
      <c r="BM344" s="124"/>
      <c r="BN344" s="124"/>
      <c r="BO344" s="124"/>
      <c r="BP344" s="124"/>
      <c r="BQ344" s="124"/>
      <c r="BR344" s="124"/>
      <c r="BS344" s="124"/>
      <c r="BT344" s="124"/>
      <c r="BU344" s="124"/>
      <c r="BV344" s="124"/>
      <c r="BW344" s="124"/>
      <c r="BX344" s="124"/>
      <c r="BY344" s="124"/>
      <c r="BZ344" s="124"/>
      <c r="CA344" s="124"/>
      <c r="CB344" s="124"/>
      <c r="CC344" s="124"/>
      <c r="CD344" s="124"/>
      <c r="CE344" s="124"/>
      <c r="CF344" s="124"/>
      <c r="CG344" s="124"/>
      <c r="CH344" s="124"/>
      <c r="CI344" s="124"/>
      <c r="CJ344" s="124"/>
      <c r="CK344" s="124"/>
      <c r="CL344" s="124"/>
      <c r="CM344" s="124"/>
      <c r="CN344" s="124"/>
      <c r="CO344" s="124"/>
      <c r="CP344" s="124"/>
      <c r="CQ344" s="124"/>
      <c r="CR344" s="124"/>
      <c r="CS344" s="124"/>
      <c r="CT344" s="124"/>
      <c r="CU344" s="124"/>
      <c r="CV344" s="124"/>
      <c r="CW344" s="124"/>
      <c r="CX344" s="124"/>
      <c r="CY344" s="124"/>
      <c r="CZ344" s="124"/>
      <c r="DA344" s="124"/>
      <c r="DB344" s="124"/>
      <c r="DC344" s="124"/>
      <c r="DD344" s="124"/>
      <c r="DE344" s="124"/>
      <c r="DF344" s="124"/>
      <c r="DG344" s="124"/>
      <c r="DH344" s="124"/>
      <c r="DI344" s="124"/>
      <c r="DJ344" s="124"/>
      <c r="DK344" s="124"/>
      <c r="DL344" s="124"/>
      <c r="DM344" s="124"/>
      <c r="DN344" s="124"/>
      <c r="DO344" s="124"/>
      <c r="DP344" s="124"/>
      <c r="DQ344" s="124"/>
      <c r="DR344" s="124"/>
      <c r="DS344" s="124"/>
      <c r="DT344" s="124"/>
      <c r="DU344" s="124"/>
      <c r="DV344" s="124"/>
      <c r="DW344" s="124"/>
      <c r="DX344" s="124"/>
      <c r="DY344" s="124"/>
      <c r="DZ344" s="124"/>
      <c r="EA344" s="124"/>
      <c r="EB344" s="124"/>
      <c r="EC344" s="124"/>
      <c r="ED344" s="124"/>
      <c r="EE344" s="124"/>
      <c r="EF344" s="124"/>
      <c r="EG344" s="124"/>
      <c r="EH344" s="124"/>
      <c r="EI344" s="124"/>
      <c r="EJ344" s="124"/>
      <c r="EK344" s="124"/>
      <c r="EL344" s="124"/>
    </row>
    <row r="345" customFormat="false" ht="12.75" hidden="false" customHeight="false" outlineLevel="0" collapsed="false">
      <c r="A345" s="124"/>
      <c r="B345" s="124"/>
      <c r="C345" s="23"/>
      <c r="D345" s="295"/>
      <c r="E345" s="325"/>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4"/>
      <c r="AL345" s="114"/>
      <c r="AM345" s="114"/>
      <c r="AN345" s="114"/>
      <c r="AO345" s="114"/>
      <c r="AP345" s="114"/>
      <c r="AQ345" s="124"/>
      <c r="AR345" s="124"/>
      <c r="AS345" s="124"/>
      <c r="AT345" s="124"/>
      <c r="AU345" s="124"/>
      <c r="AV345" s="124"/>
      <c r="AW345" s="124"/>
      <c r="AX345" s="124"/>
      <c r="AY345" s="124"/>
      <c r="AZ345" s="124"/>
      <c r="BA345" s="124"/>
      <c r="BB345" s="124"/>
      <c r="BC345" s="124"/>
      <c r="BD345" s="124"/>
      <c r="BE345" s="124"/>
      <c r="BF345" s="124"/>
      <c r="BG345" s="124"/>
      <c r="BH345" s="124"/>
      <c r="BI345" s="124"/>
      <c r="BJ345" s="124"/>
      <c r="BK345" s="124"/>
      <c r="BL345" s="124"/>
      <c r="BM345" s="124"/>
      <c r="BN345" s="124"/>
      <c r="BO345" s="124"/>
      <c r="BP345" s="124"/>
      <c r="BQ345" s="124"/>
      <c r="BR345" s="124"/>
      <c r="BS345" s="124"/>
      <c r="BT345" s="124"/>
      <c r="BU345" s="124"/>
      <c r="BV345" s="124"/>
      <c r="BW345" s="124"/>
      <c r="BX345" s="124"/>
      <c r="BY345" s="124"/>
      <c r="BZ345" s="124"/>
      <c r="CA345" s="124"/>
      <c r="CB345" s="124"/>
      <c r="CC345" s="124"/>
      <c r="CD345" s="124"/>
      <c r="CE345" s="124"/>
      <c r="CF345" s="124"/>
      <c r="CG345" s="124"/>
      <c r="CH345" s="124"/>
      <c r="CI345" s="124"/>
      <c r="CJ345" s="124"/>
      <c r="CK345" s="124"/>
      <c r="CL345" s="124"/>
      <c r="CM345" s="124"/>
      <c r="CN345" s="124"/>
      <c r="CO345" s="124"/>
      <c r="CP345" s="124"/>
      <c r="CQ345" s="124"/>
      <c r="CR345" s="124"/>
      <c r="CS345" s="124"/>
      <c r="CT345" s="124"/>
      <c r="CU345" s="124"/>
      <c r="CV345" s="124"/>
      <c r="CW345" s="124"/>
      <c r="CX345" s="124"/>
      <c r="CY345" s="124"/>
      <c r="CZ345" s="124"/>
      <c r="DA345" s="124"/>
      <c r="DB345" s="124"/>
      <c r="DC345" s="124"/>
      <c r="DD345" s="124"/>
      <c r="DE345" s="124"/>
      <c r="DF345" s="124"/>
      <c r="DG345" s="124"/>
      <c r="DH345" s="124"/>
      <c r="DI345" s="124"/>
      <c r="DJ345" s="124"/>
      <c r="DK345" s="124"/>
      <c r="DL345" s="124"/>
      <c r="DM345" s="124"/>
      <c r="DN345" s="124"/>
      <c r="DO345" s="124"/>
      <c r="DP345" s="124"/>
      <c r="DQ345" s="124"/>
      <c r="DR345" s="124"/>
      <c r="DS345" s="124"/>
      <c r="DT345" s="124"/>
      <c r="DU345" s="124"/>
      <c r="DV345" s="124"/>
      <c r="DW345" s="124"/>
      <c r="DX345" s="124"/>
      <c r="DY345" s="124"/>
      <c r="DZ345" s="124"/>
      <c r="EA345" s="124"/>
      <c r="EB345" s="124"/>
      <c r="EC345" s="124"/>
      <c r="ED345" s="124"/>
      <c r="EE345" s="124"/>
      <c r="EF345" s="124"/>
      <c r="EG345" s="124"/>
      <c r="EH345" s="124"/>
      <c r="EI345" s="124"/>
      <c r="EJ345" s="124"/>
      <c r="EK345" s="124"/>
      <c r="EL345" s="124"/>
    </row>
    <row r="346" customFormat="false" ht="12.75" hidden="false" customHeight="false" outlineLevel="0" collapsed="false">
      <c r="A346" s="453"/>
      <c r="B346" s="453"/>
      <c r="C346" s="453"/>
      <c r="D346" s="454"/>
      <c r="E346" s="455"/>
      <c r="F346" s="456"/>
      <c r="G346" s="456"/>
      <c r="H346" s="456"/>
      <c r="I346" s="456"/>
      <c r="J346" s="456"/>
      <c r="K346" s="456"/>
      <c r="L346" s="456"/>
      <c r="M346" s="456"/>
      <c r="N346" s="456"/>
      <c r="O346" s="456"/>
      <c r="P346" s="456"/>
      <c r="Q346" s="456"/>
      <c r="R346" s="456"/>
      <c r="S346" s="456"/>
      <c r="T346" s="456"/>
      <c r="U346" s="456"/>
      <c r="V346" s="456"/>
      <c r="W346" s="456"/>
      <c r="X346" s="456"/>
      <c r="Y346" s="456"/>
      <c r="Z346" s="456"/>
      <c r="AA346" s="456"/>
      <c r="AB346" s="456"/>
      <c r="AC346" s="456"/>
      <c r="AD346" s="456"/>
      <c r="AE346" s="456"/>
      <c r="AF346" s="456"/>
      <c r="AG346" s="456"/>
      <c r="AH346" s="456"/>
      <c r="AI346" s="456"/>
      <c r="AJ346" s="456"/>
      <c r="AK346" s="456"/>
      <c r="AL346" s="456"/>
      <c r="AM346" s="456"/>
      <c r="AN346" s="456"/>
      <c r="AO346" s="456"/>
      <c r="AP346" s="456"/>
      <c r="AQ346" s="456"/>
      <c r="AR346" s="456"/>
      <c r="AS346" s="456"/>
      <c r="AT346" s="456"/>
      <c r="AU346" s="456"/>
      <c r="AV346" s="456"/>
      <c r="AW346" s="456"/>
      <c r="AX346" s="456"/>
      <c r="AY346" s="456"/>
      <c r="AZ346" s="456"/>
      <c r="BA346" s="456"/>
      <c r="BB346" s="456"/>
      <c r="BC346" s="456"/>
      <c r="BD346" s="456"/>
      <c r="BE346" s="456"/>
      <c r="BF346" s="456"/>
      <c r="BG346" s="456"/>
      <c r="BH346" s="456"/>
      <c r="BI346" s="456"/>
      <c r="BJ346" s="456"/>
      <c r="BK346" s="456"/>
      <c r="BL346" s="456"/>
      <c r="BM346" s="456"/>
      <c r="BN346" s="456"/>
      <c r="BO346" s="456"/>
      <c r="BP346" s="456"/>
      <c r="BQ346" s="456"/>
      <c r="BR346" s="456"/>
      <c r="BS346" s="456"/>
      <c r="BT346" s="456"/>
      <c r="BU346" s="456"/>
      <c r="BV346" s="456"/>
      <c r="BW346" s="456"/>
      <c r="BX346" s="456"/>
      <c r="BY346" s="456"/>
      <c r="BZ346" s="456"/>
      <c r="CA346" s="456"/>
      <c r="CB346" s="456"/>
      <c r="CC346" s="456"/>
      <c r="CD346" s="456"/>
      <c r="CE346" s="456"/>
      <c r="CF346" s="456"/>
      <c r="CG346" s="456"/>
      <c r="CH346" s="456"/>
      <c r="CI346" s="456"/>
      <c r="CJ346" s="456"/>
      <c r="CK346" s="456"/>
      <c r="CL346" s="456"/>
      <c r="CM346" s="456"/>
      <c r="CN346" s="456"/>
      <c r="CO346" s="456"/>
      <c r="CP346" s="456"/>
      <c r="CQ346" s="456"/>
      <c r="CR346" s="456"/>
      <c r="CS346" s="456"/>
      <c r="CT346" s="456"/>
      <c r="CU346" s="456"/>
      <c r="CV346" s="456"/>
      <c r="CW346" s="456"/>
      <c r="CX346" s="456"/>
      <c r="CY346" s="456"/>
      <c r="CZ346" s="456"/>
      <c r="DA346" s="456"/>
      <c r="DB346" s="456"/>
      <c r="DC346" s="456"/>
      <c r="DD346" s="456"/>
      <c r="DE346" s="456"/>
      <c r="DF346" s="456"/>
      <c r="DG346" s="456"/>
      <c r="DH346" s="456"/>
      <c r="DI346" s="456"/>
      <c r="DJ346" s="456"/>
      <c r="DK346" s="456"/>
      <c r="DL346" s="456"/>
      <c r="DM346" s="456"/>
      <c r="DN346" s="456"/>
      <c r="DO346" s="456"/>
      <c r="DP346" s="456"/>
      <c r="DQ346" s="456"/>
      <c r="DR346" s="456"/>
      <c r="DS346" s="456"/>
      <c r="DT346" s="456"/>
      <c r="DU346" s="456"/>
      <c r="DV346" s="456"/>
      <c r="DW346" s="456"/>
      <c r="DX346" s="456"/>
      <c r="DY346" s="456"/>
      <c r="DZ346" s="456"/>
      <c r="EA346" s="456"/>
      <c r="EB346" s="456"/>
      <c r="EC346" s="456"/>
      <c r="ED346" s="456"/>
      <c r="EE346" s="456"/>
      <c r="EF346" s="456"/>
      <c r="EG346" s="456"/>
      <c r="EH346" s="456"/>
      <c r="EI346" s="456"/>
      <c r="EJ346" s="456"/>
      <c r="EK346" s="456"/>
      <c r="EL346" s="456"/>
      <c r="EM346" s="457"/>
      <c r="EN346" s="457"/>
      <c r="EO346" s="457"/>
      <c r="EP346" s="457"/>
      <c r="EQ346" s="457"/>
      <c r="ER346" s="457"/>
      <c r="ES346" s="457"/>
      <c r="ET346" s="457"/>
      <c r="EU346" s="457"/>
      <c r="EV346" s="457"/>
      <c r="EW346" s="457"/>
      <c r="EX346" s="457"/>
      <c r="EY346" s="457"/>
      <c r="EZ346" s="457"/>
      <c r="FA346" s="457"/>
      <c r="FB346" s="457"/>
      <c r="FC346" s="457"/>
      <c r="FD346" s="457"/>
      <c r="FE346" s="457"/>
      <c r="FF346" s="457"/>
      <c r="FG346" s="457"/>
      <c r="FH346" s="457"/>
      <c r="FI346" s="457"/>
      <c r="FJ346" s="457"/>
      <c r="FK346" s="457"/>
      <c r="FL346" s="457"/>
      <c r="FM346" s="457"/>
      <c r="FN346" s="457"/>
      <c r="FO346" s="457"/>
      <c r="FP346" s="457"/>
      <c r="FQ346" s="457"/>
      <c r="FR346" s="457"/>
      <c r="FS346" s="457"/>
      <c r="FT346" s="457"/>
      <c r="FU346" s="457"/>
      <c r="FV346" s="457"/>
      <c r="FW346" s="457"/>
      <c r="FX346" s="457"/>
      <c r="FY346" s="457"/>
      <c r="FZ346" s="457"/>
      <c r="GA346" s="457"/>
      <c r="GB346" s="457"/>
      <c r="GC346" s="457"/>
      <c r="GD346" s="457"/>
      <c r="GE346" s="457"/>
      <c r="GF346" s="457"/>
      <c r="GG346" s="457"/>
      <c r="GH346" s="457"/>
      <c r="GI346" s="457"/>
      <c r="GJ346" s="457"/>
      <c r="GK346" s="457"/>
      <c r="GL346" s="457"/>
      <c r="GM346" s="457"/>
      <c r="GN346" s="457"/>
      <c r="GO346" s="457"/>
      <c r="GP346" s="457"/>
      <c r="GQ346" s="457"/>
      <c r="GR346" s="457"/>
      <c r="GS346" s="457"/>
      <c r="GT346" s="457"/>
      <c r="GU346" s="457"/>
      <c r="GV346" s="457"/>
      <c r="GW346" s="457"/>
      <c r="GX346" s="457"/>
      <c r="GY346" s="457"/>
      <c r="GZ346" s="457"/>
      <c r="HA346" s="457"/>
      <c r="HB346" s="457"/>
      <c r="HC346" s="457"/>
      <c r="HD346" s="457"/>
      <c r="HE346" s="457"/>
      <c r="HF346" s="457"/>
      <c r="HG346" s="457"/>
      <c r="HH346" s="457"/>
      <c r="HI346" s="457"/>
      <c r="HJ346" s="457"/>
      <c r="HK346" s="457"/>
      <c r="HL346" s="457"/>
      <c r="HM346" s="457"/>
      <c r="HN346" s="457"/>
      <c r="HO346" s="457"/>
      <c r="HP346" s="457"/>
      <c r="HQ346" s="457"/>
      <c r="HR346" s="457"/>
      <c r="HS346" s="457"/>
      <c r="HT346" s="457"/>
      <c r="HU346" s="457"/>
      <c r="HV346" s="457"/>
      <c r="HW346" s="457"/>
      <c r="HX346" s="457"/>
      <c r="HY346" s="457"/>
      <c r="HZ346" s="457"/>
      <c r="IA346" s="457"/>
      <c r="IB346" s="457"/>
      <c r="IC346" s="457"/>
      <c r="ID346" s="457"/>
      <c r="IE346" s="457"/>
      <c r="IF346" s="457"/>
      <c r="IG346" s="457"/>
      <c r="IH346" s="457"/>
      <c r="II346" s="457"/>
      <c r="IJ346" s="457"/>
      <c r="IK346" s="457"/>
      <c r="IL346" s="457"/>
      <c r="IM346" s="457"/>
      <c r="IN346" s="457"/>
      <c r="IO346" s="457"/>
      <c r="IP346" s="457"/>
      <c r="IQ346" s="457"/>
      <c r="IR346" s="457"/>
      <c r="IS346" s="457"/>
      <c r="IT346" s="457"/>
      <c r="IU346" s="457"/>
      <c r="IV346" s="457"/>
      <c r="IW346" s="457"/>
    </row>
    <row r="348" customFormat="false" ht="13.5" hidden="false" customHeight="false" outlineLevel="0" collapsed="false">
      <c r="B348" s="15" t="s">
        <v>105</v>
      </c>
      <c r="C348" s="88"/>
    </row>
    <row r="349" customFormat="false" ht="12.75" hidden="false" customHeight="false" outlineLevel="0" collapsed="false">
      <c r="B349" s="149" t="n">
        <v>0</v>
      </c>
      <c r="C349" s="371"/>
    </row>
    <row r="350" customFormat="false" ht="12.75" hidden="false" customHeight="false" outlineLevel="0" collapsed="false">
      <c r="B350" s="150" t="n">
        <v>1</v>
      </c>
      <c r="C350" s="371"/>
    </row>
    <row r="351" customFormat="false" ht="12.75" hidden="false" customHeight="false" outlineLevel="0" collapsed="false">
      <c r="B351" s="150" t="n">
        <v>2</v>
      </c>
      <c r="C351" s="371"/>
    </row>
    <row r="352" customFormat="false" ht="12.75" hidden="false" customHeight="false" outlineLevel="0" collapsed="false">
      <c r="B352" s="150" t="n">
        <v>3</v>
      </c>
    </row>
    <row r="353" customFormat="false" ht="12.75" hidden="false" customHeight="false" outlineLevel="0" collapsed="false">
      <c r="B353" s="150" t="n">
        <v>4</v>
      </c>
    </row>
    <row r="354" customFormat="false" ht="12.75" hidden="false" customHeight="false" outlineLevel="0" collapsed="false">
      <c r="B354" s="150" t="n">
        <v>5</v>
      </c>
    </row>
    <row r="355" customFormat="false" ht="12.75" hidden="false" customHeight="false" outlineLevel="0" collapsed="false">
      <c r="B355" s="150" t="n">
        <v>6</v>
      </c>
    </row>
    <row r="356" customFormat="false" ht="12.75" hidden="false" customHeight="false" outlineLevel="0" collapsed="false">
      <c r="B356" s="150" t="n">
        <v>7</v>
      </c>
    </row>
    <row r="357" customFormat="false" ht="12.75" hidden="false" customHeight="false" outlineLevel="0" collapsed="false">
      <c r="B357" s="150" t="n">
        <v>8</v>
      </c>
    </row>
    <row r="358" customFormat="false" ht="12.75" hidden="false" customHeight="false" outlineLevel="0" collapsed="false">
      <c r="B358" s="150" t="n">
        <v>9</v>
      </c>
    </row>
    <row r="359" customFormat="false" ht="13.5" hidden="false" customHeight="false" outlineLevel="0" collapsed="false">
      <c r="B359" s="151" t="n">
        <v>10</v>
      </c>
    </row>
  </sheetData>
  <dataValidations count="7">
    <dataValidation allowBlank="false" error="The data entered must be either 1 or 2" errorStyle="stop" operator="between" showDropDown="false" showErrorMessage="true" showInputMessage="false" sqref="E244 E263 E290" type="list">
      <formula1>$B$350:$B$351</formula1>
      <formula2>0</formula2>
    </dataValidation>
    <dataValidation allowBlank="false" error="The data entered must be 0 or 1" errorStyle="stop" operator="between" showDropDown="false" showErrorMessage="true" showInputMessage="false" sqref="D175" type="list">
      <formula1>$B$349:$B$350</formula1>
      <formula2>0</formula2>
    </dataValidation>
    <dataValidation allowBlank="true" error="The data entered must be 0 or 1" errorStyle="stop" operator="between" showDropDown="false" showErrorMessage="true" showInputMessage="false" sqref="E327" type="list">
      <formula1>$B$349:$B$350</formula1>
      <formula2>0</formula2>
    </dataValidation>
    <dataValidation allowBlank="true" errorStyle="stop" operator="between" showDropDown="false" showErrorMessage="true" showInputMessage="false" sqref="E281 E288" type="list">
      <formula1>$B$349:$B$350</formula1>
      <formula2>0</formula2>
    </dataValidation>
    <dataValidation allowBlank="false" error="If only one Tranche is needed, please use Tranche A." errorStyle="stop" errorTitle="TRANCHE WEIGHT FACTORS" operator="notEqual" showDropDown="false" showErrorMessage="true" showInputMessage="false" sqref="E254" type="decimal">
      <formula1>0</formula1>
      <formula2>0</formula2>
    </dataValidation>
    <dataValidation allowBlank="true" error="Tranche B Term should be greater than or equal to Tranch A Term so that proper debt service cash flow can be assigned." errorStyle="stop" errorTitle="Tranche B Term" operator="greaterThanOrEqual" showDropDown="false" showErrorMessage="true" showInputMessage="false" sqref="E257" type="decimal">
      <formula1>E238</formula1>
      <formula2>0</formula2>
    </dataValidation>
    <dataValidation allowBlank="true" error="Tranche A Term should be less than or equal to Tranche B Term so that proper debt service cashflow can be assigned. -- If Tranche B is not used set B Term to 40 years" errorStyle="stop" errorTitle="Tranche A Term" operator="lessThanOrEqual" showDropDown="false" showErrorMessage="true" showInputMessage="false" sqref="E238" type="decimal">
      <formula1>$E$257</formula1>
      <formula2>0</formula2>
    </dataValidation>
  </dataValidations>
  <printOptions headings="true" gridLines="false" gridLinesSet="true" horizontalCentered="false" verticalCentered="false"/>
  <pageMargins left="0.3" right="0.279861111111111" top="0.270138888888889" bottom="0.309722222222222" header="0.511811023622047" footer="0.309722222222222"/>
  <pageSetup paperSize="1" scale="100" fitToWidth="1" fitToHeight="1" pageOrder="downThenOver" orientation="landscape" blackAndWhite="false" draft="false" cellComments="none" horizontalDpi="300" verticalDpi="300" copies="1"/>
  <headerFooter differentFirst="false" differentOddEven="false">
    <oddHeader/>
    <oddFooter>&amp;R&amp;F</oddFooter>
  </headerFooter>
  <rowBreaks count="2" manualBreakCount="2">
    <brk id="85" man="true" max="16383" min="0"/>
    <brk id="225" man="true" max="16383" min="0"/>
  </rowBreaks>
  <colBreaks count="1" manualBreakCount="1">
    <brk id="19" man="true" max="65535" min="0"/>
  </colBreaks>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0">
              <controlPr defaultSize="0" print="false" autoFill="0" autoPict="0" macro="Module1.Print_Assumptions">
                <anchor moveWithCells="true" sizeWithCells="false">
                  <from>
                    <xdr:col>5</xdr:col>
                    <xdr:colOff>10080</xdr:colOff>
                    <xdr:row>12</xdr:row>
                    <xdr:rowOff>162000</xdr:rowOff>
                  </from>
                  <to>
                    <xdr:col>6</xdr:col>
                    <xdr:colOff>-280440</xdr:colOff>
                    <xdr:row>15</xdr:row>
                    <xdr:rowOff>123840</xdr:rowOff>
                  </to>
                </anchor>
              </controlPr>
            </control>
          </mc:Choice>
        </mc:AlternateContent>
        <mc:AlternateContent xmlns:mc="http://schemas.openxmlformats.org/markup-compatibility/2006">
          <mc:Choice Requires="x14">
            <control shapeId="1002" r:id="rId5" name="Button 1109">
              <controlPr defaultSize="0" print="false" autoFill="0" autoPict="0" macro="Module4.Print_Standard">
                <anchor moveWithCells="true" sizeWithCells="false">
                  <from>
                    <xdr:col>5</xdr:col>
                    <xdr:colOff>0</xdr:colOff>
                    <xdr:row>5</xdr:row>
                    <xdr:rowOff>0</xdr:rowOff>
                  </from>
                  <to>
                    <xdr:col>6</xdr:col>
                    <xdr:colOff>-290520</xdr:colOff>
                    <xdr:row>7</xdr:row>
                    <xdr:rowOff>123840</xdr:rowOff>
                  </to>
                </anchor>
              </controlPr>
            </control>
          </mc:Choice>
        </mc:AlternateContent>
        <mc:AlternateContent xmlns:mc="http://schemas.openxmlformats.org/markup-compatibility/2006">
          <mc:Choice Requires="x14">
            <control shapeId="1003" r:id="rId6" name="Button 1110">
              <controlPr defaultSize="0" print="false" autoFill="0" autoPict="0" macro="Module1.Print_All">
                <anchor moveWithCells="true" sizeWithCells="false">
                  <from>
                    <xdr:col>5</xdr:col>
                    <xdr:colOff>0</xdr:colOff>
                    <xdr:row>9</xdr:row>
                    <xdr:rowOff>9360</xdr:rowOff>
                  </from>
                  <to>
                    <xdr:col>6</xdr:col>
                    <xdr:colOff>-290520</xdr:colOff>
                    <xdr:row>11</xdr:row>
                    <xdr:rowOff>162000</xdr:rowOff>
                  </to>
                </anchor>
              </controlPr>
            </control>
          </mc:Choice>
        </mc:AlternateContent>
        <mc:AlternateContent xmlns:mc="http://schemas.openxmlformats.org/markup-compatibility/2006">
          <mc:Choice Requires="x14">
            <control shapeId="1004" r:id="rId7" name="Button 1131">
              <controlPr defaultSize="0" print="false" autoFill="0" autoPict="0" macro="Module1.secure">
                <anchor moveWithCells="true" sizeWithCells="false">
                  <from>
                    <xdr:col>7</xdr:col>
                    <xdr:colOff>0</xdr:colOff>
                    <xdr:row>5</xdr:row>
                    <xdr:rowOff>28440</xdr:rowOff>
                  </from>
                  <to>
                    <xdr:col>8</xdr:col>
                    <xdr:colOff>121680</xdr:colOff>
                    <xdr:row>7</xdr:row>
                    <xdr:rowOff>161640</xdr:rowOff>
                  </to>
                </anchor>
              </controlPr>
            </control>
          </mc:Choice>
        </mc:AlternateContent>
        <mc:AlternateContent xmlns:mc="http://schemas.openxmlformats.org/markup-compatibility/2006">
          <mc:Choice Requires="x14">
            <control shapeId="1005" r:id="rId8" name="Button 1132">
              <controlPr defaultSize="0" print="false" autoFill="0" autoPict="0" macro="Module1.unsecure">
                <anchor moveWithCells="true" sizeWithCells="false">
                  <from>
                    <xdr:col>6</xdr:col>
                    <xdr:colOff>2053800</xdr:colOff>
                    <xdr:row>9</xdr:row>
                    <xdr:rowOff>28440</xdr:rowOff>
                  </from>
                  <to>
                    <xdr:col>8</xdr:col>
                    <xdr:colOff>101880</xdr:colOff>
                    <xdr:row>11</xdr:row>
                    <xdr:rowOff>162000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0"/>
  <sheetViews>
    <sheetView showFormulas="false" showGridLines="true" showRowColHeaders="true" showZeros="true" rightToLeft="false" tabSelected="false" showOutlineSymbols="true" defaultGridColor="true" view="normal" topLeftCell="A23" colorId="64" zoomScale="75" zoomScaleNormal="75" zoomScalePageLayoutView="100" workbookViewId="0">
      <selection pane="topLeft" activeCell="B3" activeCellId="0" sqref="B3"/>
    </sheetView>
  </sheetViews>
  <sheetFormatPr defaultColWidth="8.70703125" defaultRowHeight="12.75" customHeight="true" zeroHeight="false" outlineLevelRow="0" outlineLevelCol="0"/>
  <cols>
    <col collapsed="false" customWidth="true" hidden="false" outlineLevel="0" max="1" min="1" style="30" width="5.28"/>
    <col collapsed="false" customWidth="true" hidden="false" outlineLevel="0" max="2" min="2" style="30" width="39.41"/>
    <col collapsed="false" customWidth="true" hidden="false" outlineLevel="0" max="3" min="3" style="30" width="15.99"/>
    <col collapsed="false" customWidth="true" hidden="false" outlineLevel="0" max="4" min="4" style="30" width="14.28"/>
    <col collapsed="false" customWidth="true" hidden="false" outlineLevel="0" max="5" min="5" style="30" width="11.7"/>
    <col collapsed="false" customWidth="true" hidden="false" outlineLevel="0" max="7" min="6" style="30" width="12.7"/>
    <col collapsed="false" customWidth="true" hidden="false" outlineLevel="0" max="9" min="8" style="30" width="13.7"/>
    <col collapsed="false" customWidth="true" hidden="false" outlineLevel="0" max="10" min="10" style="30" width="15.99"/>
    <col collapsed="false" customWidth="true" hidden="false" outlineLevel="0" max="11" min="11" style="30" width="14.85"/>
    <col collapsed="false" customWidth="true" hidden="false" outlineLevel="0" max="12" min="12" style="30" width="14.41"/>
    <col collapsed="false" customWidth="true" hidden="false" outlineLevel="0" max="13" min="13" style="30" width="16.84"/>
    <col collapsed="false" customWidth="true" hidden="false" outlineLevel="0" max="14" min="14" style="30" width="17.28"/>
    <col collapsed="false" customWidth="true" hidden="false" outlineLevel="0" max="15" min="15" style="30" width="16.13"/>
    <col collapsed="false" customWidth="true" hidden="false" outlineLevel="0" max="16" min="16" style="30" width="18.28"/>
    <col collapsed="false" customWidth="true" hidden="false" outlineLevel="0" max="17" min="17" style="30" width="22.42"/>
    <col collapsed="false" customWidth="true" hidden="false" outlineLevel="0" max="18" min="18" style="30" width="18.99"/>
    <col collapsed="false" customWidth="true" hidden="false" outlineLevel="0" max="19" min="19" style="30" width="13.99"/>
    <col collapsed="false" customWidth="true" hidden="false" outlineLevel="0" max="20" min="20" style="30" width="13.41"/>
    <col collapsed="false" customWidth="true" hidden="false" outlineLevel="0" max="21" min="21" style="30" width="11.7"/>
    <col collapsed="false" customWidth="true" hidden="false" outlineLevel="0" max="22" min="22" style="30" width="14.14"/>
    <col collapsed="false" customWidth="true" hidden="false" outlineLevel="0" max="23" min="23" style="30" width="11.7"/>
    <col collapsed="false" customWidth="false" hidden="false" outlineLevel="0" max="257" min="24" style="30" width="8.7"/>
  </cols>
  <sheetData>
    <row r="1" customFormat="false" ht="18" hidden="false" customHeight="false" outlineLevel="0" collapsed="false">
      <c r="B1" s="2" t="str">
        <f aca="false">Assum!$F$19&amp;" "&amp;FIXED(Assum!$F$31,2,TRUE())&amp;"  MW Project"</f>
        <v>SMUD - Solano 34.50  MW Project</v>
      </c>
      <c r="C1" s="458"/>
      <c r="E1" s="459"/>
      <c r="H1" s="460"/>
      <c r="I1" s="460"/>
      <c r="K1" s="461"/>
      <c r="L1" s="461"/>
      <c r="M1" s="461"/>
      <c r="N1" s="461"/>
      <c r="O1" s="461"/>
      <c r="P1" s="461"/>
      <c r="Q1" s="461"/>
      <c r="R1" s="461"/>
      <c r="S1" s="461"/>
      <c r="T1" s="461"/>
      <c r="U1" s="461"/>
      <c r="V1" s="461"/>
      <c r="W1" s="461"/>
      <c r="Z1" s="461"/>
      <c r="AA1" s="461"/>
      <c r="AB1" s="461"/>
      <c r="AC1" s="461"/>
      <c r="AD1" s="461"/>
      <c r="AE1" s="461"/>
      <c r="AF1" s="461"/>
      <c r="AG1" s="461"/>
      <c r="AH1" s="461"/>
      <c r="AI1" s="461"/>
      <c r="AJ1" s="461"/>
      <c r="AK1" s="461"/>
      <c r="AL1" s="461"/>
      <c r="AM1" s="461"/>
      <c r="AN1" s="461"/>
      <c r="AO1" s="461"/>
      <c r="AP1" s="461"/>
      <c r="AQ1" s="461"/>
      <c r="AR1" s="461"/>
      <c r="AS1" s="461"/>
      <c r="AT1" s="461"/>
    </row>
    <row r="2" customFormat="false" ht="15.75" hidden="false" customHeight="false" outlineLevel="0" collapsed="false">
      <c r="B2" s="2" t="s">
        <v>411</v>
      </c>
      <c r="C2" s="462"/>
      <c r="D2" s="463"/>
      <c r="E2" s="460"/>
      <c r="O2" s="461"/>
      <c r="P2" s="461"/>
      <c r="Q2" s="461"/>
      <c r="R2" s="461"/>
      <c r="S2" s="461"/>
      <c r="T2" s="461"/>
      <c r="U2" s="461"/>
      <c r="V2" s="461"/>
      <c r="W2" s="461"/>
      <c r="Z2" s="461"/>
      <c r="AA2" s="461"/>
      <c r="AB2" s="461"/>
      <c r="AC2" s="461"/>
      <c r="AD2" s="461"/>
      <c r="AE2" s="461"/>
      <c r="AF2" s="461"/>
      <c r="AG2" s="461"/>
      <c r="AH2" s="461"/>
      <c r="AI2" s="461"/>
      <c r="AJ2" s="461"/>
      <c r="AK2" s="461"/>
      <c r="AL2" s="461"/>
      <c r="AM2" s="461"/>
      <c r="AN2" s="461"/>
      <c r="AO2" s="461"/>
      <c r="AP2" s="461"/>
      <c r="AQ2" s="461"/>
      <c r="AR2" s="461"/>
      <c r="AS2" s="461"/>
      <c r="AT2" s="461"/>
    </row>
    <row r="3" customFormat="false" ht="12.75" hidden="false" customHeight="false" outlineLevel="0" collapsed="false">
      <c r="O3" s="461"/>
      <c r="P3" s="461"/>
      <c r="Q3" s="461"/>
      <c r="R3" s="461"/>
      <c r="S3" s="461"/>
      <c r="T3" s="461"/>
      <c r="U3" s="461"/>
      <c r="V3" s="461"/>
      <c r="W3" s="461"/>
      <c r="Z3" s="461"/>
      <c r="AA3" s="461"/>
      <c r="AB3" s="461"/>
      <c r="AC3" s="461"/>
      <c r="AD3" s="461"/>
      <c r="AE3" s="461"/>
      <c r="AF3" s="461"/>
      <c r="AG3" s="461"/>
      <c r="AH3" s="461"/>
      <c r="AI3" s="461"/>
      <c r="AJ3" s="461"/>
      <c r="AK3" s="461"/>
      <c r="AL3" s="461"/>
      <c r="AM3" s="461"/>
      <c r="AN3" s="461"/>
      <c r="AO3" s="461"/>
      <c r="AP3" s="461"/>
      <c r="AQ3" s="461"/>
      <c r="AR3" s="461"/>
      <c r="AS3" s="461"/>
      <c r="AT3" s="461"/>
    </row>
    <row r="4" customFormat="false" ht="12.75" hidden="false" customHeight="false" outlineLevel="0" collapsed="false">
      <c r="O4" s="461"/>
      <c r="P4" s="461"/>
      <c r="Q4" s="461"/>
      <c r="R4" s="461"/>
      <c r="S4" s="461"/>
      <c r="T4" s="461"/>
      <c r="U4" s="461"/>
      <c r="V4" s="461"/>
      <c r="W4" s="461"/>
      <c r="Z4" s="461"/>
      <c r="AA4" s="461"/>
      <c r="AB4" s="461"/>
      <c r="AC4" s="461"/>
      <c r="AD4" s="461"/>
      <c r="AE4" s="461"/>
      <c r="AF4" s="461"/>
      <c r="AG4" s="461"/>
      <c r="AH4" s="461"/>
      <c r="AI4" s="461"/>
      <c r="AJ4" s="461"/>
      <c r="AK4" s="461"/>
      <c r="AL4" s="461"/>
      <c r="AM4" s="461"/>
      <c r="AN4" s="461"/>
      <c r="AO4" s="461"/>
      <c r="AP4" s="461"/>
      <c r="AQ4" s="461"/>
      <c r="AR4" s="461"/>
      <c r="AS4" s="461"/>
      <c r="AT4" s="461"/>
    </row>
    <row r="5" customFormat="false" ht="12.75" hidden="false" customHeight="false" outlineLevel="0" collapsed="false">
      <c r="B5" s="461"/>
      <c r="C5" s="461"/>
      <c r="D5" s="463"/>
      <c r="E5" s="461"/>
      <c r="F5" s="464" t="n">
        <f aca="false">Internal!F16</f>
        <v>0</v>
      </c>
      <c r="G5" s="464" t="str">
        <f aca="false">Internal!G16</f>
        <v>TZ 1.5</v>
      </c>
      <c r="H5" s="464" t="n">
        <f aca="false">Internal!H16</f>
        <v>0</v>
      </c>
      <c r="O5" s="461"/>
      <c r="P5" s="461"/>
      <c r="Q5" s="461"/>
      <c r="R5" s="461"/>
      <c r="S5" s="461"/>
      <c r="T5" s="461"/>
      <c r="U5" s="461"/>
      <c r="V5" s="461"/>
      <c r="W5" s="461"/>
      <c r="Z5" s="461"/>
      <c r="AA5" s="461"/>
      <c r="AB5" s="461"/>
      <c r="AC5" s="461"/>
      <c r="AD5" s="461"/>
      <c r="AE5" s="461"/>
      <c r="AF5" s="461"/>
      <c r="AG5" s="461"/>
      <c r="AH5" s="461"/>
      <c r="AI5" s="461"/>
      <c r="AJ5" s="461"/>
      <c r="AK5" s="461"/>
      <c r="AL5" s="461"/>
      <c r="AM5" s="461"/>
      <c r="AN5" s="461"/>
      <c r="AO5" s="461"/>
      <c r="AP5" s="461"/>
      <c r="AQ5" s="461"/>
      <c r="AR5" s="461"/>
      <c r="AS5" s="461"/>
      <c r="AT5" s="461"/>
    </row>
    <row r="6" customFormat="false" ht="12.75" hidden="false" customHeight="false" outlineLevel="0" collapsed="false">
      <c r="B6" s="465" t="s">
        <v>412</v>
      </c>
      <c r="C6" s="317"/>
      <c r="D6" s="466" t="n">
        <f aca="false">Assum!F30</f>
        <v>23</v>
      </c>
      <c r="E6" s="467" t="s">
        <v>413</v>
      </c>
      <c r="F6" s="464" t="n">
        <f aca="false">Internal!F18</f>
        <v>0</v>
      </c>
      <c r="G6" s="464" t="n">
        <f aca="false">Internal!G18</f>
        <v>23</v>
      </c>
      <c r="H6" s="464" t="n">
        <f aca="false">Internal!H18</f>
        <v>0</v>
      </c>
      <c r="K6" s="468"/>
      <c r="L6" s="469"/>
      <c r="M6" s="470"/>
      <c r="N6" s="471"/>
      <c r="O6" s="461"/>
      <c r="P6" s="461"/>
      <c r="Q6" s="461"/>
      <c r="R6" s="461"/>
      <c r="S6" s="461"/>
      <c r="T6" s="461"/>
      <c r="U6" s="461"/>
      <c r="V6" s="461"/>
      <c r="W6" s="461"/>
      <c r="Z6" s="461"/>
      <c r="AA6" s="461"/>
      <c r="AB6" s="461"/>
      <c r="AC6" s="461"/>
      <c r="AD6" s="461"/>
      <c r="AE6" s="461"/>
      <c r="AF6" s="461"/>
      <c r="AG6" s="461"/>
      <c r="AH6" s="461"/>
      <c r="AI6" s="461"/>
      <c r="AJ6" s="461"/>
      <c r="AK6" s="461"/>
      <c r="AL6" s="461"/>
      <c r="AM6" s="461"/>
      <c r="AN6" s="461"/>
      <c r="AO6" s="461"/>
      <c r="AP6" s="461"/>
      <c r="AQ6" s="461"/>
      <c r="AR6" s="461"/>
      <c r="AS6" s="461"/>
      <c r="AT6" s="461"/>
    </row>
    <row r="7" customFormat="false" ht="12.75" hidden="false" customHeight="false" outlineLevel="0" collapsed="false">
      <c r="B7" s="472" t="s">
        <v>414</v>
      </c>
      <c r="C7" s="473"/>
      <c r="D7" s="474" t="n">
        <f aca="false">Assum!I102</f>
        <v>0.421163143916795</v>
      </c>
      <c r="E7" s="475"/>
      <c r="F7" s="466"/>
      <c r="G7" s="476"/>
      <c r="H7" s="466"/>
      <c r="K7" s="461"/>
      <c r="L7" s="461"/>
      <c r="M7" s="461"/>
      <c r="N7" s="461"/>
      <c r="O7" s="461"/>
      <c r="P7" s="461"/>
      <c r="Q7" s="461"/>
      <c r="R7" s="461"/>
      <c r="S7" s="461"/>
      <c r="T7" s="461"/>
      <c r="U7" s="461"/>
      <c r="V7" s="461"/>
      <c r="W7" s="461"/>
      <c r="Z7" s="461"/>
      <c r="AA7" s="461"/>
      <c r="AB7" s="461"/>
      <c r="AC7" s="461"/>
      <c r="AD7" s="461"/>
      <c r="AE7" s="461"/>
      <c r="AF7" s="461"/>
      <c r="AG7" s="461"/>
      <c r="AH7" s="461"/>
      <c r="AI7" s="461"/>
      <c r="AJ7" s="461"/>
      <c r="AK7" s="461"/>
      <c r="AL7" s="461"/>
      <c r="AM7" s="461"/>
      <c r="AN7" s="461"/>
      <c r="AO7" s="461"/>
      <c r="AP7" s="461"/>
      <c r="AQ7" s="461"/>
      <c r="AR7" s="461"/>
      <c r="AS7" s="461"/>
      <c r="AT7" s="461"/>
    </row>
    <row r="8" customFormat="false" ht="12.75" hidden="false" customHeight="false" outlineLevel="0" collapsed="false">
      <c r="B8" s="476" t="s">
        <v>415</v>
      </c>
      <c r="C8" s="317"/>
      <c r="D8" s="477" t="n">
        <f aca="false">Assum!I105</f>
        <v>127283.925354534</v>
      </c>
      <c r="E8" s="475"/>
      <c r="F8" s="466"/>
      <c r="G8" s="476"/>
      <c r="H8" s="466"/>
      <c r="K8" s="461"/>
      <c r="L8" s="461"/>
      <c r="M8" s="461"/>
      <c r="N8" s="461"/>
      <c r="O8" s="461"/>
      <c r="P8" s="461"/>
      <c r="Q8" s="461"/>
      <c r="R8" s="461"/>
      <c r="S8" s="461"/>
      <c r="T8" s="461"/>
      <c r="U8" s="461"/>
      <c r="V8" s="461"/>
      <c r="W8" s="461"/>
      <c r="Z8" s="461"/>
      <c r="AA8" s="461"/>
      <c r="AB8" s="461"/>
      <c r="AC8" s="461"/>
      <c r="AD8" s="461"/>
      <c r="AE8" s="461"/>
      <c r="AF8" s="461"/>
      <c r="AG8" s="461"/>
      <c r="AH8" s="461"/>
      <c r="AI8" s="461"/>
      <c r="AJ8" s="461"/>
      <c r="AK8" s="461"/>
      <c r="AL8" s="461"/>
      <c r="AM8" s="461"/>
      <c r="AN8" s="461"/>
      <c r="AO8" s="461"/>
      <c r="AP8" s="461"/>
      <c r="AQ8" s="461"/>
      <c r="AR8" s="461"/>
      <c r="AS8" s="461"/>
      <c r="AT8" s="461"/>
    </row>
    <row r="9" customFormat="false" ht="12.75" hidden="false" customHeight="false" outlineLevel="0" collapsed="false">
      <c r="B9" s="478" t="s">
        <v>416</v>
      </c>
      <c r="C9" s="473"/>
      <c r="D9" s="479" t="str">
        <f aca="false">Assum!F20</f>
        <v>California</v>
      </c>
      <c r="E9" s="461"/>
      <c r="F9" s="461"/>
      <c r="G9" s="461"/>
      <c r="H9" s="461"/>
      <c r="K9" s="461"/>
      <c r="L9" s="461"/>
      <c r="M9" s="461"/>
      <c r="N9" s="461"/>
      <c r="O9" s="461"/>
      <c r="P9" s="461"/>
      <c r="Q9" s="461"/>
      <c r="R9" s="461"/>
      <c r="S9" s="461"/>
      <c r="T9" s="461"/>
      <c r="U9" s="461"/>
      <c r="V9" s="461"/>
      <c r="W9" s="461"/>
      <c r="Z9" s="461"/>
      <c r="AA9" s="461"/>
      <c r="AB9" s="461"/>
      <c r="AC9" s="461"/>
      <c r="AD9" s="461"/>
      <c r="AE9" s="461"/>
      <c r="AF9" s="461"/>
      <c r="AG9" s="461"/>
      <c r="AH9" s="461"/>
      <c r="AI9" s="461"/>
      <c r="AJ9" s="461"/>
      <c r="AK9" s="461"/>
      <c r="AL9" s="461"/>
      <c r="AM9" s="461"/>
      <c r="AN9" s="461"/>
      <c r="AO9" s="461"/>
      <c r="AP9" s="461"/>
      <c r="AQ9" s="461"/>
      <c r="AR9" s="461"/>
      <c r="AS9" s="461"/>
      <c r="AT9" s="461"/>
    </row>
    <row r="10" customFormat="false" ht="12.75" hidden="false" customHeight="false" outlineLevel="0" collapsed="false">
      <c r="B10" s="480" t="str">
        <f aca="false">Assum!I25</f>
        <v>BEGINNING YEAR FOR PRODUCTION</v>
      </c>
      <c r="C10" s="317"/>
      <c r="D10" s="460" t="n">
        <f aca="false">Assum!H25</f>
        <v>2002</v>
      </c>
      <c r="E10" s="461"/>
      <c r="F10" s="461"/>
      <c r="G10" s="461"/>
      <c r="H10" s="461"/>
      <c r="K10" s="461"/>
      <c r="L10" s="461"/>
      <c r="M10" s="461"/>
      <c r="N10" s="461"/>
      <c r="O10" s="461"/>
      <c r="P10" s="461"/>
      <c r="Q10" s="461"/>
      <c r="R10" s="461"/>
      <c r="S10" s="461"/>
      <c r="T10" s="461"/>
      <c r="U10" s="461"/>
      <c r="V10" s="461"/>
      <c r="W10" s="461"/>
      <c r="Z10" s="461"/>
      <c r="AA10" s="461"/>
      <c r="AB10" s="461"/>
      <c r="AC10" s="461"/>
      <c r="AD10" s="461"/>
      <c r="AE10" s="461"/>
      <c r="AF10" s="461"/>
      <c r="AG10" s="461"/>
      <c r="AH10" s="461"/>
      <c r="AI10" s="461"/>
      <c r="AJ10" s="461"/>
      <c r="AK10" s="461"/>
      <c r="AL10" s="461"/>
      <c r="AM10" s="461"/>
      <c r="AN10" s="461"/>
      <c r="AO10" s="461"/>
      <c r="AP10" s="461"/>
      <c r="AQ10" s="461"/>
      <c r="AR10" s="461"/>
      <c r="AS10" s="461"/>
      <c r="AT10" s="461"/>
    </row>
    <row r="11" customFormat="false" ht="12.75" hidden="false" customHeight="false" outlineLevel="0" collapsed="false">
      <c r="A11" s="461"/>
      <c r="B11" s="478" t="str">
        <f aca="false">Assum!I23</f>
        <v>1ST YEAR % PRODUCTION </v>
      </c>
      <c r="C11" s="473"/>
      <c r="D11" s="481" t="n">
        <f aca="false">Assum!H23</f>
        <v>1</v>
      </c>
      <c r="E11" s="461"/>
      <c r="F11" s="461"/>
      <c r="G11" s="461"/>
      <c r="H11" s="461"/>
      <c r="J11" s="461"/>
      <c r="K11" s="461"/>
      <c r="L11" s="461"/>
      <c r="M11" s="461"/>
      <c r="N11" s="461"/>
      <c r="O11" s="461"/>
      <c r="P11" s="461"/>
      <c r="Q11" s="461"/>
      <c r="R11" s="461"/>
      <c r="S11" s="461"/>
      <c r="T11" s="461"/>
      <c r="U11" s="461"/>
      <c r="V11" s="461"/>
      <c r="W11" s="461"/>
      <c r="Z11" s="461"/>
      <c r="AA11" s="461"/>
      <c r="AB11" s="461"/>
      <c r="AC11" s="461"/>
      <c r="AD11" s="461"/>
      <c r="AE11" s="461"/>
      <c r="AF11" s="461"/>
      <c r="AG11" s="461"/>
      <c r="AH11" s="461"/>
      <c r="AI11" s="461"/>
      <c r="AJ11" s="461"/>
      <c r="AK11" s="461"/>
      <c r="AL11" s="461"/>
      <c r="AM11" s="461"/>
      <c r="AN11" s="461"/>
      <c r="AO11" s="461"/>
      <c r="AP11" s="461"/>
      <c r="AQ11" s="461"/>
      <c r="AR11" s="461"/>
      <c r="AS11" s="461"/>
      <c r="AT11" s="461"/>
    </row>
    <row r="12" customFormat="false" ht="13.5" hidden="false" customHeight="false" outlineLevel="0" collapsed="false">
      <c r="B12" s="482" t="str">
        <f aca="false">Assum!B22</f>
        <v>PROJECT DURATION (YRS):</v>
      </c>
      <c r="D12" s="483" t="n">
        <f aca="false">Assum!F22</f>
        <v>20</v>
      </c>
      <c r="F12" s="461"/>
      <c r="G12" s="461"/>
      <c r="H12" s="461"/>
      <c r="J12" s="461"/>
      <c r="K12" s="461"/>
      <c r="L12" s="461"/>
      <c r="M12" s="461"/>
      <c r="N12" s="461"/>
      <c r="O12" s="461"/>
      <c r="P12" s="461"/>
      <c r="Q12" s="461"/>
      <c r="R12" s="461"/>
      <c r="S12" s="461"/>
      <c r="T12" s="461"/>
      <c r="U12" s="461"/>
      <c r="V12" s="461"/>
      <c r="W12" s="461"/>
      <c r="Z12" s="461"/>
      <c r="AA12" s="461"/>
      <c r="AB12" s="461"/>
      <c r="AC12" s="461"/>
      <c r="AD12" s="461"/>
      <c r="AE12" s="461"/>
      <c r="AF12" s="461"/>
      <c r="AG12" s="461"/>
      <c r="AH12" s="461"/>
      <c r="AI12" s="461"/>
      <c r="AJ12" s="461"/>
      <c r="AK12" s="461"/>
      <c r="AL12" s="461"/>
      <c r="AM12" s="461"/>
      <c r="AN12" s="461"/>
      <c r="AO12" s="461"/>
      <c r="AP12" s="461"/>
      <c r="AQ12" s="461"/>
      <c r="AR12" s="461"/>
      <c r="AS12" s="461"/>
      <c r="AT12" s="461"/>
    </row>
    <row r="13" customFormat="false" ht="12.75" hidden="false" customHeight="false" outlineLevel="0" collapsed="false">
      <c r="B13" s="484" t="str">
        <f aca="false">Assum!B21</f>
        <v>EXCHANGE RATE                 Local Currency  = </v>
      </c>
      <c r="C13" s="485" t="str">
        <f aca="false">Assum!E21</f>
        <v>  $</v>
      </c>
      <c r="D13" s="486" t="n">
        <f aca="false">Assum!F21</f>
        <v>1</v>
      </c>
      <c r="E13" s="461"/>
      <c r="F13" s="461"/>
      <c r="G13" s="461"/>
      <c r="H13" s="461"/>
      <c r="J13" s="461"/>
      <c r="K13" s="487" t="s">
        <v>417</v>
      </c>
      <c r="L13" s="488"/>
      <c r="M13" s="489" t="n">
        <f aca="false">Assum!D122</f>
        <v>0.0825</v>
      </c>
      <c r="N13" s="490" t="n">
        <f aca="false">Assum!E122</f>
        <v>0.0291</v>
      </c>
      <c r="U13" s="461"/>
      <c r="V13" s="461"/>
      <c r="W13" s="461"/>
      <c r="Z13" s="461"/>
      <c r="AA13" s="461"/>
      <c r="AB13" s="461"/>
      <c r="AC13" s="461"/>
      <c r="AD13" s="461"/>
      <c r="AE13" s="461"/>
      <c r="AF13" s="461"/>
      <c r="AG13" s="461"/>
      <c r="AH13" s="461"/>
      <c r="AI13" s="461"/>
      <c r="AJ13" s="461"/>
      <c r="AK13" s="461"/>
      <c r="AL13" s="461"/>
      <c r="AM13" s="461"/>
      <c r="AN13" s="461"/>
      <c r="AO13" s="461"/>
      <c r="AP13" s="461"/>
      <c r="AQ13" s="461"/>
      <c r="AR13" s="461"/>
      <c r="AS13" s="461"/>
      <c r="AT13" s="461"/>
    </row>
    <row r="14" customFormat="false" ht="12.75" hidden="false" customHeight="false" outlineLevel="0" collapsed="false">
      <c r="H14" s="491"/>
      <c r="J14" s="461"/>
      <c r="K14" s="492" t="s">
        <v>418</v>
      </c>
      <c r="L14" s="469"/>
      <c r="M14" s="470"/>
      <c r="N14" s="493" t="n">
        <f aca="false">Assum!E110*D13</f>
        <v>0.0291</v>
      </c>
      <c r="U14" s="461"/>
      <c r="V14" s="461"/>
      <c r="W14" s="461"/>
      <c r="Z14" s="461"/>
      <c r="AA14" s="461"/>
      <c r="AB14" s="461"/>
      <c r="AC14" s="461"/>
      <c r="AD14" s="461"/>
      <c r="AE14" s="461"/>
      <c r="AF14" s="461"/>
      <c r="AG14" s="461"/>
      <c r="AH14" s="461"/>
      <c r="AI14" s="461"/>
      <c r="AJ14" s="461"/>
      <c r="AK14" s="461"/>
      <c r="AL14" s="461"/>
      <c r="AM14" s="461"/>
      <c r="AN14" s="461"/>
      <c r="AO14" s="461"/>
      <c r="AP14" s="461"/>
      <c r="AQ14" s="461"/>
      <c r="AR14" s="461"/>
      <c r="AS14" s="461"/>
      <c r="AT14" s="461"/>
    </row>
    <row r="15" customFormat="false" ht="13.5" hidden="false" customHeight="false" outlineLevel="0" collapsed="false">
      <c r="H15" s="491"/>
      <c r="J15" s="461"/>
      <c r="K15" s="494" t="s">
        <v>419</v>
      </c>
      <c r="L15" s="495"/>
      <c r="M15" s="496"/>
      <c r="N15" s="497" t="n">
        <f aca="false">CashFlow!E8</f>
        <v>0.0291</v>
      </c>
      <c r="O15" s="461"/>
      <c r="P15" s="461"/>
      <c r="Q15" s="461"/>
      <c r="R15" s="461"/>
      <c r="S15" s="461"/>
      <c r="T15" s="461"/>
      <c r="U15" s="470"/>
      <c r="V15" s="470"/>
      <c r="W15" s="470"/>
      <c r="Z15" s="461"/>
      <c r="AA15" s="461"/>
      <c r="AB15" s="461"/>
      <c r="AC15" s="461"/>
      <c r="AD15" s="461"/>
      <c r="AE15" s="461"/>
      <c r="AF15" s="461"/>
      <c r="AG15" s="461"/>
      <c r="AH15" s="461"/>
      <c r="AI15" s="461"/>
      <c r="AJ15" s="461"/>
      <c r="AK15" s="461"/>
      <c r="AL15" s="461"/>
      <c r="AM15" s="461"/>
      <c r="AN15" s="461"/>
      <c r="AO15" s="461"/>
      <c r="AP15" s="461"/>
      <c r="AQ15" s="461"/>
      <c r="AR15" s="461"/>
      <c r="AS15" s="461"/>
      <c r="AT15" s="461"/>
    </row>
    <row r="16" customFormat="false" ht="13.5" hidden="false" customHeight="false" outlineLevel="0" collapsed="false">
      <c r="H16" s="491"/>
      <c r="J16" s="461"/>
      <c r="S16" s="498"/>
      <c r="T16" s="470"/>
      <c r="U16" s="470"/>
      <c r="V16" s="470"/>
      <c r="W16" s="470"/>
      <c r="AA16" s="461"/>
      <c r="AB16" s="461"/>
      <c r="AC16" s="461"/>
      <c r="AD16" s="461"/>
      <c r="AE16" s="461"/>
      <c r="AF16" s="461"/>
      <c r="AG16" s="461"/>
      <c r="AH16" s="461"/>
      <c r="AI16" s="461"/>
      <c r="AJ16" s="461"/>
      <c r="AK16" s="461"/>
      <c r="AL16" s="461"/>
      <c r="AM16" s="461"/>
      <c r="AN16" s="461"/>
      <c r="AO16" s="461"/>
      <c r="AP16" s="461"/>
      <c r="AQ16" s="461"/>
      <c r="AR16" s="461"/>
      <c r="AS16" s="461"/>
      <c r="AT16" s="461"/>
    </row>
    <row r="17" customFormat="false" ht="12.75" hidden="false" customHeight="false" outlineLevel="0" collapsed="false">
      <c r="B17" s="499" t="s">
        <v>420</v>
      </c>
      <c r="C17" s="500" t="str">
        <f aca="false">Srcs_Uses!E5</f>
        <v>$TOTAL (000)</v>
      </c>
      <c r="D17" s="500" t="s">
        <v>421</v>
      </c>
      <c r="E17" s="500" t="str">
        <f aca="false">Srcs_Uses!G5</f>
        <v>$ PER KW</v>
      </c>
      <c r="F17" s="500" t="s">
        <v>422</v>
      </c>
      <c r="G17" s="501"/>
      <c r="H17" s="502"/>
      <c r="J17" s="461"/>
      <c r="S17" s="491"/>
      <c r="T17" s="498"/>
      <c r="U17" s="470"/>
      <c r="V17" s="470"/>
      <c r="W17" s="470"/>
      <c r="AA17" s="461"/>
      <c r="AB17" s="461"/>
      <c r="AC17" s="461"/>
      <c r="AD17" s="461"/>
      <c r="AE17" s="461"/>
      <c r="AF17" s="461"/>
      <c r="AG17" s="461"/>
      <c r="AH17" s="461"/>
      <c r="AI17" s="461"/>
      <c r="AJ17" s="461"/>
      <c r="AK17" s="461"/>
      <c r="AL17" s="461"/>
      <c r="AM17" s="461"/>
      <c r="AN17" s="461"/>
      <c r="AO17" s="461"/>
      <c r="AP17" s="461"/>
      <c r="AQ17" s="461"/>
      <c r="AR17" s="461"/>
      <c r="AS17" s="461"/>
      <c r="AT17" s="461"/>
    </row>
    <row r="18" customFormat="false" ht="12.75" hidden="false" customHeight="false" outlineLevel="0" collapsed="false">
      <c r="B18" s="503" t="str">
        <f aca="false">Srcs_Uses!B6</f>
        <v>OUTSIDE EQUITY</v>
      </c>
      <c r="C18" s="504" t="n">
        <f aca="false">Srcs_Uses!E6</f>
        <v>26230.8505492135</v>
      </c>
      <c r="D18" s="505" t="n">
        <f aca="false">Srcs_Uses!F6</f>
        <v>0.671265069638178</v>
      </c>
      <c r="E18" s="504" t="n">
        <f aca="false">C18/Assum!$F$31</f>
        <v>760.314508672855</v>
      </c>
      <c r="F18" s="504" t="n">
        <f aca="false">C18/Assum!$F$30</f>
        <v>1140.47176300928</v>
      </c>
      <c r="G18" s="506"/>
      <c r="H18" s="507"/>
      <c r="S18" s="491"/>
      <c r="T18" s="470"/>
      <c r="U18" s="470"/>
      <c r="V18" s="470"/>
      <c r="W18" s="470"/>
      <c r="AA18" s="461"/>
      <c r="AB18" s="461"/>
      <c r="AC18" s="461"/>
      <c r="AD18" s="461"/>
      <c r="AE18" s="461"/>
      <c r="AF18" s="461"/>
      <c r="AG18" s="461"/>
      <c r="AH18" s="461"/>
      <c r="AI18" s="461"/>
      <c r="AJ18" s="461"/>
      <c r="AK18" s="461"/>
      <c r="AL18" s="461"/>
      <c r="AM18" s="461"/>
      <c r="AN18" s="461"/>
      <c r="AO18" s="461"/>
      <c r="AP18" s="461"/>
      <c r="AQ18" s="461"/>
      <c r="AR18" s="461"/>
      <c r="AS18" s="461"/>
      <c r="AT18" s="461"/>
    </row>
    <row r="19" customFormat="false" ht="13.5" hidden="false" customHeight="false" outlineLevel="0" collapsed="false">
      <c r="B19" s="503" t="str">
        <f aca="false">Srcs_Uses!B7</f>
        <v>EWC EQUITY</v>
      </c>
      <c r="C19" s="504" t="n">
        <f aca="false">Srcs_Uses!E7</f>
        <v>264.958086355692</v>
      </c>
      <c r="D19" s="505" t="n">
        <f aca="false">Srcs_Uses!F7</f>
        <v>0.00678045524887048</v>
      </c>
      <c r="E19" s="504" t="n">
        <f aca="false">C19/Assum!$F$31</f>
        <v>7.67994453204905</v>
      </c>
      <c r="F19" s="504" t="n">
        <f aca="false">C19/Assum!$F$30</f>
        <v>11.5199167980736</v>
      </c>
      <c r="G19" s="470"/>
      <c r="H19" s="507"/>
      <c r="S19" s="470"/>
      <c r="T19" s="470"/>
      <c r="U19" s="461"/>
      <c r="V19" s="461"/>
      <c r="W19" s="461"/>
      <c r="Z19" s="461"/>
      <c r="AA19" s="461"/>
      <c r="AB19" s="461"/>
      <c r="AC19" s="461"/>
      <c r="AD19" s="461"/>
      <c r="AE19" s="461"/>
      <c r="AF19" s="461"/>
      <c r="AG19" s="461"/>
      <c r="AH19" s="461"/>
      <c r="AI19" s="461"/>
      <c r="AJ19" s="461"/>
      <c r="AK19" s="461"/>
      <c r="AL19" s="461"/>
      <c r="AM19" s="461"/>
      <c r="AN19" s="461"/>
      <c r="AO19" s="461"/>
      <c r="AP19" s="461"/>
      <c r="AQ19" s="461"/>
      <c r="AR19" s="461"/>
      <c r="AS19" s="461"/>
      <c r="AT19" s="461"/>
    </row>
    <row r="20" customFormat="false" ht="12.75" hidden="false" customHeight="false" outlineLevel="0" collapsed="false">
      <c r="B20" s="503" t="str">
        <f aca="false">Srcs_Uses!B8</f>
        <v>SENIOR BANK DEBT</v>
      </c>
      <c r="C20" s="504" t="n">
        <f aca="false">Srcs_Uses!E8</f>
        <v>12580.9312927461</v>
      </c>
      <c r="D20" s="505" t="n">
        <f aca="false">Srcs_Uses!F8</f>
        <v>0.321954475112952</v>
      </c>
      <c r="E20" s="504" t="n">
        <f aca="false">C20/Assum!$F$31</f>
        <v>364.66467515206</v>
      </c>
      <c r="F20" s="504" t="n">
        <f aca="false">C20/Assum!$F$30</f>
        <v>546.99701272809</v>
      </c>
      <c r="G20" s="470"/>
      <c r="H20" s="507"/>
      <c r="J20" s="508"/>
      <c r="K20" s="509" t="s">
        <v>333</v>
      </c>
      <c r="L20" s="510"/>
      <c r="M20" s="511"/>
      <c r="N20" s="512"/>
      <c r="O20" s="509" t="s">
        <v>334</v>
      </c>
      <c r="P20" s="510"/>
      <c r="Q20" s="502"/>
      <c r="S20" s="470"/>
      <c r="T20" s="470"/>
      <c r="U20" s="461"/>
      <c r="V20" s="461"/>
      <c r="W20" s="461"/>
      <c r="Z20" s="461"/>
      <c r="AA20" s="461"/>
      <c r="AB20" s="461"/>
      <c r="AC20" s="461"/>
      <c r="AD20" s="461"/>
      <c r="AE20" s="461"/>
      <c r="AF20" s="461"/>
      <c r="AG20" s="461"/>
      <c r="AH20" s="461"/>
      <c r="AI20" s="461"/>
      <c r="AJ20" s="461"/>
      <c r="AK20" s="461"/>
      <c r="AL20" s="461"/>
      <c r="AM20" s="461"/>
      <c r="AN20" s="461"/>
      <c r="AO20" s="461"/>
      <c r="AP20" s="461"/>
      <c r="AQ20" s="461"/>
      <c r="AR20" s="461"/>
      <c r="AS20" s="461"/>
      <c r="AT20" s="461"/>
    </row>
    <row r="21" customFormat="false" ht="12.75" hidden="false" customHeight="false" outlineLevel="0" collapsed="false">
      <c r="B21" s="503" t="str">
        <f aca="false">Srcs_Uses!B9</f>
        <v>JUNIOR DEBT</v>
      </c>
      <c r="C21" s="504" t="n">
        <f aca="false">Srcs_Uses!E9</f>
        <v>0</v>
      </c>
      <c r="D21" s="505" t="n">
        <f aca="false">Srcs_Uses!F9</f>
        <v>0</v>
      </c>
      <c r="E21" s="504" t="n">
        <f aca="false">C21/Assum!$F$31</f>
        <v>0</v>
      </c>
      <c r="F21" s="504" t="n">
        <f aca="false">C21/Assum!$F$30</f>
        <v>0</v>
      </c>
      <c r="G21" s="470"/>
      <c r="H21" s="507"/>
      <c r="J21" s="513"/>
      <c r="K21" s="514" t="s">
        <v>423</v>
      </c>
      <c r="L21" s="468"/>
      <c r="M21" s="506"/>
      <c r="N21" s="491"/>
      <c r="O21" s="514" t="s">
        <v>424</v>
      </c>
      <c r="P21" s="468"/>
      <c r="Q21" s="507"/>
      <c r="S21" s="470"/>
      <c r="T21" s="470"/>
      <c r="U21" s="461"/>
      <c r="V21" s="461"/>
      <c r="W21" s="461"/>
      <c r="Z21" s="461"/>
      <c r="AA21" s="461"/>
      <c r="AB21" s="461"/>
      <c r="AC21" s="461"/>
      <c r="AD21" s="461"/>
      <c r="AE21" s="461"/>
      <c r="AF21" s="461"/>
      <c r="AG21" s="461"/>
      <c r="AH21" s="461"/>
      <c r="AI21" s="461"/>
      <c r="AJ21" s="461"/>
      <c r="AK21" s="461"/>
      <c r="AL21" s="461"/>
      <c r="AM21" s="461"/>
      <c r="AN21" s="461"/>
      <c r="AO21" s="461"/>
      <c r="AP21" s="461"/>
      <c r="AQ21" s="461"/>
      <c r="AR21" s="461"/>
      <c r="AS21" s="461"/>
      <c r="AT21" s="461"/>
    </row>
    <row r="22" customFormat="false" ht="12.75" hidden="false" customHeight="false" outlineLevel="0" collapsed="false">
      <c r="B22" s="503"/>
      <c r="C22" s="504"/>
      <c r="D22" s="505"/>
      <c r="E22" s="504"/>
      <c r="F22" s="504"/>
      <c r="G22" s="470"/>
      <c r="H22" s="507"/>
      <c r="J22" s="515"/>
      <c r="K22" s="516"/>
      <c r="L22" s="516"/>
      <c r="M22" s="517"/>
      <c r="N22" s="491"/>
      <c r="O22" s="516"/>
      <c r="P22" s="516"/>
      <c r="Q22" s="518"/>
      <c r="S22" s="461"/>
      <c r="T22" s="461"/>
      <c r="U22" s="461"/>
      <c r="V22" s="461"/>
      <c r="W22" s="461"/>
      <c r="Z22" s="461"/>
      <c r="AA22" s="461"/>
      <c r="AB22" s="461"/>
      <c r="AC22" s="461"/>
      <c r="AD22" s="461"/>
      <c r="AE22" s="461"/>
      <c r="AF22" s="461"/>
      <c r="AG22" s="461"/>
      <c r="AH22" s="461"/>
      <c r="AI22" s="461"/>
      <c r="AJ22" s="461"/>
      <c r="AK22" s="461"/>
      <c r="AL22" s="461"/>
      <c r="AM22" s="461"/>
      <c r="AN22" s="461"/>
      <c r="AO22" s="461"/>
      <c r="AP22" s="461"/>
      <c r="AQ22" s="461"/>
      <c r="AR22" s="461"/>
      <c r="AS22" s="461"/>
      <c r="AT22" s="461"/>
    </row>
    <row r="23" customFormat="false" ht="13.5" hidden="false" customHeight="false" outlineLevel="0" collapsed="false">
      <c r="B23" s="519" t="str">
        <f aca="false">Srcs_Uses!B10</f>
        <v>      CASH SUB-TOTAL</v>
      </c>
      <c r="C23" s="520" t="n">
        <f aca="false">Srcs_Uses!E10</f>
        <v>39076.7399283153</v>
      </c>
      <c r="D23" s="521" t="n">
        <f aca="false">Srcs_Uses!F10</f>
        <v>1</v>
      </c>
      <c r="E23" s="520" t="n">
        <f aca="false">C23/Assum!$F$31</f>
        <v>1132.65912835696</v>
      </c>
      <c r="F23" s="520" t="n">
        <f aca="false">C23/Assum!$F$30</f>
        <v>1698.98869253545</v>
      </c>
      <c r="G23" s="470"/>
      <c r="H23" s="507"/>
      <c r="J23" s="522"/>
      <c r="K23" s="523" t="s">
        <v>425</v>
      </c>
      <c r="L23" s="523" t="s">
        <v>426</v>
      </c>
      <c r="M23" s="524"/>
      <c r="N23" s="491"/>
      <c r="O23" s="523" t="s">
        <v>425</v>
      </c>
      <c r="P23" s="523" t="s">
        <v>426</v>
      </c>
      <c r="Q23" s="525"/>
      <c r="S23" s="491"/>
      <c r="T23" s="491"/>
      <c r="U23" s="470"/>
      <c r="V23" s="461"/>
      <c r="W23" s="461"/>
      <c r="Z23" s="461"/>
      <c r="AA23" s="461"/>
      <c r="AB23" s="461"/>
      <c r="AC23" s="461"/>
      <c r="AD23" s="461"/>
      <c r="AE23" s="461"/>
      <c r="AF23" s="461"/>
      <c r="AG23" s="461"/>
      <c r="AH23" s="461"/>
      <c r="AI23" s="461"/>
      <c r="AJ23" s="461"/>
      <c r="AK23" s="461"/>
      <c r="AL23" s="461"/>
      <c r="AM23" s="461"/>
      <c r="AN23" s="461"/>
      <c r="AO23" s="461"/>
      <c r="AP23" s="461"/>
      <c r="AQ23" s="461"/>
      <c r="AR23" s="461"/>
      <c r="AS23" s="461"/>
      <c r="AT23" s="461"/>
    </row>
    <row r="24" customFormat="false" ht="13.5" hidden="false" customHeight="false" outlineLevel="0" collapsed="false">
      <c r="B24" s="503"/>
      <c r="C24" s="504"/>
      <c r="D24" s="505"/>
      <c r="E24" s="504"/>
      <c r="F24" s="504"/>
      <c r="G24" s="470"/>
      <c r="H24" s="507"/>
      <c r="J24" s="526" t="s">
        <v>427</v>
      </c>
      <c r="K24" s="527" t="n">
        <f aca="false">IF(EWCSum!$O$35=1,Outside!D40,Outside!D70)</f>
        <v>-0.215385834924812</v>
      </c>
      <c r="L24" s="528" t="n">
        <f aca="false">IF(EWCSum!$O$35=1,Outside!D35,Outside!D65)</f>
        <v>0.126472759435792</v>
      </c>
      <c r="M24" s="528"/>
      <c r="N24" s="491"/>
      <c r="O24" s="527" t="n">
        <f aca="false">IF($O$36=1,EWC!D40,+EWC!D70)</f>
        <v>-0.215385834924812</v>
      </c>
      <c r="P24" s="528" t="n">
        <f aca="false">IF($O$36=1,EWC!D35,+EWC!D65)</f>
        <v>0.126472759435792</v>
      </c>
      <c r="Q24" s="529"/>
      <c r="S24" s="530"/>
      <c r="T24" s="491"/>
      <c r="U24" s="530"/>
      <c r="V24" s="461"/>
      <c r="W24" s="461"/>
      <c r="Z24" s="461"/>
      <c r="AA24" s="461"/>
      <c r="AB24" s="461"/>
      <c r="AC24" s="461"/>
      <c r="AD24" s="461"/>
      <c r="AE24" s="461"/>
      <c r="AF24" s="461"/>
      <c r="AG24" s="461"/>
      <c r="AH24" s="461"/>
      <c r="AI24" s="461"/>
      <c r="AJ24" s="461"/>
      <c r="AK24" s="461"/>
      <c r="AL24" s="461"/>
      <c r="AM24" s="461"/>
      <c r="AN24" s="461"/>
      <c r="AO24" s="461"/>
      <c r="AP24" s="461"/>
      <c r="AQ24" s="461"/>
      <c r="AR24" s="461"/>
      <c r="AS24" s="461"/>
      <c r="AT24" s="461"/>
    </row>
    <row r="25" customFormat="false" ht="13.5" hidden="false" customHeight="false" outlineLevel="0" collapsed="false">
      <c r="B25" s="531" t="str">
        <f aca="false">Srcs_Uses!B12</f>
        <v>     CASH &amp; NON-CASH TOTAL</v>
      </c>
      <c r="C25" s="532" t="n">
        <f aca="false">Srcs_Uses!E12</f>
        <v>39076.7399283153</v>
      </c>
      <c r="D25" s="533" t="n">
        <f aca="false">Srcs_Uses!F12</f>
        <v>1</v>
      </c>
      <c r="E25" s="532" t="n">
        <f aca="false">C25/Assum!$F$31</f>
        <v>1132.65912835696</v>
      </c>
      <c r="F25" s="532" t="n">
        <f aca="false">C25/Assum!$F$30</f>
        <v>1698.98869253545</v>
      </c>
      <c r="G25" s="506"/>
      <c r="H25" s="507"/>
      <c r="J25" s="526" t="s">
        <v>428</v>
      </c>
      <c r="K25" s="527" t="n">
        <f aca="false">IF(EWCSum!$O$35=1,Outside!D41,Outside!D71)</f>
        <v>-0.0381829974578543</v>
      </c>
      <c r="L25" s="528" t="n">
        <f aca="false">IF(EWCSum!$O$35=1,Outside!D36,Outside!D66)</f>
        <v>0.13</v>
      </c>
      <c r="M25" s="528"/>
      <c r="N25" s="491"/>
      <c r="O25" s="527" t="n">
        <f aca="false">IF($O$36=1,EWC!D41,+EWC!D71)</f>
        <v>-0.0381829974578542</v>
      </c>
      <c r="P25" s="528" t="n">
        <f aca="false">IF($O$36=1,EWC!D36,+EWC!D66)</f>
        <v>0.13</v>
      </c>
      <c r="Q25" s="529"/>
      <c r="S25" s="530"/>
      <c r="T25" s="491"/>
      <c r="U25" s="534"/>
      <c r="V25" s="461"/>
      <c r="W25" s="461"/>
      <c r="Z25" s="461"/>
      <c r="AA25" s="461"/>
      <c r="AB25" s="461"/>
      <c r="AC25" s="461"/>
      <c r="AD25" s="461"/>
      <c r="AE25" s="461"/>
      <c r="AF25" s="461"/>
      <c r="AG25" s="461"/>
      <c r="AH25" s="461"/>
      <c r="AI25" s="461"/>
      <c r="AJ25" s="461"/>
      <c r="AK25" s="461"/>
      <c r="AL25" s="461"/>
      <c r="AM25" s="461"/>
      <c r="AN25" s="461"/>
      <c r="AO25" s="461"/>
      <c r="AP25" s="461"/>
      <c r="AQ25" s="461"/>
      <c r="AR25" s="461"/>
      <c r="AS25" s="461"/>
      <c r="AT25" s="461"/>
    </row>
    <row r="26" customFormat="false" ht="12.75" hidden="false" customHeight="false" outlineLevel="0" collapsed="false">
      <c r="B26" s="535"/>
      <c r="C26" s="536"/>
      <c r="D26" s="536"/>
      <c r="E26" s="536"/>
      <c r="F26" s="536"/>
      <c r="G26" s="537"/>
      <c r="H26" s="507"/>
      <c r="J26" s="526" t="s">
        <v>429</v>
      </c>
      <c r="K26" s="527" t="n">
        <f aca="false">IF(EWCSum!$O$35=1,Outside!D42,Outside!D72)</f>
        <v>-0.0381829974578543</v>
      </c>
      <c r="L26" s="528" t="n">
        <f aca="false">IF(EWCSum!$O$35=1,Outside!D37,Outside!D67)</f>
        <v>0.13</v>
      </c>
      <c r="M26" s="528"/>
      <c r="N26" s="491"/>
      <c r="O26" s="527" t="n">
        <f aca="false">IF($O$36=1,EWC!D42,+EWC!D72)</f>
        <v>-0.0381829974578542</v>
      </c>
      <c r="P26" s="528" t="n">
        <f aca="false">IF($O$36=1,EWC!D37,+EWC!D67)</f>
        <v>0.13</v>
      </c>
      <c r="Q26" s="529"/>
      <c r="S26" s="516"/>
      <c r="T26" s="491"/>
      <c r="U26" s="516"/>
      <c r="V26" s="461"/>
      <c r="W26" s="461"/>
      <c r="Z26" s="461"/>
      <c r="AA26" s="461"/>
      <c r="AB26" s="461"/>
      <c r="AC26" s="461"/>
      <c r="AD26" s="461"/>
      <c r="AE26" s="461"/>
      <c r="AF26" s="461"/>
      <c r="AG26" s="461"/>
      <c r="AH26" s="461"/>
      <c r="AI26" s="461"/>
      <c r="AJ26" s="461"/>
      <c r="AK26" s="461"/>
      <c r="AL26" s="461"/>
      <c r="AM26" s="461"/>
      <c r="AN26" s="461"/>
      <c r="AO26" s="461"/>
      <c r="AP26" s="461"/>
      <c r="AQ26" s="461"/>
      <c r="AR26" s="461"/>
      <c r="AS26" s="461"/>
      <c r="AT26" s="461"/>
    </row>
    <row r="27" customFormat="false" ht="12.75" hidden="false" customHeight="false" outlineLevel="0" collapsed="false">
      <c r="B27" s="538" t="s">
        <v>430</v>
      </c>
      <c r="C27" s="539"/>
      <c r="D27" s="539"/>
      <c r="E27" s="539"/>
      <c r="F27" s="539"/>
      <c r="G27" s="539" t="s">
        <v>431</v>
      </c>
      <c r="H27" s="540" t="s">
        <v>432</v>
      </c>
      <c r="J27" s="541"/>
      <c r="K27" s="506"/>
      <c r="L27" s="542"/>
      <c r="M27" s="506"/>
      <c r="N27" s="491"/>
      <c r="O27" s="506"/>
      <c r="P27" s="542"/>
      <c r="Q27" s="543"/>
      <c r="S27" s="534"/>
      <c r="T27" s="491"/>
      <c r="U27" s="516"/>
      <c r="V27" s="461"/>
      <c r="W27" s="461"/>
      <c r="Z27" s="461"/>
      <c r="AA27" s="461"/>
      <c r="AB27" s="461"/>
      <c r="AC27" s="461"/>
      <c r="AD27" s="461"/>
      <c r="AE27" s="461"/>
      <c r="AF27" s="461"/>
      <c r="AG27" s="461"/>
      <c r="AH27" s="461"/>
      <c r="AI27" s="461"/>
      <c r="AJ27" s="461"/>
      <c r="AK27" s="461"/>
      <c r="AL27" s="461"/>
      <c r="AM27" s="461"/>
      <c r="AN27" s="461"/>
      <c r="AO27" s="461"/>
      <c r="AP27" s="461"/>
      <c r="AQ27" s="461"/>
      <c r="AR27" s="461"/>
      <c r="AS27" s="461"/>
      <c r="AT27" s="461"/>
    </row>
    <row r="28" customFormat="false" ht="12.75" hidden="false" customHeight="false" outlineLevel="0" collapsed="false">
      <c r="B28" s="544" t="str">
        <f aca="false">Internal!B93</f>
        <v>TURBINE PRICE</v>
      </c>
      <c r="C28" s="504" t="n">
        <f aca="false">Internal!F93</f>
        <v>18655.99575</v>
      </c>
      <c r="D28" s="545" t="n">
        <f aca="false">C28/$C$40</f>
        <v>0.477419451679534</v>
      </c>
      <c r="E28" s="546" t="n">
        <f aca="false">C28/Assum!$F$31</f>
        <v>540.7535</v>
      </c>
      <c r="F28" s="546" t="n">
        <f aca="false">C28/Assum!$F$30</f>
        <v>811.13025</v>
      </c>
      <c r="G28" s="547" t="n">
        <f aca="false">$D$13*Internal!F26</f>
        <v>888.38075</v>
      </c>
      <c r="H28" s="548" t="n">
        <f aca="false">(C28-G28)/$C$42</f>
        <v>0.45387257649167</v>
      </c>
      <c r="J28" s="549"/>
      <c r="K28" s="523" t="s">
        <v>425</v>
      </c>
      <c r="L28" s="523" t="s">
        <v>433</v>
      </c>
      <c r="M28" s="524"/>
      <c r="N28" s="491"/>
      <c r="O28" s="523" t="s">
        <v>425</v>
      </c>
      <c r="P28" s="523" t="s">
        <v>433</v>
      </c>
      <c r="Q28" s="525"/>
      <c r="S28" s="528"/>
      <c r="T28" s="491"/>
      <c r="U28" s="528"/>
      <c r="V28" s="461"/>
      <c r="W28" s="461"/>
      <c r="Z28" s="461"/>
      <c r="AA28" s="461"/>
      <c r="AB28" s="461"/>
      <c r="AC28" s="461"/>
      <c r="AD28" s="461"/>
      <c r="AE28" s="461"/>
      <c r="AF28" s="461"/>
      <c r="AG28" s="461"/>
      <c r="AH28" s="461"/>
      <c r="AI28" s="461"/>
      <c r="AJ28" s="461"/>
      <c r="AK28" s="461"/>
      <c r="AL28" s="461"/>
      <c r="AM28" s="461"/>
      <c r="AN28" s="461"/>
      <c r="AO28" s="461"/>
      <c r="AP28" s="461"/>
      <c r="AQ28" s="461"/>
      <c r="AR28" s="461"/>
      <c r="AS28" s="461"/>
      <c r="AT28" s="461"/>
    </row>
    <row r="29" customFormat="false" ht="12.75" hidden="false" customHeight="false" outlineLevel="0" collapsed="false">
      <c r="B29" s="544" t="str">
        <f aca="false">Internal!B94</f>
        <v>SHIPPING - WTG &amp; BLADES</v>
      </c>
      <c r="C29" s="504" t="n">
        <f aca="false">Internal!F94</f>
        <v>745.315</v>
      </c>
      <c r="D29" s="545" t="n">
        <f aca="false">C29/$C$40</f>
        <v>0.0190731110468082</v>
      </c>
      <c r="E29" s="546" t="n">
        <f aca="false">C29/Assum!$F$31</f>
        <v>21.6033333333333</v>
      </c>
      <c r="F29" s="546" t="n">
        <f aca="false">C29/Assum!$F$30</f>
        <v>32.405</v>
      </c>
      <c r="G29" s="550" t="s">
        <v>434</v>
      </c>
      <c r="H29" s="548" t="n">
        <f aca="false">C29/$C$42</f>
        <v>0.0190390234900908</v>
      </c>
      <c r="J29" s="551"/>
      <c r="K29" s="528" t="n">
        <f aca="false">Assum!E326</f>
        <v>0.13</v>
      </c>
      <c r="L29" s="528" t="n">
        <f aca="false">Assum!$E$326</f>
        <v>0.13</v>
      </c>
      <c r="M29" s="528"/>
      <c r="N29" s="552"/>
      <c r="O29" s="528" t="n">
        <f aca="false">Assum!E326</f>
        <v>0.13</v>
      </c>
      <c r="P29" s="528" t="n">
        <f aca="false">Assum!E326</f>
        <v>0.13</v>
      </c>
      <c r="Q29" s="553"/>
      <c r="S29" s="528"/>
      <c r="T29" s="491"/>
      <c r="U29" s="528"/>
      <c r="V29" s="461"/>
      <c r="W29" s="461"/>
      <c r="Z29" s="461"/>
      <c r="AA29" s="461"/>
      <c r="AB29" s="461"/>
      <c r="AC29" s="461"/>
      <c r="AD29" s="461"/>
      <c r="AE29" s="461"/>
      <c r="AF29" s="461"/>
      <c r="AG29" s="461"/>
      <c r="AH29" s="461"/>
      <c r="AI29" s="461"/>
      <c r="AJ29" s="461"/>
      <c r="AK29" s="461"/>
      <c r="AL29" s="461"/>
      <c r="AM29" s="461"/>
      <c r="AN29" s="461"/>
      <c r="AO29" s="461"/>
      <c r="AP29" s="461"/>
      <c r="AQ29" s="461"/>
      <c r="AR29" s="461"/>
      <c r="AS29" s="461"/>
      <c r="AT29" s="461"/>
    </row>
    <row r="30" customFormat="false" ht="12.75" hidden="false" customHeight="false" outlineLevel="0" collapsed="false">
      <c r="B30" s="544" t="str">
        <f aca="false">Internal!B95</f>
        <v>TOWER</v>
      </c>
      <c r="C30" s="504" t="n">
        <f aca="false">Internal!F95</f>
        <v>3002.42</v>
      </c>
      <c r="D30" s="545" t="n">
        <f aca="false">C30/$C$40</f>
        <v>0.0768339427881605</v>
      </c>
      <c r="E30" s="546" t="n">
        <f aca="false">C30/Assum!$F$31</f>
        <v>87.0266666666667</v>
      </c>
      <c r="F30" s="546" t="n">
        <f aca="false">C30/Assum!$F$30</f>
        <v>130.54</v>
      </c>
      <c r="G30" s="554" t="n">
        <f aca="false">Internal!F36</f>
        <v>196.420000000001</v>
      </c>
      <c r="H30" s="548" t="n">
        <f aca="false">(C30-G30)/$C$42</f>
        <v>0.0716790885909913</v>
      </c>
      <c r="J30" s="515" t="s">
        <v>435</v>
      </c>
      <c r="K30" s="555" t="n">
        <f aca="false">IF($O$35=1,Outside!E40,Outside!E70)</f>
        <v>-23199.3062779864</v>
      </c>
      <c r="L30" s="555" t="n">
        <f aca="false">IF($O$35=1,Outside!E40,Outside!E65)</f>
        <v>-278.127090956715</v>
      </c>
      <c r="M30" s="556"/>
      <c r="N30" s="491"/>
      <c r="O30" s="555" t="n">
        <f aca="false">IF($O$36=1,EWC!E40,+EWC!E70)</f>
        <v>-234.336427050368</v>
      </c>
      <c r="P30" s="555" t="n">
        <f aca="false">IF($O$36=1,EWC!E35,+EWC!E65)</f>
        <v>-2.80936455511831</v>
      </c>
      <c r="Q30" s="557"/>
      <c r="S30" s="528"/>
      <c r="T30" s="491"/>
      <c r="U30" s="528"/>
      <c r="V30" s="461"/>
      <c r="W30" s="461"/>
      <c r="Z30" s="461"/>
      <c r="AA30" s="461"/>
      <c r="AB30" s="461"/>
      <c r="AC30" s="461"/>
      <c r="AD30" s="461"/>
      <c r="AE30" s="461"/>
      <c r="AF30" s="461"/>
      <c r="AG30" s="461"/>
      <c r="AH30" s="461"/>
      <c r="AI30" s="461"/>
      <c r="AJ30" s="461"/>
      <c r="AK30" s="461"/>
      <c r="AL30" s="461"/>
      <c r="AM30" s="461"/>
      <c r="AN30" s="461"/>
      <c r="AO30" s="461"/>
      <c r="AP30" s="461"/>
      <c r="AQ30" s="461"/>
      <c r="AR30" s="461"/>
      <c r="AS30" s="461"/>
      <c r="AT30" s="461"/>
    </row>
    <row r="31" customFormat="false" ht="12.75" hidden="false" customHeight="false" outlineLevel="0" collapsed="false">
      <c r="B31" s="544" t="str">
        <f aca="false">Internal!B96</f>
        <v>TOWER FREIGHT</v>
      </c>
      <c r="C31" s="504" t="n">
        <f aca="false">Internal!F96</f>
        <v>407.905</v>
      </c>
      <c r="D31" s="545" t="n">
        <f aca="false">C31/$C$40</f>
        <v>0.0104385627037538</v>
      </c>
      <c r="E31" s="546" t="n">
        <f aca="false">C31/Assum!$F$31</f>
        <v>11.8233333333333</v>
      </c>
      <c r="F31" s="546" t="n">
        <f aca="false">C31/Assum!$F$30</f>
        <v>17.735</v>
      </c>
      <c r="G31" s="558" t="s">
        <v>434</v>
      </c>
      <c r="H31" s="548" t="n">
        <f aca="false">C31/$C$42</f>
        <v>0.0104199068537806</v>
      </c>
      <c r="J31" s="515" t="s">
        <v>436</v>
      </c>
      <c r="K31" s="555" t="n">
        <f aca="false">IF($O$35=1,Outside!E41,Outside!E71)</f>
        <v>-21904.2325119779</v>
      </c>
      <c r="L31" s="555" t="n">
        <f aca="false">IF($O$35=1,Outside!E41,Outside!E66)</f>
        <v>6.53699316899292E-013</v>
      </c>
      <c r="M31" s="556"/>
      <c r="N31" s="491"/>
      <c r="O31" s="555" t="n">
        <f aca="false">IF($O$36=1,EWC!E41,+EWC!E71)</f>
        <v>-221.254873858363</v>
      </c>
      <c r="P31" s="555" t="n">
        <f aca="false">IF($O$36=1,EWC!E36,+EWC!E66)</f>
        <v>-3.26405569239796E-014</v>
      </c>
      <c r="Q31" s="557"/>
      <c r="S31" s="506"/>
      <c r="T31" s="491"/>
      <c r="U31" s="542"/>
      <c r="V31" s="461"/>
      <c r="W31" s="461"/>
      <c r="Z31" s="461"/>
      <c r="AA31" s="461"/>
      <c r="AB31" s="461"/>
      <c r="AC31" s="461"/>
      <c r="AD31" s="461"/>
      <c r="AE31" s="461"/>
      <c r="AF31" s="461"/>
      <c r="AG31" s="461"/>
      <c r="AH31" s="461"/>
      <c r="AI31" s="461"/>
      <c r="AJ31" s="461"/>
      <c r="AK31" s="461"/>
      <c r="AL31" s="461"/>
      <c r="AM31" s="461"/>
      <c r="AN31" s="461"/>
      <c r="AO31" s="461"/>
      <c r="AP31" s="461"/>
      <c r="AQ31" s="461"/>
      <c r="AR31" s="461"/>
      <c r="AS31" s="461"/>
      <c r="AT31" s="461"/>
    </row>
    <row r="32" customFormat="false" ht="12.75" hidden="false" customHeight="false" outlineLevel="0" collapsed="false">
      <c r="B32" s="544" t="str">
        <f aca="false">Internal!B97</f>
        <v>SERVICE OPTIONS</v>
      </c>
      <c r="C32" s="504" t="n">
        <f aca="false">Internal!F97</f>
        <v>46</v>
      </c>
      <c r="D32" s="545" t="n">
        <f aca="false">C32/$C$40</f>
        <v>0.00117717087158205</v>
      </c>
      <c r="E32" s="546" t="n">
        <f aca="false">C32/Assum!$F$31</f>
        <v>1.33333333333333</v>
      </c>
      <c r="F32" s="546" t="n">
        <f aca="false">C32/Assum!$F$30</f>
        <v>2</v>
      </c>
      <c r="G32" s="558" t="s">
        <v>434</v>
      </c>
      <c r="H32" s="548" t="n">
        <f aca="false">C32/$C$42</f>
        <v>0.00117506702608182</v>
      </c>
      <c r="J32" s="515" t="s">
        <v>437</v>
      </c>
      <c r="K32" s="555" t="n">
        <f aca="false">IF($O$35=1,Outside!E42,Outside!E72)</f>
        <v>-21904.2325119779</v>
      </c>
      <c r="L32" s="555" t="n">
        <f aca="false">IF($O$35=1,Outside!E42,Outside!E67)</f>
        <v>6.53699316899292E-013</v>
      </c>
      <c r="M32" s="556"/>
      <c r="N32" s="491"/>
      <c r="O32" s="555" t="n">
        <f aca="false">IF($O$36=1,EWC!E42,+EWC!E72)</f>
        <v>-221.254873858363</v>
      </c>
      <c r="P32" s="555" t="n">
        <f aca="false">IF($O$36=1,EWC!E37,+EWC!E67)</f>
        <v>-3.26405569239796E-014</v>
      </c>
      <c r="Q32" s="557"/>
      <c r="S32" s="534"/>
      <c r="T32" s="491"/>
      <c r="U32" s="516"/>
      <c r="V32" s="461"/>
      <c r="W32" s="461"/>
      <c r="Z32" s="461"/>
      <c r="AA32" s="461"/>
      <c r="AB32" s="461"/>
      <c r="AC32" s="461"/>
      <c r="AD32" s="461"/>
      <c r="AE32" s="461"/>
      <c r="AF32" s="461"/>
      <c r="AG32" s="461"/>
      <c r="AH32" s="461"/>
      <c r="AI32" s="461"/>
      <c r="AJ32" s="461"/>
      <c r="AK32" s="461"/>
      <c r="AL32" s="461"/>
      <c r="AM32" s="461"/>
      <c r="AN32" s="461"/>
      <c r="AO32" s="461"/>
      <c r="AP32" s="461"/>
      <c r="AQ32" s="461"/>
      <c r="AR32" s="461"/>
      <c r="AS32" s="461"/>
      <c r="AT32" s="461"/>
    </row>
    <row r="33" customFormat="false" ht="12.75" hidden="false" customHeight="false" outlineLevel="0" collapsed="false">
      <c r="B33" s="544" t="str">
        <f aca="false">Internal!B98</f>
        <v>SALES TAX</v>
      </c>
      <c r="C33" s="504" t="n">
        <f aca="false">Internal!F98</f>
        <v>1570.235141875</v>
      </c>
      <c r="D33" s="545" t="n">
        <f aca="false">C33/$C$40</f>
        <v>0.0401833710989078</v>
      </c>
      <c r="E33" s="546" t="n">
        <f aca="false">C33/Assum!$F$31</f>
        <v>45.5140620833333</v>
      </c>
      <c r="F33" s="546" t="n">
        <f aca="false">C33/Assum!$F$30</f>
        <v>68.271093125</v>
      </c>
      <c r="G33" s="558" t="s">
        <v>434</v>
      </c>
      <c r="H33" s="548" t="n">
        <f aca="false">C33/$C$42</f>
        <v>0.0401115551828745</v>
      </c>
      <c r="J33" s="535"/>
      <c r="K33" s="491"/>
      <c r="L33" s="491"/>
      <c r="M33" s="491"/>
      <c r="N33" s="491"/>
      <c r="O33" s="491"/>
      <c r="P33" s="491"/>
      <c r="Q33" s="507"/>
      <c r="S33" s="559"/>
      <c r="T33" s="491"/>
      <c r="U33" s="559"/>
      <c r="V33" s="461"/>
      <c r="W33" s="461"/>
      <c r="Z33" s="461"/>
      <c r="AA33" s="461"/>
      <c r="AB33" s="461"/>
      <c r="AC33" s="461"/>
      <c r="AD33" s="461"/>
      <c r="AE33" s="461"/>
      <c r="AF33" s="461"/>
      <c r="AG33" s="461"/>
      <c r="AH33" s="461"/>
      <c r="AI33" s="461"/>
      <c r="AJ33" s="461"/>
      <c r="AK33" s="461"/>
      <c r="AL33" s="461"/>
      <c r="AM33" s="461"/>
      <c r="AN33" s="461"/>
      <c r="AO33" s="461"/>
      <c r="AP33" s="461"/>
      <c r="AQ33" s="461"/>
      <c r="AR33" s="461"/>
      <c r="AS33" s="461"/>
      <c r="AT33" s="461"/>
    </row>
    <row r="34" customFormat="false" ht="12.75" hidden="false" customHeight="false" outlineLevel="0" collapsed="false">
      <c r="B34" s="544" t="s">
        <v>438</v>
      </c>
      <c r="C34" s="560" t="n">
        <f aca="false">SUM(Internal!F99:F110)</f>
        <v>10826.209932</v>
      </c>
      <c r="D34" s="545" t="n">
        <f aca="false">C34/$C$40</f>
        <v>0.277049977860493</v>
      </c>
      <c r="E34" s="546" t="n">
        <f aca="false">C34/Assum!$F$31</f>
        <v>313.803186434783</v>
      </c>
      <c r="F34" s="546" t="n">
        <f aca="false">C34/Assum!$F$30</f>
        <v>470.704779652174</v>
      </c>
      <c r="G34" s="561" t="n">
        <f aca="false">Internal!G76</f>
        <v>884.4943</v>
      </c>
      <c r="H34" s="548" t="n">
        <f aca="false">(C34-G34)/$C$42</f>
        <v>0.253960483083596</v>
      </c>
      <c r="J34" s="515"/>
      <c r="K34" s="470"/>
      <c r="L34" s="470"/>
      <c r="M34" s="470"/>
      <c r="N34" s="491"/>
      <c r="O34" s="562" t="s">
        <v>439</v>
      </c>
      <c r="P34" s="563"/>
      <c r="Q34" s="564"/>
      <c r="S34" s="556"/>
      <c r="T34" s="491"/>
      <c r="U34" s="556"/>
      <c r="V34" s="461"/>
      <c r="W34" s="461"/>
      <c r="Z34" s="461"/>
      <c r="AA34" s="461"/>
      <c r="AB34" s="461"/>
      <c r="AC34" s="461"/>
      <c r="AD34" s="461"/>
      <c r="AE34" s="461"/>
      <c r="AF34" s="461"/>
      <c r="AG34" s="461"/>
      <c r="AH34" s="461"/>
      <c r="AI34" s="461"/>
      <c r="AJ34" s="461"/>
      <c r="AK34" s="461"/>
      <c r="AL34" s="461"/>
      <c r="AM34" s="461"/>
      <c r="AN34" s="461"/>
      <c r="AO34" s="461"/>
      <c r="AP34" s="461"/>
      <c r="AQ34" s="461"/>
      <c r="AR34" s="461"/>
      <c r="AS34" s="461"/>
      <c r="AT34" s="461"/>
    </row>
    <row r="35" customFormat="false" ht="12.75" hidden="false" customHeight="false" outlineLevel="0" collapsed="false">
      <c r="B35" s="565" t="str">
        <f aca="false">Internal!B111</f>
        <v>EPC WRAP FEE</v>
      </c>
      <c r="C35" s="560" t="n">
        <f aca="false">Internal!F111</f>
        <v>0</v>
      </c>
      <c r="D35" s="545" t="n">
        <f aca="false">C35/$C$40</f>
        <v>0</v>
      </c>
      <c r="E35" s="546" t="n">
        <f aca="false">C35/Assum!$F$31</f>
        <v>0</v>
      </c>
      <c r="F35" s="546" t="n">
        <f aca="false">C35/Assum!$F$30</f>
        <v>0</v>
      </c>
      <c r="G35" s="561" t="n">
        <f aca="false">C35</f>
        <v>0</v>
      </c>
      <c r="H35" s="548" t="n">
        <f aca="false">(C35-G35)/$C$42</f>
        <v>0</v>
      </c>
      <c r="J35" s="513"/>
      <c r="K35" s="566" t="s">
        <v>305</v>
      </c>
      <c r="L35" s="566" t="s">
        <v>440</v>
      </c>
      <c r="M35" s="567" t="s">
        <v>441</v>
      </c>
      <c r="N35" s="491"/>
      <c r="O35" s="568" t="n">
        <v>2</v>
      </c>
      <c r="P35" s="563" t="s">
        <v>442</v>
      </c>
      <c r="Q35" s="507"/>
      <c r="S35" s="556"/>
      <c r="T35" s="491"/>
      <c r="U35" s="556"/>
      <c r="V35" s="461"/>
      <c r="W35" s="461"/>
      <c r="Z35" s="461"/>
      <c r="AA35" s="461"/>
      <c r="AB35" s="461"/>
      <c r="AC35" s="461"/>
      <c r="AD35" s="461"/>
      <c r="AE35" s="461"/>
      <c r="AF35" s="461"/>
      <c r="AG35" s="461"/>
      <c r="AH35" s="461"/>
      <c r="AI35" s="461"/>
      <c r="AJ35" s="461"/>
      <c r="AK35" s="461"/>
      <c r="AL35" s="461"/>
      <c r="AM35" s="461"/>
      <c r="AN35" s="461"/>
      <c r="AO35" s="461"/>
      <c r="AP35" s="461"/>
      <c r="AQ35" s="461"/>
      <c r="AR35" s="461"/>
      <c r="AS35" s="461"/>
      <c r="AT35" s="461"/>
    </row>
    <row r="36" customFormat="false" ht="12.75" hidden="false" customHeight="false" outlineLevel="0" collapsed="false">
      <c r="B36" s="565" t="str">
        <f aca="false">Internal!B112</f>
        <v>EWC DEVELOPER FEE</v>
      </c>
      <c r="C36" s="560" t="n">
        <f aca="false">Internal!F112</f>
        <v>-2039.25822796086</v>
      </c>
      <c r="D36" s="545" t="n">
        <f aca="false">C36/$C$40</f>
        <v>-0.0521859866432511</v>
      </c>
      <c r="E36" s="546" t="n">
        <f aca="false">C36/Assum!$F$31</f>
        <v>-59.1089341437929</v>
      </c>
      <c r="F36" s="546" t="n">
        <f aca="false">C36/Assum!$F$30</f>
        <v>-88.6634012156894</v>
      </c>
      <c r="G36" s="554" t="n">
        <f aca="false">C36</f>
        <v>-2039.25822796086</v>
      </c>
      <c r="H36" s="548" t="n">
        <f aca="false">C36/$C$42</f>
        <v>-0.0520927195944099</v>
      </c>
      <c r="J36" s="569" t="s">
        <v>443</v>
      </c>
      <c r="K36" s="546" t="n">
        <f aca="false">C18</f>
        <v>26230.8505492135</v>
      </c>
      <c r="L36" s="570" t="n">
        <f aca="false">K36/$K$38</f>
        <v>0.99</v>
      </c>
      <c r="M36" s="571" t="n">
        <f aca="false">Assum!E198</f>
        <v>0.3955</v>
      </c>
      <c r="N36" s="491"/>
      <c r="O36" s="572" t="n">
        <v>2</v>
      </c>
      <c r="P36" s="573" t="s">
        <v>444</v>
      </c>
      <c r="Q36" s="507"/>
      <c r="S36" s="556"/>
      <c r="T36" s="491"/>
      <c r="U36" s="556"/>
      <c r="V36" s="461"/>
      <c r="W36" s="461"/>
      <c r="Z36" s="461"/>
      <c r="AA36" s="461"/>
      <c r="AB36" s="461"/>
      <c r="AC36" s="461"/>
      <c r="AD36" s="461"/>
      <c r="AE36" s="461"/>
      <c r="AF36" s="461"/>
      <c r="AG36" s="461"/>
      <c r="AH36" s="461"/>
      <c r="AI36" s="461"/>
      <c r="AJ36" s="461"/>
      <c r="AK36" s="461"/>
      <c r="AL36" s="461"/>
      <c r="AM36" s="461"/>
      <c r="AN36" s="461"/>
      <c r="AO36" s="461"/>
      <c r="AP36" s="461"/>
      <c r="AQ36" s="461"/>
      <c r="AR36" s="461"/>
      <c r="AS36" s="461"/>
      <c r="AT36" s="461"/>
    </row>
    <row r="37" customFormat="false" ht="12.75" hidden="false" customHeight="false" outlineLevel="0" collapsed="false">
      <c r="B37" s="574" t="str">
        <f aca="false">Assum!B39</f>
        <v>PREDEVELOPMENT EXPENSES</v>
      </c>
      <c r="C37" s="491" t="n">
        <f aca="false">Assum!F55</f>
        <v>1013</v>
      </c>
      <c r="D37" s="545" t="n">
        <f aca="false">C37/$C$40</f>
        <v>0.0259233498459265</v>
      </c>
      <c r="E37" s="546" t="n">
        <f aca="false">C37/Assum!$F$31</f>
        <v>29.3623188405797</v>
      </c>
      <c r="F37" s="546" t="n">
        <f aca="false">C37/Assum!$F$30</f>
        <v>44.0434782608696</v>
      </c>
      <c r="G37" s="558" t="s">
        <v>434</v>
      </c>
      <c r="H37" s="548" t="n">
        <f aca="false">C37/$C$42</f>
        <v>0.0258770195091498</v>
      </c>
      <c r="J37" s="569" t="s">
        <v>334</v>
      </c>
      <c r="K37" s="560" t="n">
        <f aca="false">C19</f>
        <v>264.958086355692</v>
      </c>
      <c r="L37" s="570" t="n">
        <f aca="false">K37/$K$38</f>
        <v>0.01</v>
      </c>
      <c r="M37" s="571" t="n">
        <f aca="false">Assum!E199</f>
        <v>0.3955</v>
      </c>
      <c r="N37" s="491"/>
      <c r="O37" s="563" t="s">
        <v>445</v>
      </c>
      <c r="P37" s="575"/>
      <c r="Q37" s="576"/>
      <c r="V37" s="461"/>
      <c r="W37" s="461"/>
      <c r="Z37" s="461"/>
      <c r="AA37" s="461"/>
      <c r="AB37" s="461"/>
      <c r="AC37" s="461"/>
      <c r="AD37" s="461"/>
      <c r="AE37" s="461"/>
      <c r="AF37" s="461"/>
      <c r="AG37" s="461"/>
      <c r="AH37" s="461"/>
      <c r="AI37" s="461"/>
      <c r="AJ37" s="461"/>
      <c r="AK37" s="461"/>
      <c r="AL37" s="461"/>
      <c r="AM37" s="461"/>
      <c r="AN37" s="461"/>
      <c r="AO37" s="461"/>
      <c r="AP37" s="461"/>
      <c r="AQ37" s="461"/>
      <c r="AR37" s="461"/>
      <c r="AS37" s="461"/>
      <c r="AT37" s="461"/>
    </row>
    <row r="38" customFormat="false" ht="13.5" hidden="false" customHeight="false" outlineLevel="0" collapsed="false">
      <c r="B38" s="569" t="str">
        <f aca="false">Assum!B63</f>
        <v>CONSTRUCTION EXPENSES TOTAL</v>
      </c>
      <c r="C38" s="560" t="n">
        <f aca="false">Assum!F63</f>
        <v>805.203363009924</v>
      </c>
      <c r="D38" s="545" t="n">
        <f aca="false">C38/$C$40</f>
        <v>0.0206056944485911</v>
      </c>
      <c r="E38" s="546" t="n">
        <f aca="false">C38/Assum!$F$31</f>
        <v>23.3392279133311</v>
      </c>
      <c r="F38" s="546" t="n">
        <f aca="false">C38/Assum!$F$30</f>
        <v>35.0088418699967</v>
      </c>
      <c r="G38" s="558" t="s">
        <v>434</v>
      </c>
      <c r="H38" s="548" t="n">
        <f aca="false">C38/$C$42</f>
        <v>0.0205688678513729</v>
      </c>
      <c r="J38" s="577" t="s">
        <v>446</v>
      </c>
      <c r="K38" s="578" t="n">
        <f aca="false">SUM(K36:K37)</f>
        <v>26495.8086355692</v>
      </c>
      <c r="L38" s="579" t="n">
        <f aca="false">K38/$K$38</f>
        <v>1</v>
      </c>
      <c r="M38" s="496"/>
      <c r="N38" s="580"/>
      <c r="O38" s="581" t="s">
        <v>447</v>
      </c>
      <c r="P38" s="582"/>
      <c r="Q38" s="583"/>
      <c r="V38" s="461"/>
      <c r="W38" s="461"/>
      <c r="Z38" s="461"/>
      <c r="AA38" s="461"/>
      <c r="AB38" s="461"/>
      <c r="AC38" s="461"/>
      <c r="AD38" s="461"/>
      <c r="AE38" s="461"/>
      <c r="AF38" s="461"/>
      <c r="AG38" s="461"/>
      <c r="AH38" s="461"/>
      <c r="AI38" s="461"/>
      <c r="AJ38" s="461"/>
      <c r="AK38" s="461"/>
      <c r="AL38" s="461"/>
      <c r="AM38" s="461"/>
      <c r="AN38" s="461"/>
      <c r="AO38" s="461"/>
      <c r="AP38" s="461"/>
      <c r="AQ38" s="461"/>
      <c r="AR38" s="461"/>
      <c r="AS38" s="461"/>
      <c r="AT38" s="461"/>
    </row>
    <row r="39" customFormat="false" ht="12.75" hidden="false" customHeight="false" outlineLevel="0" collapsed="false">
      <c r="B39" s="569" t="str">
        <f aca="false">Assum!B80</f>
        <v>CLOSING EXPENSES TOTAL</v>
      </c>
      <c r="C39" s="560" t="n">
        <f aca="false">Assum!F80</f>
        <v>4043.71396939119</v>
      </c>
      <c r="D39" s="545" t="n">
        <f aca="false">C39/$C$40</f>
        <v>0.103481354299494</v>
      </c>
      <c r="E39" s="546" t="n">
        <f aca="false">C39/Assum!$F$31</f>
        <v>117.209100562064</v>
      </c>
      <c r="F39" s="546" t="n">
        <f aca="false">C39/Assum!$F$30</f>
        <v>175.813650843095</v>
      </c>
      <c r="G39" s="558" t="s">
        <v>434</v>
      </c>
      <c r="H39" s="548" t="n">
        <f aca="false">C39/$C$42</f>
        <v>0.103296411920392</v>
      </c>
      <c r="V39" s="461"/>
      <c r="W39" s="461"/>
      <c r="Z39" s="461"/>
      <c r="AA39" s="461"/>
      <c r="AB39" s="461"/>
      <c r="AC39" s="461"/>
      <c r="AD39" s="461"/>
      <c r="AE39" s="461"/>
      <c r="AF39" s="461"/>
      <c r="AG39" s="461"/>
      <c r="AH39" s="461"/>
      <c r="AI39" s="461"/>
      <c r="AJ39" s="461"/>
      <c r="AK39" s="461"/>
      <c r="AL39" s="461"/>
      <c r="AM39" s="461"/>
      <c r="AN39" s="461"/>
      <c r="AO39" s="461"/>
      <c r="AP39" s="461"/>
      <c r="AQ39" s="461"/>
      <c r="AR39" s="461"/>
      <c r="AS39" s="461"/>
      <c r="AT39" s="461"/>
    </row>
    <row r="40" customFormat="false" ht="13.5" hidden="false" customHeight="false" outlineLevel="0" collapsed="false">
      <c r="B40" s="584" t="s">
        <v>448</v>
      </c>
      <c r="C40" s="585" t="n">
        <f aca="false">SUM(C28:C39)</f>
        <v>39076.7399283153</v>
      </c>
      <c r="D40" s="586" t="n">
        <f aca="false">C40/$C$40</f>
        <v>1</v>
      </c>
      <c r="E40" s="585" t="n">
        <f aca="false">C40/Assum!$F$31</f>
        <v>1132.65912835696</v>
      </c>
      <c r="F40" s="585" t="n">
        <f aca="false">C40/Assum!$F$30</f>
        <v>1698.98869253545</v>
      </c>
      <c r="G40" s="585" t="n">
        <f aca="false">SUM(G28:G38)</f>
        <v>-69.9631779608549</v>
      </c>
      <c r="H40" s="587" t="n">
        <f aca="false">C40/$C$42</f>
        <v>0.998212795142137</v>
      </c>
      <c r="V40" s="461"/>
      <c r="W40" s="461"/>
      <c r="Z40" s="461"/>
      <c r="AA40" s="461"/>
      <c r="AB40" s="461"/>
      <c r="AC40" s="461"/>
      <c r="AD40" s="461"/>
      <c r="AE40" s="461"/>
      <c r="AF40" s="461"/>
      <c r="AG40" s="461"/>
      <c r="AH40" s="461"/>
      <c r="AI40" s="461"/>
      <c r="AJ40" s="461"/>
      <c r="AK40" s="461"/>
      <c r="AL40" s="461"/>
      <c r="AM40" s="461"/>
      <c r="AN40" s="461"/>
      <c r="AO40" s="461"/>
      <c r="AP40" s="461"/>
      <c r="AQ40" s="461"/>
      <c r="AR40" s="461"/>
      <c r="AS40" s="461"/>
      <c r="AT40" s="461"/>
    </row>
    <row r="41" customFormat="false" ht="12.75" hidden="false" customHeight="false" outlineLevel="0" collapsed="false">
      <c r="B41" s="515"/>
      <c r="C41" s="547"/>
      <c r="D41" s="588"/>
      <c r="E41" s="547"/>
      <c r="F41" s="547"/>
      <c r="G41" s="547"/>
      <c r="H41" s="507"/>
      <c r="S41" s="534"/>
      <c r="T41" s="556"/>
      <c r="U41" s="556"/>
      <c r="V41" s="461"/>
      <c r="W41" s="461"/>
      <c r="Z41" s="461"/>
      <c r="AA41" s="461"/>
      <c r="AB41" s="461"/>
      <c r="AC41" s="461"/>
      <c r="AD41" s="461"/>
      <c r="AE41" s="461"/>
      <c r="AF41" s="461"/>
      <c r="AG41" s="461"/>
      <c r="AH41" s="461"/>
      <c r="AI41" s="461"/>
      <c r="AJ41" s="461"/>
      <c r="AK41" s="461"/>
      <c r="AL41" s="461"/>
      <c r="AM41" s="461"/>
      <c r="AN41" s="461"/>
      <c r="AO41" s="461"/>
      <c r="AP41" s="461"/>
      <c r="AQ41" s="461"/>
      <c r="AR41" s="461"/>
      <c r="AS41" s="461"/>
      <c r="AT41" s="461"/>
    </row>
    <row r="42" customFormat="false" ht="13.5" hidden="false" customHeight="false" outlineLevel="0" collapsed="false">
      <c r="B42" s="589" t="s">
        <v>449</v>
      </c>
      <c r="C42" s="590" t="n">
        <f aca="false">C40-G40</f>
        <v>39146.7031062761</v>
      </c>
      <c r="D42" s="586" t="n">
        <f aca="false">C42/$C$40</f>
        <v>1.0017904046778</v>
      </c>
      <c r="E42" s="585" t="n">
        <f aca="false">C42/Assum!$F$31</f>
        <v>1134.68704655873</v>
      </c>
      <c r="F42" s="585" t="n">
        <f aca="false">C42/Assum!$F$30</f>
        <v>1702.03056983809</v>
      </c>
      <c r="G42" s="591" t="s">
        <v>434</v>
      </c>
      <c r="H42" s="587" t="n">
        <f aca="false">C42/$C$42</f>
        <v>1</v>
      </c>
      <c r="T42" s="461"/>
      <c r="U42" s="461"/>
      <c r="V42" s="461"/>
      <c r="W42" s="461"/>
      <c r="Z42" s="461"/>
      <c r="AA42" s="461"/>
      <c r="AB42" s="461"/>
      <c r="AC42" s="461"/>
      <c r="AD42" s="461"/>
      <c r="AE42" s="461"/>
      <c r="AF42" s="461"/>
      <c r="AG42" s="461"/>
      <c r="AH42" s="461"/>
      <c r="AI42" s="461"/>
      <c r="AJ42" s="461"/>
      <c r="AK42" s="461"/>
      <c r="AL42" s="461"/>
      <c r="AM42" s="461"/>
      <c r="AN42" s="461"/>
      <c r="AO42" s="461"/>
      <c r="AP42" s="461"/>
      <c r="AQ42" s="461"/>
      <c r="AR42" s="461"/>
      <c r="AS42" s="461"/>
      <c r="AT42" s="461"/>
    </row>
    <row r="43" customFormat="false" ht="12.75" hidden="false" customHeight="false" outlineLevel="0" collapsed="false">
      <c r="B43" s="592"/>
      <c r="C43" s="469"/>
      <c r="D43" s="469"/>
      <c r="E43" s="469"/>
      <c r="F43" s="469"/>
      <c r="G43" s="469"/>
      <c r="H43" s="507"/>
      <c r="K43" s="593"/>
      <c r="L43" s="594"/>
      <c r="M43" s="595" t="s">
        <v>450</v>
      </c>
      <c r="N43" s="596" t="s">
        <v>451</v>
      </c>
      <c r="O43" s="502"/>
      <c r="T43" s="461"/>
      <c r="U43" s="461"/>
      <c r="V43" s="461"/>
      <c r="W43" s="461"/>
      <c r="Z43" s="461"/>
      <c r="AA43" s="461"/>
      <c r="AB43" s="461"/>
      <c r="AC43" s="461"/>
      <c r="AD43" s="461"/>
      <c r="AE43" s="461"/>
      <c r="AF43" s="461"/>
      <c r="AG43" s="461"/>
      <c r="AH43" s="461"/>
      <c r="AI43" s="461"/>
      <c r="AJ43" s="461"/>
      <c r="AK43" s="461"/>
      <c r="AL43" s="461"/>
      <c r="AM43" s="461"/>
      <c r="AN43" s="461"/>
      <c r="AO43" s="461"/>
      <c r="AP43" s="461"/>
      <c r="AQ43" s="461"/>
      <c r="AR43" s="461"/>
      <c r="AS43" s="461"/>
      <c r="AT43" s="461"/>
    </row>
    <row r="44" customFormat="false" ht="12.75" hidden="false" customHeight="false" outlineLevel="0" collapsed="false">
      <c r="B44" s="597" t="s">
        <v>452</v>
      </c>
      <c r="C44" s="598" t="n">
        <f aca="false">G28/(C28-G28)</f>
        <v>0.05</v>
      </c>
      <c r="D44" s="491"/>
      <c r="E44" s="491"/>
      <c r="F44" s="470"/>
      <c r="G44" s="470"/>
      <c r="H44" s="507"/>
      <c r="K44" s="515" t="s">
        <v>453</v>
      </c>
      <c r="L44" s="599" t="s">
        <v>454</v>
      </c>
      <c r="M44" s="600" t="s">
        <v>455</v>
      </c>
      <c r="N44" s="601" t="s">
        <v>456</v>
      </c>
      <c r="O44" s="507"/>
      <c r="T44" s="470"/>
      <c r="U44" s="470"/>
      <c r="V44" s="461"/>
      <c r="W44" s="461"/>
      <c r="Z44" s="461"/>
      <c r="AA44" s="461"/>
      <c r="AB44" s="461"/>
      <c r="AC44" s="461"/>
      <c r="AD44" s="461"/>
      <c r="AE44" s="461"/>
      <c r="AF44" s="461"/>
      <c r="AG44" s="461"/>
      <c r="AH44" s="461"/>
      <c r="AI44" s="461"/>
      <c r="AJ44" s="461"/>
      <c r="AK44" s="461"/>
      <c r="AL44" s="461"/>
      <c r="AM44" s="461"/>
      <c r="AN44" s="461"/>
      <c r="AO44" s="461"/>
      <c r="AP44" s="461"/>
      <c r="AQ44" s="461"/>
      <c r="AR44" s="461"/>
      <c r="AS44" s="461"/>
      <c r="AT44" s="461"/>
    </row>
    <row r="45" customFormat="false" ht="12.75" hidden="false" customHeight="false" outlineLevel="0" collapsed="false">
      <c r="B45" s="597" t="s">
        <v>457</v>
      </c>
      <c r="C45" s="598" t="n">
        <f aca="false">G40/C42</f>
        <v>-0.00178720485786294</v>
      </c>
      <c r="D45" s="491"/>
      <c r="E45" s="491"/>
      <c r="F45" s="470"/>
      <c r="G45" s="470"/>
      <c r="H45" s="507"/>
      <c r="K45" s="569" t="s">
        <v>327</v>
      </c>
      <c r="L45" s="602" t="n">
        <f aca="false">ROUNDDOWN(SrDebt!G21,0)</f>
        <v>17</v>
      </c>
      <c r="M45" s="603" t="n">
        <f aca="false">Assum!E249</f>
        <v>0.100196432444355</v>
      </c>
      <c r="N45" s="604" t="n">
        <f aca="false">SrDebt!C111</f>
        <v>12580.9312927461</v>
      </c>
      <c r="O45" s="507"/>
      <c r="T45" s="470"/>
      <c r="U45" s="470"/>
      <c r="V45" s="461"/>
      <c r="W45" s="461"/>
      <c r="Z45" s="461"/>
      <c r="AA45" s="461"/>
      <c r="AB45" s="461"/>
      <c r="AC45" s="461"/>
      <c r="AD45" s="461"/>
      <c r="AE45" s="461"/>
      <c r="AF45" s="461"/>
      <c r="AG45" s="461"/>
      <c r="AH45" s="461"/>
      <c r="AI45" s="461"/>
      <c r="AJ45" s="461"/>
      <c r="AK45" s="461"/>
      <c r="AL45" s="461"/>
      <c r="AM45" s="461"/>
      <c r="AN45" s="461"/>
      <c r="AO45" s="461"/>
      <c r="AP45" s="461"/>
      <c r="AQ45" s="461"/>
      <c r="AR45" s="461"/>
      <c r="AS45" s="461"/>
      <c r="AT45" s="461"/>
    </row>
    <row r="46" customFormat="false" ht="12.75" hidden="false" customHeight="false" outlineLevel="0" collapsed="false">
      <c r="B46" s="597" t="s">
        <v>458</v>
      </c>
      <c r="C46" s="605" t="n">
        <f aca="false">C42/D8</f>
        <v>0.307554178559766</v>
      </c>
      <c r="D46" s="491"/>
      <c r="E46" s="491"/>
      <c r="F46" s="470"/>
      <c r="G46" s="470"/>
      <c r="H46" s="576"/>
      <c r="K46" s="535" t="s">
        <v>328</v>
      </c>
      <c r="L46" s="606" t="n">
        <f aca="false">ROUNDDOWN(SrDebt!G66,0)</f>
        <v>0</v>
      </c>
      <c r="M46" s="552" t="n">
        <f aca="false">Assum!E268</f>
        <v>0.07</v>
      </c>
      <c r="N46" s="607" t="n">
        <f aca="false">SrDebt!C117</f>
        <v>0</v>
      </c>
      <c r="O46" s="507"/>
      <c r="T46" s="470"/>
      <c r="U46" s="470"/>
      <c r="V46" s="461"/>
      <c r="W46" s="461"/>
      <c r="Z46" s="461"/>
      <c r="AA46" s="461"/>
      <c r="AB46" s="461"/>
      <c r="AC46" s="461"/>
      <c r="AD46" s="461"/>
      <c r="AE46" s="461"/>
      <c r="AF46" s="461"/>
      <c r="AG46" s="461"/>
      <c r="AH46" s="461"/>
      <c r="AI46" s="461"/>
      <c r="AJ46" s="461"/>
      <c r="AK46" s="461"/>
      <c r="AL46" s="461"/>
      <c r="AM46" s="461"/>
      <c r="AN46" s="461"/>
      <c r="AO46" s="461"/>
      <c r="AP46" s="461"/>
      <c r="AQ46" s="461"/>
      <c r="AR46" s="461"/>
      <c r="AS46" s="461"/>
      <c r="AT46" s="461"/>
    </row>
    <row r="47" customFormat="false" ht="12.75" hidden="false" customHeight="false" outlineLevel="0" collapsed="false">
      <c r="B47" s="535"/>
      <c r="C47" s="491"/>
      <c r="D47" s="491"/>
      <c r="E47" s="491"/>
      <c r="F47" s="491"/>
      <c r="G47" s="491"/>
      <c r="H47" s="576"/>
      <c r="K47" s="569" t="s">
        <v>459</v>
      </c>
      <c r="L47" s="602" t="n">
        <f aca="false">ROUNDDOWN(JrDebt!G38,0)</f>
        <v>0</v>
      </c>
      <c r="M47" s="608" t="n">
        <f aca="false">Assum!E295</f>
        <v>0.08</v>
      </c>
      <c r="N47" s="604" t="n">
        <f aca="false">Assum!C274</f>
        <v>0</v>
      </c>
      <c r="O47" s="507"/>
      <c r="T47" s="470"/>
      <c r="U47" s="470"/>
      <c r="V47" s="461"/>
      <c r="W47" s="461"/>
      <c r="Z47" s="461"/>
      <c r="AA47" s="461"/>
      <c r="AB47" s="461"/>
      <c r="AC47" s="461"/>
      <c r="AD47" s="461"/>
      <c r="AE47" s="461"/>
      <c r="AF47" s="461"/>
      <c r="AG47" s="461"/>
      <c r="AH47" s="461"/>
      <c r="AI47" s="461"/>
      <c r="AJ47" s="461"/>
      <c r="AK47" s="461"/>
      <c r="AL47" s="461"/>
      <c r="AM47" s="461"/>
      <c r="AN47" s="461"/>
      <c r="AO47" s="461"/>
      <c r="AP47" s="461"/>
      <c r="AQ47" s="461"/>
      <c r="AR47" s="461"/>
      <c r="AS47" s="461"/>
      <c r="AT47" s="461"/>
    </row>
    <row r="48" customFormat="false" ht="12.75" hidden="false" customHeight="false" outlineLevel="0" collapsed="false">
      <c r="B48" s="535"/>
      <c r="C48" s="491"/>
      <c r="D48" s="491"/>
      <c r="E48" s="491"/>
      <c r="F48" s="491"/>
      <c r="G48" s="491"/>
      <c r="H48" s="576"/>
      <c r="K48" s="569" t="s">
        <v>460</v>
      </c>
      <c r="L48" s="602"/>
      <c r="M48" s="608" t="n">
        <f aca="false">(N45/N48)*M45+(N46/N48)*M46+(N47/N48)*M47</f>
        <v>0.100196432444355</v>
      </c>
      <c r="N48" s="604" t="n">
        <f aca="false">SUM(N45:N47)</f>
        <v>12580.9312927461</v>
      </c>
      <c r="O48" s="507"/>
      <c r="T48" s="470"/>
      <c r="U48" s="470"/>
      <c r="V48" s="461"/>
      <c r="W48" s="461"/>
      <c r="Z48" s="461"/>
      <c r="AA48" s="461"/>
      <c r="AB48" s="461"/>
      <c r="AC48" s="461"/>
      <c r="AD48" s="461"/>
      <c r="AE48" s="461"/>
      <c r="AF48" s="461"/>
      <c r="AG48" s="461"/>
      <c r="AH48" s="461"/>
      <c r="AI48" s="461"/>
      <c r="AJ48" s="461"/>
      <c r="AK48" s="461"/>
      <c r="AL48" s="461"/>
      <c r="AM48" s="461"/>
      <c r="AN48" s="461"/>
      <c r="AO48" s="461"/>
      <c r="AP48" s="461"/>
      <c r="AQ48" s="461"/>
      <c r="AR48" s="461"/>
      <c r="AS48" s="461"/>
      <c r="AT48" s="461"/>
    </row>
    <row r="49" customFormat="false" ht="12.75" hidden="false" customHeight="false" outlineLevel="0" collapsed="false">
      <c r="B49" s="538" t="s">
        <v>461</v>
      </c>
      <c r="C49" s="491"/>
      <c r="D49" s="470"/>
      <c r="E49" s="470"/>
      <c r="F49" s="470"/>
      <c r="G49" s="470"/>
      <c r="H49" s="576"/>
      <c r="K49" s="569"/>
      <c r="L49" s="602"/>
      <c r="M49" s="608"/>
      <c r="N49" s="604"/>
      <c r="O49" s="507"/>
      <c r="T49" s="470"/>
      <c r="U49" s="470"/>
      <c r="V49" s="461"/>
      <c r="W49" s="461"/>
      <c r="Z49" s="461"/>
      <c r="AA49" s="461"/>
      <c r="AB49" s="461"/>
      <c r="AC49" s="461"/>
      <c r="AD49" s="461"/>
      <c r="AE49" s="461"/>
      <c r="AF49" s="461"/>
      <c r="AG49" s="461"/>
      <c r="AH49" s="461"/>
      <c r="AI49" s="461"/>
      <c r="AJ49" s="461"/>
      <c r="AK49" s="461"/>
      <c r="AL49" s="461"/>
      <c r="AM49" s="461"/>
      <c r="AN49" s="461"/>
      <c r="AO49" s="461"/>
      <c r="AP49" s="461"/>
      <c r="AQ49" s="461"/>
      <c r="AR49" s="461"/>
      <c r="AS49" s="461"/>
      <c r="AT49" s="461"/>
    </row>
    <row r="50" customFormat="false" ht="12.75" hidden="false" customHeight="false" outlineLevel="0" collapsed="false">
      <c r="B50" s="609" t="s">
        <v>462</v>
      </c>
      <c r="C50" s="506"/>
      <c r="D50" s="506"/>
      <c r="E50" s="560" t="n">
        <f aca="false">G40</f>
        <v>-69.9631779608549</v>
      </c>
      <c r="F50" s="470"/>
      <c r="G50" s="470"/>
      <c r="H50" s="576"/>
      <c r="K50" s="515" t="s">
        <v>463</v>
      </c>
      <c r="L50" s="470"/>
      <c r="M50" s="470"/>
      <c r="N50" s="470"/>
      <c r="O50" s="507"/>
      <c r="T50" s="470"/>
      <c r="U50" s="470"/>
      <c r="V50" s="461"/>
      <c r="W50" s="461"/>
      <c r="Z50" s="461"/>
      <c r="AA50" s="461"/>
      <c r="AB50" s="461"/>
      <c r="AC50" s="461"/>
      <c r="AD50" s="461"/>
      <c r="AE50" s="461"/>
      <c r="AF50" s="461"/>
      <c r="AG50" s="461"/>
      <c r="AH50" s="461"/>
      <c r="AI50" s="461"/>
      <c r="AJ50" s="461"/>
      <c r="AK50" s="461"/>
      <c r="AL50" s="461"/>
      <c r="AM50" s="461"/>
      <c r="AN50" s="461"/>
      <c r="AO50" s="461"/>
      <c r="AP50" s="461"/>
      <c r="AQ50" s="461"/>
      <c r="AR50" s="461"/>
      <c r="AS50" s="461"/>
      <c r="AT50" s="461"/>
    </row>
    <row r="51" customFormat="false" ht="12.75" hidden="false" customHeight="false" outlineLevel="0" collapsed="false">
      <c r="B51" s="492" t="s">
        <v>464</v>
      </c>
      <c r="C51" s="491"/>
      <c r="D51" s="470"/>
      <c r="E51" s="560" t="n">
        <f aca="false">C19</f>
        <v>264.958086355692</v>
      </c>
      <c r="F51" s="470"/>
      <c r="G51" s="470"/>
      <c r="H51" s="576"/>
      <c r="K51" s="610" t="s">
        <v>465</v>
      </c>
      <c r="L51" s="611" t="s">
        <v>466</v>
      </c>
      <c r="M51" s="611" t="str">
        <f aca="false">K45</f>
        <v>TRANCHE A</v>
      </c>
      <c r="N51" s="611" t="str">
        <f aca="false">K46</f>
        <v>TRANCHE B</v>
      </c>
      <c r="O51" s="612" t="s">
        <v>467</v>
      </c>
      <c r="T51" s="470"/>
      <c r="U51" s="470"/>
      <c r="V51" s="461"/>
      <c r="W51" s="461"/>
      <c r="Z51" s="461"/>
      <c r="AA51" s="461"/>
      <c r="AB51" s="461"/>
      <c r="AC51" s="461"/>
      <c r="AD51" s="461"/>
      <c r="AE51" s="461"/>
      <c r="AF51" s="461"/>
      <c r="AG51" s="461"/>
      <c r="AH51" s="461"/>
      <c r="AI51" s="461"/>
      <c r="AJ51" s="461"/>
      <c r="AK51" s="461"/>
      <c r="AL51" s="461"/>
      <c r="AM51" s="461"/>
      <c r="AN51" s="461"/>
      <c r="AO51" s="461"/>
      <c r="AP51" s="461"/>
      <c r="AQ51" s="461"/>
      <c r="AR51" s="461"/>
      <c r="AS51" s="461"/>
      <c r="AT51" s="461"/>
    </row>
    <row r="52" customFormat="false" ht="12.75" hidden="false" customHeight="false" outlineLevel="0" collapsed="false">
      <c r="B52" s="597" t="s">
        <v>468</v>
      </c>
      <c r="C52" s="613"/>
      <c r="D52" s="613"/>
      <c r="E52" s="614" t="n">
        <f aca="false">E50-E51</f>
        <v>-334.921264316547</v>
      </c>
      <c r="F52" s="470"/>
      <c r="G52" s="470"/>
      <c r="H52" s="576"/>
      <c r="K52" s="615" t="n">
        <v>1</v>
      </c>
      <c r="L52" s="616" t="n">
        <f aca="false" t="array" ref="L52:L76">TRANSPOSE(SrDebt!E39:AC39)</f>
        <v>36158</v>
      </c>
      <c r="M52" s="617" t="n">
        <f aca="false" t="array" ref="M52:M76">TRANSPOSE(SrDebt!E12:AC12)</f>
        <v>1.4</v>
      </c>
      <c r="N52" s="617" t="str">
        <f aca="false" t="array" ref="N52:N76">TRANSPOSE(SrDebt!E57:AC57)</f>
        <v> </v>
      </c>
      <c r="O52" s="618" t="str">
        <f aca="false" t="array" ref="O52:O76">TRANSPOSE(JrDebt!E30:AC30)</f>
        <v/>
      </c>
      <c r="T52" s="470"/>
      <c r="U52" s="470"/>
      <c r="V52" s="461"/>
      <c r="W52" s="461"/>
      <c r="Z52" s="461"/>
      <c r="AA52" s="461"/>
      <c r="AB52" s="461"/>
      <c r="AC52" s="461"/>
      <c r="AD52" s="461"/>
      <c r="AE52" s="461"/>
      <c r="AF52" s="461"/>
      <c r="AG52" s="461"/>
      <c r="AH52" s="461"/>
      <c r="AI52" s="461"/>
      <c r="AJ52" s="461"/>
      <c r="AK52" s="461"/>
      <c r="AL52" s="461"/>
      <c r="AM52" s="461"/>
      <c r="AN52" s="461"/>
      <c r="AO52" s="461"/>
      <c r="AP52" s="461"/>
      <c r="AQ52" s="461"/>
      <c r="AR52" s="461"/>
      <c r="AS52" s="461"/>
      <c r="AT52" s="461"/>
    </row>
    <row r="53" customFormat="false" ht="12.75" hidden="false" customHeight="false" outlineLevel="0" collapsed="false">
      <c r="B53" s="535" t="s">
        <v>469</v>
      </c>
      <c r="C53" s="619" t="s">
        <v>470</v>
      </c>
      <c r="D53" s="620" t="n">
        <f aca="false">Assum!$E$326</f>
        <v>0.13</v>
      </c>
      <c r="E53" s="560" t="n">
        <f aca="false">NPV(D53,EWC!E21:AI21)</f>
        <v>43.7008650541457</v>
      </c>
      <c r="F53" s="470"/>
      <c r="G53" s="470"/>
      <c r="H53" s="576"/>
      <c r="K53" s="615" t="n">
        <v>2</v>
      </c>
      <c r="L53" s="616" t="n">
        <v>36523</v>
      </c>
      <c r="M53" s="617" t="n">
        <v>1.4</v>
      </c>
      <c r="N53" s="617" t="str">
        <v> </v>
      </c>
      <c r="O53" s="618" t="str">
        <v/>
      </c>
      <c r="T53" s="470"/>
      <c r="U53" s="470"/>
      <c r="V53" s="461"/>
      <c r="W53" s="461"/>
      <c r="Z53" s="461"/>
      <c r="AA53" s="461"/>
      <c r="AB53" s="461"/>
      <c r="AC53" s="461"/>
      <c r="AD53" s="461"/>
      <c r="AE53" s="461"/>
      <c r="AF53" s="461"/>
      <c r="AG53" s="461"/>
      <c r="AH53" s="461"/>
      <c r="AI53" s="461"/>
      <c r="AJ53" s="461"/>
      <c r="AK53" s="461"/>
      <c r="AL53" s="461"/>
      <c r="AM53" s="461"/>
      <c r="AN53" s="461"/>
      <c r="AO53" s="461"/>
      <c r="AP53" s="461"/>
      <c r="AQ53" s="461"/>
      <c r="AR53" s="461"/>
      <c r="AS53" s="461"/>
      <c r="AT53" s="461"/>
    </row>
    <row r="54" customFormat="false" ht="12.75" hidden="false" customHeight="false" outlineLevel="0" collapsed="false">
      <c r="B54" s="609" t="s">
        <v>471</v>
      </c>
      <c r="C54" s="619" t="s">
        <v>470</v>
      </c>
      <c r="D54" s="620" t="n">
        <f aca="false">Assum!$E$326</f>
        <v>0.13</v>
      </c>
      <c r="E54" s="560" t="n">
        <f aca="false">NPV(D54,EWC!E22:AI22)</f>
        <v>75.7818541920127</v>
      </c>
      <c r="F54" s="491"/>
      <c r="G54" s="470"/>
      <c r="H54" s="576"/>
      <c r="K54" s="615" t="n">
        <v>3</v>
      </c>
      <c r="L54" s="616" t="n">
        <v>36889</v>
      </c>
      <c r="M54" s="617" t="n">
        <v>1.4</v>
      </c>
      <c r="N54" s="617" t="str">
        <v> </v>
      </c>
      <c r="O54" s="618" t="str">
        <v/>
      </c>
      <c r="T54" s="470"/>
      <c r="U54" s="470"/>
      <c r="V54" s="461"/>
      <c r="W54" s="461"/>
      <c r="Z54" s="461"/>
      <c r="AA54" s="461"/>
      <c r="AB54" s="461"/>
      <c r="AC54" s="461"/>
      <c r="AD54" s="461"/>
      <c r="AE54" s="461"/>
      <c r="AF54" s="461"/>
      <c r="AG54" s="461"/>
      <c r="AH54" s="461"/>
      <c r="AI54" s="461"/>
      <c r="AJ54" s="461"/>
      <c r="AK54" s="461"/>
      <c r="AL54" s="461"/>
      <c r="AM54" s="461"/>
      <c r="AN54" s="461"/>
      <c r="AO54" s="461"/>
      <c r="AP54" s="461"/>
      <c r="AQ54" s="461"/>
      <c r="AR54" s="461"/>
      <c r="AS54" s="461"/>
      <c r="AT54" s="461"/>
    </row>
    <row r="55" customFormat="false" ht="12.75" hidden="false" customHeight="false" outlineLevel="0" collapsed="false">
      <c r="B55" s="535" t="s">
        <v>319</v>
      </c>
      <c r="C55" s="619" t="s">
        <v>470</v>
      </c>
      <c r="D55" s="620" t="n">
        <f aca="false">Assum!$E$326</f>
        <v>0.13</v>
      </c>
      <c r="E55" s="560" t="n">
        <f aca="false">NPV(D55,EWC!E23:AI23)</f>
        <v>135.415744648188</v>
      </c>
      <c r="F55" s="491"/>
      <c r="G55" s="470"/>
      <c r="H55" s="621"/>
      <c r="K55" s="615" t="n">
        <v>4</v>
      </c>
      <c r="L55" s="616" t="n">
        <v>37254</v>
      </c>
      <c r="M55" s="617" t="n">
        <v>1.4</v>
      </c>
      <c r="N55" s="617" t="str">
        <v> </v>
      </c>
      <c r="O55" s="618" t="str">
        <v/>
      </c>
      <c r="V55" s="461"/>
      <c r="W55" s="461"/>
      <c r="Z55" s="461"/>
      <c r="AA55" s="461"/>
      <c r="AB55" s="461"/>
      <c r="AC55" s="461"/>
      <c r="AD55" s="461"/>
      <c r="AE55" s="461"/>
      <c r="AF55" s="461"/>
      <c r="AG55" s="461"/>
      <c r="AH55" s="461"/>
      <c r="AI55" s="461"/>
      <c r="AJ55" s="461"/>
      <c r="AK55" s="461"/>
      <c r="AL55" s="461"/>
      <c r="AM55" s="461"/>
      <c r="AN55" s="461"/>
      <c r="AO55" s="461"/>
      <c r="AP55" s="461"/>
      <c r="AQ55" s="461"/>
      <c r="AR55" s="461"/>
      <c r="AS55" s="461"/>
      <c r="AT55" s="461"/>
    </row>
    <row r="56" customFormat="false" ht="12.75" hidden="false" customHeight="false" outlineLevel="0" collapsed="false">
      <c r="B56" s="622" t="str">
        <f aca="false">CashFlow!B74</f>
        <v>GREEN PREMIUM</v>
      </c>
      <c r="C56" s="619" t="s">
        <v>470</v>
      </c>
      <c r="D56" s="617" t="n">
        <v>0.2</v>
      </c>
      <c r="E56" s="130" t="n">
        <f aca="false">NPV(D56,CashFlow!E75:AI75)</f>
        <v>4648.64417477883</v>
      </c>
      <c r="K56" s="615" t="n">
        <v>5</v>
      </c>
      <c r="L56" s="616" t="n">
        <v>37619</v>
      </c>
      <c r="M56" s="617" t="n">
        <v>1.4</v>
      </c>
      <c r="N56" s="617" t="str">
        <v> </v>
      </c>
      <c r="O56" s="618" t="str">
        <v/>
      </c>
      <c r="T56" s="623"/>
      <c r="U56" s="623"/>
      <c r="V56" s="623"/>
      <c r="W56" s="623"/>
      <c r="X56" s="623"/>
      <c r="Z56" s="461"/>
      <c r="AA56" s="461"/>
      <c r="AB56" s="461"/>
      <c r="AC56" s="461"/>
      <c r="AD56" s="461"/>
      <c r="AE56" s="461"/>
      <c r="AF56" s="461"/>
      <c r="AG56" s="461"/>
      <c r="AH56" s="461"/>
      <c r="AI56" s="461"/>
      <c r="AJ56" s="461"/>
      <c r="AK56" s="461"/>
      <c r="AL56" s="461"/>
      <c r="AM56" s="461"/>
      <c r="AN56" s="461"/>
      <c r="AO56" s="461"/>
      <c r="AP56" s="461"/>
      <c r="AQ56" s="461"/>
      <c r="AR56" s="461"/>
      <c r="AS56" s="461"/>
      <c r="AT56" s="461"/>
    </row>
    <row r="57" customFormat="false" ht="12.75" hidden="false" customHeight="false" outlineLevel="0" collapsed="false">
      <c r="B57" s="624" t="s">
        <v>472</v>
      </c>
      <c r="C57" s="536"/>
      <c r="D57" s="536"/>
      <c r="E57" s="561" t="n">
        <f aca="false">SUM(E52:E56)</f>
        <v>4568.62137435663</v>
      </c>
      <c r="F57" s="491"/>
      <c r="G57" s="491"/>
      <c r="H57" s="621"/>
      <c r="K57" s="615" t="n">
        <v>6</v>
      </c>
      <c r="L57" s="616" t="n">
        <v>37984</v>
      </c>
      <c r="M57" s="617" t="n">
        <v>1.4</v>
      </c>
      <c r="N57" s="617" t="str">
        <v> </v>
      </c>
      <c r="O57" s="618" t="str">
        <v/>
      </c>
      <c r="T57" s="625"/>
      <c r="U57" s="625"/>
      <c r="V57" s="625"/>
      <c r="W57" s="625"/>
      <c r="X57" s="625"/>
      <c r="Z57" s="461"/>
      <c r="AA57" s="461"/>
      <c r="AB57" s="461"/>
      <c r="AC57" s="461"/>
      <c r="AD57" s="461"/>
      <c r="AE57" s="461"/>
      <c r="AF57" s="461"/>
      <c r="AG57" s="461"/>
      <c r="AH57" s="461"/>
      <c r="AI57" s="461"/>
      <c r="AJ57" s="461"/>
      <c r="AK57" s="461"/>
      <c r="AL57" s="461"/>
      <c r="AM57" s="461"/>
      <c r="AN57" s="461"/>
      <c r="AO57" s="461"/>
      <c r="AP57" s="461"/>
      <c r="AQ57" s="461"/>
      <c r="AR57" s="461"/>
      <c r="AS57" s="461"/>
      <c r="AT57" s="461"/>
    </row>
    <row r="58" customFormat="false" ht="12.75" hidden="false" customHeight="false" outlineLevel="0" collapsed="false">
      <c r="B58" s="535" t="s">
        <v>473</v>
      </c>
      <c r="C58" s="491"/>
      <c r="D58" s="491"/>
      <c r="E58" s="570" t="n">
        <f aca="false">E57/C42</f>
        <v>0.116705137644763</v>
      </c>
      <c r="F58" s="491"/>
      <c r="G58" s="470"/>
      <c r="H58" s="576"/>
      <c r="K58" s="615" t="n">
        <v>7</v>
      </c>
      <c r="L58" s="616" t="n">
        <v>38350</v>
      </c>
      <c r="M58" s="617" t="n">
        <v>1.4</v>
      </c>
      <c r="N58" s="617" t="str">
        <v> </v>
      </c>
      <c r="O58" s="618" t="str">
        <v/>
      </c>
      <c r="T58" s="625"/>
      <c r="U58" s="625"/>
      <c r="V58" s="625"/>
      <c r="W58" s="625"/>
      <c r="X58" s="625"/>
      <c r="Z58" s="461"/>
      <c r="AA58" s="461"/>
      <c r="AB58" s="461"/>
      <c r="AC58" s="461"/>
      <c r="AD58" s="461"/>
      <c r="AE58" s="461"/>
      <c r="AF58" s="461"/>
      <c r="AG58" s="461"/>
      <c r="AH58" s="461"/>
      <c r="AI58" s="461"/>
      <c r="AJ58" s="461"/>
      <c r="AK58" s="461"/>
      <c r="AL58" s="461"/>
      <c r="AM58" s="461"/>
      <c r="AN58" s="461"/>
      <c r="AO58" s="461"/>
      <c r="AP58" s="461"/>
      <c r="AQ58" s="461"/>
      <c r="AR58" s="461"/>
      <c r="AS58" s="461"/>
      <c r="AT58" s="461"/>
    </row>
    <row r="59" customFormat="false" ht="13.5" hidden="false" customHeight="false" outlineLevel="0" collapsed="false">
      <c r="B59" s="626"/>
      <c r="C59" s="627"/>
      <c r="D59" s="627"/>
      <c r="E59" s="627"/>
      <c r="F59" s="628"/>
      <c r="G59" s="496"/>
      <c r="H59" s="583"/>
      <c r="K59" s="615" t="n">
        <v>8</v>
      </c>
      <c r="L59" s="616" t="n">
        <v>38715</v>
      </c>
      <c r="M59" s="617" t="n">
        <v>1.4</v>
      </c>
      <c r="N59" s="617" t="str">
        <v> </v>
      </c>
      <c r="O59" s="618" t="str">
        <v/>
      </c>
      <c r="T59" s="629"/>
      <c r="U59" s="629"/>
      <c r="V59" s="629"/>
      <c r="W59" s="629"/>
      <c r="X59" s="629"/>
      <c r="Z59" s="461"/>
      <c r="AA59" s="461"/>
      <c r="AB59" s="461"/>
      <c r="AC59" s="461"/>
      <c r="AD59" s="461"/>
      <c r="AE59" s="461"/>
      <c r="AF59" s="461"/>
      <c r="AG59" s="461"/>
      <c r="AH59" s="461"/>
      <c r="AI59" s="461"/>
      <c r="AJ59" s="461"/>
      <c r="AK59" s="461"/>
      <c r="AL59" s="461"/>
      <c r="AM59" s="461"/>
      <c r="AN59" s="461"/>
      <c r="AO59" s="461"/>
      <c r="AP59" s="461"/>
      <c r="AQ59" s="461"/>
      <c r="AR59" s="461"/>
      <c r="AS59" s="461"/>
      <c r="AT59" s="461"/>
    </row>
    <row r="60" customFormat="false" ht="13.5" hidden="false" customHeight="false" outlineLevel="0" collapsed="false">
      <c r="F60" s="461"/>
      <c r="G60" s="461"/>
      <c r="H60" s="461"/>
      <c r="K60" s="615" t="n">
        <v>9</v>
      </c>
      <c r="L60" s="616" t="n">
        <v>39080</v>
      </c>
      <c r="M60" s="617" t="n">
        <v>1.4</v>
      </c>
      <c r="N60" s="617" t="str">
        <v> </v>
      </c>
      <c r="O60" s="618" t="str">
        <v/>
      </c>
      <c r="T60" s="623"/>
      <c r="U60" s="623"/>
      <c r="V60" s="623"/>
      <c r="W60" s="623"/>
      <c r="X60" s="623"/>
      <c r="Z60" s="461"/>
      <c r="AA60" s="461"/>
      <c r="AB60" s="461"/>
      <c r="AC60" s="461"/>
      <c r="AD60" s="461"/>
      <c r="AE60" s="461"/>
      <c r="AF60" s="461"/>
      <c r="AG60" s="461"/>
      <c r="AH60" s="461"/>
      <c r="AI60" s="461"/>
      <c r="AJ60" s="461"/>
      <c r="AK60" s="461"/>
      <c r="AL60" s="461"/>
      <c r="AM60" s="461"/>
      <c r="AN60" s="461"/>
      <c r="AO60" s="461"/>
      <c r="AP60" s="461"/>
      <c r="AQ60" s="461"/>
      <c r="AR60" s="461"/>
      <c r="AS60" s="461"/>
      <c r="AT60" s="461"/>
    </row>
    <row r="61" customFormat="false" ht="12.75" hidden="false" customHeight="false" outlineLevel="0" collapsed="false">
      <c r="B61" s="630" t="s">
        <v>474</v>
      </c>
      <c r="C61" s="512"/>
      <c r="D61" s="631" t="n">
        <v>1</v>
      </c>
      <c r="E61" s="631" t="n">
        <f aca="false">D61+1</f>
        <v>2</v>
      </c>
      <c r="F61" s="631" t="n">
        <f aca="false">E61+1</f>
        <v>3</v>
      </c>
      <c r="G61" s="631" t="n">
        <f aca="false">F61+1</f>
        <v>4</v>
      </c>
      <c r="H61" s="632" t="n">
        <f aca="false">G61+1</f>
        <v>5</v>
      </c>
      <c r="K61" s="615" t="n">
        <v>10</v>
      </c>
      <c r="L61" s="616" t="n">
        <v>39445</v>
      </c>
      <c r="M61" s="617" t="n">
        <v>1.4</v>
      </c>
      <c r="N61" s="617" t="str">
        <v> </v>
      </c>
      <c r="O61" s="618" t="str">
        <v/>
      </c>
      <c r="T61" s="625"/>
      <c r="U61" s="625"/>
      <c r="V61" s="625"/>
      <c r="W61" s="625"/>
      <c r="X61" s="625"/>
      <c r="Z61" s="461"/>
      <c r="AA61" s="461"/>
      <c r="AB61" s="461"/>
      <c r="AC61" s="461"/>
      <c r="AD61" s="461"/>
      <c r="AE61" s="461"/>
      <c r="AF61" s="461"/>
      <c r="AG61" s="461"/>
      <c r="AH61" s="461"/>
      <c r="AI61" s="461"/>
      <c r="AJ61" s="461"/>
      <c r="AK61" s="461"/>
      <c r="AL61" s="461"/>
      <c r="AM61" s="461"/>
      <c r="AN61" s="461"/>
      <c r="AO61" s="461"/>
      <c r="AP61" s="461"/>
      <c r="AQ61" s="461"/>
      <c r="AR61" s="461"/>
      <c r="AS61" s="461"/>
      <c r="AT61" s="461"/>
    </row>
    <row r="62" customFormat="false" ht="12.75" hidden="false" customHeight="false" outlineLevel="0" collapsed="false">
      <c r="B62" s="513"/>
      <c r="C62" s="470"/>
      <c r="D62" s="633" t="n">
        <f aca="false">Assum!H25</f>
        <v>2002</v>
      </c>
      <c r="E62" s="633" t="n">
        <f aca="false">D62+1</f>
        <v>2003</v>
      </c>
      <c r="F62" s="633" t="n">
        <f aca="false">E62+1</f>
        <v>2004</v>
      </c>
      <c r="G62" s="633" t="n">
        <f aca="false">F62+1</f>
        <v>2005</v>
      </c>
      <c r="H62" s="634" t="n">
        <f aca="false">G62+1</f>
        <v>2006</v>
      </c>
      <c r="K62" s="615" t="n">
        <v>11</v>
      </c>
      <c r="L62" s="635" t="n">
        <v>39811</v>
      </c>
      <c r="M62" s="617" t="n">
        <v>1.4</v>
      </c>
      <c r="N62" s="617" t="str">
        <v> </v>
      </c>
      <c r="O62" s="618" t="str">
        <v/>
      </c>
      <c r="T62" s="625"/>
      <c r="U62" s="625"/>
      <c r="V62" s="625"/>
      <c r="W62" s="625"/>
      <c r="X62" s="625"/>
      <c r="Y62" s="461"/>
      <c r="Z62" s="461"/>
      <c r="AA62" s="461"/>
      <c r="AB62" s="461"/>
      <c r="AC62" s="461"/>
      <c r="AD62" s="461"/>
      <c r="AE62" s="461"/>
      <c r="AF62" s="461"/>
      <c r="AG62" s="461"/>
      <c r="AH62" s="461"/>
      <c r="AI62" s="461"/>
      <c r="AJ62" s="461"/>
      <c r="AK62" s="461"/>
      <c r="AL62" s="461"/>
      <c r="AM62" s="461"/>
      <c r="AN62" s="461"/>
      <c r="AO62" s="461"/>
      <c r="AP62" s="461"/>
      <c r="AQ62" s="461"/>
      <c r="AR62" s="461"/>
      <c r="AS62" s="461"/>
      <c r="AT62" s="461"/>
    </row>
    <row r="63" customFormat="false" ht="12.75" hidden="false" customHeight="false" outlineLevel="0" collapsed="false">
      <c r="B63" s="609" t="s">
        <v>475</v>
      </c>
      <c r="C63" s="470"/>
      <c r="D63" s="130" t="n">
        <f aca="false">IF(C65&gt;0.5,0,G40)</f>
        <v>-69.9631779608549</v>
      </c>
      <c r="E63" s="108"/>
      <c r="F63" s="108"/>
      <c r="G63" s="108"/>
      <c r="H63" s="636"/>
      <c r="K63" s="615" t="n">
        <v>12</v>
      </c>
      <c r="L63" s="635" t="n">
        <v>40176</v>
      </c>
      <c r="M63" s="617" t="n">
        <v>1.4</v>
      </c>
      <c r="N63" s="617" t="str">
        <v> </v>
      </c>
      <c r="O63" s="618" t="str">
        <v/>
      </c>
      <c r="X63" s="461"/>
      <c r="Y63" s="461"/>
      <c r="Z63" s="461"/>
      <c r="AA63" s="461"/>
      <c r="AB63" s="461"/>
      <c r="AC63" s="461"/>
      <c r="AD63" s="461"/>
      <c r="AE63" s="461"/>
      <c r="AF63" s="461"/>
      <c r="AG63" s="461"/>
      <c r="AH63" s="461"/>
      <c r="AI63" s="461"/>
      <c r="AJ63" s="461"/>
      <c r="AK63" s="461"/>
      <c r="AL63" s="461"/>
      <c r="AM63" s="461"/>
      <c r="AN63" s="461"/>
      <c r="AO63" s="461"/>
      <c r="AP63" s="461"/>
      <c r="AQ63" s="461"/>
      <c r="AR63" s="461"/>
      <c r="AS63" s="461"/>
      <c r="AT63" s="461"/>
    </row>
    <row r="64" customFormat="false" ht="12.75" hidden="false" customHeight="false" outlineLevel="0" collapsed="false">
      <c r="B64" s="609" t="s">
        <v>476</v>
      </c>
      <c r="C64" s="491" t="s">
        <v>477</v>
      </c>
      <c r="D64" s="637"/>
      <c r="E64" s="491"/>
      <c r="F64" s="491"/>
      <c r="G64" s="491"/>
      <c r="H64" s="507"/>
      <c r="K64" s="615" t="n">
        <v>13</v>
      </c>
      <c r="L64" s="635" t="n">
        <v>40541</v>
      </c>
      <c r="M64" s="617" t="n">
        <v>1.4</v>
      </c>
      <c r="N64" s="617" t="str">
        <v> </v>
      </c>
      <c r="O64" s="618" t="str">
        <v/>
      </c>
      <c r="X64" s="461"/>
      <c r="Y64" s="461"/>
      <c r="Z64" s="461"/>
      <c r="AA64" s="461"/>
      <c r="AB64" s="461"/>
      <c r="AC64" s="461"/>
      <c r="AD64" s="461"/>
      <c r="AE64" s="461"/>
      <c r="AF64" s="461"/>
      <c r="AG64" s="461"/>
      <c r="AH64" s="461"/>
      <c r="AI64" s="461"/>
      <c r="AJ64" s="461"/>
      <c r="AK64" s="461"/>
      <c r="AL64" s="461"/>
      <c r="AM64" s="461"/>
      <c r="AN64" s="461"/>
      <c r="AO64" s="461"/>
      <c r="AP64" s="461"/>
      <c r="AQ64" s="461"/>
      <c r="AR64" s="461"/>
      <c r="AS64" s="461"/>
      <c r="AT64" s="461"/>
    </row>
    <row r="65" customFormat="false" ht="12.75" hidden="false" customHeight="false" outlineLevel="0" collapsed="false">
      <c r="B65" s="609" t="s">
        <v>478</v>
      </c>
      <c r="C65" s="571" t="n">
        <f aca="false">Assum!D331</f>
        <v>0.01</v>
      </c>
      <c r="D65" s="130" t="n">
        <f aca="false">-C65*D63</f>
        <v>0.699631779608549</v>
      </c>
      <c r="E65" s="100" t="n">
        <f aca="false">-$D$65/Assum!$F$22</f>
        <v>-0.0349815889804274</v>
      </c>
      <c r="F65" s="100" t="n">
        <f aca="false">-$D$65/Assum!$F$22</f>
        <v>-0.0349815889804274</v>
      </c>
      <c r="G65" s="100" t="n">
        <f aca="false">-$D$65/Assum!$F$22</f>
        <v>-0.0349815889804274</v>
      </c>
      <c r="H65" s="638" t="n">
        <f aca="false">-$D$65/Assum!$F$22</f>
        <v>-0.0349815889804274</v>
      </c>
      <c r="K65" s="615" t="n">
        <v>14</v>
      </c>
      <c r="L65" s="635" t="n">
        <v>40906</v>
      </c>
      <c r="M65" s="617" t="n">
        <v>1.4</v>
      </c>
      <c r="N65" s="617" t="str">
        <v> </v>
      </c>
      <c r="O65" s="618" t="str">
        <v/>
      </c>
      <c r="X65" s="461"/>
      <c r="Y65" s="461"/>
      <c r="Z65" s="461"/>
      <c r="AA65" s="461"/>
      <c r="AB65" s="461"/>
      <c r="AC65" s="461"/>
      <c r="AD65" s="461"/>
      <c r="AE65" s="461"/>
      <c r="AF65" s="461"/>
      <c r="AG65" s="461"/>
      <c r="AH65" s="461"/>
      <c r="AI65" s="461"/>
      <c r="AJ65" s="461"/>
      <c r="AK65" s="461"/>
      <c r="AL65" s="461"/>
      <c r="AM65" s="461"/>
      <c r="AN65" s="461"/>
      <c r="AO65" s="461"/>
      <c r="AP65" s="461"/>
      <c r="AQ65" s="461"/>
      <c r="AR65" s="461"/>
      <c r="AS65" s="461"/>
      <c r="AT65" s="461"/>
    </row>
    <row r="66" customFormat="false" ht="12.75" hidden="false" customHeight="false" outlineLevel="0" collapsed="false">
      <c r="B66" s="609" t="s">
        <v>479</v>
      </c>
      <c r="C66" s="470"/>
      <c r="D66" s="130" t="n">
        <f aca="false">Basis!D29</f>
        <v>37.0396222781693</v>
      </c>
      <c r="E66" s="130" t="n">
        <f aca="false">Basis!E29</f>
        <v>37.0396222781693</v>
      </c>
      <c r="F66" s="130" t="n">
        <f aca="false">Basis!F29</f>
        <v>37.0396222781693</v>
      </c>
      <c r="G66" s="130" t="n">
        <f aca="false">Basis!G29</f>
        <v>37.0396222781693</v>
      </c>
      <c r="H66" s="639" t="n">
        <f aca="false">Basis!H29</f>
        <v>37.0396222781693</v>
      </c>
      <c r="K66" s="615" t="n">
        <v>15</v>
      </c>
      <c r="L66" s="635" t="n">
        <v>41272</v>
      </c>
      <c r="M66" s="617" t="n">
        <v>1.4</v>
      </c>
      <c r="N66" s="617" t="str">
        <v> </v>
      </c>
      <c r="O66" s="618" t="str">
        <v/>
      </c>
      <c r="X66" s="461"/>
      <c r="Y66" s="461"/>
      <c r="Z66" s="461"/>
      <c r="AA66" s="461"/>
      <c r="AB66" s="461"/>
      <c r="AC66" s="461"/>
      <c r="AD66" s="461"/>
      <c r="AE66" s="461"/>
      <c r="AF66" s="461"/>
      <c r="AG66" s="461"/>
      <c r="AH66" s="461"/>
      <c r="AI66" s="461"/>
      <c r="AJ66" s="461"/>
      <c r="AK66" s="461"/>
      <c r="AL66" s="461"/>
      <c r="AM66" s="461"/>
      <c r="AN66" s="461"/>
      <c r="AO66" s="461"/>
      <c r="AP66" s="461"/>
      <c r="AQ66" s="461"/>
      <c r="AR66" s="461"/>
      <c r="AS66" s="461"/>
      <c r="AT66" s="461"/>
    </row>
    <row r="67" customFormat="false" ht="13.5" hidden="false" customHeight="false" outlineLevel="0" collapsed="false">
      <c r="B67" s="640" t="s">
        <v>480</v>
      </c>
      <c r="C67" s="641"/>
      <c r="D67" s="642" t="n">
        <f aca="false">SUM(D63:D66)</f>
        <v>-32.223923903077</v>
      </c>
      <c r="E67" s="642" t="n">
        <f aca="false">SUM(E63:E66)</f>
        <v>37.0046406891889</v>
      </c>
      <c r="F67" s="642" t="n">
        <f aca="false">SUM(F63:F66)</f>
        <v>37.0046406891889</v>
      </c>
      <c r="G67" s="642" t="n">
        <f aca="false">SUM(G63:G66)</f>
        <v>37.0046406891889</v>
      </c>
      <c r="H67" s="643" t="n">
        <f aca="false">SUM(H63:H66)</f>
        <v>37.0046406891889</v>
      </c>
      <c r="K67" s="615" t="n">
        <v>16</v>
      </c>
      <c r="L67" s="635" t="n">
        <v>41637</v>
      </c>
      <c r="M67" s="617" t="n">
        <v>1.4</v>
      </c>
      <c r="N67" s="617" t="str">
        <v> </v>
      </c>
      <c r="O67" s="618" t="str">
        <v/>
      </c>
      <c r="X67" s="461"/>
      <c r="Y67" s="461"/>
      <c r="Z67" s="461"/>
      <c r="AA67" s="461"/>
      <c r="AB67" s="461"/>
      <c r="AC67" s="461"/>
      <c r="AD67" s="461"/>
      <c r="AE67" s="461"/>
      <c r="AF67" s="461"/>
      <c r="AG67" s="461"/>
      <c r="AH67" s="461"/>
      <c r="AI67" s="461"/>
      <c r="AJ67" s="461"/>
      <c r="AK67" s="461"/>
      <c r="AL67" s="461"/>
      <c r="AM67" s="461"/>
      <c r="AN67" s="461"/>
      <c r="AO67" s="461"/>
      <c r="AP67" s="461"/>
      <c r="AQ67" s="461"/>
      <c r="AR67" s="461"/>
      <c r="AS67" s="461"/>
      <c r="AT67" s="461"/>
    </row>
    <row r="68" customFormat="false" ht="12.75" hidden="false" customHeight="false" outlineLevel="0" collapsed="false">
      <c r="B68" s="609" t="s">
        <v>481</v>
      </c>
      <c r="C68" s="644"/>
      <c r="D68" s="130" t="n">
        <f aca="false">CapAcc!D42</f>
        <v>-11.285524</v>
      </c>
      <c r="E68" s="130" t="n">
        <f aca="false">CapAcc!E42</f>
        <v>-11.29049997</v>
      </c>
      <c r="F68" s="130" t="n">
        <f aca="false">CapAcc!F42</f>
        <v>-11.301997655895</v>
      </c>
      <c r="G68" s="130" t="n">
        <f aca="false">CapAcc!G42</f>
        <v>-11.3214898157918</v>
      </c>
      <c r="H68" s="639" t="n">
        <f aca="false">CapAcc!H42</f>
        <v>-11.3477213920728</v>
      </c>
      <c r="K68" s="615" t="n">
        <v>17</v>
      </c>
      <c r="L68" s="645" t="n">
        <v>42002</v>
      </c>
      <c r="M68" s="646" t="n">
        <v>1.4810861714886</v>
      </c>
      <c r="N68" s="646" t="str">
        <v> </v>
      </c>
      <c r="O68" s="647" t="str">
        <v/>
      </c>
      <c r="X68" s="461"/>
      <c r="Y68" s="461"/>
      <c r="Z68" s="461"/>
      <c r="AA68" s="461"/>
      <c r="AB68" s="461"/>
      <c r="AC68" s="461"/>
      <c r="AD68" s="461"/>
      <c r="AE68" s="461"/>
      <c r="AF68" s="461"/>
      <c r="AG68" s="461"/>
      <c r="AH68" s="461"/>
      <c r="AI68" s="461"/>
      <c r="AJ68" s="461"/>
      <c r="AK68" s="461"/>
      <c r="AL68" s="461"/>
      <c r="AM68" s="461"/>
      <c r="AN68" s="461"/>
      <c r="AO68" s="461"/>
      <c r="AP68" s="461"/>
      <c r="AQ68" s="461"/>
      <c r="AR68" s="461"/>
      <c r="AS68" s="461"/>
      <c r="AT68" s="461"/>
    </row>
    <row r="69" customFormat="false" ht="13.5" hidden="false" customHeight="false" outlineLevel="0" collapsed="false">
      <c r="B69" s="648" t="s">
        <v>482</v>
      </c>
      <c r="C69" s="649"/>
      <c r="D69" s="650" t="n">
        <f aca="false">SUM(D67:D68)</f>
        <v>-43.509447903077</v>
      </c>
      <c r="E69" s="650" t="n">
        <f aca="false">SUM(E67:E68)</f>
        <v>25.7141407191889</v>
      </c>
      <c r="F69" s="650" t="n">
        <f aca="false">SUM(F67:F68)</f>
        <v>25.7026430332939</v>
      </c>
      <c r="G69" s="650" t="n">
        <f aca="false">SUM(G67:G68)</f>
        <v>25.6831508733971</v>
      </c>
      <c r="H69" s="651" t="n">
        <f aca="false">SUM(H67:H68)</f>
        <v>25.6569192971161</v>
      </c>
      <c r="K69" s="615" t="n">
        <v>18</v>
      </c>
      <c r="L69" s="645" t="n">
        <v>42367</v>
      </c>
      <c r="M69" s="646" t="str">
        <v> </v>
      </c>
      <c r="N69" s="646" t="str">
        <v> </v>
      </c>
      <c r="O69" s="647" t="str">
        <v/>
      </c>
      <c r="X69" s="461"/>
      <c r="Y69" s="461"/>
      <c r="Z69" s="461"/>
      <c r="AA69" s="461"/>
      <c r="AB69" s="461"/>
      <c r="AC69" s="461"/>
      <c r="AD69" s="461"/>
      <c r="AE69" s="461"/>
      <c r="AF69" s="461"/>
      <c r="AG69" s="461"/>
      <c r="AH69" s="461"/>
      <c r="AI69" s="461"/>
      <c r="AJ69" s="461"/>
      <c r="AK69" s="461"/>
      <c r="AL69" s="461"/>
      <c r="AM69" s="461"/>
      <c r="AN69" s="461"/>
      <c r="AO69" s="461"/>
      <c r="AP69" s="461"/>
      <c r="AQ69" s="461"/>
      <c r="AR69" s="461"/>
      <c r="AS69" s="461"/>
      <c r="AT69" s="461"/>
    </row>
    <row r="70" customFormat="false" ht="13.5" hidden="false" customHeight="false" outlineLevel="0" collapsed="false">
      <c r="B70" s="609" t="s">
        <v>483</v>
      </c>
      <c r="C70" s="470"/>
      <c r="D70" s="130" t="n">
        <f aca="false">-(Income!E84+Income!E85)*Assum!E338</f>
        <v>19.542535599262</v>
      </c>
      <c r="E70" s="130" t="n">
        <f aca="false">-(Income!F84+Income!F85)*Assum!F338</f>
        <v>19.542535599262</v>
      </c>
      <c r="F70" s="130" t="n">
        <f aca="false">-(Income!G84+Income!G85)*Assum!G338</f>
        <v>19.542535599262</v>
      </c>
      <c r="G70" s="130" t="n">
        <f aca="false">-(Income!H84+Income!H85)*Assum!H338</f>
        <v>19.542535599262</v>
      </c>
      <c r="H70" s="639" t="n">
        <f aca="false">-(Income!I84+Income!I85)*Assum!I338</f>
        <v>19.542535599262</v>
      </c>
      <c r="K70" s="615" t="n">
        <v>19</v>
      </c>
      <c r="L70" s="645" t="n">
        <v>42733</v>
      </c>
      <c r="M70" s="646" t="str">
        <v> </v>
      </c>
      <c r="N70" s="646" t="str">
        <v> </v>
      </c>
      <c r="O70" s="652" t="str">
        <v/>
      </c>
      <c r="X70" s="461"/>
      <c r="Y70" s="461"/>
      <c r="Z70" s="461"/>
      <c r="AA70" s="461"/>
      <c r="AB70" s="461"/>
      <c r="AC70" s="461"/>
      <c r="AD70" s="461"/>
      <c r="AE70" s="461"/>
      <c r="AF70" s="461"/>
      <c r="AG70" s="461"/>
      <c r="AH70" s="461"/>
      <c r="AI70" s="461"/>
      <c r="AJ70" s="461"/>
      <c r="AK70" s="461"/>
      <c r="AL70" s="461"/>
      <c r="AM70" s="461"/>
      <c r="AN70" s="461"/>
      <c r="AO70" s="461"/>
      <c r="AP70" s="461"/>
      <c r="AQ70" s="461"/>
      <c r="AR70" s="461"/>
      <c r="AS70" s="461"/>
      <c r="AT70" s="461"/>
    </row>
    <row r="71" customFormat="false" ht="12.75" hidden="false" customHeight="false" outlineLevel="0" collapsed="false">
      <c r="B71" s="609" t="s">
        <v>484</v>
      </c>
      <c r="C71" s="470"/>
      <c r="D71" s="130" t="n">
        <f aca="false">SUM(CapAcc!D45:D46)</f>
        <v>-12.6259931772513</v>
      </c>
      <c r="E71" s="130" t="n">
        <f aca="false">SUM(CapAcc!E45:E46)</f>
        <v>-12.3553538544543</v>
      </c>
      <c r="F71" s="130" t="n">
        <f aca="false">SUM(CapAcc!F45:F46)</f>
        <v>-12.0182004539327</v>
      </c>
      <c r="G71" s="130" t="n">
        <f aca="false">SUM(CapAcc!G45:G46)</f>
        <v>-11.5773527530571</v>
      </c>
      <c r="H71" s="639" t="n">
        <f aca="false">SUM(CapAcc!H45:H46)</f>
        <v>-11.1269430231155</v>
      </c>
      <c r="K71" s="615" t="n">
        <v>20</v>
      </c>
      <c r="L71" s="645" t="n">
        <v>43098</v>
      </c>
      <c r="M71" s="646" t="str">
        <v> </v>
      </c>
      <c r="N71" s="646" t="str">
        <v> </v>
      </c>
      <c r="O71" s="652" t="str">
        <v/>
      </c>
      <c r="T71" s="461"/>
      <c r="U71" s="461"/>
      <c r="V71" s="461"/>
      <c r="W71" s="461"/>
      <c r="X71" s="461"/>
      <c r="Y71" s="461"/>
      <c r="Z71" s="461"/>
      <c r="AA71" s="461"/>
      <c r="AB71" s="461"/>
      <c r="AC71" s="461"/>
      <c r="AD71" s="461"/>
      <c r="AE71" s="461"/>
      <c r="AF71" s="461"/>
      <c r="AG71" s="461"/>
      <c r="AH71" s="461"/>
      <c r="AI71" s="461"/>
      <c r="AJ71" s="461"/>
      <c r="AK71" s="461"/>
      <c r="AL71" s="461"/>
      <c r="AM71" s="461"/>
      <c r="AN71" s="461"/>
      <c r="AO71" s="461"/>
      <c r="AP71" s="461"/>
      <c r="AQ71" s="461"/>
      <c r="AR71" s="461"/>
      <c r="AS71" s="461"/>
      <c r="AT71" s="461"/>
    </row>
    <row r="72" customFormat="false" ht="13.5" hidden="false" customHeight="false" outlineLevel="0" collapsed="false">
      <c r="B72" s="648" t="s">
        <v>485</v>
      </c>
      <c r="C72" s="649"/>
      <c r="D72" s="650" t="n">
        <f aca="false">SUM(D69:D71)</f>
        <v>-36.5929054810664</v>
      </c>
      <c r="E72" s="650" t="n">
        <f aca="false">SUM(E69:E71)</f>
        <v>32.9013224639966</v>
      </c>
      <c r="F72" s="650" t="n">
        <f aca="false">SUM(F69:F71)</f>
        <v>33.2269781786231</v>
      </c>
      <c r="G72" s="650" t="n">
        <f aca="false">SUM(G69:G71)</f>
        <v>33.648333719602</v>
      </c>
      <c r="H72" s="651" t="n">
        <f aca="false">SUM(H69:H71)</f>
        <v>34.0725118732626</v>
      </c>
      <c r="K72" s="615" t="n">
        <v>21</v>
      </c>
      <c r="L72" s="645" t="n">
        <v>43463</v>
      </c>
      <c r="M72" s="646" t="str">
        <v> </v>
      </c>
      <c r="N72" s="646" t="str">
        <v> </v>
      </c>
      <c r="O72" s="652" t="str">
        <v/>
      </c>
      <c r="T72" s="0"/>
      <c r="U72" s="0"/>
      <c r="V72" s="0"/>
      <c r="W72" s="0"/>
      <c r="X72" s="0"/>
      <c r="Y72" s="0"/>
      <c r="Z72" s="461"/>
      <c r="AA72" s="461"/>
      <c r="AB72" s="461"/>
      <c r="AC72" s="461"/>
      <c r="AD72" s="461"/>
      <c r="AE72" s="461"/>
      <c r="AF72" s="461"/>
      <c r="AG72" s="461"/>
      <c r="AH72" s="461"/>
      <c r="AI72" s="461"/>
      <c r="AJ72" s="461"/>
      <c r="AK72" s="461"/>
      <c r="AL72" s="461"/>
      <c r="AM72" s="461"/>
      <c r="AN72" s="461"/>
      <c r="AO72" s="461"/>
      <c r="AP72" s="461"/>
      <c r="AQ72" s="461"/>
      <c r="AR72" s="461"/>
      <c r="AS72" s="461"/>
      <c r="AT72" s="461"/>
    </row>
    <row r="73" customFormat="false" ht="13.5" hidden="false" customHeight="false" outlineLevel="0" collapsed="false">
      <c r="B73" s="513" t="s">
        <v>486</v>
      </c>
      <c r="C73" s="571" t="n">
        <f aca="false">Assum!E199</f>
        <v>0.3955</v>
      </c>
      <c r="D73" s="130" t="n">
        <f aca="false">-D72*$C$73</f>
        <v>14.4724941177617</v>
      </c>
      <c r="E73" s="130" t="n">
        <f aca="false">-E72*$C$73</f>
        <v>-13.0124730345107</v>
      </c>
      <c r="F73" s="130" t="n">
        <f aca="false">-F72*$C$73</f>
        <v>-13.1412698696455</v>
      </c>
      <c r="G73" s="130" t="n">
        <f aca="false">-G72*$C$73</f>
        <v>-13.3079159861026</v>
      </c>
      <c r="H73" s="639" t="n">
        <f aca="false">-H72*$C$73</f>
        <v>-13.4756784458753</v>
      </c>
      <c r="K73" s="615" t="n">
        <v>22</v>
      </c>
      <c r="L73" s="645" t="n">
        <v>43828</v>
      </c>
      <c r="M73" s="646" t="str">
        <v> </v>
      </c>
      <c r="N73" s="646" t="str">
        <v> </v>
      </c>
      <c r="O73" s="652" t="str">
        <v/>
      </c>
      <c r="T73" s="0"/>
      <c r="U73" s="0"/>
      <c r="V73" s="0"/>
      <c r="W73" s="0"/>
      <c r="X73" s="0"/>
      <c r="Y73" s="0"/>
      <c r="Z73" s="461"/>
      <c r="AA73" s="461"/>
      <c r="AB73" s="461"/>
      <c r="AC73" s="461"/>
      <c r="AD73" s="461"/>
      <c r="AE73" s="461"/>
      <c r="AF73" s="461"/>
      <c r="AG73" s="461"/>
      <c r="AH73" s="461"/>
      <c r="AI73" s="461"/>
      <c r="AJ73" s="461"/>
      <c r="AK73" s="461"/>
      <c r="AL73" s="461"/>
      <c r="AM73" s="461"/>
      <c r="AN73" s="461"/>
      <c r="AO73" s="461"/>
      <c r="AP73" s="461"/>
      <c r="AQ73" s="461"/>
      <c r="AR73" s="461"/>
      <c r="AS73" s="461"/>
      <c r="AT73" s="461"/>
    </row>
    <row r="74" customFormat="false" ht="12.75" hidden="false" customHeight="false" outlineLevel="0" collapsed="false">
      <c r="B74" s="609" t="s">
        <v>487</v>
      </c>
      <c r="C74" s="470"/>
      <c r="D74" s="130" t="n">
        <f aca="false">-ABS(Income!E88-Income!E50)*Assum!E342*EWCSum!$C$73</f>
        <v>-21.9118536330994</v>
      </c>
      <c r="E74" s="130" t="n">
        <f aca="false">-ABS(Income!F88-Income!F50)*Assum!F342*EWCSum!$C$73</f>
        <v>-39.4413365395789</v>
      </c>
      <c r="F74" s="130" t="n">
        <f aca="false">-ABS(Income!G88-Income!G50)*Assum!G342*EWCSum!$C$73</f>
        <v>-20.7432214393341</v>
      </c>
      <c r="G74" s="130" t="n">
        <f aca="false">-ABS(Income!H88-Income!H50)*Assum!H342*EWCSum!$C$73</f>
        <v>-9.52435237918719</v>
      </c>
      <c r="H74" s="639" t="n">
        <f aca="false">-ABS(Income!I88-Income!I50)*Assum!I342*EWCSum!$C$73</f>
        <v>-9.52435237918719</v>
      </c>
      <c r="K74" s="615" t="n">
        <v>23</v>
      </c>
      <c r="L74" s="645" t="n">
        <v>44194</v>
      </c>
      <c r="M74" s="646" t="str">
        <v> </v>
      </c>
      <c r="N74" s="646" t="str">
        <v> </v>
      </c>
      <c r="O74" s="507" t="str">
        <v/>
      </c>
      <c r="T74" s="0"/>
      <c r="U74" s="0"/>
      <c r="V74" s="0"/>
      <c r="W74" s="0"/>
      <c r="X74" s="0"/>
      <c r="Y74" s="0"/>
      <c r="Z74" s="461"/>
      <c r="AA74" s="461"/>
      <c r="AB74" s="461"/>
      <c r="AC74" s="461"/>
      <c r="AD74" s="461"/>
      <c r="AE74" s="461"/>
      <c r="AF74" s="461"/>
      <c r="AG74" s="461"/>
      <c r="AH74" s="461"/>
      <c r="AI74" s="461"/>
      <c r="AJ74" s="461"/>
      <c r="AK74" s="461"/>
      <c r="AL74" s="461"/>
      <c r="AM74" s="461"/>
      <c r="AN74" s="461"/>
      <c r="AO74" s="461"/>
      <c r="AP74" s="461"/>
      <c r="AQ74" s="461"/>
      <c r="AR74" s="461"/>
      <c r="AS74" s="461"/>
      <c r="AT74" s="461"/>
    </row>
    <row r="75" customFormat="false" ht="12.75" hidden="false" customHeight="false" outlineLevel="0" collapsed="false">
      <c r="B75" s="535" t="s">
        <v>488</v>
      </c>
      <c r="C75" s="491"/>
      <c r="D75" s="130" t="n">
        <f aca="false">EWC!E22</f>
        <v>26.0661937964815</v>
      </c>
      <c r="E75" s="130" t="n">
        <f aca="false">EWC!F22</f>
        <v>43.4967418928308</v>
      </c>
      <c r="F75" s="130" t="n">
        <f aca="false">EWC!G22</f>
        <v>24.675924730128</v>
      </c>
      <c r="G75" s="130" t="n">
        <f aca="false">EWC!H22</f>
        <v>13.2965562349585</v>
      </c>
      <c r="H75" s="639" t="n">
        <f aca="false">EWC!I22</f>
        <v>13.1349923898384</v>
      </c>
      <c r="K75" s="615" t="n">
        <v>24</v>
      </c>
      <c r="L75" s="645" t="n">
        <v>44559</v>
      </c>
      <c r="M75" s="646" t="str">
        <v> </v>
      </c>
      <c r="N75" s="646" t="str">
        <v> </v>
      </c>
      <c r="O75" s="507" t="str">
        <v/>
      </c>
      <c r="T75" s="0"/>
      <c r="U75" s="0"/>
      <c r="V75" s="0"/>
      <c r="W75" s="0"/>
      <c r="X75" s="0"/>
      <c r="Y75" s="0"/>
      <c r="Z75" s="461"/>
      <c r="AA75" s="461"/>
      <c r="AB75" s="461"/>
      <c r="AC75" s="461"/>
      <c r="AD75" s="461"/>
      <c r="AE75" s="461"/>
      <c r="AF75" s="461"/>
      <c r="AG75" s="461"/>
      <c r="AH75" s="461"/>
      <c r="AI75" s="461"/>
      <c r="AJ75" s="461"/>
      <c r="AK75" s="461"/>
      <c r="AL75" s="461"/>
      <c r="AM75" s="461"/>
      <c r="AN75" s="461"/>
      <c r="AO75" s="461"/>
      <c r="AP75" s="461"/>
      <c r="AQ75" s="461"/>
      <c r="AR75" s="461"/>
      <c r="AS75" s="461"/>
      <c r="AT75" s="461"/>
    </row>
    <row r="76" customFormat="false" ht="13.5" hidden="false" customHeight="false" outlineLevel="0" collapsed="false">
      <c r="B76" s="609" t="s">
        <v>489</v>
      </c>
      <c r="C76" s="470"/>
      <c r="D76" s="130" t="n">
        <f aca="false">EWC!E23</f>
        <v>22.9111065638161</v>
      </c>
      <c r="E76" s="130" t="n">
        <f aca="false">EWC!F23</f>
        <v>24.1839458173614</v>
      </c>
      <c r="F76" s="130" t="n">
        <f aca="false">EWC!G23</f>
        <v>24.1839458173614</v>
      </c>
      <c r="G76" s="130" t="n">
        <f aca="false">EWC!H23</f>
        <v>24.1839458173614</v>
      </c>
      <c r="H76" s="639" t="n">
        <f aca="false">EWC!I23</f>
        <v>25.4567850709067</v>
      </c>
      <c r="K76" s="653" t="n">
        <v>25</v>
      </c>
      <c r="L76" s="654" t="n">
        <v>44924</v>
      </c>
      <c r="M76" s="655" t="str">
        <v> </v>
      </c>
      <c r="N76" s="655" t="str">
        <v> </v>
      </c>
      <c r="O76" s="656" t="str">
        <v/>
      </c>
      <c r="R76" s="0"/>
      <c r="S76" s="0"/>
      <c r="T76" s="0"/>
      <c r="U76" s="0"/>
      <c r="V76" s="0"/>
      <c r="W76" s="0"/>
      <c r="X76" s="0"/>
      <c r="Y76" s="0"/>
      <c r="Z76" s="461"/>
      <c r="AA76" s="461"/>
      <c r="AB76" s="461"/>
      <c r="AC76" s="461"/>
      <c r="AD76" s="461"/>
      <c r="AE76" s="461"/>
      <c r="AF76" s="461"/>
      <c r="AG76" s="461"/>
      <c r="AH76" s="461"/>
      <c r="AI76" s="461"/>
      <c r="AJ76" s="461"/>
      <c r="AK76" s="461"/>
      <c r="AL76" s="461"/>
      <c r="AM76" s="461"/>
      <c r="AN76" s="461"/>
      <c r="AO76" s="461"/>
      <c r="AP76" s="461"/>
      <c r="AQ76" s="461"/>
      <c r="AR76" s="461"/>
      <c r="AS76" s="461"/>
      <c r="AT76" s="461"/>
    </row>
    <row r="77" customFormat="false" ht="13.5" hidden="false" customHeight="false" outlineLevel="0" collapsed="false">
      <c r="B77" s="589" t="s">
        <v>490</v>
      </c>
      <c r="C77" s="657"/>
      <c r="D77" s="133" t="n">
        <f aca="false">SUM(D72:D76)</f>
        <v>4.94503536389358</v>
      </c>
      <c r="E77" s="133" t="n">
        <f aca="false">SUM(E72:E76)</f>
        <v>48.1282006000993</v>
      </c>
      <c r="F77" s="133" t="n">
        <f aca="false">SUM(F72:F76)</f>
        <v>48.202357417133</v>
      </c>
      <c r="G77" s="133" t="n">
        <f aca="false">SUM(G72:G76)</f>
        <v>48.2965674066321</v>
      </c>
      <c r="H77" s="658" t="n">
        <f aca="false">SUM(H72:H76)</f>
        <v>49.6642585089452</v>
      </c>
      <c r="R77" s="0"/>
      <c r="S77" s="0"/>
      <c r="T77" s="0"/>
      <c r="U77" s="0"/>
      <c r="V77" s="0"/>
      <c r="W77" s="0"/>
      <c r="X77" s="0"/>
      <c r="Y77" s="0"/>
      <c r="Z77" s="461"/>
      <c r="AA77" s="461"/>
      <c r="AB77" s="461"/>
      <c r="AC77" s="461"/>
      <c r="AD77" s="461"/>
      <c r="AE77" s="461"/>
      <c r="AF77" s="461"/>
      <c r="AG77" s="461"/>
      <c r="AH77" s="461"/>
      <c r="AI77" s="461"/>
      <c r="AJ77" s="461"/>
      <c r="AK77" s="461"/>
      <c r="AL77" s="461"/>
      <c r="AM77" s="461"/>
      <c r="AN77" s="461"/>
      <c r="AO77" s="461"/>
      <c r="AP77" s="461"/>
      <c r="AQ77" s="461"/>
      <c r="AR77" s="461"/>
      <c r="AS77" s="461"/>
      <c r="AT77" s="461"/>
    </row>
    <row r="78" customFormat="false" ht="13.5" hidden="false" customHeight="false" outlineLevel="0" collapsed="false">
      <c r="B78" s="659"/>
      <c r="C78" s="660"/>
      <c r="D78" s="660"/>
      <c r="E78" s="661"/>
      <c r="F78" s="661"/>
      <c r="G78" s="661"/>
      <c r="H78" s="662"/>
      <c r="R78" s="0"/>
      <c r="S78" s="0"/>
      <c r="T78" s="0"/>
      <c r="U78" s="0"/>
      <c r="V78" s="0"/>
      <c r="W78" s="0"/>
      <c r="X78" s="0"/>
      <c r="Y78" s="0"/>
      <c r="Z78" s="461"/>
      <c r="AA78" s="461"/>
      <c r="AB78" s="461"/>
      <c r="AC78" s="461"/>
      <c r="AD78" s="461"/>
      <c r="AE78" s="461"/>
      <c r="AF78" s="461"/>
      <c r="AG78" s="461"/>
      <c r="AH78" s="461"/>
      <c r="AI78" s="461"/>
      <c r="AJ78" s="461"/>
      <c r="AK78" s="461"/>
      <c r="AL78" s="461"/>
      <c r="AM78" s="461"/>
      <c r="AN78" s="461"/>
      <c r="AO78" s="461"/>
      <c r="AP78" s="461"/>
      <c r="AQ78" s="461"/>
      <c r="AR78" s="461"/>
      <c r="AS78" s="461"/>
      <c r="AT78" s="461"/>
    </row>
    <row r="79" customFormat="false" ht="12.75" hidden="false" customHeight="false" outlineLevel="0" collapsed="false">
      <c r="R79" s="0"/>
      <c r="S79" s="0"/>
      <c r="T79" s="0"/>
      <c r="U79" s="0"/>
      <c r="V79" s="0"/>
      <c r="W79" s="0"/>
      <c r="X79" s="0"/>
      <c r="Y79" s="0"/>
      <c r="Z79" s="461"/>
      <c r="AA79" s="461"/>
      <c r="AB79" s="461"/>
      <c r="AC79" s="461"/>
      <c r="AD79" s="461"/>
      <c r="AE79" s="461"/>
      <c r="AF79" s="461"/>
      <c r="AG79" s="461"/>
      <c r="AH79" s="461"/>
      <c r="AI79" s="461"/>
      <c r="AJ79" s="461"/>
      <c r="AK79" s="461"/>
      <c r="AL79" s="461"/>
      <c r="AM79" s="461"/>
      <c r="AN79" s="461"/>
      <c r="AO79" s="461"/>
      <c r="AP79" s="461"/>
      <c r="AQ79" s="461"/>
      <c r="AR79" s="461"/>
      <c r="AS79" s="461"/>
      <c r="AT79" s="461"/>
    </row>
    <row r="80" customFormat="false" ht="12.75" hidden="false" customHeight="false" outlineLevel="0" collapsed="false">
      <c r="R80" s="0"/>
      <c r="S80" s="0"/>
      <c r="T80" s="0"/>
      <c r="U80" s="0"/>
      <c r="V80" s="0"/>
      <c r="W80" s="0"/>
      <c r="X80" s="0"/>
      <c r="Y80" s="0"/>
      <c r="Z80" s="663"/>
      <c r="AA80" s="663"/>
      <c r="AB80" s="663"/>
      <c r="AC80" s="663"/>
      <c r="AD80" s="663"/>
      <c r="AE80" s="663"/>
      <c r="AF80" s="663"/>
      <c r="AG80" s="663"/>
      <c r="AH80" s="663"/>
      <c r="AI80" s="663"/>
      <c r="AJ80" s="663"/>
      <c r="AK80" s="663"/>
      <c r="AL80" s="663"/>
      <c r="AM80" s="663"/>
      <c r="AN80" s="663"/>
      <c r="AO80" s="663"/>
      <c r="AP80" s="663"/>
      <c r="AQ80" s="663"/>
      <c r="AR80" s="663"/>
      <c r="AS80" s="663"/>
      <c r="AT80" s="663"/>
    </row>
    <row r="81" customFormat="false" ht="12.75" hidden="false" customHeight="false" outlineLevel="0" collapsed="false">
      <c r="J81" s="0"/>
      <c r="O81" s="0"/>
      <c r="P81" s="0"/>
      <c r="Q81" s="0"/>
      <c r="R81" s="0"/>
      <c r="S81" s="0"/>
      <c r="T81" s="0"/>
      <c r="U81" s="0"/>
      <c r="V81" s="0"/>
      <c r="W81" s="0"/>
      <c r="X81" s="0"/>
      <c r="Y81" s="0"/>
      <c r="Z81" s="663"/>
      <c r="AA81" s="663"/>
      <c r="AB81" s="663"/>
      <c r="AC81" s="663"/>
      <c r="AD81" s="663"/>
      <c r="AE81" s="663"/>
      <c r="AF81" s="663"/>
      <c r="AG81" s="663"/>
      <c r="AH81" s="663"/>
      <c r="AI81" s="663"/>
      <c r="AJ81" s="663"/>
      <c r="AK81" s="663"/>
      <c r="AL81" s="663"/>
      <c r="AM81" s="663"/>
      <c r="AN81" s="663"/>
      <c r="AO81" s="663"/>
      <c r="AP81" s="663"/>
      <c r="AQ81" s="663"/>
      <c r="AR81" s="663"/>
      <c r="AS81" s="663"/>
      <c r="AT81" s="663"/>
    </row>
    <row r="82" customFormat="false" ht="12.75" hidden="false" customHeight="false" outlineLevel="0" collapsed="false">
      <c r="A82" s="664"/>
      <c r="B82" s="664"/>
      <c r="C82" s="664"/>
      <c r="D82" s="664"/>
      <c r="E82" s="664"/>
      <c r="F82" s="664"/>
      <c r="G82" s="664"/>
      <c r="H82" s="664"/>
      <c r="I82" s="664"/>
      <c r="J82" s="17"/>
      <c r="K82" s="664"/>
      <c r="L82" s="664"/>
      <c r="M82" s="664"/>
      <c r="N82" s="664"/>
      <c r="O82" s="17"/>
      <c r="P82" s="17"/>
      <c r="Q82" s="17"/>
      <c r="R82" s="17"/>
      <c r="S82" s="17"/>
      <c r="T82" s="17"/>
      <c r="U82" s="17"/>
      <c r="V82" s="17"/>
      <c r="W82" s="17"/>
      <c r="X82" s="17"/>
      <c r="Y82" s="17"/>
      <c r="Z82" s="665"/>
      <c r="AA82" s="665"/>
      <c r="AB82" s="665"/>
      <c r="AC82" s="665"/>
      <c r="AD82" s="665"/>
      <c r="AE82" s="665"/>
      <c r="AF82" s="665"/>
      <c r="AG82" s="665"/>
      <c r="AH82" s="665"/>
      <c r="AI82" s="665"/>
      <c r="AJ82" s="665"/>
      <c r="AK82" s="665"/>
      <c r="AL82" s="665"/>
      <c r="AM82" s="665"/>
      <c r="AN82" s="665"/>
      <c r="AO82" s="665"/>
      <c r="AP82" s="665"/>
      <c r="AQ82" s="665"/>
      <c r="AR82" s="665"/>
      <c r="AS82" s="665"/>
      <c r="AT82" s="665"/>
      <c r="AU82" s="664"/>
      <c r="AV82" s="664"/>
      <c r="AW82" s="664"/>
      <c r="AX82" s="664"/>
      <c r="AY82" s="664"/>
      <c r="AZ82" s="664"/>
      <c r="BA82" s="664"/>
      <c r="BB82" s="664"/>
      <c r="BC82" s="664"/>
      <c r="BD82" s="664"/>
      <c r="BE82" s="664"/>
      <c r="BF82" s="664"/>
      <c r="BG82" s="664"/>
      <c r="BH82" s="664"/>
      <c r="BI82" s="664"/>
      <c r="BJ82" s="664"/>
      <c r="BK82" s="664"/>
      <c r="BL82" s="664"/>
      <c r="BM82" s="664"/>
      <c r="BN82" s="664"/>
      <c r="BO82" s="664"/>
      <c r="BP82" s="664"/>
      <c r="BQ82" s="664"/>
      <c r="BR82" s="664"/>
      <c r="BS82" s="664"/>
      <c r="BT82" s="664"/>
      <c r="BU82" s="664"/>
      <c r="BV82" s="664"/>
      <c r="BW82" s="664"/>
      <c r="BX82" s="664"/>
      <c r="BY82" s="664"/>
      <c r="BZ82" s="664"/>
      <c r="CA82" s="664"/>
      <c r="CB82" s="664"/>
      <c r="CC82" s="664"/>
      <c r="CD82" s="664"/>
      <c r="CE82" s="664"/>
      <c r="CF82" s="664"/>
      <c r="CG82" s="664"/>
      <c r="CH82" s="664"/>
      <c r="CI82" s="664"/>
      <c r="CJ82" s="664"/>
      <c r="CK82" s="664"/>
      <c r="CL82" s="664"/>
      <c r="CM82" s="664"/>
      <c r="CN82" s="664"/>
      <c r="CO82" s="664"/>
      <c r="CP82" s="664"/>
      <c r="CQ82" s="664"/>
      <c r="CR82" s="664"/>
      <c r="CS82" s="664"/>
      <c r="CT82" s="664"/>
      <c r="CU82" s="664"/>
      <c r="CV82" s="664"/>
      <c r="CW82" s="664"/>
      <c r="CX82" s="664"/>
      <c r="CY82" s="664"/>
      <c r="CZ82" s="664"/>
      <c r="DA82" s="664"/>
      <c r="DB82" s="664"/>
      <c r="DC82" s="664"/>
      <c r="DD82" s="664"/>
      <c r="DE82" s="664"/>
      <c r="DF82" s="664"/>
      <c r="DG82" s="664"/>
      <c r="DH82" s="664"/>
      <c r="DI82" s="664"/>
      <c r="DJ82" s="664"/>
      <c r="DK82" s="664"/>
      <c r="DL82" s="664"/>
      <c r="DM82" s="664"/>
      <c r="DN82" s="664"/>
      <c r="DO82" s="664"/>
      <c r="DP82" s="664"/>
      <c r="DQ82" s="664"/>
      <c r="DR82" s="664"/>
      <c r="DS82" s="664"/>
      <c r="DT82" s="664"/>
      <c r="DU82" s="664"/>
      <c r="DV82" s="664"/>
      <c r="DW82" s="664"/>
      <c r="DX82" s="664"/>
      <c r="DY82" s="664"/>
      <c r="DZ82" s="664"/>
      <c r="EA82" s="664"/>
      <c r="EB82" s="664"/>
      <c r="EC82" s="664"/>
      <c r="ED82" s="664"/>
      <c r="EE82" s="664"/>
      <c r="EF82" s="664"/>
      <c r="EG82" s="664"/>
      <c r="EH82" s="664"/>
      <c r="EI82" s="664"/>
      <c r="EJ82" s="664"/>
      <c r="EK82" s="664"/>
      <c r="EL82" s="664"/>
      <c r="EM82" s="664"/>
      <c r="EN82" s="664"/>
      <c r="EO82" s="664"/>
      <c r="EP82" s="664"/>
      <c r="EQ82" s="664"/>
      <c r="ER82" s="664"/>
      <c r="ES82" s="664"/>
      <c r="ET82" s="664"/>
      <c r="EU82" s="664"/>
      <c r="EV82" s="664"/>
      <c r="EW82" s="664"/>
      <c r="EX82" s="664"/>
      <c r="EY82" s="664"/>
      <c r="EZ82" s="664"/>
      <c r="FA82" s="664"/>
      <c r="FB82" s="664"/>
      <c r="FC82" s="664"/>
      <c r="FD82" s="664"/>
      <c r="FE82" s="664"/>
      <c r="FF82" s="664"/>
      <c r="FG82" s="664"/>
      <c r="FH82" s="664"/>
      <c r="FI82" s="664"/>
      <c r="FJ82" s="664"/>
      <c r="FK82" s="664"/>
      <c r="FL82" s="664"/>
      <c r="FM82" s="664"/>
      <c r="FN82" s="664"/>
      <c r="FO82" s="664"/>
      <c r="FP82" s="664"/>
      <c r="FQ82" s="664"/>
      <c r="FR82" s="664"/>
      <c r="FS82" s="664"/>
      <c r="FT82" s="664"/>
      <c r="FU82" s="664"/>
      <c r="FV82" s="664"/>
      <c r="FW82" s="664"/>
      <c r="FX82" s="664"/>
      <c r="FY82" s="664"/>
      <c r="FZ82" s="664"/>
      <c r="GA82" s="664"/>
      <c r="GB82" s="664"/>
      <c r="GC82" s="664"/>
      <c r="GD82" s="664"/>
      <c r="GE82" s="664"/>
      <c r="GF82" s="664"/>
      <c r="GG82" s="664"/>
      <c r="GH82" s="664"/>
      <c r="GI82" s="664"/>
      <c r="GJ82" s="664"/>
      <c r="GK82" s="664"/>
      <c r="GL82" s="664"/>
      <c r="GM82" s="664"/>
      <c r="GN82" s="664"/>
      <c r="GO82" s="664"/>
      <c r="GP82" s="664"/>
      <c r="GQ82" s="664"/>
      <c r="GR82" s="664"/>
      <c r="GS82" s="664"/>
      <c r="GT82" s="664"/>
      <c r="GU82" s="664"/>
      <c r="GV82" s="664"/>
      <c r="GW82" s="664"/>
      <c r="GX82" s="664"/>
      <c r="GY82" s="664"/>
      <c r="GZ82" s="664"/>
      <c r="HA82" s="664"/>
      <c r="HB82" s="664"/>
      <c r="HC82" s="664"/>
      <c r="HD82" s="664"/>
      <c r="HE82" s="664"/>
      <c r="HF82" s="664"/>
      <c r="HG82" s="664"/>
      <c r="HH82" s="664"/>
      <c r="HI82" s="664"/>
      <c r="HJ82" s="664"/>
      <c r="HK82" s="664"/>
      <c r="HL82" s="664"/>
      <c r="HM82" s="664"/>
      <c r="HN82" s="664"/>
      <c r="HO82" s="664"/>
      <c r="HP82" s="664"/>
      <c r="HQ82" s="664"/>
      <c r="HR82" s="664"/>
      <c r="HS82" s="664"/>
      <c r="HT82" s="664"/>
      <c r="HU82" s="664"/>
      <c r="HV82" s="664"/>
      <c r="HW82" s="664"/>
      <c r="HX82" s="664"/>
      <c r="HY82" s="664"/>
      <c r="HZ82" s="664"/>
      <c r="IA82" s="664"/>
      <c r="IB82" s="664"/>
      <c r="IC82" s="664"/>
      <c r="ID82" s="664"/>
      <c r="IE82" s="664"/>
      <c r="IF82" s="664"/>
      <c r="IG82" s="664"/>
      <c r="IH82" s="664"/>
      <c r="II82" s="664"/>
      <c r="IJ82" s="664"/>
      <c r="IK82" s="664"/>
      <c r="IL82" s="664"/>
      <c r="IM82" s="664"/>
      <c r="IN82" s="664"/>
      <c r="IO82" s="664"/>
      <c r="IP82" s="664"/>
      <c r="IQ82" s="664"/>
      <c r="IR82" s="664"/>
      <c r="IS82" s="664"/>
      <c r="IT82" s="664"/>
      <c r="IU82" s="664"/>
      <c r="IV82" s="664"/>
      <c r="IW82" s="664"/>
    </row>
    <row r="83" customFormat="false" ht="12.75" hidden="false" customHeight="false" outlineLevel="0" collapsed="false">
      <c r="J83" s="0"/>
      <c r="O83" s="0"/>
      <c r="P83" s="0"/>
      <c r="Q83" s="0"/>
      <c r="R83" s="0"/>
      <c r="S83" s="0"/>
      <c r="T83" s="0"/>
      <c r="U83" s="0"/>
      <c r="V83" s="0"/>
      <c r="W83" s="0"/>
      <c r="X83" s="0"/>
      <c r="Y83" s="0"/>
      <c r="Z83" s="461"/>
      <c r="AA83" s="461"/>
      <c r="AB83" s="461"/>
      <c r="AC83" s="461"/>
      <c r="AD83" s="461"/>
      <c r="AE83" s="461"/>
      <c r="AF83" s="461"/>
      <c r="AG83" s="461"/>
      <c r="AH83" s="461"/>
      <c r="AI83" s="461"/>
      <c r="AJ83" s="461"/>
      <c r="AK83" s="461"/>
      <c r="AL83" s="461"/>
      <c r="AM83" s="461"/>
      <c r="AN83" s="461"/>
      <c r="AO83" s="461"/>
      <c r="AP83" s="461"/>
      <c r="AQ83" s="461"/>
      <c r="AR83" s="461"/>
      <c r="AS83" s="461"/>
      <c r="AT83" s="461"/>
    </row>
    <row r="84" customFormat="false" ht="12.75" hidden="false" customHeight="false" outlineLevel="0" collapsed="false">
      <c r="E84" s="0"/>
      <c r="F84" s="0"/>
      <c r="G84" s="0"/>
      <c r="H84" s="0"/>
      <c r="I84" s="0"/>
      <c r="J84" s="0"/>
      <c r="O84" s="0"/>
      <c r="P84" s="0"/>
      <c r="Q84" s="0"/>
      <c r="R84" s="0"/>
      <c r="S84" s="0"/>
      <c r="T84" s="0"/>
      <c r="U84" s="0"/>
      <c r="V84" s="0"/>
      <c r="W84" s="0"/>
      <c r="X84" s="0"/>
      <c r="Y84" s="0"/>
      <c r="Z84" s="663"/>
      <c r="AA84" s="663"/>
      <c r="AB84" s="663"/>
      <c r="AC84" s="663"/>
      <c r="AD84" s="663"/>
      <c r="AE84" s="663"/>
      <c r="AF84" s="663"/>
      <c r="AG84" s="663"/>
      <c r="AH84" s="663"/>
      <c r="AI84" s="663"/>
      <c r="AJ84" s="663"/>
      <c r="AK84" s="663"/>
      <c r="AL84" s="663"/>
      <c r="AM84" s="663"/>
      <c r="AN84" s="663"/>
      <c r="AO84" s="663"/>
      <c r="AP84" s="663"/>
      <c r="AQ84" s="663"/>
      <c r="AR84" s="663"/>
      <c r="AS84" s="663"/>
      <c r="AT84" s="663"/>
    </row>
    <row r="85" customFormat="false" ht="12.75" hidden="false" customHeight="false" outlineLevel="0" collapsed="false">
      <c r="F85" s="0"/>
      <c r="G85" s="0"/>
      <c r="H85" s="0"/>
      <c r="I85" s="0"/>
      <c r="J85" s="0"/>
      <c r="O85" s="0"/>
      <c r="P85" s="0"/>
      <c r="Q85" s="0"/>
      <c r="R85" s="0"/>
      <c r="S85" s="0"/>
      <c r="T85" s="0"/>
      <c r="U85" s="0"/>
      <c r="V85" s="0"/>
      <c r="W85" s="0"/>
      <c r="X85" s="0"/>
      <c r="Y85" s="0"/>
      <c r="Z85" s="461"/>
      <c r="AA85" s="461"/>
      <c r="AB85" s="461"/>
      <c r="AC85" s="461"/>
      <c r="AD85" s="461"/>
      <c r="AE85" s="461"/>
      <c r="AF85" s="461"/>
      <c r="AG85" s="461"/>
      <c r="AH85" s="461"/>
      <c r="AI85" s="461"/>
      <c r="AJ85" s="461"/>
      <c r="AK85" s="461"/>
      <c r="AL85" s="461"/>
      <c r="AM85" s="461"/>
      <c r="AN85" s="461"/>
      <c r="AO85" s="461"/>
      <c r="AP85" s="461"/>
      <c r="AQ85" s="461"/>
      <c r="AR85" s="461"/>
      <c r="AS85" s="461"/>
      <c r="AT85" s="461"/>
    </row>
    <row r="86" customFormat="false" ht="12.75" hidden="false" customHeight="false" outlineLevel="0" collapsed="false">
      <c r="F86" s="0"/>
      <c r="G86" s="0"/>
      <c r="H86" s="0"/>
      <c r="I86" s="0"/>
      <c r="J86" s="0"/>
      <c r="O86" s="0"/>
      <c r="P86" s="0"/>
      <c r="Q86" s="0"/>
      <c r="R86" s="0"/>
      <c r="S86" s="0"/>
      <c r="T86" s="0"/>
      <c r="U86" s="0"/>
      <c r="V86" s="0"/>
      <c r="W86" s="0"/>
      <c r="X86" s="0"/>
      <c r="Y86" s="0"/>
      <c r="Z86" s="461"/>
      <c r="AA86" s="461"/>
      <c r="AB86" s="461"/>
      <c r="AC86" s="461"/>
      <c r="AD86" s="461"/>
      <c r="AE86" s="461"/>
      <c r="AF86" s="461"/>
      <c r="AG86" s="461"/>
      <c r="AH86" s="461"/>
      <c r="AI86" s="461"/>
      <c r="AJ86" s="461"/>
      <c r="AK86" s="461"/>
      <c r="AL86" s="461"/>
      <c r="AM86" s="461"/>
      <c r="AN86" s="461"/>
      <c r="AO86" s="461"/>
      <c r="AP86" s="461"/>
      <c r="AQ86" s="461"/>
      <c r="AR86" s="461"/>
      <c r="AS86" s="461"/>
      <c r="AT86" s="461"/>
    </row>
    <row r="87" customFormat="false" ht="12.75" hidden="false" customHeight="false" outlineLevel="0" collapsed="false">
      <c r="F87" s="0"/>
      <c r="G87" s="0"/>
      <c r="H87" s="0"/>
      <c r="I87" s="0"/>
      <c r="J87" s="0"/>
      <c r="O87" s="0"/>
      <c r="P87" s="0"/>
      <c r="Q87" s="0"/>
      <c r="R87" s="0"/>
      <c r="S87" s="0"/>
      <c r="T87" s="0"/>
      <c r="U87" s="0"/>
      <c r="V87" s="0"/>
      <c r="W87" s="0"/>
      <c r="X87" s="0"/>
      <c r="Y87" s="0"/>
      <c r="Z87" s="461"/>
      <c r="AA87" s="461"/>
      <c r="AB87" s="461"/>
      <c r="AC87" s="461"/>
      <c r="AD87" s="461"/>
      <c r="AE87" s="461"/>
      <c r="AF87" s="461"/>
      <c r="AG87" s="461"/>
      <c r="AH87" s="461"/>
      <c r="AI87" s="461"/>
      <c r="AJ87" s="461"/>
      <c r="AK87" s="461"/>
      <c r="AL87" s="461"/>
      <c r="AM87" s="461"/>
      <c r="AN87" s="461"/>
      <c r="AO87" s="461"/>
      <c r="AP87" s="461"/>
      <c r="AQ87" s="461"/>
      <c r="AR87" s="461"/>
      <c r="AS87" s="461"/>
      <c r="AT87" s="461"/>
    </row>
    <row r="88" customFormat="false" ht="12.75" hidden="false" customHeight="false" outlineLevel="0" collapsed="false">
      <c r="A88" s="0"/>
      <c r="B88" s="0"/>
      <c r="C88" s="0"/>
      <c r="D88" s="0"/>
      <c r="E88" s="0"/>
      <c r="F88" s="0"/>
      <c r="G88" s="0"/>
      <c r="H88" s="0"/>
      <c r="I88" s="0"/>
      <c r="J88" s="0"/>
      <c r="K88" s="0"/>
      <c r="L88" s="0"/>
      <c r="M88" s="0"/>
      <c r="N88" s="0"/>
      <c r="O88" s="0"/>
      <c r="P88" s="0"/>
      <c r="Q88" s="0"/>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row>
    <row r="89" customFormat="false" ht="12.75" hidden="false" customHeight="false" outlineLevel="0" collapsed="false">
      <c r="A89" s="0"/>
      <c r="B89" s="0"/>
      <c r="C89" s="0"/>
      <c r="D89" s="0"/>
      <c r="E89" s="0"/>
      <c r="F89" s="0"/>
      <c r="G89" s="0"/>
      <c r="H89" s="0"/>
      <c r="I89" s="0"/>
      <c r="J89" s="0"/>
      <c r="K89" s="0"/>
      <c r="L89" s="0"/>
      <c r="M89" s="0"/>
      <c r="N89" s="0"/>
      <c r="O89" s="0"/>
      <c r="P89" s="0"/>
      <c r="Q89" s="0"/>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c r="IW89" s="0"/>
    </row>
    <row r="90" customFormat="false" ht="12.75" hidden="false" customHeight="false" outlineLevel="0" collapsed="false">
      <c r="A90" s="0"/>
      <c r="B90" s="0"/>
      <c r="C90" s="0"/>
      <c r="D90" s="0"/>
      <c r="E90" s="0"/>
      <c r="F90" s="0"/>
      <c r="G90" s="0"/>
      <c r="H90" s="0"/>
      <c r="I90" s="0"/>
      <c r="J90" s="0"/>
      <c r="K90" s="0"/>
      <c r="L90" s="0"/>
      <c r="M90" s="0"/>
      <c r="N90" s="0"/>
      <c r="O90" s="0"/>
      <c r="P90" s="0"/>
      <c r="Q90" s="0"/>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row>
    <row r="91" customFormat="false" ht="12.75" hidden="false" customHeight="false" outlineLevel="0" collapsed="false">
      <c r="A91" s="461"/>
      <c r="B91" s="461"/>
      <c r="C91" s="461"/>
      <c r="D91" s="461"/>
      <c r="Z91" s="461"/>
      <c r="AA91" s="461"/>
      <c r="AB91" s="461"/>
      <c r="AC91" s="461"/>
      <c r="AD91" s="461"/>
      <c r="AE91" s="461"/>
      <c r="AF91" s="461"/>
      <c r="AG91" s="461"/>
      <c r="AH91" s="461"/>
      <c r="AI91" s="461"/>
      <c r="AJ91" s="461"/>
      <c r="AK91" s="461"/>
      <c r="AL91" s="461"/>
      <c r="AM91" s="461"/>
      <c r="AN91" s="461"/>
      <c r="AO91" s="461"/>
      <c r="AP91" s="461"/>
      <c r="AQ91" s="461"/>
      <c r="AR91" s="461"/>
      <c r="AS91" s="461"/>
      <c r="AT91" s="461"/>
    </row>
    <row r="92" customFormat="false" ht="12.75" hidden="false" customHeight="false" outlineLevel="0" collapsed="false">
      <c r="A92" s="461"/>
      <c r="B92" s="461"/>
      <c r="C92" s="461"/>
      <c r="D92" s="461"/>
      <c r="E92" s="461"/>
      <c r="F92" s="461"/>
      <c r="G92" s="461"/>
      <c r="H92" s="461"/>
      <c r="I92" s="461"/>
      <c r="J92" s="461"/>
      <c r="K92" s="461"/>
      <c r="L92" s="461"/>
      <c r="M92" s="461"/>
      <c r="N92" s="461"/>
      <c r="O92" s="461"/>
      <c r="P92" s="461"/>
      <c r="Q92" s="461"/>
      <c r="R92" s="461"/>
      <c r="S92" s="461"/>
      <c r="T92" s="461"/>
      <c r="U92" s="461"/>
      <c r="V92" s="461"/>
      <c r="W92" s="461"/>
      <c r="X92" s="461"/>
      <c r="Y92" s="461"/>
      <c r="Z92" s="461"/>
      <c r="AA92" s="461"/>
      <c r="AB92" s="461"/>
      <c r="AC92" s="461"/>
      <c r="AD92" s="461"/>
      <c r="AE92" s="461"/>
      <c r="AF92" s="461"/>
      <c r="AG92" s="461"/>
      <c r="AH92" s="461"/>
      <c r="AI92" s="461"/>
      <c r="AJ92" s="461"/>
      <c r="AK92" s="461"/>
      <c r="AL92" s="461"/>
      <c r="AM92" s="461"/>
      <c r="AN92" s="461"/>
      <c r="AO92" s="461"/>
      <c r="AP92" s="461"/>
      <c r="AQ92" s="461"/>
      <c r="AR92" s="461"/>
      <c r="AS92" s="461"/>
      <c r="AT92" s="461"/>
    </row>
    <row r="93" customFormat="false" ht="12.75" hidden="false" customHeight="false" outlineLevel="0" collapsed="false">
      <c r="A93" s="461"/>
      <c r="B93" s="461"/>
      <c r="C93" s="461"/>
      <c r="D93" s="461"/>
      <c r="E93" s="461"/>
      <c r="F93" s="461"/>
      <c r="G93" s="461"/>
      <c r="H93" s="461"/>
      <c r="I93" s="461"/>
      <c r="J93" s="461"/>
      <c r="K93" s="461"/>
      <c r="L93" s="461"/>
      <c r="M93" s="461"/>
      <c r="N93" s="461"/>
      <c r="O93" s="461"/>
      <c r="P93" s="461"/>
      <c r="Q93" s="461"/>
      <c r="R93" s="461"/>
      <c r="S93" s="461"/>
      <c r="T93" s="461"/>
      <c r="U93" s="461"/>
      <c r="V93" s="461"/>
      <c r="W93" s="461"/>
      <c r="X93" s="461"/>
      <c r="Y93" s="461"/>
      <c r="Z93" s="461"/>
      <c r="AA93" s="461"/>
      <c r="AB93" s="461"/>
      <c r="AC93" s="461"/>
      <c r="AD93" s="461"/>
      <c r="AE93" s="461"/>
      <c r="AF93" s="461"/>
      <c r="AG93" s="461"/>
      <c r="AH93" s="461"/>
      <c r="AI93" s="461"/>
      <c r="AJ93" s="461"/>
      <c r="AK93" s="461"/>
      <c r="AL93" s="461"/>
      <c r="AM93" s="461"/>
      <c r="AN93" s="461"/>
      <c r="AO93" s="461"/>
      <c r="AP93" s="461"/>
      <c r="AQ93" s="461"/>
      <c r="AR93" s="461"/>
      <c r="AS93" s="461"/>
      <c r="AT93" s="461"/>
    </row>
    <row r="94" customFormat="false" ht="12.75" hidden="false" customHeight="false" outlineLevel="0" collapsed="false">
      <c r="A94" s="461"/>
      <c r="B94" s="461"/>
      <c r="C94" s="461"/>
      <c r="D94" s="461"/>
      <c r="E94" s="460"/>
      <c r="F94" s="460"/>
      <c r="G94" s="460"/>
      <c r="H94" s="461"/>
      <c r="I94" s="461"/>
      <c r="J94" s="461"/>
      <c r="K94" s="461"/>
      <c r="L94" s="461"/>
      <c r="M94" s="461"/>
      <c r="N94" s="461"/>
      <c r="O94" s="461"/>
      <c r="P94" s="461"/>
      <c r="Q94" s="461"/>
      <c r="R94" s="461"/>
      <c r="S94" s="461"/>
      <c r="T94" s="461"/>
      <c r="U94" s="461"/>
      <c r="V94" s="461"/>
      <c r="W94" s="461"/>
      <c r="X94" s="461"/>
      <c r="Y94" s="461"/>
      <c r="Z94" s="461"/>
      <c r="AA94" s="461"/>
      <c r="AB94" s="461"/>
      <c r="AC94" s="461"/>
      <c r="AD94" s="461"/>
      <c r="AE94" s="461"/>
      <c r="AF94" s="461"/>
      <c r="AG94" s="461"/>
      <c r="AH94" s="461"/>
      <c r="AI94" s="461"/>
      <c r="AJ94" s="461"/>
      <c r="AK94" s="461"/>
      <c r="AL94" s="461"/>
      <c r="AM94" s="461"/>
      <c r="AN94" s="461"/>
      <c r="AO94" s="461"/>
      <c r="AP94" s="461"/>
      <c r="AQ94" s="461"/>
      <c r="AR94" s="461"/>
      <c r="AS94" s="461"/>
      <c r="AT94" s="461"/>
    </row>
    <row r="95" customFormat="false" ht="12.75" hidden="false" customHeight="false" outlineLevel="0" collapsed="false">
      <c r="A95" s="461"/>
      <c r="B95" s="461"/>
      <c r="C95" s="461"/>
      <c r="D95" s="461"/>
      <c r="E95" s="460"/>
      <c r="F95" s="461"/>
      <c r="G95" s="461"/>
      <c r="H95" s="461"/>
      <c r="I95" s="461"/>
      <c r="J95" s="461"/>
      <c r="K95" s="461"/>
      <c r="L95" s="461"/>
      <c r="M95" s="461"/>
      <c r="N95" s="461"/>
      <c r="O95" s="461"/>
      <c r="P95" s="461"/>
      <c r="Q95" s="461"/>
      <c r="R95" s="461"/>
      <c r="S95" s="461"/>
      <c r="T95" s="461"/>
      <c r="U95" s="461"/>
      <c r="V95" s="461"/>
      <c r="W95" s="461"/>
      <c r="X95" s="461"/>
      <c r="Y95" s="461"/>
      <c r="Z95" s="461"/>
      <c r="AA95" s="461"/>
      <c r="AB95" s="461"/>
      <c r="AC95" s="461"/>
      <c r="AD95" s="461"/>
      <c r="AE95" s="461"/>
      <c r="AF95" s="461"/>
      <c r="AG95" s="461"/>
      <c r="AH95" s="461"/>
      <c r="AI95" s="461"/>
      <c r="AJ95" s="461"/>
      <c r="AK95" s="461"/>
      <c r="AL95" s="461"/>
      <c r="AM95" s="461"/>
      <c r="AN95" s="461"/>
      <c r="AO95" s="461"/>
      <c r="AP95" s="461"/>
      <c r="AQ95" s="461"/>
      <c r="AR95" s="461"/>
      <c r="AS95" s="461"/>
      <c r="AT95" s="461"/>
    </row>
    <row r="96" customFormat="false" ht="12.75" hidden="false" customHeight="false" outlineLevel="0" collapsed="false">
      <c r="A96" s="461"/>
      <c r="B96" s="461"/>
      <c r="C96" s="461"/>
      <c r="D96" s="461"/>
      <c r="E96" s="461"/>
      <c r="F96" s="461"/>
      <c r="G96" s="461"/>
      <c r="H96" s="461"/>
      <c r="I96" s="461"/>
      <c r="J96" s="461"/>
      <c r="K96" s="461"/>
      <c r="L96" s="461"/>
      <c r="M96" s="461"/>
      <c r="N96" s="461"/>
      <c r="O96" s="461"/>
      <c r="P96" s="461"/>
      <c r="Q96" s="461"/>
      <c r="R96" s="461"/>
      <c r="S96" s="461"/>
      <c r="T96" s="461"/>
      <c r="U96" s="461"/>
      <c r="V96" s="461"/>
      <c r="W96" s="461"/>
      <c r="X96" s="461"/>
      <c r="Y96" s="461"/>
      <c r="Z96" s="461"/>
      <c r="AA96" s="461"/>
      <c r="AB96" s="461"/>
      <c r="AC96" s="461"/>
    </row>
    <row r="97" customFormat="false" ht="12.75" hidden="false" customHeight="false" outlineLevel="0" collapsed="false">
      <c r="A97" s="461"/>
      <c r="B97" s="461"/>
      <c r="C97" s="461"/>
      <c r="D97" s="461"/>
      <c r="E97" s="461"/>
      <c r="F97" s="461"/>
      <c r="G97" s="461"/>
      <c r="H97" s="461"/>
      <c r="I97" s="461"/>
      <c r="J97" s="461"/>
      <c r="K97" s="461"/>
      <c r="L97" s="461"/>
      <c r="M97" s="461"/>
      <c r="N97" s="461"/>
      <c r="O97" s="461"/>
      <c r="P97" s="461"/>
      <c r="Q97" s="461"/>
      <c r="R97" s="461"/>
      <c r="S97" s="461"/>
      <c r="T97" s="461"/>
      <c r="U97" s="461"/>
      <c r="V97" s="461"/>
      <c r="W97" s="461"/>
      <c r="X97" s="461"/>
      <c r="Y97" s="461"/>
      <c r="Z97" s="461"/>
      <c r="AA97" s="461"/>
      <c r="AB97" s="461"/>
      <c r="AC97" s="461"/>
    </row>
    <row r="98" customFormat="false" ht="12.75" hidden="false" customHeight="false" outlineLevel="0" collapsed="false">
      <c r="A98" s="461"/>
      <c r="B98" s="461"/>
      <c r="C98" s="461"/>
      <c r="D98" s="461"/>
      <c r="E98" s="461"/>
      <c r="F98" s="461"/>
      <c r="G98" s="461"/>
      <c r="H98" s="461"/>
      <c r="I98" s="461"/>
      <c r="J98" s="461"/>
      <c r="K98" s="461"/>
      <c r="L98" s="461"/>
      <c r="M98" s="461"/>
      <c r="N98" s="461"/>
      <c r="O98" s="461"/>
      <c r="P98" s="461"/>
      <c r="Q98" s="461"/>
      <c r="R98" s="461"/>
      <c r="S98" s="461"/>
      <c r="T98" s="461"/>
      <c r="U98" s="461"/>
      <c r="V98" s="461"/>
      <c r="W98" s="461"/>
      <c r="X98" s="461"/>
      <c r="Y98" s="461"/>
      <c r="Z98" s="461"/>
      <c r="AA98" s="461"/>
      <c r="AB98" s="461"/>
      <c r="AC98" s="461"/>
    </row>
    <row r="99" customFormat="false" ht="12.75" hidden="false" customHeight="false" outlineLevel="0" collapsed="false">
      <c r="A99" s="461"/>
      <c r="B99" s="461"/>
      <c r="C99" s="461"/>
      <c r="D99" s="461"/>
      <c r="E99" s="461"/>
      <c r="F99" s="461"/>
      <c r="G99" s="461"/>
      <c r="H99" s="461"/>
      <c r="I99" s="461"/>
      <c r="J99" s="461"/>
      <c r="K99" s="461"/>
      <c r="L99" s="461"/>
      <c r="M99" s="461"/>
      <c r="N99" s="461"/>
      <c r="O99" s="461"/>
      <c r="P99" s="461"/>
      <c r="Q99" s="461"/>
      <c r="R99" s="461"/>
      <c r="S99" s="461"/>
      <c r="T99" s="461"/>
      <c r="U99" s="461"/>
      <c r="V99" s="461"/>
      <c r="W99" s="461"/>
      <c r="X99" s="461"/>
      <c r="Y99" s="461"/>
      <c r="Z99" s="461"/>
      <c r="AA99" s="461"/>
      <c r="AB99" s="461"/>
      <c r="AC99" s="461"/>
    </row>
    <row r="100" customFormat="false" ht="12.75" hidden="false" customHeight="false" outlineLevel="0" collapsed="false">
      <c r="E100" s="461"/>
      <c r="F100" s="461"/>
      <c r="G100" s="461"/>
      <c r="H100" s="461"/>
      <c r="I100" s="461"/>
      <c r="J100" s="461"/>
      <c r="K100" s="461"/>
      <c r="L100" s="461"/>
      <c r="M100" s="461"/>
      <c r="N100" s="461"/>
      <c r="O100" s="461"/>
      <c r="P100" s="461"/>
      <c r="Q100" s="461"/>
      <c r="R100" s="461"/>
      <c r="S100" s="461"/>
      <c r="T100" s="461"/>
      <c r="U100" s="461"/>
      <c r="V100" s="461"/>
      <c r="W100" s="461"/>
      <c r="X100" s="461"/>
      <c r="Y100" s="461"/>
      <c r="Z100" s="461"/>
      <c r="AA100" s="461"/>
      <c r="AB100" s="461"/>
      <c r="AC100" s="461"/>
    </row>
  </sheetData>
  <printOptions headings="false" gridLines="false" gridLinesSet="true" horizontalCentered="false" verticalCentered="false"/>
  <pageMargins left="0.25" right="0.229861111111111" top="0.320138888888889" bottom="0.4" header="0.511811023622047" footer="0.4"/>
  <pageSetup paperSize="1" scale="100" fitToWidth="1" fitToHeight="1" pageOrder="downThenOver" orientation="landscape" blackAndWhite="false" draft="false" cellComments="none" horizontalDpi="300" verticalDpi="300" copies="1"/>
  <headerFooter differentFirst="false" differentOddEven="false">
    <oddHeader/>
    <oddFooter>&amp;L&amp;D&amp;R&amp;F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69">
              <controlPr defaultSize="0" print="false" autoFill="0" autoPict="0" macro="Module6.Print_EWCSum">
                <anchor moveWithCells="true" sizeWithCells="false">
                  <from>
                    <xdr:col>2</xdr:col>
                    <xdr:colOff>9720</xdr:colOff>
                    <xdr:row>0</xdr:row>
                    <xdr:rowOff>28440</xdr:rowOff>
                  </from>
                  <to>
                    <xdr:col>3</xdr:col>
                    <xdr:colOff>-28800</xdr:colOff>
                    <xdr:row>1</xdr:row>
                    <xdr:rowOff>28800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U57"/>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F39" activeCellId="0" sqref="F39"/>
    </sheetView>
  </sheetViews>
  <sheetFormatPr defaultColWidth="8.70703125" defaultRowHeight="12.75" customHeight="true" zeroHeight="false" outlineLevelRow="0" outlineLevelCol="0"/>
  <cols>
    <col collapsed="false" customWidth="true" hidden="false" outlineLevel="0" max="2" min="2" style="21" width="40.99"/>
    <col collapsed="false" customWidth="true" hidden="false" outlineLevel="0" max="3" min="3" style="21" width="5.71"/>
    <col collapsed="false" customWidth="true" hidden="false" outlineLevel="0" max="4" min="4" style="0" width="5.28"/>
    <col collapsed="false" customWidth="true" hidden="false" outlineLevel="0" max="5" min="5" style="100" width="14.85"/>
    <col collapsed="false" customWidth="true" hidden="false" outlineLevel="0" max="8" min="6" style="21" width="14.85"/>
    <col collapsed="false" customWidth="true" hidden="false" outlineLevel="0" max="9" min="9" style="0" width="11.13"/>
    <col collapsed="false" customWidth="true" hidden="false" outlineLevel="0" max="10" min="10" style="0" width="11.7"/>
    <col collapsed="false" customWidth="true" hidden="false" outlineLevel="0" max="11" min="11" style="0" width="12.42"/>
    <col collapsed="false" customWidth="true" hidden="false" outlineLevel="0" max="12" min="12" style="0" width="7.7"/>
    <col collapsed="false" customWidth="true" hidden="false" outlineLevel="0" max="13" min="13" style="0" width="41.99"/>
  </cols>
  <sheetData>
    <row r="1" customFormat="false" ht="15.75" hidden="false" customHeight="false" outlineLevel="0" collapsed="false">
      <c r="A1" s="124"/>
      <c r="B1" s="666" t="s">
        <v>491</v>
      </c>
      <c r="C1" s="666"/>
      <c r="E1" s="130"/>
      <c r="F1" s="2" t="str">
        <f aca="false">ExecSum!$E$4</f>
        <v>SMUD - Solano 34.50MW Project</v>
      </c>
      <c r="I1" s="124"/>
      <c r="J1" s="124"/>
      <c r="K1" s="124"/>
      <c r="N1" s="124"/>
      <c r="O1" s="124"/>
      <c r="P1" s="124"/>
      <c r="Q1" s="124"/>
      <c r="R1" s="124"/>
      <c r="S1" s="124"/>
      <c r="T1" s="124"/>
      <c r="U1" s="124"/>
    </row>
    <row r="2" customFormat="false" ht="12.75" hidden="false" customHeight="false" outlineLevel="0" collapsed="false">
      <c r="A2" s="124"/>
      <c r="F2" s="23"/>
      <c r="I2" s="124"/>
      <c r="J2" s="124"/>
      <c r="K2" s="124"/>
      <c r="N2" s="124"/>
      <c r="O2" s="124"/>
      <c r="P2" s="124"/>
      <c r="Q2" s="124"/>
      <c r="R2" s="124"/>
      <c r="S2" s="124"/>
      <c r="T2" s="124"/>
      <c r="U2" s="124"/>
    </row>
    <row r="3" customFormat="false" ht="12.75" hidden="false" customHeight="false" outlineLevel="0" collapsed="false">
      <c r="A3" s="124"/>
      <c r="B3" s="667" t="str">
        <f aca="false">Assum!B21</f>
        <v>EXCHANGE RATE                 Local Currency  = </v>
      </c>
      <c r="C3" s="667"/>
      <c r="D3" s="668" t="str">
        <f aca="false">Assum!E21</f>
        <v>  $</v>
      </c>
      <c r="E3" s="669" t="n">
        <f aca="false">Assum!F21</f>
        <v>1</v>
      </c>
      <c r="I3" s="124"/>
      <c r="J3" s="124"/>
      <c r="K3" s="124"/>
      <c r="N3" s="124"/>
      <c r="O3" s="124"/>
      <c r="P3" s="124"/>
      <c r="Q3" s="124"/>
      <c r="R3" s="124"/>
      <c r="S3" s="124"/>
      <c r="T3" s="124"/>
      <c r="U3" s="124"/>
    </row>
    <row r="4" customFormat="false" ht="12.75" hidden="false" customHeight="false" outlineLevel="0" collapsed="false">
      <c r="A4" s="124"/>
      <c r="B4" s="24"/>
      <c r="C4" s="24"/>
      <c r="I4" s="124"/>
      <c r="J4" s="124"/>
      <c r="N4" s="124"/>
      <c r="O4" s="124"/>
      <c r="P4" s="124"/>
      <c r="Q4" s="124"/>
      <c r="R4" s="124"/>
      <c r="S4" s="124"/>
      <c r="T4" s="124"/>
      <c r="U4" s="124"/>
    </row>
    <row r="5" customFormat="false" ht="12.75" hidden="false" customHeight="false" outlineLevel="0" collapsed="false">
      <c r="A5" s="124"/>
      <c r="B5" s="670" t="s">
        <v>420</v>
      </c>
      <c r="C5" s="671"/>
      <c r="D5" s="17"/>
      <c r="E5" s="115" t="s">
        <v>76</v>
      </c>
      <c r="F5" s="116" t="s">
        <v>492</v>
      </c>
      <c r="G5" s="116" t="s">
        <v>78</v>
      </c>
      <c r="H5" s="116" t="s">
        <v>24</v>
      </c>
      <c r="I5" s="124"/>
      <c r="J5" s="129" t="s">
        <v>493</v>
      </c>
      <c r="K5" s="118"/>
      <c r="N5" s="124"/>
      <c r="O5" s="124"/>
      <c r="P5" s="124"/>
      <c r="Q5" s="124"/>
      <c r="R5" s="124"/>
      <c r="S5" s="124"/>
      <c r="T5" s="124"/>
      <c r="U5" s="124"/>
    </row>
    <row r="6" customFormat="false" ht="12.75" hidden="false" customHeight="false" outlineLevel="0" collapsed="false">
      <c r="A6" s="124"/>
      <c r="B6" s="118" t="s">
        <v>494</v>
      </c>
      <c r="C6" s="118"/>
      <c r="E6" s="672" t="n">
        <f aca="false">(IF(Assum!E327=1,$E$3*Assum!E330,J6*Assum!D330))</f>
        <v>26230.8505492135</v>
      </c>
      <c r="F6" s="673" t="n">
        <f aca="false">$E6/$E$12</f>
        <v>0.671265069638178</v>
      </c>
      <c r="G6" s="120" t="n">
        <f aca="false">E6/Assum!$F$31</f>
        <v>760.314508672855</v>
      </c>
      <c r="H6" s="120" t="n">
        <f aca="false">E6/Assum!$F$30</f>
        <v>1140.47176300928</v>
      </c>
      <c r="I6" s="124"/>
      <c r="J6" s="124" t="n">
        <f aca="false">E33-SUM(E8:E9)</f>
        <v>26495.8086355692</v>
      </c>
      <c r="K6" s="118"/>
      <c r="L6" s="122"/>
      <c r="M6" s="124"/>
      <c r="N6" s="124"/>
      <c r="O6" s="124"/>
      <c r="P6" s="124"/>
      <c r="Q6" s="124"/>
      <c r="R6" s="124"/>
      <c r="S6" s="124"/>
      <c r="T6" s="124"/>
      <c r="U6" s="124"/>
    </row>
    <row r="7" customFormat="false" ht="12.75" hidden="false" customHeight="false" outlineLevel="0" collapsed="false">
      <c r="A7" s="124"/>
      <c r="B7" s="118" t="s">
        <v>495</v>
      </c>
      <c r="C7" s="118"/>
      <c r="E7" s="672" t="n">
        <f aca="false">(IF(Assum!E327=1,$E$3*Assum!E331,J6*Assum!D331))</f>
        <v>264.958086355692</v>
      </c>
      <c r="F7" s="673" t="n">
        <f aca="false">$E7/$E$12</f>
        <v>0.00678045524887048</v>
      </c>
      <c r="G7" s="120" t="n">
        <f aca="false">E7/Assum!$F$31</f>
        <v>7.67994453204905</v>
      </c>
      <c r="H7" s="120" t="n">
        <f aca="false">E7/Assum!$F$30</f>
        <v>11.5199167980736</v>
      </c>
      <c r="I7" s="124"/>
      <c r="J7" s="124"/>
      <c r="K7" s="118"/>
      <c r="L7" s="118"/>
      <c r="N7" s="124"/>
      <c r="O7" s="124"/>
      <c r="P7" s="124"/>
      <c r="Q7" s="124"/>
      <c r="R7" s="124"/>
      <c r="S7" s="124"/>
      <c r="T7" s="124"/>
      <c r="U7" s="124"/>
    </row>
    <row r="8" customFormat="false" ht="12.75" hidden="false" customHeight="false" outlineLevel="0" collapsed="false">
      <c r="A8" s="124"/>
      <c r="B8" s="118" t="s">
        <v>496</v>
      </c>
      <c r="C8" s="118"/>
      <c r="E8" s="674" t="n">
        <f aca="false">SrDebt!C123</f>
        <v>12580.9312927461</v>
      </c>
      <c r="F8" s="673" t="n">
        <f aca="false">$E8/$E$12</f>
        <v>0.321954475112952</v>
      </c>
      <c r="G8" s="120" t="n">
        <f aca="false">E8/Assum!$F$31</f>
        <v>364.66467515206</v>
      </c>
      <c r="H8" s="120" t="n">
        <f aca="false">E8/Assum!$F$30</f>
        <v>546.99701272809</v>
      </c>
      <c r="I8" s="262"/>
      <c r="K8" s="118"/>
      <c r="L8" s="118"/>
      <c r="N8" s="124"/>
      <c r="O8" s="124"/>
      <c r="P8" s="124"/>
      <c r="Q8" s="124"/>
      <c r="R8" s="124"/>
      <c r="S8" s="124"/>
      <c r="T8" s="124"/>
      <c r="U8" s="124"/>
    </row>
    <row r="9" customFormat="false" ht="12.75" hidden="false" customHeight="false" outlineLevel="0" collapsed="false">
      <c r="A9" s="124"/>
      <c r="B9" s="23" t="s">
        <v>497</v>
      </c>
      <c r="C9" s="23"/>
      <c r="E9" s="100" t="n">
        <f aca="false">JrDebt!C70</f>
        <v>0</v>
      </c>
      <c r="F9" s="673" t="n">
        <f aca="false">$E9/$E$12</f>
        <v>0</v>
      </c>
      <c r="G9" s="120" t="n">
        <f aca="false">E9/Assum!$F$31</f>
        <v>0</v>
      </c>
      <c r="H9" s="120" t="n">
        <f aca="false">E9/Assum!$F$30</f>
        <v>0</v>
      </c>
      <c r="I9" s="124"/>
      <c r="K9" s="122"/>
      <c r="L9" s="122"/>
      <c r="M9" s="117"/>
      <c r="N9" s="124"/>
      <c r="O9" s="124"/>
      <c r="P9" s="124"/>
      <c r="Q9" s="124"/>
      <c r="R9" s="124"/>
      <c r="S9" s="124"/>
      <c r="T9" s="124"/>
      <c r="U9" s="124"/>
    </row>
    <row r="10" customFormat="false" ht="13.5" hidden="false" customHeight="false" outlineLevel="0" collapsed="false">
      <c r="A10" s="124"/>
      <c r="B10" s="675" t="s">
        <v>498</v>
      </c>
      <c r="C10" s="676"/>
      <c r="D10" s="132"/>
      <c r="E10" s="677" t="n">
        <f aca="false">SUM(E6:E9)</f>
        <v>39076.7399283153</v>
      </c>
      <c r="F10" s="678" t="n">
        <f aca="false">$E10/$E$12</f>
        <v>1</v>
      </c>
      <c r="G10" s="679" t="n">
        <f aca="false">E10/Assum!$F$31</f>
        <v>1132.65912835696</v>
      </c>
      <c r="H10" s="679" t="n">
        <f aca="false">E10/Assum!$F$30</f>
        <v>1698.98869253545</v>
      </c>
      <c r="I10" s="124"/>
      <c r="K10" s="122"/>
      <c r="L10" s="122"/>
      <c r="M10" s="123"/>
      <c r="N10" s="124"/>
      <c r="O10" s="124"/>
      <c r="P10" s="124"/>
      <c r="Q10" s="124"/>
      <c r="R10" s="124"/>
      <c r="S10" s="124"/>
      <c r="T10" s="124"/>
      <c r="U10" s="124"/>
    </row>
    <row r="11" customFormat="false" ht="13.5" hidden="false" customHeight="false" outlineLevel="0" collapsed="false">
      <c r="A11" s="124"/>
      <c r="B11" s="40" t="s">
        <v>499</v>
      </c>
      <c r="C11" s="40"/>
      <c r="D11" s="680"/>
      <c r="E11" s="681"/>
      <c r="F11" s="673"/>
      <c r="G11" s="682"/>
      <c r="H11" s="682"/>
      <c r="I11" s="124"/>
      <c r="K11" s="122"/>
      <c r="L11" s="683"/>
      <c r="M11" s="684"/>
      <c r="N11" s="124"/>
      <c r="O11" s="124"/>
      <c r="P11" s="124"/>
      <c r="Q11" s="124"/>
      <c r="R11" s="124"/>
      <c r="S11" s="124"/>
      <c r="T11" s="124"/>
      <c r="U11" s="124"/>
    </row>
    <row r="12" customFormat="false" ht="13.5" hidden="false" customHeight="false" outlineLevel="0" collapsed="false">
      <c r="A12" s="124"/>
      <c r="B12" s="685" t="s">
        <v>500</v>
      </c>
      <c r="C12" s="686"/>
      <c r="D12" s="15"/>
      <c r="E12" s="687" t="n">
        <f aca="false">SUM(E10:E11)</f>
        <v>39076.7399283153</v>
      </c>
      <c r="F12" s="688" t="n">
        <f aca="false">$E12/$E$12</f>
        <v>1</v>
      </c>
      <c r="G12" s="689" t="n">
        <f aca="false">E12/Assum!$F$31</f>
        <v>1132.65912835696</v>
      </c>
      <c r="H12" s="689" t="n">
        <f aca="false">E12/Assum!$F$30</f>
        <v>1698.98869253545</v>
      </c>
      <c r="I12" s="124"/>
      <c r="K12" s="122"/>
      <c r="L12" s="683"/>
      <c r="M12" s="126"/>
      <c r="N12" s="124"/>
      <c r="O12" s="124"/>
      <c r="P12" s="124"/>
      <c r="Q12" s="124"/>
      <c r="R12" s="124"/>
      <c r="S12" s="124"/>
      <c r="T12" s="124"/>
      <c r="U12" s="124"/>
    </row>
    <row r="13" customFormat="false" ht="12.75" hidden="false" customHeight="false" outlineLevel="0" collapsed="false">
      <c r="A13" s="124"/>
      <c r="B13" s="23"/>
      <c r="C13" s="23"/>
      <c r="E13" s="674"/>
      <c r="F13" s="120"/>
      <c r="G13" s="690"/>
      <c r="H13" s="690" t="n">
        <f aca="false">E13/Assum!$F$30</f>
        <v>0</v>
      </c>
      <c r="I13" s="124"/>
      <c r="K13" s="122"/>
      <c r="L13" s="683"/>
      <c r="M13" s="127"/>
      <c r="N13" s="124"/>
      <c r="O13" s="124"/>
      <c r="P13" s="124"/>
      <c r="Q13" s="124"/>
      <c r="R13" s="124"/>
      <c r="S13" s="124"/>
      <c r="T13" s="124"/>
      <c r="U13" s="124"/>
    </row>
    <row r="14" customFormat="false" ht="12.75" hidden="false" customHeight="false" outlineLevel="0" collapsed="false">
      <c r="A14" s="124"/>
      <c r="B14" s="670" t="s">
        <v>430</v>
      </c>
      <c r="C14" s="671"/>
      <c r="E14" s="59"/>
      <c r="F14" s="64"/>
      <c r="G14" s="24"/>
      <c r="H14" s="24" t="n">
        <f aca="false">E14/Assum!$F$30</f>
        <v>0</v>
      </c>
      <c r="I14" s="124"/>
      <c r="K14" s="122"/>
      <c r="N14" s="124"/>
      <c r="O14" s="124"/>
      <c r="P14" s="124"/>
      <c r="Q14" s="124"/>
      <c r="R14" s="124"/>
      <c r="S14" s="124"/>
      <c r="T14" s="124"/>
      <c r="U14" s="124"/>
    </row>
    <row r="15" customFormat="false" ht="12.75" hidden="false" customHeight="false" outlineLevel="0" collapsed="false">
      <c r="A15" s="124"/>
      <c r="B15" s="118" t="str">
        <f aca="false">Assum!B35</f>
        <v>PRIMARY FACILITY COSTS</v>
      </c>
      <c r="C15" s="118"/>
      <c r="E15" s="59" t="n">
        <f aca="false">Assum!F36</f>
        <v>33214.8225959142</v>
      </c>
      <c r="F15" s="119" t="n">
        <f aca="false">E15/E$33</f>
        <v>0.849989601405988</v>
      </c>
      <c r="G15" s="120" t="n">
        <f aca="false">E15/Assum!$F$31</f>
        <v>962.74848104099</v>
      </c>
      <c r="H15" s="120" t="n">
        <f aca="false">E15/Assum!$F$30</f>
        <v>1444.12272156148</v>
      </c>
      <c r="I15" s="114"/>
      <c r="K15" s="122"/>
      <c r="L15" s="122"/>
      <c r="M15" s="121"/>
      <c r="N15" s="124"/>
      <c r="O15" s="124"/>
      <c r="P15" s="124"/>
      <c r="Q15" s="124"/>
      <c r="R15" s="124"/>
      <c r="S15" s="124"/>
      <c r="T15" s="124"/>
      <c r="U15" s="124"/>
    </row>
    <row r="16" customFormat="false" ht="12.75" hidden="false" customHeight="false" outlineLevel="0" collapsed="false">
      <c r="A16" s="124"/>
      <c r="B16" s="118" t="str">
        <f aca="false">Assum!B55</f>
        <v>PREDEVELOPMENT EXPENSES TOTAL</v>
      </c>
      <c r="C16" s="118"/>
      <c r="E16" s="59" t="n">
        <f aca="false">$E$3*Assum!F55</f>
        <v>1013</v>
      </c>
      <c r="F16" s="119" t="n">
        <f aca="false">E16/E$33</f>
        <v>0.0259233498459265</v>
      </c>
      <c r="G16" s="120" t="n">
        <f aca="false">E16/Assum!$F$31</f>
        <v>29.3623188405797</v>
      </c>
      <c r="H16" s="120" t="n">
        <f aca="false">E16/Assum!$F$30</f>
        <v>44.0434782608696</v>
      </c>
      <c r="I16" s="124"/>
      <c r="K16" s="122"/>
      <c r="L16" s="122"/>
      <c r="M16" s="121"/>
      <c r="N16" s="124"/>
      <c r="O16" s="124"/>
      <c r="P16" s="124"/>
      <c r="Q16" s="124"/>
      <c r="R16" s="124"/>
      <c r="S16" s="124"/>
      <c r="T16" s="124"/>
      <c r="U16" s="124"/>
    </row>
    <row r="17" customFormat="false" ht="12.75" hidden="false" customHeight="false" outlineLevel="0" collapsed="false">
      <c r="A17" s="124"/>
      <c r="B17" s="118" t="s">
        <v>163</v>
      </c>
      <c r="C17" s="118"/>
      <c r="E17" s="59" t="n">
        <f aca="false">Assum!F60</f>
        <v>95.391</v>
      </c>
      <c r="F17" s="691" t="n">
        <f aca="false">E17/E$33</f>
        <v>0.0024411197089366</v>
      </c>
      <c r="G17" s="682" t="n">
        <f aca="false">E17/Assum!$F$31</f>
        <v>2.76495652173913</v>
      </c>
      <c r="H17" s="682" t="n">
        <f aca="false">E17/Assum!$F$30</f>
        <v>4.1474347826087</v>
      </c>
      <c r="I17" s="124"/>
      <c r="K17" s="122"/>
      <c r="L17" s="122"/>
      <c r="M17" s="121"/>
      <c r="N17" s="124"/>
      <c r="O17" s="124"/>
      <c r="P17" s="124"/>
      <c r="Q17" s="124"/>
      <c r="R17" s="124"/>
      <c r="S17" s="124"/>
      <c r="T17" s="124"/>
      <c r="U17" s="124"/>
    </row>
    <row r="18" customFormat="false" ht="12.75" hidden="false" customHeight="false" outlineLevel="0" collapsed="false">
      <c r="A18" s="124"/>
      <c r="B18" s="118" t="s">
        <v>501</v>
      </c>
      <c r="C18" s="118"/>
      <c r="E18" s="59" t="n">
        <f aca="false">IF(ISERROR(Assum!F61),0,Assum!F61)</f>
        <v>709.812363009924</v>
      </c>
      <c r="F18" s="119" t="n">
        <f aca="false">E18/E$33</f>
        <v>0.0181645747396545</v>
      </c>
      <c r="G18" s="120" t="n">
        <f aca="false">E18/Assum!$F$31</f>
        <v>20.574271391592</v>
      </c>
      <c r="H18" s="120" t="n">
        <f aca="false">E18/Assum!$F$30</f>
        <v>30.861407087388</v>
      </c>
      <c r="I18" s="124"/>
      <c r="K18" s="122"/>
      <c r="L18" s="122"/>
      <c r="M18" s="121"/>
      <c r="N18" s="124"/>
      <c r="O18" s="124"/>
      <c r="P18" s="59"/>
      <c r="Q18" s="124"/>
      <c r="R18" s="124"/>
      <c r="S18" s="124"/>
      <c r="T18" s="124"/>
      <c r="U18" s="124"/>
    </row>
    <row r="19" customFormat="false" ht="12.75" hidden="false" customHeight="false" outlineLevel="0" collapsed="false">
      <c r="A19" s="124"/>
      <c r="B19" s="118" t="str">
        <f aca="false">Assum!B62</f>
        <v>EPC WARRANTY FEE</v>
      </c>
      <c r="C19" s="118"/>
      <c r="E19" s="59" t="n">
        <f aca="false">$E$3*Assum!F62</f>
        <v>0</v>
      </c>
      <c r="F19" s="119" t="n">
        <f aca="false">E19/E$33</f>
        <v>0</v>
      </c>
      <c r="G19" s="120" t="n">
        <f aca="false">E19/Assum!$F$31</f>
        <v>0</v>
      </c>
      <c r="H19" s="120" t="n">
        <f aca="false">E19/Assum!$F$30</f>
        <v>0</v>
      </c>
      <c r="I19" s="692" t="str">
        <f aca="false">IF(Assum!D175=1,"CASHFLOW FEE","")</f>
        <v>CASHFLOW FEE</v>
      </c>
      <c r="K19" s="122"/>
      <c r="L19" s="122"/>
      <c r="M19" s="121"/>
      <c r="N19" s="124"/>
      <c r="O19" s="124"/>
      <c r="P19" s="124"/>
      <c r="Q19" s="124"/>
      <c r="R19" s="124"/>
      <c r="S19" s="124"/>
      <c r="T19" s="124"/>
      <c r="U19" s="124"/>
    </row>
    <row r="20" customFormat="false" ht="12.75" hidden="false" customHeight="false" outlineLevel="0" collapsed="false">
      <c r="A20" s="124"/>
      <c r="B20" s="118" t="str">
        <f aca="false">Assum!B67</f>
        <v>LEGAL CLOSING</v>
      </c>
      <c r="C20" s="118"/>
      <c r="E20" s="59" t="n">
        <f aca="false">$E$3*Assum!F67</f>
        <v>1300</v>
      </c>
      <c r="F20" s="119" t="n">
        <f aca="false">E20/E$33</f>
        <v>0.0332678724577536</v>
      </c>
      <c r="G20" s="120" t="n">
        <f aca="false">E20/Assum!$F$31</f>
        <v>37.6811594202899</v>
      </c>
      <c r="H20" s="120" t="n">
        <f aca="false">E20/Assum!$F$30</f>
        <v>56.5217391304348</v>
      </c>
      <c r="I20" s="124"/>
      <c r="K20" s="122"/>
      <c r="L20" s="122"/>
      <c r="M20" s="693"/>
      <c r="N20" s="124"/>
      <c r="O20" s="124"/>
      <c r="P20" s="124"/>
      <c r="Q20" s="124"/>
      <c r="R20" s="124"/>
      <c r="S20" s="124"/>
      <c r="T20" s="124"/>
      <c r="U20" s="124"/>
    </row>
    <row r="21" customFormat="false" ht="12.75" hidden="false" customHeight="false" outlineLevel="0" collapsed="false">
      <c r="A21" s="124"/>
      <c r="B21" s="118" t="str">
        <f aca="false">Assum!B68</f>
        <v>BANKING DUE DILIGENCE EXPENSES</v>
      </c>
      <c r="C21" s="118"/>
      <c r="E21" s="59" t="n">
        <f aca="false">$E$3*Assum!F68</f>
        <v>100</v>
      </c>
      <c r="F21" s="119" t="n">
        <f aca="false">E21/E$33</f>
        <v>0.00255906711213489</v>
      </c>
      <c r="G21" s="120" t="n">
        <f aca="false">E21/Assum!$F$31</f>
        <v>2.89855072463768</v>
      </c>
      <c r="H21" s="120" t="n">
        <f aca="false">E21/Assum!$F$30</f>
        <v>4.34782608695652</v>
      </c>
      <c r="I21" s="124"/>
      <c r="K21" s="122"/>
      <c r="L21" s="122"/>
      <c r="M21" s="694"/>
      <c r="N21" s="124"/>
      <c r="O21" s="124"/>
      <c r="P21" s="124"/>
      <c r="Q21" s="124"/>
      <c r="R21" s="124"/>
      <c r="S21" s="124"/>
      <c r="T21" s="124"/>
      <c r="U21" s="124"/>
    </row>
    <row r="22" customFormat="false" ht="12.75" hidden="false" customHeight="false" outlineLevel="0" collapsed="false">
      <c r="A22" s="124"/>
      <c r="B22" s="118" t="str">
        <f aca="false">Assum!B69</f>
        <v>INDEPENDENT ENGINEER</v>
      </c>
      <c r="C22" s="118"/>
      <c r="E22" s="59" t="n">
        <f aca="false">$E$3*Assum!F69</f>
        <v>40</v>
      </c>
      <c r="F22" s="119" t="n">
        <f aca="false">E22/E$33</f>
        <v>0.00102362684485396</v>
      </c>
      <c r="G22" s="120" t="n">
        <f aca="false">E22/Assum!$F$31</f>
        <v>1.15942028985507</v>
      </c>
      <c r="H22" s="120" t="n">
        <f aca="false">E22/Assum!$F$30</f>
        <v>1.73913043478261</v>
      </c>
      <c r="I22" s="124"/>
      <c r="K22" s="122"/>
      <c r="L22" s="122"/>
      <c r="M22" s="694"/>
      <c r="N22" s="124"/>
      <c r="O22" s="124"/>
      <c r="P22" s="124"/>
      <c r="Q22" s="124"/>
      <c r="R22" s="124"/>
      <c r="S22" s="124"/>
      <c r="T22" s="124"/>
      <c r="U22" s="124"/>
    </row>
    <row r="23" customFormat="false" ht="12.75" hidden="false" customHeight="false" outlineLevel="0" collapsed="false">
      <c r="A23" s="124"/>
      <c r="B23" s="118" t="str">
        <f aca="false">Assum!B70</f>
        <v>INSURANCE CONSULTANT FEES</v>
      </c>
      <c r="C23" s="118"/>
      <c r="E23" s="59" t="n">
        <f aca="false">$E$3*Assum!F70</f>
        <v>25</v>
      </c>
      <c r="F23" s="119" t="n">
        <f aca="false">E23/E$33</f>
        <v>0.000639766778033723</v>
      </c>
      <c r="G23" s="120" t="n">
        <f aca="false">E23/Assum!$F$31</f>
        <v>0.72463768115942</v>
      </c>
      <c r="H23" s="120" t="n">
        <f aca="false">E23/Assum!$F$30</f>
        <v>1.08695652173913</v>
      </c>
      <c r="I23" s="124"/>
      <c r="K23" s="122"/>
      <c r="L23" s="122"/>
      <c r="M23" s="694"/>
      <c r="N23" s="124"/>
      <c r="O23" s="124"/>
      <c r="P23" s="124"/>
      <c r="Q23" s="124"/>
      <c r="R23" s="124"/>
      <c r="S23" s="124"/>
      <c r="T23" s="124"/>
      <c r="U23" s="124"/>
    </row>
    <row r="24" customFormat="false" ht="12.75" hidden="false" customHeight="false" outlineLevel="0" collapsed="false">
      <c r="A24" s="124"/>
      <c r="B24" s="118" t="str">
        <f aca="false">Assum!B71</f>
        <v>INITIAL WORKING CAPITAL </v>
      </c>
      <c r="C24" s="118"/>
      <c r="E24" s="59" t="n">
        <f aca="false">$E$3*Assum!F71</f>
        <v>197.5</v>
      </c>
      <c r="F24" s="119" t="n">
        <f aca="false">E24/E$33</f>
        <v>0.00505415754646641</v>
      </c>
      <c r="G24" s="120" t="n">
        <f aca="false">E24/Assum!$F$31</f>
        <v>5.72463768115942</v>
      </c>
      <c r="H24" s="120" t="n">
        <f aca="false">E24/Assum!$F$30</f>
        <v>8.58695652173913</v>
      </c>
      <c r="I24" s="124"/>
      <c r="K24" s="122"/>
      <c r="L24" s="122"/>
      <c r="M24" s="23"/>
      <c r="N24" s="124"/>
      <c r="O24" s="124"/>
      <c r="P24" s="124"/>
      <c r="Q24" s="124"/>
      <c r="R24" s="124"/>
      <c r="S24" s="124"/>
      <c r="T24" s="124"/>
      <c r="U24" s="124"/>
    </row>
    <row r="25" customFormat="false" ht="12.75" hidden="false" customHeight="false" outlineLevel="0" collapsed="false">
      <c r="A25" s="124"/>
      <c r="B25" s="118" t="str">
        <f aca="false">Assum!B72</f>
        <v>LAND USE PAYMENT TO SMUD</v>
      </c>
      <c r="C25" s="118"/>
      <c r="E25" s="59" t="n">
        <f aca="false">$E$3*Assum!F72</f>
        <v>1500</v>
      </c>
      <c r="F25" s="119" t="n">
        <f aca="false">E25/E$33</f>
        <v>0.0383860066820234</v>
      </c>
      <c r="G25" s="120" t="n">
        <f aca="false">E25/Assum!$F$31</f>
        <v>43.4782608695652</v>
      </c>
      <c r="H25" s="120" t="n">
        <f aca="false">E25/Assum!$F$30</f>
        <v>65.2173913043478</v>
      </c>
      <c r="I25" s="124"/>
      <c r="K25" s="122"/>
      <c r="L25" s="122"/>
      <c r="M25" s="128"/>
      <c r="N25" s="124"/>
      <c r="O25" s="124"/>
      <c r="P25" s="124"/>
      <c r="Q25" s="124"/>
      <c r="R25" s="124"/>
      <c r="S25" s="124"/>
      <c r="T25" s="124"/>
      <c r="U25" s="124"/>
    </row>
    <row r="26" customFormat="false" ht="12.75" hidden="false" customHeight="false" outlineLevel="0" collapsed="false">
      <c r="A26" s="124"/>
      <c r="B26" s="118" t="str">
        <f aca="false">Assum!B73</f>
        <v>EQUITY CLOSING EXPENSES</v>
      </c>
      <c r="C26" s="118"/>
      <c r="E26" s="59" t="n">
        <f aca="false">$E$3*Assum!F73</f>
        <v>0</v>
      </c>
      <c r="F26" s="119" t="n">
        <f aca="false">E26/E$33</f>
        <v>0</v>
      </c>
      <c r="G26" s="120" t="n">
        <f aca="false">E26/Assum!$F$31</f>
        <v>0</v>
      </c>
      <c r="H26" s="120" t="n">
        <f aca="false">E26/Assum!$F$30</f>
        <v>0</v>
      </c>
      <c r="I26" s="124"/>
      <c r="K26" s="122"/>
      <c r="L26" s="122"/>
      <c r="M26" s="121"/>
      <c r="N26" s="124"/>
      <c r="O26" s="124"/>
      <c r="P26" s="124"/>
      <c r="Q26" s="124"/>
      <c r="R26" s="124"/>
      <c r="S26" s="124"/>
      <c r="T26" s="124"/>
      <c r="U26" s="124"/>
    </row>
    <row r="27" customFormat="false" ht="12.75" hidden="false" customHeight="false" outlineLevel="0" collapsed="false">
      <c r="A27" s="124"/>
      <c r="B27" s="118" t="str">
        <f aca="false">Assum!B74</f>
        <v>UTILITY INTERCONNECT COSTS</v>
      </c>
      <c r="C27" s="118"/>
      <c r="E27" s="59" t="n">
        <f aca="false">$E$3*Assum!F74</f>
        <v>0</v>
      </c>
      <c r="F27" s="119" t="n">
        <f aca="false">E27/E$33</f>
        <v>0</v>
      </c>
      <c r="G27" s="120" t="n">
        <f aca="false">E27/Assum!$F$31</f>
        <v>0</v>
      </c>
      <c r="H27" s="120" t="n">
        <f aca="false">E27/Assum!$F$30</f>
        <v>0</v>
      </c>
      <c r="I27" s="124"/>
      <c r="K27" s="122"/>
      <c r="L27" s="122"/>
      <c r="M27" s="128"/>
      <c r="N27" s="124"/>
      <c r="O27" s="124"/>
      <c r="P27" s="124"/>
      <c r="Q27" s="124"/>
      <c r="R27" s="124"/>
      <c r="S27" s="124"/>
      <c r="T27" s="124"/>
      <c r="U27" s="124"/>
    </row>
    <row r="28" customFormat="false" ht="12.75" hidden="false" customHeight="false" outlineLevel="0" collapsed="false">
      <c r="A28" s="124"/>
      <c r="B28" s="118" t="str">
        <f aca="false">Assum!B75</f>
        <v>EQUITY FEE</v>
      </c>
      <c r="C28" s="118"/>
      <c r="E28" s="59" t="n">
        <f aca="false">$E$3*Assum!F75</f>
        <v>520</v>
      </c>
      <c r="F28" s="691" t="n">
        <f aca="false">E28/E$33</f>
        <v>0.0133071489831014</v>
      </c>
      <c r="G28" s="682" t="n">
        <f aca="false">E28/Assum!$F$31</f>
        <v>15.0724637681159</v>
      </c>
      <c r="H28" s="682" t="n">
        <f aca="false">E28/Assum!$F$30</f>
        <v>22.6086956521739</v>
      </c>
      <c r="I28" s="124"/>
      <c r="K28" s="122"/>
      <c r="L28" s="122"/>
      <c r="M28" s="121"/>
      <c r="N28" s="124"/>
      <c r="O28" s="124"/>
      <c r="P28" s="124"/>
      <c r="Q28" s="124"/>
      <c r="R28" s="124"/>
      <c r="S28" s="124"/>
      <c r="T28" s="124"/>
      <c r="U28" s="124"/>
    </row>
    <row r="29" customFormat="false" ht="12.75" hidden="false" customHeight="false" outlineLevel="0" collapsed="false">
      <c r="A29" s="124"/>
      <c r="B29" s="118" t="str">
        <f aca="false">Assum!B76</f>
        <v>LIQUIDATED DAMAGES</v>
      </c>
      <c r="C29" s="118"/>
      <c r="E29" s="59" t="n">
        <f aca="false">$E$3*Assum!F76</f>
        <v>0</v>
      </c>
      <c r="F29" s="691" t="n">
        <f aca="false">E29/E$33</f>
        <v>0</v>
      </c>
      <c r="G29" s="682" t="n">
        <f aca="false">E29/Assum!$F$31</f>
        <v>0</v>
      </c>
      <c r="H29" s="682" t="n">
        <f aca="false">E29/Assum!$F$30</f>
        <v>0</v>
      </c>
      <c r="I29" s="124"/>
      <c r="K29" s="122"/>
      <c r="L29" s="122"/>
      <c r="M29" s="121"/>
      <c r="N29" s="124"/>
      <c r="O29" s="124"/>
      <c r="P29" s="124"/>
      <c r="Q29" s="124"/>
      <c r="R29" s="124"/>
      <c r="S29" s="124"/>
      <c r="T29" s="124"/>
      <c r="U29" s="124"/>
    </row>
    <row r="30" customFormat="false" ht="12.75" hidden="false" customHeight="false" outlineLevel="0" collapsed="false">
      <c r="B30" s="118" t="str">
        <f aca="false">Assum!B77</f>
        <v>TITLE INSURANCE</v>
      </c>
      <c r="C30" s="118"/>
      <c r="E30" s="59" t="n">
        <f aca="false">Assum!F77</f>
        <v>172.5</v>
      </c>
      <c r="F30" s="691" t="n">
        <f aca="false">E30/E$33</f>
        <v>0.00441439076843269</v>
      </c>
      <c r="G30" s="682" t="n">
        <f aca="false">E30/Assum!$F$31</f>
        <v>5</v>
      </c>
      <c r="H30" s="682" t="n">
        <f aca="false">E30/Assum!$F$30</f>
        <v>7.5</v>
      </c>
    </row>
    <row r="31" customFormat="false" ht="12.75" hidden="false" customHeight="false" outlineLevel="0" collapsed="false">
      <c r="A31" s="124"/>
      <c r="B31" s="118" t="str">
        <f aca="false">Assum!B78</f>
        <v>SR DEBT ARRANGEMENT FEE</v>
      </c>
      <c r="C31" s="118"/>
      <c r="E31" s="59" t="n">
        <f aca="false">Assum!F78</f>
        <v>188.713969391191</v>
      </c>
      <c r="F31" s="691" t="n">
        <f aca="false">E31/E$33</f>
        <v>0.00482931712669428</v>
      </c>
      <c r="G31" s="682" t="n">
        <f aca="false">E31/Assum!$F$31</f>
        <v>5.4699701272809</v>
      </c>
      <c r="H31" s="682" t="n">
        <f aca="false">E31/Assum!$F$30</f>
        <v>8.20495519092135</v>
      </c>
      <c r="I31" s="114"/>
      <c r="K31" s="122"/>
      <c r="L31" s="122"/>
      <c r="M31" s="121"/>
      <c r="N31" s="124"/>
      <c r="O31" s="124"/>
      <c r="P31" s="124"/>
      <c r="Q31" s="124"/>
      <c r="R31" s="124"/>
      <c r="S31" s="124"/>
      <c r="T31" s="124"/>
      <c r="U31" s="124"/>
    </row>
    <row r="32" customFormat="false" ht="12.75" hidden="false" customHeight="false" outlineLevel="0" collapsed="false">
      <c r="A32" s="124"/>
      <c r="B32" s="118" t="str">
        <f aca="false">Assum!B79</f>
        <v>JR DEBT ARRANGEMENT FEE</v>
      </c>
      <c r="C32" s="118"/>
      <c r="E32" s="59" t="n">
        <f aca="false">$E$3*Assum!F79</f>
        <v>0</v>
      </c>
      <c r="F32" s="691" t="n">
        <f aca="false">E32/E$33</f>
        <v>0</v>
      </c>
      <c r="G32" s="682" t="n">
        <f aca="false">E32/Assum!$F$31</f>
        <v>0</v>
      </c>
      <c r="H32" s="682" t="n">
        <f aca="false">E32/Assum!$F$30</f>
        <v>0</v>
      </c>
      <c r="I32" s="114"/>
      <c r="K32" s="122"/>
      <c r="L32" s="122"/>
      <c r="M32" s="121"/>
      <c r="N32" s="124"/>
      <c r="O32" s="124"/>
      <c r="P32" s="124"/>
      <c r="Q32" s="124"/>
      <c r="R32" s="124"/>
      <c r="S32" s="124"/>
      <c r="T32" s="124"/>
      <c r="U32" s="124"/>
    </row>
    <row r="33" customFormat="false" ht="13.5" hidden="false" customHeight="false" outlineLevel="0" collapsed="false">
      <c r="A33" s="124"/>
      <c r="B33" s="685" t="s">
        <v>502</v>
      </c>
      <c r="C33" s="686"/>
      <c r="D33" s="15"/>
      <c r="E33" s="331" t="n">
        <f aca="false">SUM(E15:E32)</f>
        <v>39076.7399283153</v>
      </c>
      <c r="F33" s="695" t="n">
        <f aca="false">E33/E$33</f>
        <v>1</v>
      </c>
      <c r="G33" s="689" t="n">
        <f aca="false">E33/Assum!$F$31</f>
        <v>1132.65912835696</v>
      </c>
      <c r="H33" s="689" t="n">
        <f aca="false">E33/Assum!$F$30</f>
        <v>1698.98869253545</v>
      </c>
      <c r="I33" s="114"/>
      <c r="K33" s="122"/>
      <c r="L33" s="122"/>
      <c r="M33" s="124"/>
      <c r="N33" s="124"/>
      <c r="O33" s="124"/>
      <c r="P33" s="124"/>
      <c r="Q33" s="124"/>
      <c r="R33" s="124"/>
      <c r="S33" s="124"/>
      <c r="T33" s="124"/>
      <c r="U33" s="124"/>
    </row>
    <row r="34" customFormat="false" ht="12.75" hidden="false" customHeight="false" outlineLevel="0" collapsed="false">
      <c r="A34" s="124"/>
      <c r="I34" s="124"/>
      <c r="K34" s="122"/>
      <c r="L34" s="122"/>
      <c r="N34" s="124"/>
      <c r="O34" s="124"/>
      <c r="P34" s="124"/>
      <c r="Q34" s="124"/>
      <c r="R34" s="124"/>
      <c r="S34" s="124"/>
      <c r="T34" s="124"/>
      <c r="U34" s="124"/>
    </row>
    <row r="35" customFormat="false" ht="12.75" hidden="false" customHeight="false" outlineLevel="0" collapsed="false">
      <c r="A35" s="124"/>
      <c r="B35" s="23"/>
      <c r="C35" s="23"/>
      <c r="F35" s="23"/>
      <c r="G35" s="23"/>
      <c r="H35" s="23"/>
      <c r="I35" s="124"/>
      <c r="K35" s="124"/>
      <c r="L35" s="124"/>
      <c r="M35" s="124"/>
      <c r="N35" s="124"/>
      <c r="O35" s="124"/>
      <c r="P35" s="124"/>
      <c r="Q35" s="124"/>
      <c r="R35" s="124"/>
      <c r="S35" s="124"/>
      <c r="T35" s="124"/>
      <c r="U35" s="124"/>
    </row>
    <row r="36" customFormat="false" ht="12.75" hidden="false" customHeight="false" outlineLevel="0" collapsed="false">
      <c r="A36" s="124"/>
      <c r="B36" s="23"/>
      <c r="C36" s="23"/>
      <c r="F36" s="23"/>
      <c r="G36" s="23"/>
      <c r="H36" s="23"/>
      <c r="I36" s="124"/>
      <c r="K36" s="124"/>
      <c r="L36" s="124"/>
      <c r="M36" s="124"/>
      <c r="N36" s="124"/>
      <c r="O36" s="124"/>
      <c r="P36" s="124"/>
      <c r="Q36" s="124"/>
      <c r="R36" s="124"/>
      <c r="S36" s="124"/>
      <c r="T36" s="124"/>
      <c r="U36" s="124"/>
    </row>
    <row r="37" customFormat="false" ht="12.75" hidden="false" customHeight="false" outlineLevel="0" collapsed="false">
      <c r="A37" s="124"/>
      <c r="B37" s="23"/>
      <c r="C37" s="23"/>
      <c r="F37" s="23"/>
      <c r="G37" s="23"/>
      <c r="H37" s="23"/>
      <c r="I37" s="124"/>
      <c r="K37" s="124"/>
      <c r="L37" s="124"/>
      <c r="M37" s="124"/>
      <c r="N37" s="124"/>
      <c r="O37" s="124"/>
      <c r="P37" s="124"/>
      <c r="Q37" s="124"/>
      <c r="R37" s="124"/>
      <c r="S37" s="124"/>
      <c r="T37" s="124"/>
      <c r="U37" s="124"/>
    </row>
    <row r="38" customFormat="false" ht="12.75" hidden="false" customHeight="false" outlineLevel="0" collapsed="false">
      <c r="A38" s="124"/>
      <c r="B38" s="23"/>
      <c r="C38" s="23"/>
      <c r="F38" s="23"/>
      <c r="G38" s="23"/>
      <c r="H38" s="23"/>
      <c r="I38" s="124"/>
      <c r="J38" s="124"/>
      <c r="K38" s="124"/>
      <c r="L38" s="124"/>
      <c r="M38" s="124"/>
      <c r="N38" s="124"/>
      <c r="O38" s="124"/>
      <c r="P38" s="124"/>
      <c r="Q38" s="124"/>
      <c r="R38" s="124"/>
      <c r="S38" s="124"/>
      <c r="T38" s="124"/>
      <c r="U38" s="124"/>
    </row>
    <row r="39" customFormat="false" ht="12.75" hidden="false" customHeight="false" outlineLevel="0" collapsed="false">
      <c r="A39" s="124"/>
      <c r="B39" s="23"/>
      <c r="C39" s="23"/>
      <c r="F39" s="23"/>
      <c r="G39" s="23"/>
      <c r="H39" s="23"/>
      <c r="I39" s="124"/>
      <c r="J39" s="124"/>
      <c r="K39" s="124"/>
      <c r="L39" s="124"/>
      <c r="M39" s="124"/>
      <c r="N39" s="124"/>
      <c r="O39" s="124"/>
      <c r="P39" s="124"/>
      <c r="Q39" s="124"/>
      <c r="R39" s="124"/>
      <c r="S39" s="124"/>
      <c r="T39" s="124"/>
      <c r="U39" s="124"/>
    </row>
    <row r="40" customFormat="false" ht="12.75" hidden="false" customHeight="false" outlineLevel="0" collapsed="false">
      <c r="A40" s="124"/>
      <c r="B40" s="23"/>
      <c r="C40" s="23"/>
      <c r="F40" s="23"/>
      <c r="G40" s="23"/>
      <c r="H40" s="23"/>
      <c r="I40" s="124"/>
      <c r="J40" s="124"/>
      <c r="K40" s="124"/>
      <c r="L40" s="124"/>
      <c r="M40" s="124"/>
      <c r="N40" s="124"/>
      <c r="O40" s="124"/>
      <c r="P40" s="124"/>
      <c r="Q40" s="124"/>
      <c r="R40" s="124"/>
      <c r="S40" s="124"/>
      <c r="T40" s="124"/>
      <c r="U40" s="124"/>
    </row>
    <row r="41" customFormat="false" ht="12.75" hidden="false" customHeight="false" outlineLevel="0" collapsed="false">
      <c r="A41" s="124"/>
      <c r="B41" s="23"/>
      <c r="C41" s="23"/>
      <c r="F41" s="23"/>
      <c r="G41" s="23"/>
      <c r="H41" s="23"/>
      <c r="I41" s="124"/>
      <c r="J41" s="124"/>
      <c r="K41" s="124"/>
      <c r="L41" s="124"/>
      <c r="M41" s="124"/>
      <c r="N41" s="124"/>
      <c r="O41" s="124"/>
      <c r="P41" s="124"/>
      <c r="Q41" s="124"/>
    </row>
    <row r="42" customFormat="false" ht="12.75" hidden="false" customHeight="false" outlineLevel="0" collapsed="false">
      <c r="A42" s="124"/>
      <c r="B42" s="23"/>
      <c r="C42" s="23"/>
      <c r="F42" s="23"/>
      <c r="G42" s="23"/>
      <c r="H42" s="23"/>
      <c r="I42" s="124"/>
      <c r="J42" s="124"/>
      <c r="K42" s="124"/>
      <c r="L42" s="124"/>
      <c r="M42" s="124"/>
      <c r="N42" s="124"/>
      <c r="O42" s="124"/>
      <c r="P42" s="124"/>
      <c r="Q42" s="124"/>
    </row>
    <row r="43" customFormat="false" ht="12.75" hidden="false" customHeight="false" outlineLevel="0" collapsed="false">
      <c r="A43" s="124"/>
      <c r="B43" s="23"/>
      <c r="C43" s="23"/>
      <c r="F43" s="23"/>
      <c r="G43" s="23"/>
      <c r="H43" s="23"/>
      <c r="I43" s="124"/>
      <c r="J43" s="124"/>
      <c r="K43" s="124"/>
      <c r="L43" s="124"/>
      <c r="M43" s="124"/>
      <c r="N43" s="124"/>
      <c r="O43" s="124"/>
      <c r="P43" s="124"/>
      <c r="Q43" s="124"/>
    </row>
    <row r="44" customFormat="false" ht="12.75" hidden="false" customHeight="false" outlineLevel="0" collapsed="false">
      <c r="A44" s="124"/>
      <c r="B44" s="23"/>
      <c r="C44" s="23"/>
      <c r="F44" s="23"/>
      <c r="G44" s="23"/>
      <c r="H44" s="23"/>
      <c r="I44" s="124"/>
      <c r="J44" s="124"/>
      <c r="K44" s="124"/>
      <c r="L44" s="124"/>
      <c r="M44" s="124"/>
      <c r="N44" s="124"/>
      <c r="O44" s="124"/>
      <c r="P44" s="124"/>
      <c r="Q44" s="124"/>
    </row>
    <row r="45" customFormat="false" ht="12.75" hidden="false" customHeight="false" outlineLevel="0" collapsed="false">
      <c r="A45" s="124"/>
      <c r="B45" s="23"/>
      <c r="C45" s="23"/>
      <c r="F45" s="23"/>
      <c r="G45" s="23"/>
      <c r="H45" s="23"/>
      <c r="I45" s="124"/>
      <c r="J45" s="124"/>
      <c r="K45" s="124"/>
      <c r="L45" s="124"/>
      <c r="M45" s="124"/>
      <c r="N45" s="124"/>
      <c r="O45" s="124"/>
      <c r="P45" s="124"/>
      <c r="Q45" s="124"/>
    </row>
    <row r="46" customFormat="false" ht="12.75" hidden="false" customHeight="false" outlineLevel="0" collapsed="false">
      <c r="A46" s="124"/>
      <c r="B46" s="23"/>
      <c r="C46" s="23"/>
      <c r="F46" s="23"/>
      <c r="G46" s="23"/>
      <c r="H46" s="23"/>
      <c r="I46" s="124"/>
      <c r="J46" s="124"/>
      <c r="K46" s="124"/>
      <c r="L46" s="124"/>
      <c r="M46" s="124"/>
      <c r="N46" s="124"/>
      <c r="O46" s="124"/>
      <c r="P46" s="124"/>
      <c r="Q46" s="124"/>
    </row>
    <row r="47" customFormat="false" ht="12.75" hidden="false" customHeight="false" outlineLevel="0" collapsed="false">
      <c r="A47" s="124"/>
      <c r="B47" s="23"/>
      <c r="C47" s="23"/>
      <c r="F47" s="23"/>
      <c r="G47" s="23"/>
      <c r="H47" s="23"/>
      <c r="I47" s="124"/>
      <c r="J47" s="124"/>
      <c r="K47" s="124"/>
      <c r="L47" s="124"/>
      <c r="M47" s="124"/>
      <c r="N47" s="124"/>
      <c r="O47" s="124"/>
      <c r="P47" s="124"/>
      <c r="Q47" s="124"/>
    </row>
    <row r="48" customFormat="false" ht="12.75" hidden="false" customHeight="false" outlineLevel="0" collapsed="false">
      <c r="A48" s="124"/>
      <c r="B48" s="23"/>
      <c r="C48" s="23"/>
      <c r="F48" s="23"/>
      <c r="G48" s="23"/>
      <c r="H48" s="23"/>
      <c r="I48" s="124"/>
      <c r="J48" s="124"/>
      <c r="K48" s="124"/>
      <c r="L48" s="124"/>
      <c r="M48" s="124"/>
      <c r="N48" s="124"/>
      <c r="O48" s="124"/>
      <c r="P48" s="124"/>
      <c r="Q48" s="124"/>
    </row>
    <row r="49" customFormat="false" ht="12.75" hidden="false" customHeight="false" outlineLevel="0" collapsed="false">
      <c r="A49" s="124"/>
      <c r="B49" s="23"/>
      <c r="C49" s="23"/>
      <c r="F49" s="23"/>
      <c r="G49" s="23"/>
      <c r="H49" s="23"/>
      <c r="I49" s="124"/>
      <c r="J49" s="124"/>
      <c r="K49" s="124"/>
      <c r="L49" s="124"/>
      <c r="M49" s="124"/>
      <c r="N49" s="124"/>
      <c r="O49" s="124"/>
      <c r="P49" s="124"/>
      <c r="Q49" s="124"/>
    </row>
    <row r="50" customFormat="false" ht="12.75" hidden="false" customHeight="false" outlineLevel="0" collapsed="false">
      <c r="A50" s="124"/>
      <c r="B50" s="23"/>
      <c r="C50" s="23"/>
      <c r="F50" s="23"/>
      <c r="G50" s="23"/>
      <c r="H50" s="23"/>
      <c r="I50" s="124"/>
      <c r="J50" s="124"/>
      <c r="K50" s="124"/>
      <c r="L50" s="124"/>
      <c r="M50" s="124"/>
      <c r="N50" s="124"/>
      <c r="O50" s="124"/>
      <c r="P50" s="124"/>
      <c r="Q50" s="124"/>
    </row>
    <row r="51" customFormat="false" ht="12.75" hidden="false" customHeight="false" outlineLevel="0" collapsed="false">
      <c r="A51" s="124"/>
      <c r="B51" s="23"/>
      <c r="C51" s="23"/>
      <c r="F51" s="23"/>
      <c r="G51" s="23"/>
      <c r="H51" s="23"/>
      <c r="I51" s="124"/>
      <c r="J51" s="124"/>
      <c r="K51" s="124"/>
      <c r="L51" s="124"/>
      <c r="M51" s="124"/>
      <c r="N51" s="124"/>
      <c r="O51" s="124"/>
      <c r="P51" s="124"/>
      <c r="Q51" s="124"/>
    </row>
    <row r="52" customFormat="false" ht="12.75" hidden="false" customHeight="false" outlineLevel="0" collapsed="false">
      <c r="A52" s="124"/>
      <c r="B52" s="23"/>
      <c r="C52" s="23"/>
      <c r="F52" s="23"/>
      <c r="G52" s="23"/>
      <c r="H52" s="23"/>
      <c r="I52" s="124"/>
      <c r="J52" s="124"/>
      <c r="K52" s="124"/>
      <c r="L52" s="124"/>
      <c r="M52" s="124"/>
      <c r="N52" s="124"/>
      <c r="O52" s="124"/>
      <c r="P52" s="124"/>
      <c r="Q52" s="124"/>
    </row>
    <row r="53" customFormat="false" ht="12.75" hidden="false" customHeight="false" outlineLevel="0" collapsed="false">
      <c r="A53" s="124"/>
      <c r="B53" s="23"/>
      <c r="C53" s="23"/>
      <c r="F53" s="23"/>
      <c r="G53" s="23"/>
      <c r="H53" s="23"/>
      <c r="I53" s="124"/>
      <c r="J53" s="124"/>
      <c r="K53" s="124"/>
      <c r="L53" s="124"/>
      <c r="M53" s="124"/>
      <c r="N53" s="124"/>
      <c r="O53" s="124"/>
      <c r="P53" s="124"/>
      <c r="Q53" s="124"/>
    </row>
    <row r="54" customFormat="false" ht="12.75" hidden="false" customHeight="false" outlineLevel="0" collapsed="false">
      <c r="A54" s="124"/>
      <c r="B54" s="23"/>
      <c r="C54" s="23"/>
      <c r="F54" s="23"/>
      <c r="G54" s="23"/>
      <c r="H54" s="23"/>
      <c r="I54" s="124"/>
      <c r="J54" s="124"/>
      <c r="K54" s="124"/>
      <c r="L54" s="124"/>
      <c r="M54" s="124"/>
      <c r="N54" s="124"/>
      <c r="O54" s="124"/>
      <c r="P54" s="124"/>
      <c r="Q54" s="124"/>
    </row>
    <row r="55" customFormat="false" ht="12.75" hidden="false" customHeight="false" outlineLevel="0" collapsed="false">
      <c r="A55" s="124"/>
      <c r="B55" s="23"/>
      <c r="C55" s="23"/>
      <c r="F55" s="23"/>
      <c r="G55" s="23"/>
      <c r="H55" s="23"/>
      <c r="I55" s="124"/>
      <c r="J55" s="124"/>
      <c r="K55" s="124"/>
      <c r="L55" s="124"/>
      <c r="M55" s="124"/>
      <c r="N55" s="124"/>
      <c r="O55" s="124"/>
      <c r="P55" s="124"/>
      <c r="Q55" s="124"/>
    </row>
    <row r="56" customFormat="false" ht="12.75" hidden="false" customHeight="false" outlineLevel="0" collapsed="false">
      <c r="A56" s="124"/>
      <c r="B56" s="23"/>
      <c r="C56" s="23"/>
      <c r="F56" s="23"/>
      <c r="G56" s="23"/>
      <c r="H56" s="23"/>
      <c r="I56" s="124"/>
      <c r="J56" s="124"/>
      <c r="K56" s="124"/>
      <c r="L56" s="124"/>
      <c r="M56" s="124"/>
      <c r="N56" s="124"/>
      <c r="O56" s="124"/>
      <c r="P56" s="124"/>
      <c r="Q56" s="124"/>
    </row>
    <row r="57" customFormat="false" ht="12.75" hidden="false" customHeight="false" outlineLevel="0" collapsed="false">
      <c r="A57" s="124"/>
      <c r="B57" s="23"/>
      <c r="C57" s="23"/>
      <c r="F57" s="23"/>
      <c r="G57" s="23"/>
      <c r="H57" s="23"/>
      <c r="I57" s="124"/>
      <c r="J57" s="124"/>
      <c r="K57" s="124"/>
      <c r="L57" s="124"/>
      <c r="M57" s="124"/>
      <c r="N57" s="124"/>
      <c r="O57" s="124"/>
      <c r="P57" s="124"/>
      <c r="Q57" s="124"/>
    </row>
  </sheetData>
  <printOptions headings="false" gridLines="false" gridLinesSet="true" horizontalCentered="false" verticalCentered="false"/>
  <pageMargins left="0.279861111111111" right="0.3" top="0.490277777777778" bottom="0.670138888888889"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&amp;R&amp;F</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10"/>
  <sheetViews>
    <sheetView showFormulas="false" showGridLines="true" showRowColHeaders="true" showZeros="true" rightToLeft="false" tabSelected="false" showOutlineSymbols="true" defaultGridColor="true" view="normal" topLeftCell="A62" colorId="64" zoomScale="75" zoomScaleNormal="75" zoomScalePageLayoutView="75" workbookViewId="0">
      <selection pane="topLeft" activeCell="F83" activeCellId="0" sqref="F83"/>
    </sheetView>
  </sheetViews>
  <sheetFormatPr defaultColWidth="8.70703125" defaultRowHeight="12.75" customHeight="true" zeroHeight="false" outlineLevelRow="0" outlineLevelCol="0"/>
  <cols>
    <col collapsed="false" customWidth="true" hidden="false" outlineLevel="0" max="1" min="1" style="696" width="18.99"/>
    <col collapsed="false" customWidth="true" hidden="false" outlineLevel="0" max="2" min="2" style="100" width="38.28"/>
    <col collapsed="false" customWidth="true" hidden="false" outlineLevel="0" max="3" min="3" style="100" width="5.99"/>
    <col collapsed="false" customWidth="true" hidden="false" outlineLevel="0" max="4" min="4" style="100" width="6.56"/>
    <col collapsed="false" customWidth="true" hidden="false" outlineLevel="0" max="5" min="5" style="100" width="10.28"/>
    <col collapsed="false" customWidth="true" hidden="false" outlineLevel="0" max="35" min="6" style="100" width="10.41"/>
    <col collapsed="false" customWidth="false" hidden="false" outlineLevel="0" max="257" min="36" style="100" width="8.7"/>
  </cols>
  <sheetData>
    <row r="1" customFormat="false" ht="15.75" hidden="false" customHeight="false" outlineLevel="0" collapsed="false">
      <c r="B1" s="2" t="str">
        <f aca="false">ExecSum!$E$4</f>
        <v>SMUD - Solano 34.50MW Project</v>
      </c>
      <c r="C1" s="0"/>
      <c r="D1" s="0"/>
      <c r="E1" s="4" t="n">
        <v>1</v>
      </c>
      <c r="F1" s="5" t="n">
        <v>2</v>
      </c>
      <c r="G1" s="5" t="n">
        <v>3</v>
      </c>
      <c r="H1" s="5" t="n">
        <v>4</v>
      </c>
      <c r="I1" s="5" t="n">
        <v>5</v>
      </c>
      <c r="J1" s="5" t="n">
        <v>6</v>
      </c>
      <c r="K1" s="5" t="n">
        <v>7</v>
      </c>
      <c r="L1" s="5" t="n">
        <v>8</v>
      </c>
      <c r="M1" s="5" t="n">
        <v>9</v>
      </c>
      <c r="N1" s="5" t="n">
        <v>10</v>
      </c>
      <c r="O1" s="5" t="n">
        <v>11</v>
      </c>
      <c r="P1" s="5" t="n">
        <v>12</v>
      </c>
      <c r="Q1" s="5" t="n">
        <v>13</v>
      </c>
      <c r="R1" s="5" t="n">
        <v>14</v>
      </c>
      <c r="S1" s="5" t="n">
        <v>15</v>
      </c>
      <c r="T1" s="5" t="n">
        <v>16</v>
      </c>
      <c r="U1" s="5" t="n">
        <v>17</v>
      </c>
      <c r="V1" s="5" t="n">
        <v>18</v>
      </c>
      <c r="W1" s="5" t="n">
        <v>19</v>
      </c>
      <c r="X1" s="5" t="n">
        <v>20</v>
      </c>
      <c r="Y1" s="5" t="n">
        <v>21</v>
      </c>
      <c r="Z1" s="5" t="n">
        <v>22</v>
      </c>
      <c r="AA1" s="5" t="n">
        <v>23</v>
      </c>
      <c r="AB1" s="5" t="n">
        <v>24</v>
      </c>
      <c r="AC1" s="5" t="n">
        <v>25</v>
      </c>
      <c r="AD1" s="5" t="n">
        <v>26</v>
      </c>
      <c r="AE1" s="5" t="n">
        <v>27</v>
      </c>
      <c r="AF1" s="5" t="n">
        <v>28</v>
      </c>
      <c r="AG1" s="5" t="n">
        <v>29</v>
      </c>
      <c r="AH1" s="5" t="n">
        <v>30</v>
      </c>
      <c r="AI1" s="6" t="n">
        <v>31</v>
      </c>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row>
    <row r="2" customFormat="false" ht="15.75" hidden="false" customHeight="false" outlineLevel="0" collapsed="false">
      <c r="B2" s="697" t="s">
        <v>503</v>
      </c>
      <c r="C2" s="0"/>
      <c r="D2" s="0"/>
      <c r="E2" s="7" t="n">
        <f aca="false">Assum!$H$25</f>
        <v>2002</v>
      </c>
      <c r="F2" s="8" t="n">
        <f aca="false">E2+1</f>
        <v>2003</v>
      </c>
      <c r="G2" s="8" t="n">
        <f aca="false">F2+1</f>
        <v>2004</v>
      </c>
      <c r="H2" s="8" t="n">
        <f aca="false">G2+1</f>
        <v>2005</v>
      </c>
      <c r="I2" s="8" t="n">
        <f aca="false">H2+1</f>
        <v>2006</v>
      </c>
      <c r="J2" s="8" t="n">
        <f aca="false">I2+1</f>
        <v>2007</v>
      </c>
      <c r="K2" s="8" t="n">
        <f aca="false">J2+1</f>
        <v>2008</v>
      </c>
      <c r="L2" s="8" t="n">
        <f aca="false">K2+1</f>
        <v>2009</v>
      </c>
      <c r="M2" s="8" t="n">
        <f aca="false">L2+1</f>
        <v>2010</v>
      </c>
      <c r="N2" s="8" t="n">
        <f aca="false">M2+1</f>
        <v>2011</v>
      </c>
      <c r="O2" s="8" t="n">
        <f aca="false">N2+1</f>
        <v>2012</v>
      </c>
      <c r="P2" s="8" t="n">
        <f aca="false">O2+1</f>
        <v>2013</v>
      </c>
      <c r="Q2" s="8" t="n">
        <f aca="false">P2+1</f>
        <v>2014</v>
      </c>
      <c r="R2" s="8" t="n">
        <f aca="false">Q2+1</f>
        <v>2015</v>
      </c>
      <c r="S2" s="8" t="n">
        <f aca="false">R2+1</f>
        <v>2016</v>
      </c>
      <c r="T2" s="8" t="n">
        <f aca="false">S2+1</f>
        <v>2017</v>
      </c>
      <c r="U2" s="8" t="n">
        <f aca="false">T2+1</f>
        <v>2018</v>
      </c>
      <c r="V2" s="8" t="n">
        <f aca="false">U2+1</f>
        <v>2019</v>
      </c>
      <c r="W2" s="8" t="n">
        <f aca="false">V2+1</f>
        <v>2020</v>
      </c>
      <c r="X2" s="8" t="n">
        <f aca="false">W2+1</f>
        <v>2021</v>
      </c>
      <c r="Y2" s="8" t="n">
        <f aca="false">X2+1</f>
        <v>2022</v>
      </c>
      <c r="Z2" s="8" t="n">
        <f aca="false">Y2+1</f>
        <v>2023</v>
      </c>
      <c r="AA2" s="8" t="n">
        <f aca="false">Z2+1</f>
        <v>2024</v>
      </c>
      <c r="AB2" s="8" t="n">
        <f aca="false">AA2+1</f>
        <v>2025</v>
      </c>
      <c r="AC2" s="8" t="n">
        <f aca="false">AB2+1</f>
        <v>2026</v>
      </c>
      <c r="AD2" s="8" t="n">
        <f aca="false">AC2+1</f>
        <v>2027</v>
      </c>
      <c r="AE2" s="8" t="n">
        <f aca="false">AD2+1</f>
        <v>2028</v>
      </c>
      <c r="AF2" s="8" t="n">
        <f aca="false">AE2+1</f>
        <v>2029</v>
      </c>
      <c r="AG2" s="8" t="n">
        <f aca="false">AF2+1</f>
        <v>2030</v>
      </c>
      <c r="AH2" s="8" t="n">
        <f aca="false">AG2+1</f>
        <v>2031</v>
      </c>
      <c r="AI2" s="9" t="n">
        <f aca="false">AH2+1</f>
        <v>2032</v>
      </c>
      <c r="AJ2" s="23"/>
      <c r="AK2" s="23"/>
      <c r="AL2" s="23"/>
      <c r="AM2" s="23"/>
      <c r="AN2" s="23"/>
      <c r="AO2" s="23"/>
      <c r="AP2" s="23"/>
      <c r="AQ2" s="23"/>
      <c r="AR2" s="23"/>
      <c r="AS2" s="23"/>
      <c r="AT2" s="23"/>
      <c r="AU2" s="23"/>
      <c r="AV2" s="23"/>
      <c r="AW2" s="23"/>
      <c r="AX2" s="23"/>
      <c r="AY2" s="23"/>
      <c r="AZ2" s="23"/>
      <c r="BA2" s="23"/>
      <c r="BB2" s="23"/>
      <c r="BC2" s="23"/>
      <c r="BD2" s="23"/>
      <c r="BE2" s="23"/>
      <c r="BF2" s="195"/>
      <c r="BG2" s="195"/>
      <c r="BH2" s="195"/>
      <c r="BI2" s="195"/>
      <c r="BJ2" s="195"/>
      <c r="BK2" s="195"/>
      <c r="BL2" s="195"/>
      <c r="BM2" s="195"/>
      <c r="BN2" s="195"/>
      <c r="BO2" s="195"/>
      <c r="BP2" s="195"/>
      <c r="BQ2" s="195"/>
      <c r="BR2" s="195"/>
      <c r="BS2" s="195"/>
      <c r="BT2" s="195"/>
      <c r="BU2" s="195"/>
      <c r="BV2" s="195"/>
      <c r="BW2" s="195"/>
      <c r="BX2" s="195"/>
      <c r="BY2" s="195"/>
      <c r="BZ2" s="195"/>
      <c r="CA2" s="195"/>
      <c r="CB2" s="195"/>
      <c r="CC2" s="195"/>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c r="ED2" s="195"/>
      <c r="EE2" s="195"/>
      <c r="EF2" s="195"/>
      <c r="EG2" s="195"/>
      <c r="EH2" s="195"/>
      <c r="EI2" s="195"/>
      <c r="EJ2" s="195"/>
      <c r="EK2" s="195"/>
      <c r="EL2" s="195"/>
      <c r="EM2" s="195"/>
      <c r="EN2" s="195"/>
      <c r="EO2" s="195"/>
      <c r="EP2" s="195"/>
      <c r="EQ2" s="195"/>
      <c r="ER2" s="195"/>
      <c r="ES2" s="195"/>
      <c r="ET2" s="195"/>
      <c r="EU2" s="195"/>
      <c r="EV2" s="195"/>
      <c r="EW2" s="195"/>
    </row>
    <row r="3" customFormat="false" ht="12.75" hidden="false" customHeight="false" outlineLevel="0" collapsed="false">
      <c r="A3" s="0"/>
      <c r="B3" s="0"/>
      <c r="C3" s="0"/>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12.75" hidden="false" customHeight="false" outlineLevel="0" collapsed="false">
      <c r="B4" s="698" t="str">
        <f aca="false">Assum!$B$21</f>
        <v>EXCHANGE RATE                 Local Currency  = </v>
      </c>
      <c r="C4" s="699" t="str">
        <f aca="false">Assum!$E$21</f>
        <v>  $</v>
      </c>
      <c r="D4" s="699"/>
      <c r="E4" s="698" t="n">
        <f aca="false">Assum!$F$21</f>
        <v>1</v>
      </c>
      <c r="G4" s="23"/>
      <c r="H4" s="23"/>
      <c r="I4" s="23"/>
      <c r="J4" s="23"/>
      <c r="K4" s="23"/>
      <c r="L4" s="55"/>
      <c r="M4" s="23"/>
      <c r="N4" s="23"/>
      <c r="O4" s="23"/>
      <c r="P4" s="23"/>
      <c r="Q4" s="64"/>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3"/>
      <c r="DU4" s="23"/>
      <c r="DV4" s="23"/>
      <c r="DW4" s="23"/>
      <c r="DX4" s="23"/>
      <c r="DY4" s="23"/>
      <c r="DZ4" s="23"/>
      <c r="EA4" s="23"/>
      <c r="EB4" s="23"/>
      <c r="EC4" s="23"/>
      <c r="ED4" s="23"/>
      <c r="EE4" s="23"/>
      <c r="EF4" s="23"/>
      <c r="EG4" s="23"/>
      <c r="EH4" s="23"/>
      <c r="EI4" s="23"/>
      <c r="EJ4" s="23"/>
      <c r="EK4" s="23"/>
      <c r="EL4" s="23"/>
      <c r="EM4" s="23"/>
      <c r="EN4" s="23"/>
      <c r="EO4" s="23"/>
      <c r="EP4" s="23"/>
      <c r="EQ4" s="23"/>
      <c r="ER4" s="23"/>
      <c r="ES4" s="23"/>
      <c r="ET4" s="23"/>
      <c r="EU4" s="23"/>
      <c r="EV4" s="23"/>
      <c r="EW4" s="23"/>
    </row>
    <row r="5" customFormat="false" ht="12.75" hidden="false" customHeight="false" outlineLevel="0" collapsed="false">
      <c r="B5" s="700"/>
      <c r="C5" s="0"/>
      <c r="D5" s="0"/>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c r="AE5" s="701"/>
      <c r="AF5" s="701"/>
      <c r="AG5" s="701"/>
      <c r="AH5" s="701"/>
      <c r="AI5" s="701"/>
      <c r="AJ5" s="23"/>
      <c r="AK5" s="23"/>
      <c r="AL5" s="23"/>
      <c r="AM5" s="23"/>
      <c r="AN5" s="23"/>
      <c r="AO5" s="23"/>
      <c r="AP5" s="23"/>
      <c r="AQ5" s="23"/>
      <c r="AR5" s="23"/>
      <c r="AS5" s="23"/>
      <c r="AT5" s="23"/>
      <c r="AU5" s="23"/>
      <c r="AV5" s="23"/>
      <c r="AW5" s="23"/>
      <c r="AX5" s="23"/>
      <c r="AY5" s="23"/>
      <c r="AZ5" s="23"/>
      <c r="BA5" s="23"/>
      <c r="BB5" s="23"/>
      <c r="BC5" s="23"/>
      <c r="BD5" s="23"/>
      <c r="BE5" s="23"/>
      <c r="BF5" s="195"/>
      <c r="BG5" s="195"/>
      <c r="BH5" s="195"/>
      <c r="BI5" s="195"/>
      <c r="BJ5" s="195"/>
      <c r="BK5" s="195"/>
      <c r="BL5" s="195"/>
      <c r="BM5" s="195"/>
      <c r="BN5" s="195"/>
      <c r="BO5" s="195"/>
      <c r="BP5" s="195"/>
      <c r="BQ5" s="195"/>
      <c r="BR5" s="195"/>
      <c r="BS5" s="195"/>
      <c r="BT5" s="195"/>
      <c r="BU5" s="195"/>
      <c r="BV5" s="195"/>
      <c r="BW5" s="195"/>
      <c r="BX5" s="195"/>
      <c r="BY5" s="195"/>
      <c r="BZ5" s="195"/>
      <c r="CA5" s="195"/>
      <c r="CB5" s="195"/>
      <c r="CC5" s="195"/>
      <c r="CD5" s="195"/>
      <c r="CE5" s="195"/>
      <c r="CF5" s="195"/>
      <c r="CG5" s="195"/>
      <c r="CH5" s="195"/>
      <c r="CI5" s="195"/>
      <c r="CJ5" s="195"/>
      <c r="CK5" s="195"/>
      <c r="CL5" s="195"/>
      <c r="CM5" s="195"/>
      <c r="CN5" s="195"/>
      <c r="CO5" s="195"/>
      <c r="CP5" s="195"/>
      <c r="CQ5" s="195"/>
      <c r="CR5" s="195"/>
      <c r="CS5" s="195"/>
      <c r="CT5" s="195"/>
      <c r="CU5" s="195"/>
      <c r="CV5" s="195"/>
      <c r="CW5" s="195"/>
      <c r="CX5" s="195"/>
      <c r="CY5" s="195"/>
      <c r="CZ5" s="195"/>
      <c r="DA5" s="195"/>
      <c r="DB5" s="195"/>
      <c r="DC5" s="195"/>
      <c r="DD5" s="195"/>
      <c r="DE5" s="195"/>
      <c r="DF5" s="195"/>
      <c r="DG5" s="195"/>
      <c r="DH5" s="195"/>
      <c r="DI5" s="195"/>
      <c r="DJ5" s="195"/>
      <c r="DK5" s="195"/>
      <c r="DL5" s="195"/>
      <c r="DM5" s="195"/>
      <c r="DN5" s="195"/>
      <c r="DO5" s="195"/>
      <c r="DP5" s="195"/>
      <c r="DQ5" s="195"/>
      <c r="DR5" s="195"/>
      <c r="DS5" s="195"/>
      <c r="DT5" s="195"/>
      <c r="DU5" s="195"/>
      <c r="DV5" s="195"/>
      <c r="DW5" s="195"/>
      <c r="DX5" s="195"/>
      <c r="DY5" s="195"/>
      <c r="DZ5" s="195"/>
      <c r="EA5" s="195"/>
      <c r="EB5" s="195"/>
      <c r="EC5" s="195"/>
      <c r="ED5" s="195"/>
      <c r="EE5" s="195"/>
      <c r="EF5" s="195"/>
      <c r="EG5" s="195"/>
      <c r="EH5" s="195"/>
      <c r="EI5" s="195"/>
      <c r="EJ5" s="195"/>
      <c r="EK5" s="195"/>
      <c r="EL5" s="195"/>
      <c r="EM5" s="195"/>
      <c r="EN5" s="195"/>
      <c r="EO5" s="195"/>
      <c r="EP5" s="195"/>
      <c r="EQ5" s="195"/>
      <c r="ER5" s="195"/>
      <c r="ES5" s="195"/>
      <c r="ET5" s="195"/>
      <c r="EU5" s="195"/>
      <c r="EV5" s="195"/>
      <c r="EW5" s="195"/>
    </row>
    <row r="6" customFormat="false" ht="12.75" hidden="false" customHeight="false" outlineLevel="0" collapsed="false">
      <c r="B6" s="23" t="s">
        <v>504</v>
      </c>
      <c r="C6" s="0"/>
      <c r="D6" s="0"/>
      <c r="E6" s="702" t="n">
        <f aca="false">Assum!H23</f>
        <v>1</v>
      </c>
      <c r="F6" s="702" t="n">
        <f aca="false">IF(F2-$E$2&lt;Assum!$F$22,1,IF(F2-$E$2=Assum!$F$22,1-Assum!$H$23,0))</f>
        <v>1</v>
      </c>
      <c r="G6" s="702" t="n">
        <f aca="false">IF(G2-$E$2&lt;Assum!$F$22,1,IF(G2-$E$2=Assum!$F$22,1-Assum!$H$23,0))</f>
        <v>1</v>
      </c>
      <c r="H6" s="702" t="n">
        <f aca="false">IF(H2-$E$2&lt;Assum!$F$22,1,IF(H2-$E$2=Assum!$F$22,1-Assum!$H$23,0))</f>
        <v>1</v>
      </c>
      <c r="I6" s="702" t="n">
        <f aca="false">IF(I2-$E$2&lt;Assum!$F$22,1,IF(I2-$E$2=Assum!$F$22,1-Assum!$H$23,0))</f>
        <v>1</v>
      </c>
      <c r="J6" s="702" t="n">
        <f aca="false">IF(J2-$E$2&lt;Assum!$F$22,1,IF(J2-$E$2=Assum!$F$22,1-Assum!$H$23,0))</f>
        <v>1</v>
      </c>
      <c r="K6" s="702" t="n">
        <f aca="false">IF(K2-$E$2&lt;Assum!$F$22,1,IF(K2-$E$2=Assum!$F$22,1-Assum!$H$23,0))</f>
        <v>1</v>
      </c>
      <c r="L6" s="702" t="n">
        <f aca="false">IF(L2-$E$2&lt;Assum!$F$22,1,IF(L2-$E$2=Assum!$F$22,1-Assum!$H$23,0))</f>
        <v>1</v>
      </c>
      <c r="M6" s="702" t="n">
        <f aca="false">IF(M2-$E$2&lt;Assum!$F$22,1,IF(M2-$E$2=Assum!$F$22,1-Assum!$H$23,0))</f>
        <v>1</v>
      </c>
      <c r="N6" s="702" t="n">
        <f aca="false">IF(N2-$E$2&lt;Assum!$F$22,1,IF(N2-$E$2=Assum!$F$22,1-Assum!$H$23,0))</f>
        <v>1</v>
      </c>
      <c r="O6" s="702" t="n">
        <f aca="false">IF(O2-$E$2&lt;Assum!$F$22,1,IF(O2-$E$2=Assum!$F$22,1-Assum!$H$23,0))</f>
        <v>1</v>
      </c>
      <c r="P6" s="702" t="n">
        <f aca="false">IF(P2-$E$2&lt;Assum!$F$22,1,IF(P2-$E$2=Assum!$F$22,1-Assum!$H$23,0))</f>
        <v>1</v>
      </c>
      <c r="Q6" s="702" t="n">
        <f aca="false">IF(Q2-$E$2&lt;Assum!$F$22,1,IF(Q2-$E$2=Assum!$F$22,1-Assum!$H$23,0))</f>
        <v>1</v>
      </c>
      <c r="R6" s="702" t="n">
        <f aca="false">IF(R2-$E$2&lt;Assum!$F$22,1,IF(R2-$E$2=Assum!$F$22,1-Assum!$H$23,0))</f>
        <v>1</v>
      </c>
      <c r="S6" s="702" t="n">
        <f aca="false">IF(S2-$E$2&lt;Assum!$F$22,1,IF(S2-$E$2=Assum!$F$22,1-Assum!$H$23,0))</f>
        <v>1</v>
      </c>
      <c r="T6" s="702" t="n">
        <f aca="false">IF(T2-$E$2&lt;Assum!$F$22,1,IF(T2-$E$2=Assum!$F$22,1-Assum!$H$23,0))</f>
        <v>1</v>
      </c>
      <c r="U6" s="702" t="n">
        <f aca="false">IF(U2-$E$2&lt;Assum!$F$22,1,IF(U2-$E$2=Assum!$F$22,1-Assum!$H$23,0))</f>
        <v>1</v>
      </c>
      <c r="V6" s="702" t="n">
        <f aca="false">IF(V2-$E$2&lt;Assum!$F$22,1,IF(V2-$E$2=Assum!$F$22,1-Assum!$H$23,0))</f>
        <v>1</v>
      </c>
      <c r="W6" s="702" t="n">
        <f aca="false">IF(W2-$E$2&lt;Assum!$F$22,1,IF(W2-$E$2=Assum!$F$22,1-Assum!$H$23,0))</f>
        <v>1</v>
      </c>
      <c r="X6" s="702" t="n">
        <f aca="false">IF(X2-$E$2&lt;Assum!$F$22,1,IF(X2-$E$2=Assum!$F$22,1-Assum!$H$23,0))</f>
        <v>1</v>
      </c>
      <c r="Y6" s="702" t="n">
        <f aca="false">IF(Y2-$E$2&lt;Assum!$F$22,1,IF(Y2-$E$2=Assum!$F$22,1-Assum!$H$23,0))</f>
        <v>0</v>
      </c>
      <c r="Z6" s="702" t="n">
        <f aca="false">IF(Z2-$E$2&lt;Assum!$F$22,1,IF(Z2-$E$2=Assum!$F$22,1-Assum!$H$23,0))</f>
        <v>0</v>
      </c>
      <c r="AA6" s="702" t="n">
        <f aca="false">IF(AA2-$E$2&lt;Assum!$F$22,1,IF(AA2-$E$2=Assum!$F$22,1-Assum!$H$23,0))</f>
        <v>0</v>
      </c>
      <c r="AB6" s="702" t="n">
        <f aca="false">IF(AB2-$E$2&lt;Assum!$F$22,1,IF(AB2-$E$2=Assum!$F$22,1-Assum!$H$23,0))</f>
        <v>0</v>
      </c>
      <c r="AC6" s="702" t="n">
        <f aca="false">IF(AC2-$E$2&lt;Assum!$F$22,1,IF(AC2-$E$2=Assum!$F$22,1-Assum!$H$23,0))</f>
        <v>0</v>
      </c>
      <c r="AD6" s="702" t="n">
        <f aca="false">IF(AD2-$E$2&lt;Assum!$F$22,1,IF(AD2-$E$2=Assum!$F$22,1-Assum!$H$23,0))</f>
        <v>0</v>
      </c>
      <c r="AE6" s="702" t="n">
        <f aca="false">IF(AE2-$E$2&lt;Assum!$F$22,1,IF(AE2-$E$2=Assum!$F$22,1-Assum!$H$23,0))</f>
        <v>0</v>
      </c>
      <c r="AF6" s="702" t="n">
        <f aca="false">IF(AF2-$E$2&lt;Assum!$F$22,1,IF(AF2-$E$2=Assum!$F$22,1-Assum!$H$23,0))</f>
        <v>0</v>
      </c>
      <c r="AG6" s="702" t="n">
        <f aca="false">IF(AG2-$E$2&lt;Assum!$F$22,1,IF(AG2-$E$2=Assum!$F$22,1-Assum!$H$23,0))</f>
        <v>0</v>
      </c>
      <c r="AH6" s="702" t="n">
        <f aca="false">IF(AH2-$E$2&lt;Assum!$F$22,1,IF(AH2-$E$2=Assum!$F$22,1-Assum!$H$23,0))</f>
        <v>0</v>
      </c>
      <c r="AI6" s="702" t="n">
        <f aca="false">IF(AI2-$E$2&lt;Assum!$F$22,1,IF(AI2-$E$2=Assum!$F$22,1-Assum!$H$23,0))</f>
        <v>0</v>
      </c>
      <c r="AJ6" s="23"/>
      <c r="AK6" s="23"/>
      <c r="AL6" s="23"/>
      <c r="AM6" s="23"/>
      <c r="AN6" s="23"/>
      <c r="AO6" s="23"/>
      <c r="AP6" s="23"/>
      <c r="AQ6" s="23"/>
      <c r="AR6" s="23"/>
      <c r="AS6" s="23"/>
      <c r="AT6" s="23"/>
      <c r="AU6" s="23"/>
      <c r="AV6" s="23"/>
      <c r="AW6" s="23"/>
      <c r="AX6" s="23"/>
      <c r="AY6" s="23"/>
      <c r="AZ6" s="23"/>
      <c r="BA6" s="23"/>
      <c r="BB6" s="23"/>
      <c r="BC6" s="23"/>
      <c r="BD6" s="23"/>
      <c r="BE6" s="23"/>
      <c r="BF6" s="23"/>
      <c r="BG6" s="23"/>
      <c r="BH6" s="23"/>
      <c r="BI6" s="23"/>
      <c r="BJ6" s="23"/>
      <c r="BK6" s="23"/>
      <c r="BL6" s="23"/>
      <c r="BM6" s="23"/>
      <c r="BN6" s="23"/>
      <c r="BO6" s="23"/>
      <c r="BP6" s="23"/>
      <c r="BQ6" s="23"/>
      <c r="BR6" s="23"/>
      <c r="BS6" s="23"/>
      <c r="BT6" s="23"/>
      <c r="BU6" s="23"/>
      <c r="BV6" s="23"/>
      <c r="BW6" s="23"/>
      <c r="BX6" s="23"/>
      <c r="BY6" s="23"/>
      <c r="BZ6" s="23"/>
      <c r="CA6" s="23"/>
      <c r="CB6" s="23"/>
      <c r="CC6" s="23"/>
      <c r="CD6" s="23"/>
      <c r="CE6" s="23"/>
      <c r="CF6" s="23"/>
      <c r="CG6" s="23"/>
      <c r="CH6" s="23"/>
      <c r="CI6" s="23"/>
      <c r="CJ6" s="23"/>
      <c r="CK6" s="23"/>
      <c r="CL6" s="23"/>
      <c r="CM6" s="23"/>
      <c r="CN6" s="23"/>
      <c r="CO6" s="23"/>
      <c r="CP6" s="23"/>
      <c r="CQ6" s="23"/>
      <c r="CR6" s="23"/>
      <c r="CS6" s="23"/>
      <c r="CT6" s="23"/>
      <c r="CU6" s="23"/>
      <c r="CV6" s="23"/>
      <c r="CW6" s="23"/>
      <c r="CX6" s="23"/>
      <c r="CY6" s="23"/>
      <c r="CZ6" s="23"/>
      <c r="DA6" s="23"/>
      <c r="DB6" s="23"/>
      <c r="DC6" s="23"/>
      <c r="DD6" s="23"/>
      <c r="DE6" s="23"/>
      <c r="DF6" s="23"/>
      <c r="DG6" s="23"/>
      <c r="DH6" s="23"/>
      <c r="DI6" s="23"/>
      <c r="DJ6" s="23"/>
      <c r="DK6" s="23"/>
      <c r="DL6" s="23"/>
      <c r="DM6" s="23"/>
      <c r="DN6" s="23"/>
      <c r="DO6" s="23"/>
      <c r="DP6" s="23"/>
      <c r="DQ6" s="23"/>
      <c r="DR6" s="23"/>
      <c r="DS6" s="23"/>
      <c r="DT6" s="23"/>
      <c r="DU6" s="23"/>
      <c r="DV6" s="23"/>
      <c r="DW6" s="23"/>
      <c r="DX6" s="23"/>
      <c r="DY6" s="23"/>
      <c r="DZ6" s="23"/>
      <c r="EA6" s="23"/>
      <c r="EB6" s="23"/>
      <c r="EC6" s="23"/>
      <c r="ED6" s="23"/>
      <c r="EE6" s="23"/>
      <c r="EF6" s="23"/>
      <c r="EG6" s="23"/>
      <c r="EH6" s="23"/>
      <c r="EI6" s="23"/>
      <c r="EJ6" s="23"/>
      <c r="EK6" s="23"/>
      <c r="EL6" s="23"/>
      <c r="EM6" s="23"/>
      <c r="EN6" s="23"/>
      <c r="EO6" s="23"/>
      <c r="EP6" s="23"/>
      <c r="EQ6" s="23"/>
      <c r="ER6" s="23"/>
      <c r="ES6" s="23"/>
      <c r="ET6" s="23"/>
      <c r="EU6" s="23"/>
      <c r="EV6" s="23"/>
      <c r="EW6" s="23"/>
      <c r="EX6" s="451"/>
      <c r="EY6" s="451"/>
      <c r="EZ6" s="451"/>
      <c r="FA6" s="451"/>
      <c r="FB6" s="451"/>
      <c r="FC6" s="451"/>
      <c r="FD6" s="451"/>
      <c r="FE6" s="451"/>
      <c r="FF6" s="451"/>
      <c r="FG6" s="451"/>
      <c r="FH6" s="451"/>
      <c r="FI6" s="451"/>
      <c r="FJ6" s="451"/>
      <c r="FK6" s="451"/>
      <c r="FL6" s="451"/>
      <c r="FM6" s="451"/>
      <c r="FN6" s="451"/>
      <c r="FO6" s="451"/>
      <c r="FP6" s="451"/>
      <c r="FQ6" s="451"/>
      <c r="FR6" s="451"/>
      <c r="FS6" s="451"/>
      <c r="FT6" s="451"/>
      <c r="FU6" s="451"/>
      <c r="FV6" s="451"/>
      <c r="FW6" s="451"/>
      <c r="FX6" s="451"/>
      <c r="FY6" s="451"/>
      <c r="FZ6" s="451"/>
      <c r="GA6" s="451"/>
      <c r="GB6" s="451"/>
      <c r="GC6" s="451"/>
      <c r="GD6" s="451"/>
      <c r="GE6" s="451"/>
      <c r="GF6" s="451"/>
      <c r="GG6" s="451"/>
      <c r="GH6" s="451"/>
      <c r="GI6" s="451"/>
      <c r="GJ6" s="451"/>
      <c r="GK6" s="451"/>
      <c r="GL6" s="451"/>
      <c r="GM6" s="451"/>
      <c r="GN6" s="451"/>
      <c r="GO6" s="451"/>
      <c r="GP6" s="451"/>
      <c r="GQ6" s="451"/>
      <c r="GR6" s="451"/>
      <c r="GS6" s="451"/>
      <c r="GT6" s="451"/>
      <c r="GU6" s="451"/>
      <c r="GV6" s="451"/>
      <c r="GW6" s="451"/>
      <c r="GX6" s="451"/>
      <c r="GY6" s="451"/>
      <c r="GZ6" s="451"/>
      <c r="HA6" s="451"/>
      <c r="HB6" s="451"/>
      <c r="HC6" s="451"/>
      <c r="HD6" s="451"/>
      <c r="HE6" s="451"/>
      <c r="HF6" s="451"/>
      <c r="HG6" s="451"/>
      <c r="HH6" s="451"/>
      <c r="HI6" s="451"/>
      <c r="HJ6" s="451"/>
      <c r="HK6" s="451"/>
      <c r="HL6" s="451"/>
      <c r="HM6" s="451"/>
      <c r="HN6" s="451"/>
      <c r="HO6" s="451"/>
      <c r="HP6" s="451"/>
      <c r="HQ6" s="451"/>
      <c r="HR6" s="451"/>
      <c r="HS6" s="451"/>
      <c r="HT6" s="451"/>
      <c r="HU6" s="451"/>
      <c r="HV6" s="451"/>
      <c r="HW6" s="451"/>
      <c r="HX6" s="451"/>
      <c r="HY6" s="451"/>
      <c r="HZ6" s="451"/>
      <c r="IA6" s="451"/>
      <c r="IB6" s="451"/>
      <c r="IC6" s="451"/>
      <c r="ID6" s="451"/>
      <c r="IE6" s="451"/>
      <c r="IF6" s="451"/>
      <c r="IG6" s="451"/>
      <c r="IH6" s="451"/>
      <c r="II6" s="451"/>
      <c r="IJ6" s="451"/>
      <c r="IK6" s="451"/>
      <c r="IL6" s="451"/>
      <c r="IM6" s="451"/>
      <c r="IN6" s="451"/>
      <c r="IO6" s="451"/>
      <c r="IP6" s="451"/>
      <c r="IQ6" s="451"/>
      <c r="IR6" s="451"/>
      <c r="IS6" s="451"/>
      <c r="IT6" s="451"/>
      <c r="IU6" s="451"/>
      <c r="IV6" s="451"/>
      <c r="IW6" s="451"/>
    </row>
    <row r="7" customFormat="false" ht="12.75" hidden="false" customHeight="false" outlineLevel="0" collapsed="false">
      <c r="B7" s="59" t="s">
        <v>505</v>
      </c>
      <c r="E7" s="59" t="n">
        <f aca="false">Assum!E105*E6</f>
        <v>127283.925354534</v>
      </c>
      <c r="F7" s="59" t="n">
        <f aca="false">Assum!F105*F6</f>
        <v>127283.925354534</v>
      </c>
      <c r="G7" s="59" t="n">
        <f aca="false">Assum!G105*G6</f>
        <v>127283.925354534</v>
      </c>
      <c r="H7" s="59" t="n">
        <f aca="false">Assum!H105*H6</f>
        <v>127283.925354534</v>
      </c>
      <c r="I7" s="59" t="n">
        <f aca="false">Assum!I105*I6</f>
        <v>127283.925354534</v>
      </c>
      <c r="J7" s="59" t="n">
        <f aca="false">Assum!J105*J6</f>
        <v>127283.925354534</v>
      </c>
      <c r="K7" s="59" t="n">
        <f aca="false">Assum!K105*K6</f>
        <v>127283.925354534</v>
      </c>
      <c r="L7" s="59" t="n">
        <f aca="false">Assum!L105*L6</f>
        <v>127283.925354534</v>
      </c>
      <c r="M7" s="59" t="n">
        <f aca="false">Assum!M105*M6</f>
        <v>127283.925354534</v>
      </c>
      <c r="N7" s="59" t="n">
        <f aca="false">Assum!N105*N6</f>
        <v>127283.925354534</v>
      </c>
      <c r="O7" s="59" t="n">
        <f aca="false">Assum!O105*O6</f>
        <v>127283.925354534</v>
      </c>
      <c r="P7" s="59" t="n">
        <f aca="false">Assum!P105*P6</f>
        <v>127283.925354534</v>
      </c>
      <c r="Q7" s="59" t="n">
        <f aca="false">Assum!Q105*Q6</f>
        <v>127283.925354534</v>
      </c>
      <c r="R7" s="59" t="n">
        <f aca="false">Assum!R105*R6</f>
        <v>127283.925354534</v>
      </c>
      <c r="S7" s="59" t="n">
        <f aca="false">Assum!S105*S6</f>
        <v>127283.925354534</v>
      </c>
      <c r="T7" s="59" t="n">
        <f aca="false">Assum!T105*T6</f>
        <v>127283.925354534</v>
      </c>
      <c r="U7" s="59" t="n">
        <f aca="false">Assum!U105*U6</f>
        <v>127283.925354534</v>
      </c>
      <c r="V7" s="59" t="n">
        <f aca="false">Assum!V105*V6</f>
        <v>127283.925354534</v>
      </c>
      <c r="W7" s="59" t="n">
        <f aca="false">Assum!W105*W6</f>
        <v>127283.925354534</v>
      </c>
      <c r="X7" s="59" t="n">
        <f aca="false">Assum!X105*X6</f>
        <v>127283.925354534</v>
      </c>
      <c r="Y7" s="59" t="n">
        <f aca="false">Assum!Y105*Y6</f>
        <v>0</v>
      </c>
      <c r="Z7" s="59" t="n">
        <f aca="false">Assum!Z105*Z6</f>
        <v>0</v>
      </c>
      <c r="AA7" s="59" t="n">
        <f aca="false">Assum!AA105*AA6</f>
        <v>0</v>
      </c>
      <c r="AB7" s="59" t="n">
        <f aca="false">Assum!AB105*AB6</f>
        <v>0</v>
      </c>
      <c r="AC7" s="59" t="n">
        <f aca="false">Assum!AC105*AC6</f>
        <v>0</v>
      </c>
      <c r="AD7" s="59" t="n">
        <f aca="false">Assum!AD105*AD6</f>
        <v>0</v>
      </c>
      <c r="AE7" s="59" t="n">
        <f aca="false">Assum!AE105*AE6</f>
        <v>0</v>
      </c>
      <c r="AF7" s="59" t="n">
        <f aca="false">Assum!AF105*AF6</f>
        <v>0</v>
      </c>
      <c r="AG7" s="59" t="n">
        <f aca="false">Assum!AG105*AG6</f>
        <v>0</v>
      </c>
      <c r="AH7" s="59" t="n">
        <f aca="false">Assum!AH105*AH6</f>
        <v>0</v>
      </c>
      <c r="AI7" s="59" t="n">
        <f aca="false">Assum!AI105*AI6</f>
        <v>0</v>
      </c>
    </row>
    <row r="8" customFormat="false" ht="12.75" hidden="false" customHeight="false" outlineLevel="0" collapsed="false">
      <c r="B8" s="703" t="s">
        <v>506</v>
      </c>
      <c r="E8" s="340" t="n">
        <f aca="false">$E$4*Assum!E114</f>
        <v>0.0291</v>
      </c>
      <c r="F8" s="340" t="n">
        <f aca="false">$E$4*((Assum!$F$119*Assum!F114)+(Assum!$E$119*Assum!E114))</f>
        <v>0.0291</v>
      </c>
      <c r="G8" s="340" t="n">
        <f aca="false">$E$4*((Assum!$F$119*Assum!G114)+(Assum!$E$119*Assum!F114))</f>
        <v>0.0291</v>
      </c>
      <c r="H8" s="340" t="n">
        <f aca="false">$E$4*((Assum!$F$119*Assum!H114)+(Assum!$E$119*Assum!G114))</f>
        <v>0.0291</v>
      </c>
      <c r="I8" s="340" t="n">
        <f aca="false">$E$4*((Assum!$F$119*Assum!I114)+(Assum!$E$119*Assum!H114))</f>
        <v>0.0291</v>
      </c>
      <c r="J8" s="340" t="n">
        <f aca="false">$E$4*((Assum!$F$119*Assum!J114)+(Assum!$E$119*Assum!I114))</f>
        <v>0.0291</v>
      </c>
      <c r="K8" s="340" t="n">
        <f aca="false">$E$4*((Assum!$F$119*Assum!K114)+(Assum!$E$119*Assum!J114))</f>
        <v>0.0291</v>
      </c>
      <c r="L8" s="340" t="n">
        <f aca="false">$E$4*((Assum!$F$119*Assum!L114)+(Assum!$E$119*Assum!K114))</f>
        <v>0.0291</v>
      </c>
      <c r="M8" s="340" t="n">
        <f aca="false">$E$4*((Assum!$F$119*Assum!M114)+(Assum!$E$119*Assum!L114))</f>
        <v>0.0291</v>
      </c>
      <c r="N8" s="340" t="n">
        <f aca="false">$E$4*((Assum!$F$119*Assum!N114)+(Assum!$E$119*Assum!M114))</f>
        <v>0.0291</v>
      </c>
      <c r="O8" s="340" t="n">
        <f aca="false">$E$4*((Assum!$F$119*Assum!O114)+(Assum!$E$119*Assum!N114))</f>
        <v>0.0291</v>
      </c>
      <c r="P8" s="340" t="n">
        <f aca="false">$E$4*((Assum!$F$119*Assum!P114)+(Assum!$E$119*Assum!O114))</f>
        <v>0.0291</v>
      </c>
      <c r="Q8" s="340" t="n">
        <f aca="false">$E$4*((Assum!$F$119*Assum!Q114)+(Assum!$E$119*Assum!P114))</f>
        <v>0.0291</v>
      </c>
      <c r="R8" s="340" t="n">
        <f aca="false">$E$4*((Assum!$F$119*Assum!R114)+(Assum!$E$119*Assum!Q114))</f>
        <v>0.0291</v>
      </c>
      <c r="S8" s="340" t="n">
        <f aca="false">$E$4*((Assum!$F$119*Assum!S114)+(Assum!$E$119*Assum!R114))</f>
        <v>0.0291</v>
      </c>
      <c r="T8" s="340" t="n">
        <f aca="false">$E$4*((Assum!$F$119*Assum!T114)+(Assum!$E$119*Assum!S114))</f>
        <v>0.0291</v>
      </c>
      <c r="U8" s="340" t="n">
        <f aca="false">$E$4*((Assum!$F$119*Assum!U114)+(Assum!$E$119*Assum!T114))</f>
        <v>0.0291</v>
      </c>
      <c r="V8" s="340" t="n">
        <f aca="false">$E$4*((Assum!$F$119*Assum!V114)+(Assum!$E$119*Assum!U114))</f>
        <v>0.0291</v>
      </c>
      <c r="W8" s="340" t="n">
        <f aca="false">$E$4*((Assum!$F$119*Assum!W114)+(Assum!$E$119*Assum!V114))</f>
        <v>0.0291</v>
      </c>
      <c r="X8" s="340" t="n">
        <f aca="false">$E$4*((Assum!$F$119*Assum!X114)+(Assum!$E$119*Assum!W114))</f>
        <v>0.0291</v>
      </c>
      <c r="Y8" s="340" t="n">
        <f aca="false">$E$4*((Assum!$F$119*Assum!Y114)+(Assum!$E$119*Assum!X114))</f>
        <v>0.0291</v>
      </c>
      <c r="Z8" s="340" t="n">
        <f aca="false">$E$4*((Assum!$F$119*Assum!Z114)+(Assum!$E$119*Assum!Y114))</f>
        <v>0.0291</v>
      </c>
      <c r="AA8" s="340" t="n">
        <f aca="false">$E$4*((Assum!$F$119*Assum!AA114)+(Assum!$E$119*Assum!Z114))</f>
        <v>0.0291</v>
      </c>
      <c r="AB8" s="340" t="n">
        <f aca="false">$E$4*((Assum!$F$119*Assum!AB114)+(Assum!$E$119*Assum!AA114))</f>
        <v>0.0291</v>
      </c>
      <c r="AC8" s="340" t="n">
        <f aca="false">$E$4*((Assum!$F$119*Assum!AC114)+(Assum!$E$119*Assum!AB114))</f>
        <v>0.0291</v>
      </c>
      <c r="AD8" s="340" t="n">
        <f aca="false">$E$4*((Assum!$F$119*Assum!AD114)+(Assum!$E$119*Assum!AC114))</f>
        <v>0.0291</v>
      </c>
      <c r="AE8" s="340" t="n">
        <f aca="false">$E$4*((Assum!$F$119*Assum!AE114)+(Assum!$E$119*Assum!AD114))</f>
        <v>0.0291</v>
      </c>
      <c r="AF8" s="340" t="n">
        <f aca="false">$E$4*((Assum!$F$119*Assum!AF114)+(Assum!$E$119*Assum!AE114))</f>
        <v>0.0291</v>
      </c>
      <c r="AG8" s="340" t="n">
        <f aca="false">$E$4*((Assum!$F$119*Assum!AG114)+(Assum!$E$119*Assum!AF114))</f>
        <v>0.0291</v>
      </c>
      <c r="AH8" s="340" t="n">
        <f aca="false">$E$4*((Assum!$F$119*Assum!AH114)+(Assum!$E$119*Assum!AG114))</f>
        <v>0.0291</v>
      </c>
      <c r="AI8" s="340" t="n">
        <f aca="false">$E$4*((Assum!$F$119*Assum!AI114)+(Assum!$E$119*Assum!AH114))</f>
        <v>0.0291</v>
      </c>
    </row>
    <row r="9" customFormat="false" ht="12.75" hidden="false" customHeight="false" outlineLevel="0" collapsed="false">
      <c r="E9" s="704"/>
      <c r="F9" s="261"/>
      <c r="G9" s="59"/>
      <c r="H9" s="59"/>
      <c r="I9" s="59"/>
      <c r="J9" s="59"/>
      <c r="K9" s="59"/>
      <c r="L9" s="59"/>
      <c r="M9" s="59"/>
      <c r="N9" s="59"/>
      <c r="O9" s="59"/>
      <c r="P9" s="59"/>
      <c r="Q9" s="59"/>
      <c r="R9" s="59"/>
      <c r="S9" s="59"/>
      <c r="T9" s="59"/>
      <c r="U9" s="705"/>
      <c r="V9" s="59"/>
      <c r="W9" s="59"/>
      <c r="X9" s="59"/>
      <c r="Y9" s="59"/>
      <c r="Z9" s="59"/>
      <c r="AA9" s="59"/>
      <c r="AB9" s="59"/>
      <c r="AC9" s="59"/>
      <c r="AD9" s="59"/>
      <c r="AE9" s="59"/>
      <c r="AF9" s="59"/>
      <c r="AG9" s="59"/>
      <c r="AH9" s="59"/>
      <c r="AI9" s="59"/>
    </row>
    <row r="10" customFormat="false" ht="12.75" hidden="false" customHeight="false" outlineLevel="0" collapsed="false">
      <c r="A10" s="706" t="s">
        <v>507</v>
      </c>
      <c r="B10" s="703" t="s">
        <v>199</v>
      </c>
      <c r="E10" s="59" t="n">
        <f aca="false">$E$4*Assum!E126</f>
        <v>0</v>
      </c>
      <c r="F10" s="59"/>
      <c r="G10" s="59"/>
      <c r="H10" s="59"/>
      <c r="I10" s="59"/>
      <c r="J10" s="59"/>
      <c r="K10" s="59"/>
      <c r="L10" s="59"/>
      <c r="M10" s="59"/>
      <c r="N10" s="59"/>
      <c r="O10" s="59"/>
      <c r="P10" s="59"/>
      <c r="Q10" s="59"/>
      <c r="R10" s="59"/>
      <c r="S10" s="59"/>
      <c r="T10" s="59"/>
      <c r="U10" s="705"/>
      <c r="V10" s="59"/>
      <c r="W10" s="59"/>
      <c r="X10" s="59"/>
      <c r="Y10" s="59"/>
      <c r="Z10" s="59"/>
      <c r="AA10" s="59"/>
      <c r="AB10" s="59"/>
      <c r="AC10" s="59"/>
      <c r="AD10" s="59"/>
      <c r="AE10" s="59"/>
      <c r="AF10" s="59"/>
      <c r="AG10" s="59"/>
      <c r="AH10" s="59"/>
      <c r="AI10" s="59"/>
    </row>
    <row r="11" customFormat="false" ht="12.75" hidden="false" customHeight="false" outlineLevel="0" collapsed="false">
      <c r="B11" s="703" t="s">
        <v>508</v>
      </c>
      <c r="E11" s="59" t="n">
        <f aca="false">E7*E8</f>
        <v>3703.96222781693</v>
      </c>
      <c r="F11" s="59" t="n">
        <f aca="false">F7*F8</f>
        <v>3703.96222781693</v>
      </c>
      <c r="G11" s="59" t="n">
        <f aca="false">G7*G8</f>
        <v>3703.96222781693</v>
      </c>
      <c r="H11" s="59" t="n">
        <f aca="false">H7*H8</f>
        <v>3703.96222781693</v>
      </c>
      <c r="I11" s="59" t="n">
        <f aca="false">I7*I8</f>
        <v>3703.96222781693</v>
      </c>
      <c r="J11" s="59" t="n">
        <f aca="false">J7*J8</f>
        <v>3703.96222781693</v>
      </c>
      <c r="K11" s="59" t="n">
        <f aca="false">K7*K8</f>
        <v>3703.96222781693</v>
      </c>
      <c r="L11" s="59" t="n">
        <f aca="false">L7*L8</f>
        <v>3703.96222781693</v>
      </c>
      <c r="M11" s="59" t="n">
        <f aca="false">M7*M8</f>
        <v>3703.96222781693</v>
      </c>
      <c r="N11" s="59" t="n">
        <f aca="false">N7*N8</f>
        <v>3703.96222781693</v>
      </c>
      <c r="O11" s="59" t="n">
        <f aca="false">O7*O8</f>
        <v>3703.96222781693</v>
      </c>
      <c r="P11" s="59" t="n">
        <f aca="false">P7*P8</f>
        <v>3703.96222781693</v>
      </c>
      <c r="Q11" s="59" t="n">
        <f aca="false">Q7*Q8</f>
        <v>3703.96222781693</v>
      </c>
      <c r="R11" s="59" t="n">
        <f aca="false">R7*R8</f>
        <v>3703.96222781693</v>
      </c>
      <c r="S11" s="59" t="n">
        <f aca="false">S7*S8</f>
        <v>3703.96222781693</v>
      </c>
      <c r="T11" s="59" t="n">
        <f aca="false">T7*T8</f>
        <v>3703.96222781693</v>
      </c>
      <c r="U11" s="59" t="n">
        <f aca="false">U7*U8</f>
        <v>3703.96222781693</v>
      </c>
      <c r="V11" s="59" t="n">
        <f aca="false">V7*V8</f>
        <v>3703.96222781693</v>
      </c>
      <c r="W11" s="59" t="n">
        <f aca="false">W7*W8</f>
        <v>3703.96222781693</v>
      </c>
      <c r="X11" s="59" t="n">
        <f aca="false">X7*X8</f>
        <v>3703.96222781693</v>
      </c>
      <c r="Y11" s="59" t="n">
        <f aca="false">Y7*Y8</f>
        <v>0</v>
      </c>
      <c r="Z11" s="59" t="n">
        <f aca="false">Z7*Z8</f>
        <v>0</v>
      </c>
      <c r="AA11" s="59" t="n">
        <f aca="false">AA7*AA8</f>
        <v>0</v>
      </c>
      <c r="AB11" s="59" t="n">
        <f aca="false">AB7*AB8</f>
        <v>0</v>
      </c>
      <c r="AC11" s="59" t="n">
        <f aca="false">AC7*AC8</f>
        <v>0</v>
      </c>
      <c r="AD11" s="59" t="n">
        <f aca="false">AD7*AD8</f>
        <v>0</v>
      </c>
      <c r="AE11" s="59" t="n">
        <f aca="false">AE7*AE8</f>
        <v>0</v>
      </c>
      <c r="AF11" s="59" t="n">
        <f aca="false">AF7*AF8</f>
        <v>0</v>
      </c>
      <c r="AG11" s="59" t="n">
        <f aca="false">AG7*AG8</f>
        <v>0</v>
      </c>
      <c r="AH11" s="59" t="n">
        <f aca="false">AH7*AH8</f>
        <v>0</v>
      </c>
      <c r="AI11" s="59" t="n">
        <f aca="false">AI7*AI8</f>
        <v>0</v>
      </c>
    </row>
    <row r="12" customFormat="false" ht="12.75" hidden="false" customHeight="false" outlineLevel="0" collapsed="false">
      <c r="B12" s="703" t="str">
        <f aca="false">Assum!B125</f>
        <v>OTHER REVENUE</v>
      </c>
      <c r="E12" s="707" t="n">
        <f aca="false">$E$4*(Assum!E125*E6)</f>
        <v>0</v>
      </c>
      <c r="F12" s="707" t="n">
        <f aca="false">$E$4*(Assum!F125*F6)</f>
        <v>0</v>
      </c>
      <c r="G12" s="707" t="n">
        <f aca="false">$E$4*(Assum!G125*G6)</f>
        <v>0</v>
      </c>
      <c r="H12" s="707" t="n">
        <f aca="false">$E$4*(Assum!H125*H6)</f>
        <v>0</v>
      </c>
      <c r="I12" s="707" t="n">
        <f aca="false">$E$4*(Assum!I125*I6)</f>
        <v>0</v>
      </c>
      <c r="J12" s="707" t="n">
        <f aca="false">$E$4*(Assum!J125*J6)</f>
        <v>0</v>
      </c>
      <c r="K12" s="707" t="n">
        <f aca="false">$E$4*(Assum!K125*K6)</f>
        <v>0</v>
      </c>
      <c r="L12" s="707" t="n">
        <f aca="false">$E$4*(Assum!L125*L6)</f>
        <v>0</v>
      </c>
      <c r="M12" s="707" t="n">
        <f aca="false">$E$4*(Assum!M125*M6)</f>
        <v>0</v>
      </c>
      <c r="N12" s="707" t="n">
        <f aca="false">$E$4*(Assum!N125*N6)</f>
        <v>0</v>
      </c>
      <c r="O12" s="707" t="n">
        <f aca="false">$E$4*(Assum!O125*O6)</f>
        <v>0</v>
      </c>
      <c r="P12" s="707" t="n">
        <f aca="false">$E$4*(Assum!P125*P6)</f>
        <v>0</v>
      </c>
      <c r="Q12" s="707" t="n">
        <f aca="false">$E$4*(Assum!Q125*Q6)</f>
        <v>0</v>
      </c>
      <c r="R12" s="707" t="n">
        <f aca="false">$E$4*(Assum!R125*R6)</f>
        <v>0</v>
      </c>
      <c r="S12" s="707" t="n">
        <f aca="false">$E$4*(Assum!S125*S6)</f>
        <v>0</v>
      </c>
      <c r="T12" s="707" t="n">
        <f aca="false">$E$4*(Assum!T125*T6)</f>
        <v>0</v>
      </c>
      <c r="U12" s="707" t="n">
        <f aca="false">$E$4*(Assum!U125*U6)</f>
        <v>0</v>
      </c>
      <c r="V12" s="707" t="n">
        <f aca="false">$E$4*(Assum!V125*V6)</f>
        <v>0</v>
      </c>
      <c r="W12" s="707" t="n">
        <f aca="false">$E$4*(Assum!W125*W6)</f>
        <v>0</v>
      </c>
      <c r="X12" s="707" t="n">
        <f aca="false">$E$4*(Assum!X125*X6)</f>
        <v>0</v>
      </c>
      <c r="Y12" s="707" t="n">
        <f aca="false">$E$4*(Assum!Y125*Y6)</f>
        <v>0</v>
      </c>
      <c r="Z12" s="707" t="n">
        <f aca="false">$E$4*(Assum!Z125*Z6)</f>
        <v>0</v>
      </c>
      <c r="AA12" s="707" t="n">
        <f aca="false">$E$4*(Assum!AA125*AA6)</f>
        <v>0</v>
      </c>
      <c r="AB12" s="707" t="n">
        <f aca="false">$E$4*(Assum!AB125*AB6)</f>
        <v>0</v>
      </c>
      <c r="AC12" s="707" t="n">
        <f aca="false">$E$4*(Assum!AC125*AC6)</f>
        <v>0</v>
      </c>
      <c r="AD12" s="707" t="n">
        <f aca="false">$E$4*(Assum!AD125*AD6)</f>
        <v>0</v>
      </c>
      <c r="AE12" s="707" t="n">
        <f aca="false">$E$4*(Assum!AE125*AE6)</f>
        <v>0</v>
      </c>
      <c r="AF12" s="707" t="n">
        <f aca="false">$E$4*(Assum!AF125*AF6)</f>
        <v>0</v>
      </c>
      <c r="AG12" s="707" t="n">
        <f aca="false">$E$4*(Assum!AG125*AG6)</f>
        <v>0</v>
      </c>
      <c r="AH12" s="707" t="n">
        <f aca="false">$E$4*(Assum!AH125*AH6)</f>
        <v>0</v>
      </c>
      <c r="AI12" s="707" t="n">
        <f aca="false">$E$4*(Assum!AI125*AI6)</f>
        <v>0</v>
      </c>
    </row>
    <row r="13" customFormat="false" ht="13.5" hidden="false" customHeight="false" outlineLevel="0" collapsed="false">
      <c r="B13" s="708" t="s">
        <v>509</v>
      </c>
      <c r="C13" s="332"/>
      <c r="D13" s="332"/>
      <c r="E13" s="709" t="n">
        <f aca="false">SUM(E10:E12)</f>
        <v>3703.96222781693</v>
      </c>
      <c r="F13" s="709" t="n">
        <f aca="false">SUM(F10:F12)</f>
        <v>3703.96222781693</v>
      </c>
      <c r="G13" s="709" t="n">
        <f aca="false">SUM(G10:G12)</f>
        <v>3703.96222781693</v>
      </c>
      <c r="H13" s="709" t="n">
        <f aca="false">SUM(H10:H12)</f>
        <v>3703.96222781693</v>
      </c>
      <c r="I13" s="709" t="n">
        <f aca="false">SUM(I10:I12)</f>
        <v>3703.96222781693</v>
      </c>
      <c r="J13" s="709" t="n">
        <f aca="false">SUM(J10:J12)</f>
        <v>3703.96222781693</v>
      </c>
      <c r="K13" s="709" t="n">
        <f aca="false">SUM(K10:K12)</f>
        <v>3703.96222781693</v>
      </c>
      <c r="L13" s="709" t="n">
        <f aca="false">SUM(L10:L12)</f>
        <v>3703.96222781693</v>
      </c>
      <c r="M13" s="709" t="n">
        <f aca="false">SUM(M10:M12)</f>
        <v>3703.96222781693</v>
      </c>
      <c r="N13" s="709" t="n">
        <f aca="false">SUM(N10:N12)</f>
        <v>3703.96222781693</v>
      </c>
      <c r="O13" s="709" t="n">
        <f aca="false">SUM(O10:O12)</f>
        <v>3703.96222781693</v>
      </c>
      <c r="P13" s="709" t="n">
        <f aca="false">SUM(P10:P12)</f>
        <v>3703.96222781693</v>
      </c>
      <c r="Q13" s="709" t="n">
        <f aca="false">SUM(Q10:Q12)</f>
        <v>3703.96222781693</v>
      </c>
      <c r="R13" s="709" t="n">
        <f aca="false">SUM(R10:R12)</f>
        <v>3703.96222781693</v>
      </c>
      <c r="S13" s="709" t="n">
        <f aca="false">SUM(S10:S12)</f>
        <v>3703.96222781693</v>
      </c>
      <c r="T13" s="709" t="n">
        <f aca="false">SUM(T10:T12)</f>
        <v>3703.96222781693</v>
      </c>
      <c r="U13" s="709" t="n">
        <f aca="false">SUM(U10:U12)</f>
        <v>3703.96222781693</v>
      </c>
      <c r="V13" s="709" t="n">
        <f aca="false">SUM(V10:V12)</f>
        <v>3703.96222781693</v>
      </c>
      <c r="W13" s="709" t="n">
        <f aca="false">SUM(W10:W12)</f>
        <v>3703.96222781693</v>
      </c>
      <c r="X13" s="709" t="n">
        <f aca="false">SUM(X10:X12)</f>
        <v>3703.96222781693</v>
      </c>
      <c r="Y13" s="709" t="n">
        <f aca="false">SUM(Y10:Y12)</f>
        <v>0</v>
      </c>
      <c r="Z13" s="709" t="n">
        <f aca="false">SUM(Z10:Z12)</f>
        <v>0</v>
      </c>
      <c r="AA13" s="709" t="n">
        <f aca="false">SUM(AA10:AA12)</f>
        <v>0</v>
      </c>
      <c r="AB13" s="709" t="n">
        <f aca="false">SUM(AB10:AB12)</f>
        <v>0</v>
      </c>
      <c r="AC13" s="709" t="n">
        <f aca="false">SUM(AC10:AC12)</f>
        <v>0</v>
      </c>
      <c r="AD13" s="709" t="n">
        <f aca="false">SUM(AD10:AD12)</f>
        <v>0</v>
      </c>
      <c r="AE13" s="709" t="n">
        <f aca="false">SUM(AE10:AE12)</f>
        <v>0</v>
      </c>
      <c r="AF13" s="709" t="n">
        <f aca="false">SUM(AF10:AF12)</f>
        <v>0</v>
      </c>
      <c r="AG13" s="709" t="n">
        <f aca="false">SUM(AG10:AG12)</f>
        <v>0</v>
      </c>
      <c r="AH13" s="709" t="n">
        <f aca="false">SUM(AH10:AH12)</f>
        <v>0</v>
      </c>
      <c r="AI13" s="709" t="n">
        <f aca="false">SUM(AI10:AI12)</f>
        <v>0</v>
      </c>
    </row>
    <row r="14" customFormat="false" ht="12.75" hidden="false" customHeight="false" outlineLevel="0" collapsed="false">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row>
    <row r="15" customFormat="false" ht="12.75" hidden="false" customHeight="false" outlineLevel="0" collapsed="false">
      <c r="A15" s="706" t="s">
        <v>510</v>
      </c>
      <c r="B15" s="703" t="str">
        <f aca="false">Assum!B179</f>
        <v>MAINTENANCE </v>
      </c>
      <c r="E15" s="59" t="n">
        <f aca="false">-$E$4*E$6*Assum!E179</f>
        <v>-260.843</v>
      </c>
      <c r="F15" s="59" t="n">
        <f aca="false">-$E$4*F$6*Assum!F179</f>
        <v>-268.407447</v>
      </c>
      <c r="G15" s="59" t="n">
        <f aca="false">-$E$4*G$6*Assum!G179</f>
        <v>-276.0570592395</v>
      </c>
      <c r="H15" s="59" t="n">
        <f aca="false">-$E$4*H$6*Assum!H179</f>
        <v>-283.786656898206</v>
      </c>
      <c r="I15" s="59" t="n">
        <f aca="false">-$E$4*I$6*Assum!I179</f>
        <v>-291.505653965837</v>
      </c>
      <c r="J15" s="59" t="n">
        <f aca="false">-$E$4*J$6*Assum!J179</f>
        <v>-299.288854926725</v>
      </c>
      <c r="K15" s="59" t="n">
        <f aca="false">-$E$4*K$6*Assum!K179</f>
        <v>-307.130222925805</v>
      </c>
      <c r="L15" s="59" t="n">
        <f aca="false">-$E$4*L$6*Assum!L179</f>
        <v>-315.054182677291</v>
      </c>
      <c r="M15" s="59" t="n">
        <f aca="false">-$E$4*M$6*Assum!M179</f>
        <v>-323.056558917294</v>
      </c>
      <c r="N15" s="59" t="n">
        <f aca="false">-$E$4*N$6*Assum!N179</f>
        <v>-331.19758420201</v>
      </c>
      <c r="O15" s="59" t="n">
        <f aca="false">-$E$4*O$6*Assum!O179</f>
        <v>-339.47752380706</v>
      </c>
      <c r="P15" s="59" t="n">
        <f aca="false">-$E$4*P$6*Assum!P179</f>
        <v>-348.066305159379</v>
      </c>
      <c r="Q15" s="59" t="n">
        <f aca="false">-$E$4*Q$6*Assum!Q179</f>
        <v>-357.011609201975</v>
      </c>
      <c r="R15" s="59" t="n">
        <f aca="false">-$E$4*R$6*Assum!R179</f>
        <v>-366.329612202146</v>
      </c>
      <c r="S15" s="59" t="n">
        <f aca="false">-$E$4*S$6*Assum!S179</f>
        <v>-376.110612847944</v>
      </c>
      <c r="T15" s="59" t="n">
        <f aca="false">-$E$4*T$6*Assum!T179</f>
        <v>-386.303210456123</v>
      </c>
      <c r="U15" s="59" t="n">
        <f aca="false">-$E$4*U$6*Assum!U179</f>
        <v>-396.887918422621</v>
      </c>
      <c r="V15" s="59" t="n">
        <f aca="false">-$E$4*V$6*Assum!V179</f>
        <v>-408.080157722139</v>
      </c>
      <c r="W15" s="59" t="n">
        <f aca="false">-$E$4*W$6*Assum!W179</f>
        <v>-419.914482296081</v>
      </c>
      <c r="X15" s="59" t="n">
        <f aca="false">-$E$4*X$6*Assum!X179</f>
        <v>-432.721874006111</v>
      </c>
      <c r="Y15" s="59" t="n">
        <f aca="false">-$E$4*Y$6*Assum!Y179</f>
        <v>-0</v>
      </c>
      <c r="Z15" s="59" t="n">
        <f aca="false">-$E$4*Z$6*Assum!Z179</f>
        <v>-0</v>
      </c>
      <c r="AA15" s="59" t="n">
        <f aca="false">-$E$4*AA$6*Assum!AA179</f>
        <v>-0</v>
      </c>
      <c r="AB15" s="59" t="n">
        <f aca="false">-$E$4*AB$6*Assum!AB179</f>
        <v>-0</v>
      </c>
      <c r="AC15" s="59" t="n">
        <f aca="false">-$E$4*AC$6*Assum!AC179</f>
        <v>-0</v>
      </c>
      <c r="AD15" s="59" t="n">
        <f aca="false">-$E$4*AD$6*Assum!AD179</f>
        <v>-0</v>
      </c>
      <c r="AE15" s="59" t="n">
        <f aca="false">-$E$4*AE$6*Assum!AE179</f>
        <v>-0</v>
      </c>
      <c r="AF15" s="59" t="n">
        <f aca="false">-$E$4*AF$6*Assum!AF179</f>
        <v>-0</v>
      </c>
      <c r="AG15" s="59" t="n">
        <f aca="false">-$E$4*AG$6*Assum!AG179</f>
        <v>-0</v>
      </c>
      <c r="AH15" s="59" t="n">
        <f aca="false">-$E$4*AH$6*Assum!AH179</f>
        <v>-0</v>
      </c>
      <c r="AI15" s="59" t="n">
        <f aca="false">-$E$4*AI$6*Assum!AI179</f>
        <v>-0</v>
      </c>
    </row>
    <row r="16" customFormat="false" ht="12.75" hidden="false" customHeight="false" outlineLevel="0" collapsed="false">
      <c r="B16" s="703" t="str">
        <f aca="false">Assum!B180</f>
        <v>NONROUTINE MAINTENANCE</v>
      </c>
      <c r="E16" s="59" t="n">
        <f aca="false">-$E$4*E$6*Assum!E180</f>
        <v>-0</v>
      </c>
      <c r="F16" s="59" t="n">
        <f aca="false">-$E$4*F$6*Assum!F180</f>
        <v>-0</v>
      </c>
      <c r="G16" s="59" t="n">
        <f aca="false">-$E$4*G$6*Assum!G180</f>
        <v>-0</v>
      </c>
      <c r="H16" s="59" t="n">
        <f aca="false">-$E$4*H$6*Assum!H180</f>
        <v>-0</v>
      </c>
      <c r="I16" s="59" t="n">
        <f aca="false">-$E$4*I$6*Assum!I180</f>
        <v>-0</v>
      </c>
      <c r="J16" s="59" t="n">
        <f aca="false">-$E$4*J$6*Assum!J180</f>
        <v>-345</v>
      </c>
      <c r="K16" s="59" t="n">
        <f aca="false">-$E$4*K$6*Assum!K180</f>
        <v>-354.039</v>
      </c>
      <c r="L16" s="59" t="n">
        <f aca="false">-$E$4*L$6*Assum!L180</f>
        <v>-363.1732062</v>
      </c>
      <c r="M16" s="59" t="n">
        <f aca="false">-$E$4*M$6*Assum!M180</f>
        <v>-372.39780563748</v>
      </c>
      <c r="N16" s="59" t="n">
        <f aca="false">-$E$4*N$6*Assum!N180</f>
        <v>-381.782230339545</v>
      </c>
      <c r="O16" s="59" t="n">
        <f aca="false">-$E$4*O$6*Assum!O180</f>
        <v>-391.326786098033</v>
      </c>
      <c r="P16" s="59" t="n">
        <f aca="false">-$E$4*P$6*Assum!P180</f>
        <v>-401.227353786313</v>
      </c>
      <c r="Q16" s="59" t="n">
        <f aca="false">-$E$4*Q$6*Assum!Q180</f>
        <v>-411.538896778622</v>
      </c>
      <c r="R16" s="59" t="n">
        <f aca="false">-$E$4*R$6*Assum!R180</f>
        <v>-422.280061984544</v>
      </c>
      <c r="S16" s="59" t="n">
        <f aca="false">-$E$4*S$6*Assum!S180</f>
        <v>-433.554939639531</v>
      </c>
      <c r="T16" s="59" t="n">
        <f aca="false">-$E$4*T$6*Assum!T180</f>
        <v>-445.304278503762</v>
      </c>
      <c r="U16" s="59" t="n">
        <f aca="false">-$E$4*U$6*Assum!U180</f>
        <v>-457.505615734765</v>
      </c>
      <c r="V16" s="59" t="n">
        <f aca="false">-$E$4*V$6*Assum!V180</f>
        <v>-470.407274098486</v>
      </c>
      <c r="W16" s="59" t="n">
        <f aca="false">-$E$4*W$6*Assum!W180</f>
        <v>-484.049085047342</v>
      </c>
      <c r="X16" s="59" t="n">
        <f aca="false">-$E$4*X$6*Assum!X180</f>
        <v>-498.812582141286</v>
      </c>
      <c r="Y16" s="59" t="n">
        <f aca="false">-$E$4*Y$6*Assum!Y180</f>
        <v>-0</v>
      </c>
      <c r="Z16" s="59" t="n">
        <f aca="false">-$E$4*Z$6*Assum!Z180</f>
        <v>-0</v>
      </c>
      <c r="AA16" s="59" t="n">
        <f aca="false">-$E$4*AA$6*Assum!AA180</f>
        <v>-0</v>
      </c>
      <c r="AB16" s="59" t="n">
        <f aca="false">-$E$4*AB$6*Assum!AB180</f>
        <v>-0</v>
      </c>
      <c r="AC16" s="59" t="n">
        <f aca="false">-$E$4*AC$6*Assum!AC180</f>
        <v>-0</v>
      </c>
      <c r="AD16" s="59" t="n">
        <f aca="false">-$E$4*AD$6*Assum!AD180</f>
        <v>-0</v>
      </c>
      <c r="AE16" s="59" t="n">
        <f aca="false">-$E$4*AE$6*Assum!AE180</f>
        <v>-0</v>
      </c>
      <c r="AF16" s="59" t="n">
        <f aca="false">-$E$4*AF$6*Assum!AF180</f>
        <v>-0</v>
      </c>
      <c r="AG16" s="59" t="n">
        <f aca="false">-$E$4*AG$6*Assum!AG180</f>
        <v>-0</v>
      </c>
      <c r="AH16" s="59" t="n">
        <f aca="false">-$E$4*AH$6*Assum!AH180</f>
        <v>-0</v>
      </c>
      <c r="AI16" s="59" t="n">
        <f aca="false">-$E$4*AI$6*Assum!AI180</f>
        <v>-0</v>
      </c>
    </row>
    <row r="17" customFormat="false" ht="12.75" hidden="false" customHeight="false" outlineLevel="0" collapsed="false">
      <c r="B17" s="703" t="str">
        <f aca="false">Assum!B181</f>
        <v>ELECTRICITY USAGE</v>
      </c>
      <c r="E17" s="59" t="n">
        <f aca="false">-$E$4*E$6*Assum!E181</f>
        <v>-5.3544</v>
      </c>
      <c r="F17" s="59" t="n">
        <f aca="false">-$E$4*F$6*Assum!F181</f>
        <v>-5.3544</v>
      </c>
      <c r="G17" s="59" t="n">
        <f aca="false">-$E$4*G$6*Assum!G181</f>
        <v>-5.3544</v>
      </c>
      <c r="H17" s="59" t="n">
        <f aca="false">-$E$4*H$6*Assum!H181</f>
        <v>-5.3544</v>
      </c>
      <c r="I17" s="59" t="n">
        <f aca="false">-$E$4*I$6*Assum!I181</f>
        <v>-5.3544</v>
      </c>
      <c r="J17" s="59" t="n">
        <f aca="false">-$E$4*J$6*Assum!J181</f>
        <v>-5.3544</v>
      </c>
      <c r="K17" s="59" t="n">
        <f aca="false">-$E$4*K$6*Assum!K181</f>
        <v>-5.3544</v>
      </c>
      <c r="L17" s="59" t="n">
        <f aca="false">-$E$4*L$6*Assum!L181</f>
        <v>-5.3544</v>
      </c>
      <c r="M17" s="59" t="n">
        <f aca="false">-$E$4*M$6*Assum!M181</f>
        <v>-5.3544</v>
      </c>
      <c r="N17" s="59" t="n">
        <f aca="false">-$E$4*N$6*Assum!N181</f>
        <v>-5.3544</v>
      </c>
      <c r="O17" s="59" t="n">
        <f aca="false">-$E$4*O$6*Assum!O181</f>
        <v>-5.3544</v>
      </c>
      <c r="P17" s="59" t="n">
        <f aca="false">-$E$4*P$6*Assum!P181</f>
        <v>-5.3544</v>
      </c>
      <c r="Q17" s="59" t="n">
        <f aca="false">-$E$4*Q$6*Assum!Q181</f>
        <v>-5.3544</v>
      </c>
      <c r="R17" s="59" t="n">
        <f aca="false">-$E$4*R$6*Assum!R181</f>
        <v>-5.3544</v>
      </c>
      <c r="S17" s="59" t="n">
        <f aca="false">-$E$4*S$6*Assum!S181</f>
        <v>-5.3544</v>
      </c>
      <c r="T17" s="59" t="n">
        <f aca="false">-$E$4*T$6*Assum!T181</f>
        <v>-5.3544</v>
      </c>
      <c r="U17" s="59" t="n">
        <f aca="false">-$E$4*U$6*Assum!U181</f>
        <v>-5.3544</v>
      </c>
      <c r="V17" s="59" t="n">
        <f aca="false">-$E$4*V$6*Assum!V181</f>
        <v>-5.3544</v>
      </c>
      <c r="W17" s="59" t="n">
        <f aca="false">-$E$4*W$6*Assum!W181</f>
        <v>-5.3544</v>
      </c>
      <c r="X17" s="59" t="n">
        <f aca="false">-$E$4*X$6*Assum!X181</f>
        <v>-5.3544</v>
      </c>
      <c r="Y17" s="59" t="n">
        <f aca="false">-$E$4*Y$6*Assum!Y181</f>
        <v>-0</v>
      </c>
      <c r="Z17" s="59" t="n">
        <f aca="false">-$E$4*Z$6*Assum!Z181</f>
        <v>-0</v>
      </c>
      <c r="AA17" s="59" t="n">
        <f aca="false">-$E$4*AA$6*Assum!AA181</f>
        <v>-0</v>
      </c>
      <c r="AB17" s="59" t="n">
        <f aca="false">-$E$4*AB$6*Assum!AB181</f>
        <v>-0</v>
      </c>
      <c r="AC17" s="59" t="n">
        <f aca="false">-$E$4*AC$6*Assum!AC181</f>
        <v>-0</v>
      </c>
      <c r="AD17" s="59" t="n">
        <f aca="false">-$E$4*AD$6*Assum!AD181</f>
        <v>-0</v>
      </c>
      <c r="AE17" s="59" t="n">
        <f aca="false">-$E$4*AE$6*Assum!AE181</f>
        <v>-0</v>
      </c>
      <c r="AF17" s="59" t="n">
        <f aca="false">-$E$4*AF$6*Assum!AF181</f>
        <v>-0</v>
      </c>
      <c r="AG17" s="59" t="n">
        <f aca="false">-$E$4*AG$6*Assum!AG181</f>
        <v>-0</v>
      </c>
      <c r="AH17" s="59" t="n">
        <f aca="false">-$E$4*AH$6*Assum!AH181</f>
        <v>-0</v>
      </c>
      <c r="AI17" s="59" t="n">
        <f aca="false">-$E$4*AI$6*Assum!AI181</f>
        <v>-0</v>
      </c>
    </row>
    <row r="18" customFormat="false" ht="12.75" hidden="false" customHeight="false" outlineLevel="0" collapsed="false">
      <c r="B18" s="703" t="str">
        <f aca="false">Assum!B182</f>
        <v>LAND PAYMENTS (VARIABLE)</v>
      </c>
      <c r="E18" s="59" t="n">
        <f aca="false">-Assum!E182*E6</f>
        <v>-0</v>
      </c>
      <c r="F18" s="59" t="n">
        <f aca="false">-Assum!F182*F6</f>
        <v>-0</v>
      </c>
      <c r="G18" s="59" t="n">
        <f aca="false">-Assum!G182*G6</f>
        <v>-0</v>
      </c>
      <c r="H18" s="59" t="n">
        <f aca="false">-Assum!H182*H6</f>
        <v>-0</v>
      </c>
      <c r="I18" s="59" t="n">
        <f aca="false">-Assum!I182*I6</f>
        <v>-0</v>
      </c>
      <c r="J18" s="59" t="n">
        <f aca="false">-Assum!J182*J6</f>
        <v>-0</v>
      </c>
      <c r="K18" s="59" t="n">
        <f aca="false">-Assum!K182*K6</f>
        <v>-0</v>
      </c>
      <c r="L18" s="59" t="n">
        <f aca="false">-Assum!L182*L6</f>
        <v>-0</v>
      </c>
      <c r="M18" s="59" t="n">
        <f aca="false">-Assum!M182*M6</f>
        <v>-0</v>
      </c>
      <c r="N18" s="59" t="n">
        <f aca="false">-Assum!N182*N6</f>
        <v>-0</v>
      </c>
      <c r="O18" s="59" t="n">
        <f aca="false">-Assum!O182*O6</f>
        <v>-0</v>
      </c>
      <c r="P18" s="59" t="n">
        <f aca="false">-Assum!P182*P6</f>
        <v>-0</v>
      </c>
      <c r="Q18" s="59" t="n">
        <f aca="false">-Assum!Q182*Q6</f>
        <v>-0</v>
      </c>
      <c r="R18" s="59" t="n">
        <f aca="false">-Assum!R182*R6</f>
        <v>-0</v>
      </c>
      <c r="S18" s="59" t="n">
        <f aca="false">-Assum!S182*S6</f>
        <v>-0</v>
      </c>
      <c r="T18" s="59" t="n">
        <f aca="false">-Assum!T182*T6</f>
        <v>-0</v>
      </c>
      <c r="U18" s="59" t="n">
        <f aca="false">-Assum!U182*U6</f>
        <v>-0</v>
      </c>
      <c r="V18" s="59" t="n">
        <f aca="false">-Assum!V182*V6</f>
        <v>-0</v>
      </c>
      <c r="W18" s="59" t="n">
        <f aca="false">-Assum!W182*W6</f>
        <v>-0</v>
      </c>
      <c r="X18" s="59" t="n">
        <f aca="false">-Assum!X182*X6</f>
        <v>-0</v>
      </c>
      <c r="Y18" s="59" t="n">
        <f aca="false">-Assum!Y182*Y6</f>
        <v>-0</v>
      </c>
      <c r="Z18" s="59" t="n">
        <f aca="false">-Assum!Z182*Z6</f>
        <v>-0</v>
      </c>
      <c r="AA18" s="59" t="n">
        <f aca="false">-Assum!AA182*AA6</f>
        <v>-0</v>
      </c>
      <c r="AB18" s="59" t="n">
        <f aca="false">-Assum!AB182*AB6</f>
        <v>-0</v>
      </c>
      <c r="AC18" s="59" t="n">
        <f aca="false">-Assum!AC182*AC6</f>
        <v>-0</v>
      </c>
      <c r="AD18" s="59" t="n">
        <f aca="false">-Assum!AD182*AD6</f>
        <v>-0</v>
      </c>
      <c r="AE18" s="59" t="n">
        <f aca="false">-Assum!AE182*AE6</f>
        <v>-0</v>
      </c>
      <c r="AF18" s="59" t="n">
        <f aca="false">-Assum!AF182*AF6</f>
        <v>-0</v>
      </c>
      <c r="AG18" s="59" t="n">
        <f aca="false">-Assum!AG182*AG6</f>
        <v>-0</v>
      </c>
      <c r="AH18" s="59" t="n">
        <f aca="false">-Assum!AH182*AH6</f>
        <v>-0</v>
      </c>
      <c r="AI18" s="59" t="n">
        <f aca="false">-Assum!AI182*AI6</f>
        <v>-0</v>
      </c>
    </row>
    <row r="19" customFormat="false" ht="12.75" hidden="false" customHeight="false" outlineLevel="0" collapsed="false">
      <c r="B19" s="703" t="str">
        <f aca="false">Assum!B183</f>
        <v>LAND PAYMENTS (FIXED)</v>
      </c>
      <c r="E19" s="59" t="n">
        <f aca="false">-Assum!E183*E6</f>
        <v>-200</v>
      </c>
      <c r="F19" s="59" t="n">
        <f aca="false">-Assum!F183*F6</f>
        <v>-204.6</v>
      </c>
      <c r="G19" s="59" t="n">
        <f aca="false">-Assum!G183*G6</f>
        <v>-209.1012</v>
      </c>
      <c r="H19" s="59" t="n">
        <f aca="false">-Assum!H183*H6</f>
        <v>-213.5968758</v>
      </c>
      <c r="I19" s="59" t="n">
        <f aca="false">-Assum!I183*I6</f>
        <v>-218.0824101918</v>
      </c>
      <c r="J19" s="59" t="n">
        <f aca="false">-Assum!J183*J6</f>
        <v>-222.487674877674</v>
      </c>
      <c r="K19" s="59" t="n">
        <f aca="false">-Assum!K183*K6</f>
        <v>-226.870682072765</v>
      </c>
      <c r="L19" s="59" t="n">
        <f aca="false">-Assum!L183*L6</f>
        <v>-231.226599168562</v>
      </c>
      <c r="M19" s="59" t="n">
        <f aca="false">-Assum!M183*M6</f>
        <v>-235.573659232931</v>
      </c>
      <c r="N19" s="59" t="n">
        <f aca="false">-Assum!N183*N6</f>
        <v>-239.908214562817</v>
      </c>
      <c r="O19" s="59" t="n">
        <f aca="false">-Assum!O183*O6</f>
        <v>-244.27454406786</v>
      </c>
      <c r="P19" s="59" t="n">
        <f aca="false">-Assum!P183*P6</f>
        <v>-248.671485861081</v>
      </c>
      <c r="Q19" s="59" t="n">
        <f aca="false">-Assum!Q183*Q6</f>
        <v>-253.222174052339</v>
      </c>
      <c r="R19" s="59" t="n">
        <f aca="false">-Assum!R183*R6</f>
        <v>-257.957428707118</v>
      </c>
      <c r="S19" s="59" t="n">
        <f aca="false">-Assum!S183*S6</f>
        <v>-262.884415595424</v>
      </c>
      <c r="T19" s="59" t="n">
        <f aca="false">-Assum!T183*T6</f>
        <v>-268.063238582654</v>
      </c>
      <c r="U19" s="59" t="n">
        <f aca="false">-Assum!U183*U6</f>
        <v>-273.451309678165</v>
      </c>
      <c r="V19" s="59" t="n">
        <f aca="false">-Assum!V183*V6</f>
        <v>-279.0297163956</v>
      </c>
      <c r="W19" s="59" t="n">
        <f aca="false">-Assum!W183*W6</f>
        <v>-284.945146383186</v>
      </c>
      <c r="X19" s="59" t="n">
        <f aca="false">-Assum!X183*X6</f>
        <v>-291.213939603616</v>
      </c>
      <c r="Y19" s="59" t="n">
        <f aca="false">-Assum!Y183*Y6</f>
        <v>-0</v>
      </c>
      <c r="Z19" s="59" t="n">
        <f aca="false">-Assum!Z183*Z6</f>
        <v>-0</v>
      </c>
      <c r="AA19" s="59" t="n">
        <f aca="false">-Assum!AA183*AA6</f>
        <v>-0</v>
      </c>
      <c r="AB19" s="59" t="n">
        <f aca="false">-Assum!AB183*AB6</f>
        <v>-0</v>
      </c>
      <c r="AC19" s="59" t="n">
        <f aca="false">-Assum!AC183*AC6</f>
        <v>-0</v>
      </c>
      <c r="AD19" s="59" t="n">
        <f aca="false">-Assum!AD183*AD6</f>
        <v>-0</v>
      </c>
      <c r="AE19" s="59" t="n">
        <f aca="false">-Assum!AE183*AE6</f>
        <v>-0</v>
      </c>
      <c r="AF19" s="59" t="n">
        <f aca="false">-Assum!AF183*AF6</f>
        <v>-0</v>
      </c>
      <c r="AG19" s="59" t="n">
        <f aca="false">-Assum!AG183*AG6</f>
        <v>-0</v>
      </c>
      <c r="AH19" s="59" t="n">
        <f aca="false">-Assum!AH183*AH6</f>
        <v>-0</v>
      </c>
      <c r="AI19" s="59" t="n">
        <f aca="false">-Assum!AI183*AI6</f>
        <v>-0</v>
      </c>
    </row>
    <row r="20" customFormat="false" ht="12.75" hidden="false" customHeight="false" outlineLevel="0" collapsed="false">
      <c r="B20" s="703" t="str">
        <f aca="false">Assum!B184</f>
        <v>TOTAL PROPERTY TAX </v>
      </c>
      <c r="E20" s="59" t="n">
        <f aca="false">-Assum!E184*E6</f>
        <v>-431.25</v>
      </c>
      <c r="F20" s="59" t="n">
        <f aca="false">-Assum!F184*F6</f>
        <v>-414</v>
      </c>
      <c r="G20" s="59" t="n">
        <f aca="false">-Assum!G184*G6</f>
        <v>-397.44</v>
      </c>
      <c r="H20" s="59" t="n">
        <f aca="false">-Assum!H184*H6</f>
        <v>-381.5424</v>
      </c>
      <c r="I20" s="59" t="n">
        <f aca="false">-Assum!I184*I6</f>
        <v>-366.280704</v>
      </c>
      <c r="J20" s="59" t="n">
        <f aca="false">-Assum!J184*J6</f>
        <v>-351.62947584</v>
      </c>
      <c r="K20" s="59" t="n">
        <f aca="false">-Assum!K184*K6</f>
        <v>-337.5642968064</v>
      </c>
      <c r="L20" s="59" t="n">
        <f aca="false">-Assum!L184*L6</f>
        <v>-324.061724934144</v>
      </c>
      <c r="M20" s="59" t="n">
        <f aca="false">-Assum!M184*M6</f>
        <v>-311.099255936778</v>
      </c>
      <c r="N20" s="59" t="n">
        <f aca="false">-Assum!N184*N6</f>
        <v>-298.655285699307</v>
      </c>
      <c r="O20" s="59" t="n">
        <f aca="false">-Assum!O184*O6</f>
        <v>-286.709074271335</v>
      </c>
      <c r="P20" s="59" t="n">
        <f aca="false">-Assum!P184*P6</f>
        <v>-275.240711300481</v>
      </c>
      <c r="Q20" s="59" t="n">
        <f aca="false">-Assum!Q184*Q6</f>
        <v>-264.231082848462</v>
      </c>
      <c r="R20" s="59" t="n">
        <f aca="false">-Assum!R184*R6</f>
        <v>-253.661839534524</v>
      </c>
      <c r="S20" s="59" t="n">
        <f aca="false">-Assum!S184*S6</f>
        <v>-243.515365953143</v>
      </c>
      <c r="T20" s="59" t="n">
        <f aca="false">-Assum!T184*T6</f>
        <v>-233.774751315017</v>
      </c>
      <c r="U20" s="59" t="n">
        <f aca="false">-Assum!U184*U6</f>
        <v>-224.423761262416</v>
      </c>
      <c r="V20" s="59" t="n">
        <f aca="false">-Assum!V184*V6</f>
        <v>-215.44681081192</v>
      </c>
      <c r="W20" s="59" t="n">
        <f aca="false">-Assum!W184*W6</f>
        <v>-206.828938379443</v>
      </c>
      <c r="X20" s="59" t="n">
        <f aca="false">-Assum!X184*X6</f>
        <v>-198.555780844265</v>
      </c>
      <c r="Y20" s="59" t="n">
        <f aca="false">-Assum!Y184*Y6</f>
        <v>-0</v>
      </c>
      <c r="Z20" s="59" t="n">
        <f aca="false">-Assum!Z184*Z6</f>
        <v>-0</v>
      </c>
      <c r="AA20" s="59" t="n">
        <f aca="false">-Assum!AA184*AA6</f>
        <v>-0</v>
      </c>
      <c r="AB20" s="59" t="n">
        <f aca="false">-Assum!AB184*AB6</f>
        <v>-0</v>
      </c>
      <c r="AC20" s="59" t="n">
        <f aca="false">-Assum!AC184*AC6</f>
        <v>-0</v>
      </c>
      <c r="AD20" s="59" t="n">
        <f aca="false">-Assum!AD184*AD6</f>
        <v>-0</v>
      </c>
      <c r="AE20" s="59" t="n">
        <f aca="false">-Assum!AE184*AE6</f>
        <v>-0</v>
      </c>
      <c r="AF20" s="59" t="n">
        <f aca="false">-Assum!AF184*AF6</f>
        <v>-0</v>
      </c>
      <c r="AG20" s="59" t="n">
        <f aca="false">-Assum!AG184*AG6</f>
        <v>-0</v>
      </c>
      <c r="AH20" s="59" t="n">
        <f aca="false">-Assum!AH184*AH6</f>
        <v>-0</v>
      </c>
      <c r="AI20" s="59" t="n">
        <f aca="false">-Assum!AI184*AI6</f>
        <v>-0</v>
      </c>
    </row>
    <row r="21" customFormat="false" ht="12.75" hidden="false" customHeight="false" outlineLevel="0" collapsed="false">
      <c r="B21" s="703" t="str">
        <f aca="false">Assum!B185</f>
        <v>INSURANCE </v>
      </c>
      <c r="E21" s="59" t="n">
        <f aca="false">-E$6*Assum!E185</f>
        <v>-101.105</v>
      </c>
      <c r="F21" s="59" t="n">
        <f aca="false">-F$6*Assum!F185</f>
        <v>-104.13815</v>
      </c>
      <c r="G21" s="59" t="n">
        <f aca="false">-G$6*Assum!G185</f>
        <v>-107.15815635</v>
      </c>
      <c r="H21" s="59" t="n">
        <f aca="false">-H$6*Assum!H185</f>
        <v>-110.212163805975</v>
      </c>
      <c r="I21" s="59" t="n">
        <f aca="false">-I$6*Assum!I185</f>
        <v>-113.298104392542</v>
      </c>
      <c r="J21" s="59" t="n">
        <f aca="false">-J$6*Assum!J185</f>
        <v>-116.379812832019</v>
      </c>
      <c r="K21" s="59" t="n">
        <f aca="false">-K$6*Assum!K185</f>
        <v>-119.487153834634</v>
      </c>
      <c r="L21" s="59" t="n">
        <f aca="false">-L$6*Assum!L185</f>
        <v>-122.617717265102</v>
      </c>
      <c r="M21" s="59" t="n">
        <f aca="false">-M$6*Assum!M185</f>
        <v>-125.781254370541</v>
      </c>
      <c r="N21" s="59" t="n">
        <f aca="false">-N$6*Assum!N185</f>
        <v>-128.976098231553</v>
      </c>
      <c r="O21" s="59" t="n">
        <f aca="false">-O$6*Assum!O185</f>
        <v>-132.226295906988</v>
      </c>
      <c r="P21" s="59" t="n">
        <f aca="false">-P$6*Assum!P185</f>
        <v>-135.531953304663</v>
      </c>
      <c r="Q21" s="59" t="n">
        <f aca="false">-Q$6*Assum!Q185</f>
        <v>-138.960911723271</v>
      </c>
      <c r="R21" s="59" t="n">
        <f aca="false">-R$6*Assum!R185</f>
        <v>-142.532207154559</v>
      </c>
      <c r="S21" s="59" t="n">
        <f aca="false">-S$6*Assum!S185</f>
        <v>-146.252297761293</v>
      </c>
      <c r="T21" s="59" t="n">
        <f aca="false">-T$6*Assum!T185</f>
        <v>-150.15723411152</v>
      </c>
      <c r="U21" s="59" t="n">
        <f aca="false">-U$6*Assum!U185</f>
        <v>-154.226495155942</v>
      </c>
      <c r="V21" s="59" t="n">
        <f aca="false">-V$6*Assum!V185</f>
        <v>-158.452301123215</v>
      </c>
      <c r="W21" s="59" t="n">
        <f aca="false">-W$6*Assum!W185</f>
        <v>-162.920656014889</v>
      </c>
      <c r="X21" s="59" t="n">
        <f aca="false">-X$6*Assum!X185</f>
        <v>-167.645355039321</v>
      </c>
      <c r="Y21" s="59" t="n">
        <f aca="false">-Y$6*Assum!Y185</f>
        <v>-0</v>
      </c>
      <c r="Z21" s="59" t="n">
        <f aca="false">-Z$6*Assum!Z185</f>
        <v>-0</v>
      </c>
      <c r="AA21" s="59" t="n">
        <f aca="false">-AA$6*Assum!AA185</f>
        <v>-0</v>
      </c>
      <c r="AB21" s="59" t="n">
        <f aca="false">-AB$6*Assum!AB185</f>
        <v>-0</v>
      </c>
      <c r="AC21" s="59" t="n">
        <f aca="false">-AC$6*Assum!AC185</f>
        <v>-0</v>
      </c>
      <c r="AD21" s="59" t="n">
        <f aca="false">-AD$6*Assum!AD185</f>
        <v>-0</v>
      </c>
      <c r="AE21" s="59" t="n">
        <f aca="false">-AE$6*Assum!AE185</f>
        <v>-0</v>
      </c>
      <c r="AF21" s="59" t="n">
        <f aca="false">-AF$6*Assum!AF185</f>
        <v>-0</v>
      </c>
      <c r="AG21" s="59" t="n">
        <f aca="false">-AG$6*Assum!AG185</f>
        <v>-0</v>
      </c>
      <c r="AH21" s="59" t="n">
        <f aca="false">-AH$6*Assum!AH185</f>
        <v>-0</v>
      </c>
      <c r="AI21" s="59" t="n">
        <f aca="false">-AI$6*Assum!AI185</f>
        <v>-0</v>
      </c>
    </row>
    <row r="22" customFormat="false" ht="12.75" hidden="false" customHeight="false" outlineLevel="0" collapsed="false">
      <c r="B22" s="703" t="str">
        <f aca="false">Assum!B186</f>
        <v>AUDIT COSTS </v>
      </c>
      <c r="E22" s="59" t="n">
        <f aca="false">-$E$4*E$6*Assum!E186</f>
        <v>-35</v>
      </c>
      <c r="F22" s="59" t="n">
        <f aca="false">-$E$4*F$6*Assum!F186</f>
        <v>-36.05</v>
      </c>
      <c r="G22" s="59" t="n">
        <f aca="false">-$E$4*G$6*Assum!G186</f>
        <v>-37.09545</v>
      </c>
      <c r="H22" s="59" t="n">
        <f aca="false">-$E$4*H$6*Assum!H186</f>
        <v>-38.152670325</v>
      </c>
      <c r="I22" s="59" t="n">
        <f aca="false">-$E$4*I$6*Assum!I186</f>
        <v>-39.2209450941</v>
      </c>
      <c r="J22" s="59" t="n">
        <f aca="false">-$E$4*J$6*Assum!J186</f>
        <v>-40.2877548006595</v>
      </c>
      <c r="K22" s="59" t="n">
        <f aca="false">-$E$4*K$6*Assum!K186</f>
        <v>-41.3634378538371</v>
      </c>
      <c r="L22" s="59" t="n">
        <f aca="false">-$E$4*L$6*Assum!L186</f>
        <v>-42.4471599256077</v>
      </c>
      <c r="M22" s="59" t="n">
        <f aca="false">-$E$4*M$6*Assum!M186</f>
        <v>-43.5422966516883</v>
      </c>
      <c r="N22" s="59" t="n">
        <f aca="false">-$E$4*N$6*Assum!N186</f>
        <v>-44.6482709866412</v>
      </c>
      <c r="O22" s="59" t="n">
        <f aca="false">-$E$4*O$6*Assum!O186</f>
        <v>-45.7734074155046</v>
      </c>
      <c r="P22" s="59" t="n">
        <f aca="false">-$E$4*P$6*Assum!P186</f>
        <v>-46.9177426008922</v>
      </c>
      <c r="Q22" s="59" t="n">
        <f aca="false">-$E$4*Q$6*Assum!Q186</f>
        <v>-48.1047614886948</v>
      </c>
      <c r="R22" s="59" t="n">
        <f aca="false">-$E$4*R$6*Assum!R186</f>
        <v>-49.3410538589542</v>
      </c>
      <c r="S22" s="59" t="n">
        <f aca="false">-$E$4*S$6*Assum!S186</f>
        <v>-50.6288553646729</v>
      </c>
      <c r="T22" s="59" t="n">
        <f aca="false">-$E$4*T$6*Assum!T186</f>
        <v>-51.9806458029097</v>
      </c>
      <c r="U22" s="59" t="n">
        <f aca="false">-$E$4*U$6*Assum!U186</f>
        <v>-53.3893213041685</v>
      </c>
      <c r="V22" s="59" t="n">
        <f aca="false">-$E$4*V$6*Assum!V186</f>
        <v>-54.8521887079028</v>
      </c>
      <c r="W22" s="59" t="n">
        <f aca="false">-$E$4*W$6*Assum!W186</f>
        <v>-56.3990204294656</v>
      </c>
      <c r="X22" s="59" t="n">
        <f aca="false">-$E$4*X$6*Assum!X186</f>
        <v>-58.0345920219201</v>
      </c>
      <c r="Y22" s="59" t="n">
        <f aca="false">-$E$4*Y$6*Assum!Y186</f>
        <v>-0</v>
      </c>
      <c r="Z22" s="59" t="n">
        <f aca="false">-$E$4*Z$6*Assum!Z186</f>
        <v>-0</v>
      </c>
      <c r="AA22" s="59" t="n">
        <f aca="false">-$E$4*AA$6*Assum!AA186</f>
        <v>-0</v>
      </c>
      <c r="AB22" s="59" t="n">
        <f aca="false">-$E$4*AB$6*Assum!AB186</f>
        <v>-0</v>
      </c>
      <c r="AC22" s="59" t="n">
        <f aca="false">-$E$4*AC$6*Assum!AC186</f>
        <v>-0</v>
      </c>
      <c r="AD22" s="59" t="n">
        <f aca="false">-$E$4*AD$6*Assum!AD186</f>
        <v>-0</v>
      </c>
      <c r="AE22" s="59" t="n">
        <f aca="false">-$E$4*AE$6*Assum!AE186</f>
        <v>-0</v>
      </c>
      <c r="AF22" s="59" t="n">
        <f aca="false">-$E$4*AF$6*Assum!AF186</f>
        <v>-0</v>
      </c>
      <c r="AG22" s="59" t="n">
        <f aca="false">-$E$4*AG$6*Assum!AG186</f>
        <v>-0</v>
      </c>
      <c r="AH22" s="59" t="n">
        <f aca="false">-$E$4*AH$6*Assum!AH186</f>
        <v>-0</v>
      </c>
      <c r="AI22" s="59" t="n">
        <f aca="false">-$E$4*AI$6*Assum!AI186</f>
        <v>-0</v>
      </c>
    </row>
    <row r="23" customFormat="false" ht="12.75" hidden="false" customHeight="false" outlineLevel="0" collapsed="false">
      <c r="B23" s="703" t="str">
        <f aca="false">Assum!B187</f>
        <v>SR DEBT ANNUAL AGENCY FEE</v>
      </c>
      <c r="E23" s="59" t="n">
        <f aca="false">-$E$4*E$6*Assum!E187</f>
        <v>-35</v>
      </c>
      <c r="F23" s="59" t="n">
        <f aca="false">-$E$4*F$6*Assum!F187</f>
        <v>-36.05</v>
      </c>
      <c r="G23" s="59" t="n">
        <f aca="false">-$E$4*G$6*Assum!G187</f>
        <v>-37.09545</v>
      </c>
      <c r="H23" s="59" t="n">
        <f aca="false">-$E$4*H$6*Assum!H187</f>
        <v>-38.152670325</v>
      </c>
      <c r="I23" s="59" t="n">
        <f aca="false">-$E$4*I$6*Assum!I187</f>
        <v>-39.2209450941</v>
      </c>
      <c r="J23" s="59" t="n">
        <f aca="false">-$E$4*J$6*Assum!J187</f>
        <v>-40.2877548006595</v>
      </c>
      <c r="K23" s="59" t="n">
        <f aca="false">-$E$4*K$6*Assum!K187</f>
        <v>-41.3634378538371</v>
      </c>
      <c r="L23" s="59" t="n">
        <f aca="false">-$E$4*L$6*Assum!L187</f>
        <v>-42.4471599256077</v>
      </c>
      <c r="M23" s="59" t="n">
        <f aca="false">-$E$4*M$6*Assum!M187</f>
        <v>-43.5422966516883</v>
      </c>
      <c r="N23" s="59" t="n">
        <f aca="false">-$E$4*N$6*Assum!N187</f>
        <v>-44.6482709866412</v>
      </c>
      <c r="O23" s="59" t="n">
        <f aca="false">-$E$4*O$6*Assum!O187</f>
        <v>-45.7734074155046</v>
      </c>
      <c r="P23" s="59" t="n">
        <f aca="false">-$E$4*P$6*Assum!P187</f>
        <v>-46.9177426008922</v>
      </c>
      <c r="Q23" s="59" t="n">
        <f aca="false">-$E$4*Q$6*Assum!Q187</f>
        <v>-48.1047614886948</v>
      </c>
      <c r="R23" s="59" t="n">
        <f aca="false">-$E$4*R$6*Assum!R187</f>
        <v>-49.3410538589542</v>
      </c>
      <c r="S23" s="59" t="n">
        <f aca="false">-$E$4*S$6*Assum!S187</f>
        <v>-50.6288553646729</v>
      </c>
      <c r="T23" s="59" t="n">
        <f aca="false">-$E$4*T$6*Assum!T187</f>
        <v>-51.9806458029097</v>
      </c>
      <c r="U23" s="59" t="n">
        <f aca="false">-$E$4*U$6*Assum!U187</f>
        <v>-53.3893213041685</v>
      </c>
      <c r="V23" s="59" t="n">
        <f aca="false">-$E$4*V$6*Assum!V187</f>
        <v>-0</v>
      </c>
      <c r="W23" s="59" t="n">
        <f aca="false">-$E$4*W$6*Assum!W187</f>
        <v>-0</v>
      </c>
      <c r="X23" s="59" t="n">
        <f aca="false">-$E$4*X$6*Assum!X187</f>
        <v>-0</v>
      </c>
      <c r="Y23" s="59" t="n">
        <f aca="false">-$E$4*Y$6*Assum!Y187</f>
        <v>-0</v>
      </c>
      <c r="Z23" s="59" t="n">
        <f aca="false">-$E$4*Z$6*Assum!Z187</f>
        <v>-0</v>
      </c>
      <c r="AA23" s="59" t="n">
        <f aca="false">-$E$4*AA$6*Assum!AA187</f>
        <v>-0</v>
      </c>
      <c r="AB23" s="59" t="n">
        <f aca="false">-$E$4*AB$6*Assum!AB187</f>
        <v>-0</v>
      </c>
      <c r="AC23" s="59" t="n">
        <f aca="false">-$E$4*AC$6*Assum!AC187</f>
        <v>-0</v>
      </c>
      <c r="AD23" s="59" t="n">
        <f aca="false">-$E$4*AD$6*Assum!AD187</f>
        <v>-0</v>
      </c>
      <c r="AE23" s="59" t="n">
        <f aca="false">-$E$4*AE$6*Assum!AE187</f>
        <v>-0</v>
      </c>
      <c r="AF23" s="59" t="n">
        <f aca="false">-$E$4*AF$6*Assum!AF187</f>
        <v>-0</v>
      </c>
      <c r="AG23" s="59" t="n">
        <f aca="false">-$E$4*AG$6*Assum!AG187</f>
        <v>-0</v>
      </c>
      <c r="AH23" s="59" t="n">
        <f aca="false">-$E$4*AH$6*Assum!AH187</f>
        <v>-0</v>
      </c>
      <c r="AI23" s="59" t="n">
        <f aca="false">-$E$4*AI$6*Assum!AI187</f>
        <v>-0</v>
      </c>
    </row>
    <row r="24" customFormat="false" ht="12.75" hidden="false" customHeight="false" outlineLevel="0" collapsed="false">
      <c r="B24" s="703" t="str">
        <f aca="false">Assum!B188</f>
        <v>JR DEBT ANNUAL AGENCY FEE</v>
      </c>
      <c r="E24" s="59" t="n">
        <f aca="false">-$E$4*E$6*Assum!E188</f>
        <v>-0</v>
      </c>
      <c r="F24" s="59" t="n">
        <f aca="false">-$E$4*F$6*Assum!F188</f>
        <v>-0</v>
      </c>
      <c r="G24" s="59" t="n">
        <f aca="false">-$E$4*G$6*Assum!G188</f>
        <v>-0</v>
      </c>
      <c r="H24" s="59" t="n">
        <f aca="false">-$E$4*H$6*Assum!H188</f>
        <v>-0</v>
      </c>
      <c r="I24" s="59" t="n">
        <f aca="false">-$E$4*I$6*Assum!I188</f>
        <v>-0</v>
      </c>
      <c r="J24" s="59" t="n">
        <f aca="false">-$E$4*J$6*Assum!J188</f>
        <v>-0</v>
      </c>
      <c r="K24" s="59" t="n">
        <f aca="false">-$E$4*K$6*Assum!K188</f>
        <v>-0</v>
      </c>
      <c r="L24" s="59" t="n">
        <f aca="false">-$E$4*L$6*Assum!L188</f>
        <v>-0</v>
      </c>
      <c r="M24" s="59" t="n">
        <f aca="false">-$E$4*M$6*Assum!M188</f>
        <v>-0</v>
      </c>
      <c r="N24" s="59" t="n">
        <f aca="false">-$E$4*N$6*Assum!N188</f>
        <v>-0</v>
      </c>
      <c r="O24" s="59" t="n">
        <f aca="false">-$E$4*O$6*Assum!O188</f>
        <v>-0</v>
      </c>
      <c r="P24" s="59" t="n">
        <f aca="false">-$E$4*P$6*Assum!P188</f>
        <v>-0</v>
      </c>
      <c r="Q24" s="59" t="n">
        <f aca="false">-$E$4*Q$6*Assum!Q188</f>
        <v>-0</v>
      </c>
      <c r="R24" s="59" t="n">
        <f aca="false">-$E$4*R$6*Assum!R188</f>
        <v>-0</v>
      </c>
      <c r="S24" s="59" t="n">
        <f aca="false">-$E$4*S$6*Assum!S188</f>
        <v>-0</v>
      </c>
      <c r="T24" s="59" t="n">
        <f aca="false">-$E$4*T$6*Assum!T188</f>
        <v>-0</v>
      </c>
      <c r="U24" s="59" t="n">
        <f aca="false">-$E$4*U$6*Assum!U188</f>
        <v>-0</v>
      </c>
      <c r="V24" s="59" t="n">
        <f aca="false">-$E$4*V$6*Assum!V188</f>
        <v>-0</v>
      </c>
      <c r="W24" s="59" t="n">
        <f aca="false">-$E$4*W$6*Assum!W188</f>
        <v>-0</v>
      </c>
      <c r="X24" s="59" t="n">
        <f aca="false">-$E$4*X$6*Assum!X188</f>
        <v>-0</v>
      </c>
      <c r="Y24" s="59" t="n">
        <f aca="false">-$E$4*Y$6*Assum!Y188</f>
        <v>-0</v>
      </c>
      <c r="Z24" s="59" t="n">
        <f aca="false">-$E$4*Z$6*Assum!Z188</f>
        <v>-0</v>
      </c>
      <c r="AA24" s="59" t="n">
        <f aca="false">-$E$4*AA$6*Assum!AA188</f>
        <v>-0</v>
      </c>
      <c r="AB24" s="59" t="n">
        <f aca="false">-$E$4*AB$6*Assum!AB188</f>
        <v>-0</v>
      </c>
      <c r="AC24" s="59" t="n">
        <f aca="false">-$E$4*AC$6*Assum!AC188</f>
        <v>-0</v>
      </c>
      <c r="AD24" s="59" t="n">
        <f aca="false">-$E$4*AD$6*Assum!AD188</f>
        <v>-0</v>
      </c>
      <c r="AE24" s="59" t="n">
        <f aca="false">-$E$4*AE$6*Assum!AE188</f>
        <v>-0</v>
      </c>
      <c r="AF24" s="59" t="n">
        <f aca="false">-$E$4*AF$6*Assum!AF188</f>
        <v>-0</v>
      </c>
      <c r="AG24" s="59" t="n">
        <f aca="false">-$E$4*AG$6*Assum!AG188</f>
        <v>-0</v>
      </c>
      <c r="AH24" s="59" t="n">
        <f aca="false">-$E$4*AH$6*Assum!AH188</f>
        <v>-0</v>
      </c>
      <c r="AI24" s="59" t="n">
        <f aca="false">-$E$4*AI$6*Assum!AI188</f>
        <v>-0</v>
      </c>
    </row>
    <row r="25" customFormat="false" ht="12.75" hidden="false" customHeight="false" outlineLevel="0" collapsed="false">
      <c r="B25" s="703" t="str">
        <f aca="false">Assum!B189</f>
        <v>INDEPENDENT ENGINEER</v>
      </c>
      <c r="E25" s="59" t="n">
        <f aca="false">-$E$4*E$6*Assum!E189</f>
        <v>-15</v>
      </c>
      <c r="F25" s="59" t="n">
        <f aca="false">-$E$4*F$6*Assum!F189</f>
        <v>-15.45</v>
      </c>
      <c r="G25" s="59" t="n">
        <f aca="false">-$E$4*G$6*Assum!G189</f>
        <v>-15.89805</v>
      </c>
      <c r="H25" s="59" t="n">
        <f aca="false">-$E$4*H$6*Assum!H189</f>
        <v>-16.351144425</v>
      </c>
      <c r="I25" s="59" t="n">
        <f aca="false">-$E$4*I$6*Assum!I189</f>
        <v>-16.8089764689</v>
      </c>
      <c r="J25" s="59" t="n">
        <f aca="false">-$E$4*J$6*Assum!J189</f>
        <v>-17.2661806288541</v>
      </c>
      <c r="K25" s="59" t="n">
        <f aca="false">-$E$4*K$6*Assum!K189</f>
        <v>-17.7271876516445</v>
      </c>
      <c r="L25" s="59" t="n">
        <f aca="false">-$E$4*L$6*Assum!L189</f>
        <v>-18.1916399681176</v>
      </c>
      <c r="M25" s="59" t="n">
        <f aca="false">-$E$4*M$6*Assum!M189</f>
        <v>-18.660984279295</v>
      </c>
      <c r="N25" s="59" t="n">
        <f aca="false">-$E$4*N$6*Assum!N189</f>
        <v>-19.1349732799891</v>
      </c>
      <c r="O25" s="59" t="n">
        <f aca="false">-$E$4*O$6*Assum!O189</f>
        <v>-19.6171746066448</v>
      </c>
      <c r="P25" s="59" t="n">
        <f aca="false">-$E$4*P$6*Assum!P189</f>
        <v>-20.1076039718109</v>
      </c>
      <c r="Q25" s="59" t="n">
        <f aca="false">-$E$4*Q$6*Assum!Q189</f>
        <v>-20.6163263522978</v>
      </c>
      <c r="R25" s="59" t="n">
        <f aca="false">-$E$4*R$6*Assum!R189</f>
        <v>-21.1461659395518</v>
      </c>
      <c r="S25" s="59" t="n">
        <f aca="false">-$E$4*S$6*Assum!S189</f>
        <v>-21.6980808705741</v>
      </c>
      <c r="T25" s="59" t="n">
        <f aca="false">-$E$4*T$6*Assum!T189</f>
        <v>-22.2774196298184</v>
      </c>
      <c r="U25" s="59" t="n">
        <f aca="false">-$E$4*U$6*Assum!U189</f>
        <v>-22.8811377017865</v>
      </c>
      <c r="V25" s="59" t="n">
        <f aca="false">-$E$4*V$6*Assum!V189</f>
        <v>-0</v>
      </c>
      <c r="W25" s="59" t="n">
        <f aca="false">-$E$4*W$6*Assum!W189</f>
        <v>-0</v>
      </c>
      <c r="X25" s="59" t="n">
        <f aca="false">-$E$4*X$6*Assum!X189</f>
        <v>-0</v>
      </c>
      <c r="Y25" s="59" t="n">
        <f aca="false">-$E$4*Y$6*Assum!Y189</f>
        <v>-0</v>
      </c>
      <c r="Z25" s="59" t="n">
        <f aca="false">-$E$4*Z$6*Assum!Z189</f>
        <v>-0</v>
      </c>
      <c r="AA25" s="59" t="n">
        <f aca="false">-$E$4*AA$6*Assum!AA189</f>
        <v>-0</v>
      </c>
      <c r="AB25" s="59" t="n">
        <f aca="false">-$E$4*AB$6*Assum!AB189</f>
        <v>-0</v>
      </c>
      <c r="AC25" s="59" t="n">
        <f aca="false">-$E$4*AC$6*Assum!AC189</f>
        <v>-0</v>
      </c>
      <c r="AD25" s="59" t="n">
        <f aca="false">-$E$4*AD$6*Assum!AD189</f>
        <v>-0</v>
      </c>
      <c r="AE25" s="59" t="n">
        <f aca="false">-$E$4*AE$6*Assum!AE189</f>
        <v>-0</v>
      </c>
      <c r="AF25" s="59" t="n">
        <f aca="false">-$E$4*AF$6*Assum!AF189</f>
        <v>-0</v>
      </c>
      <c r="AG25" s="59" t="n">
        <f aca="false">-$E$4*AG$6*Assum!AG189</f>
        <v>-0</v>
      </c>
      <c r="AH25" s="59" t="n">
        <f aca="false">-$E$4*AH$6*Assum!AH189</f>
        <v>-0</v>
      </c>
      <c r="AI25" s="59" t="n">
        <f aca="false">-$E$4*AI$6*Assum!AI189</f>
        <v>-0</v>
      </c>
    </row>
    <row r="26" customFormat="false" ht="12.75" hidden="false" customHeight="false" outlineLevel="0" collapsed="false">
      <c r="B26" s="703" t="str">
        <f aca="false">Assum!B190</f>
        <v>DEMOLITION FUND</v>
      </c>
      <c r="E26" s="59" t="n">
        <f aca="false">-$E$4*E$6*Assum!E190</f>
        <v>-45</v>
      </c>
      <c r="F26" s="59" t="n">
        <f aca="false">-$E$4*F$6*Assum!F190</f>
        <v>-45</v>
      </c>
      <c r="G26" s="59" t="n">
        <f aca="false">-$E$4*G$6*Assum!G190</f>
        <v>-45</v>
      </c>
      <c r="H26" s="59" t="n">
        <f aca="false">-$E$4*H$6*Assum!H190</f>
        <v>-45</v>
      </c>
      <c r="I26" s="59" t="n">
        <f aca="false">-$E$4*I$6*Assum!I190</f>
        <v>-45</v>
      </c>
      <c r="J26" s="59" t="n">
        <f aca="false">-$E$4*J$6*Assum!J190</f>
        <v>-45</v>
      </c>
      <c r="K26" s="59" t="n">
        <f aca="false">-$E$4*K$6*Assum!K190</f>
        <v>-45</v>
      </c>
      <c r="L26" s="59" t="n">
        <f aca="false">-$E$4*L$6*Assum!L190</f>
        <v>-45</v>
      </c>
      <c r="M26" s="59" t="n">
        <f aca="false">-$E$4*M$6*Assum!M190</f>
        <v>-45</v>
      </c>
      <c r="N26" s="59" t="n">
        <f aca="false">-$E$4*N$6*Assum!N190</f>
        <v>-45</v>
      </c>
      <c r="O26" s="59" t="n">
        <f aca="false">-$E$4*O$6*Assum!O190</f>
        <v>-0</v>
      </c>
      <c r="P26" s="59" t="n">
        <f aca="false">-$E$4*P$6*Assum!P190</f>
        <v>-0</v>
      </c>
      <c r="Q26" s="59" t="n">
        <f aca="false">-$E$4*Q$6*Assum!Q190</f>
        <v>-0</v>
      </c>
      <c r="R26" s="59" t="n">
        <f aca="false">-$E$4*R$6*Assum!R190</f>
        <v>-0</v>
      </c>
      <c r="S26" s="59" t="n">
        <f aca="false">-$E$4*S$6*Assum!S190</f>
        <v>-0</v>
      </c>
      <c r="T26" s="59" t="n">
        <f aca="false">-$E$4*T$6*Assum!T190</f>
        <v>-0</v>
      </c>
      <c r="U26" s="59" t="n">
        <f aca="false">-$E$4*U$6*Assum!U190</f>
        <v>-0</v>
      </c>
      <c r="V26" s="59" t="n">
        <f aca="false">-$E$4*V$6*Assum!V190</f>
        <v>-0</v>
      </c>
      <c r="W26" s="59" t="n">
        <f aca="false">-$E$4*W$6*Assum!W190</f>
        <v>-0</v>
      </c>
      <c r="X26" s="59" t="n">
        <f aca="false">-$E$4*X$6*Assum!X190</f>
        <v>-0</v>
      </c>
      <c r="Y26" s="59" t="n">
        <f aca="false">-$E$4*Y$6*Assum!Y190</f>
        <v>-0</v>
      </c>
      <c r="Z26" s="59" t="n">
        <f aca="false">-$E$4*Z$6*Assum!Z190</f>
        <v>-0</v>
      </c>
      <c r="AA26" s="59" t="n">
        <f aca="false">-$E$4*AA$6*Assum!AA190</f>
        <v>-0</v>
      </c>
      <c r="AB26" s="59" t="n">
        <f aca="false">-$E$4*AB$6*Assum!AB190</f>
        <v>-0</v>
      </c>
      <c r="AC26" s="59" t="n">
        <f aca="false">-$E$4*AC$6*Assum!AC190</f>
        <v>-0</v>
      </c>
      <c r="AD26" s="59" t="n">
        <f aca="false">-$E$4*AD$6*Assum!AD190</f>
        <v>-0</v>
      </c>
      <c r="AE26" s="59" t="n">
        <f aca="false">-$E$4*AE$6*Assum!AE190</f>
        <v>-0</v>
      </c>
      <c r="AF26" s="59" t="n">
        <f aca="false">-$E$4*AF$6*Assum!AF190</f>
        <v>-0</v>
      </c>
      <c r="AG26" s="59" t="n">
        <f aca="false">-$E$4*AG$6*Assum!AG190</f>
        <v>-0</v>
      </c>
      <c r="AH26" s="59" t="n">
        <f aca="false">-$E$4*AH$6*Assum!AH190</f>
        <v>-0</v>
      </c>
      <c r="AI26" s="59" t="n">
        <f aca="false">-$E$4*AI$6*Assum!AI190</f>
        <v>-0</v>
      </c>
      <c r="AJ26" s="59"/>
      <c r="AK26" s="59"/>
      <c r="AL26" s="59"/>
      <c r="AM26" s="59"/>
      <c r="AN26" s="59"/>
      <c r="AO26" s="59"/>
      <c r="AP26" s="59"/>
    </row>
    <row r="27" customFormat="false" ht="12.75" hidden="false" customHeight="false" outlineLevel="0" collapsed="false">
      <c r="B27" s="703" t="str">
        <f aca="false">Assum!B191</f>
        <v>RAROC OPEX VARIANCE</v>
      </c>
      <c r="E27" s="59" t="n">
        <f aca="false">-$E$4*E$6*Assum!E191</f>
        <v>-0</v>
      </c>
      <c r="F27" s="59" t="n">
        <f aca="false">-$E$4*F$6*Assum!F191</f>
        <v>-0</v>
      </c>
      <c r="G27" s="59" t="n">
        <f aca="false">-$E$4*G$6*Assum!G191</f>
        <v>-0</v>
      </c>
      <c r="H27" s="59" t="n">
        <f aca="false">-$E$4*H$6*Assum!H191</f>
        <v>-0</v>
      </c>
      <c r="I27" s="59" t="n">
        <f aca="false">-$E$4*I$6*Assum!I191</f>
        <v>-0</v>
      </c>
      <c r="J27" s="59" t="n">
        <f aca="false">-$E$4*J$6*Assum!J191</f>
        <v>-0</v>
      </c>
      <c r="K27" s="59" t="n">
        <f aca="false">-$E$4*K$6*Assum!K191</f>
        <v>-0</v>
      </c>
      <c r="L27" s="59" t="n">
        <f aca="false">-$E$4*L$6*Assum!L191</f>
        <v>-0</v>
      </c>
      <c r="M27" s="59" t="n">
        <f aca="false">-$E$4*M$6*Assum!M191</f>
        <v>-0</v>
      </c>
      <c r="N27" s="59" t="n">
        <f aca="false">-$E$4*N$6*Assum!N191</f>
        <v>-0</v>
      </c>
      <c r="O27" s="59" t="n">
        <f aca="false">-$E$4*O$6*Assum!O191</f>
        <v>-0</v>
      </c>
      <c r="P27" s="59" t="n">
        <f aca="false">-$E$4*P$6*Assum!P191</f>
        <v>-0</v>
      </c>
      <c r="Q27" s="59" t="n">
        <f aca="false">-$E$4*Q$6*Assum!Q191</f>
        <v>-0</v>
      </c>
      <c r="R27" s="59" t="n">
        <f aca="false">-$E$4*R$6*Assum!R191</f>
        <v>-0</v>
      </c>
      <c r="S27" s="59" t="n">
        <f aca="false">-$E$4*S$6*Assum!S191</f>
        <v>-0</v>
      </c>
      <c r="T27" s="59" t="n">
        <f aca="false">-$E$4*T$6*Assum!T191</f>
        <v>-0</v>
      </c>
      <c r="U27" s="59" t="n">
        <f aca="false">-$E$4*U$6*Assum!U191</f>
        <v>-0</v>
      </c>
      <c r="V27" s="59" t="n">
        <f aca="false">-$E$4*V$6*Assum!V191</f>
        <v>-0</v>
      </c>
      <c r="W27" s="59" t="n">
        <f aca="false">-$E$4*W$6*Assum!W191</f>
        <v>-0</v>
      </c>
      <c r="X27" s="59" t="n">
        <f aca="false">-$E$4*X$6*Assum!X191</f>
        <v>-0</v>
      </c>
      <c r="Y27" s="59" t="n">
        <f aca="false">-$E$4*Y$6*Assum!Y191</f>
        <v>-0</v>
      </c>
      <c r="Z27" s="59" t="n">
        <f aca="false">-$E$4*Z$6*Assum!Z191</f>
        <v>-0</v>
      </c>
      <c r="AA27" s="59" t="n">
        <f aca="false">-$E$4*AA$6*Assum!AA191</f>
        <v>-0</v>
      </c>
      <c r="AB27" s="59" t="n">
        <f aca="false">-$E$4*AB$6*Assum!AB191</f>
        <v>-0</v>
      </c>
      <c r="AC27" s="59" t="n">
        <f aca="false">-$E$4*AC$6*Assum!AC191</f>
        <v>-0</v>
      </c>
      <c r="AD27" s="59" t="n">
        <f aca="false">-$E$4*AD$6*Assum!AD191</f>
        <v>-0</v>
      </c>
      <c r="AE27" s="59" t="n">
        <f aca="false">-$E$4*AE$6*Assum!AE191</f>
        <v>-0</v>
      </c>
      <c r="AF27" s="59" t="n">
        <f aca="false">-$E$4*AF$6*Assum!AF191</f>
        <v>-0</v>
      </c>
      <c r="AG27" s="59" t="n">
        <f aca="false">-$E$4*AG$6*Assum!AG191</f>
        <v>-0</v>
      </c>
      <c r="AH27" s="59" t="n">
        <f aca="false">-$E$4*AH$6*Assum!AH191</f>
        <v>-0</v>
      </c>
      <c r="AI27" s="59" t="n">
        <f aca="false">-$E$4*AI$6*Assum!AI191</f>
        <v>-0</v>
      </c>
      <c r="AJ27" s="59"/>
      <c r="AK27" s="59"/>
      <c r="AL27" s="59"/>
      <c r="AM27" s="59"/>
      <c r="AN27" s="59"/>
      <c r="AO27" s="59"/>
      <c r="AP27" s="59"/>
    </row>
    <row r="28" customFormat="false" ht="12.75" hidden="false" customHeight="false" outlineLevel="0" collapsed="false">
      <c r="B28" s="710" t="s">
        <v>511</v>
      </c>
      <c r="C28" s="711"/>
      <c r="D28" s="711"/>
      <c r="E28" s="710" t="n">
        <f aca="false">SUM(E15:E27)</f>
        <v>-1128.5524</v>
      </c>
      <c r="F28" s="710" t="n">
        <f aca="false">SUM(F15:F27)</f>
        <v>-1129.049997</v>
      </c>
      <c r="G28" s="710" t="n">
        <f aca="false">SUM(G15:G27)</f>
        <v>-1130.1997655895</v>
      </c>
      <c r="H28" s="710" t="n">
        <f aca="false">SUM(H15:H27)</f>
        <v>-1132.14898157918</v>
      </c>
      <c r="I28" s="710" t="n">
        <f aca="false">SUM(I15:I27)</f>
        <v>-1134.77213920728</v>
      </c>
      <c r="J28" s="710" t="n">
        <f aca="false">SUM(J15:J27)</f>
        <v>-1482.98190870659</v>
      </c>
      <c r="K28" s="710" t="n">
        <f aca="false">SUM(K15:K27)</f>
        <v>-1495.89981899892</v>
      </c>
      <c r="L28" s="710" t="n">
        <f aca="false">SUM(L15:L27)</f>
        <v>-1509.57379006443</v>
      </c>
      <c r="M28" s="710" t="n">
        <f aca="false">SUM(M15:M27)</f>
        <v>-1524.0085116777</v>
      </c>
      <c r="N28" s="710" t="n">
        <f aca="false">SUM(N15:N27)</f>
        <v>-1539.3053282885</v>
      </c>
      <c r="O28" s="710" t="n">
        <f aca="false">SUM(O15:O27)</f>
        <v>-1510.53261358893</v>
      </c>
      <c r="P28" s="710" t="n">
        <f aca="false">SUM(P15:P27)</f>
        <v>-1528.03529858551</v>
      </c>
      <c r="Q28" s="710" t="n">
        <f aca="false">SUM(Q15:Q27)</f>
        <v>-1547.14492393436</v>
      </c>
      <c r="R28" s="710" t="n">
        <f aca="false">SUM(R15:R27)</f>
        <v>-1567.94382324035</v>
      </c>
      <c r="S28" s="710" t="n">
        <f aca="false">SUM(S15:S27)</f>
        <v>-1590.62782339725</v>
      </c>
      <c r="T28" s="710" t="n">
        <f aca="false">SUM(T15:T27)</f>
        <v>-1615.19582420471</v>
      </c>
      <c r="U28" s="710" t="n">
        <f aca="false">SUM(U15:U27)</f>
        <v>-1641.50928056403</v>
      </c>
      <c r="V28" s="710" t="n">
        <f aca="false">SUM(V15:V27)</f>
        <v>-1591.62284885926</v>
      </c>
      <c r="W28" s="710" t="n">
        <f aca="false">SUM(W15:W27)</f>
        <v>-1620.41172855041</v>
      </c>
      <c r="X28" s="710" t="n">
        <f aca="false">SUM(X15:X27)</f>
        <v>-1652.33852365652</v>
      </c>
      <c r="Y28" s="710" t="n">
        <f aca="false">SUM(Y15:Y27)</f>
        <v>0</v>
      </c>
      <c r="Z28" s="710" t="n">
        <f aca="false">SUM(Z15:Z27)</f>
        <v>0</v>
      </c>
      <c r="AA28" s="710" t="n">
        <f aca="false">SUM(AA15:AA27)</f>
        <v>0</v>
      </c>
      <c r="AB28" s="710" t="n">
        <f aca="false">SUM(AB15:AB27)</f>
        <v>0</v>
      </c>
      <c r="AC28" s="710" t="n">
        <f aca="false">SUM(AC15:AC27)</f>
        <v>0</v>
      </c>
      <c r="AD28" s="710" t="n">
        <f aca="false">SUM(AD15:AD27)</f>
        <v>0</v>
      </c>
      <c r="AE28" s="710" t="n">
        <f aca="false">SUM(AE15:AE27)</f>
        <v>0</v>
      </c>
      <c r="AF28" s="710" t="n">
        <f aca="false">SUM(AF15:AF27)</f>
        <v>0</v>
      </c>
      <c r="AG28" s="710" t="n">
        <f aca="false">SUM(AG15:AG27)</f>
        <v>0</v>
      </c>
      <c r="AH28" s="710" t="n">
        <f aca="false">SUM(AH15:AH27)</f>
        <v>0</v>
      </c>
      <c r="AI28" s="710" t="n">
        <f aca="false">SUM(AI15:AI27)</f>
        <v>0</v>
      </c>
      <c r="AJ28" s="130"/>
      <c r="AK28" s="130"/>
      <c r="AL28" s="130"/>
      <c r="AM28" s="130"/>
      <c r="AN28" s="130"/>
      <c r="AO28" s="130"/>
      <c r="AP28" s="130"/>
      <c r="AQ28" s="130"/>
      <c r="AR28" s="130"/>
      <c r="AS28" s="130"/>
      <c r="AT28" s="130"/>
      <c r="AU28" s="130"/>
      <c r="AV28" s="130"/>
      <c r="AW28" s="130"/>
      <c r="AX28" s="130"/>
      <c r="AY28" s="130"/>
      <c r="AZ28" s="130"/>
      <c r="BA28" s="130"/>
      <c r="BB28" s="130"/>
      <c r="BC28" s="130"/>
      <c r="BD28" s="130"/>
      <c r="BE28" s="130"/>
      <c r="BF28" s="130"/>
      <c r="BG28" s="130"/>
      <c r="BH28" s="130"/>
      <c r="BI28" s="130"/>
      <c r="BJ28" s="130"/>
      <c r="BK28" s="130"/>
      <c r="BL28" s="130"/>
      <c r="BM28" s="130"/>
      <c r="BN28" s="130"/>
      <c r="BO28" s="130"/>
      <c r="BP28" s="130"/>
      <c r="BQ28" s="130"/>
      <c r="BR28" s="130"/>
      <c r="BS28" s="130"/>
      <c r="BT28" s="130"/>
      <c r="BU28" s="130"/>
      <c r="BV28" s="130"/>
      <c r="BW28" s="130"/>
      <c r="BX28" s="130"/>
      <c r="BY28" s="130"/>
      <c r="BZ28" s="130"/>
      <c r="CA28" s="130"/>
      <c r="CB28" s="130"/>
      <c r="CC28" s="130"/>
      <c r="CD28" s="130"/>
      <c r="CE28" s="130"/>
      <c r="CF28" s="130"/>
      <c r="CG28" s="130"/>
      <c r="CH28" s="130"/>
      <c r="CI28" s="130"/>
      <c r="CJ28" s="130"/>
      <c r="CK28" s="130"/>
      <c r="CL28" s="130"/>
      <c r="CM28" s="130"/>
      <c r="CN28" s="130"/>
      <c r="CO28" s="130"/>
      <c r="CP28" s="130"/>
      <c r="CQ28" s="130"/>
      <c r="CR28" s="130"/>
      <c r="CS28" s="130"/>
      <c r="CT28" s="130"/>
      <c r="CU28" s="130"/>
      <c r="CV28" s="130"/>
      <c r="CW28" s="130"/>
      <c r="CX28" s="130"/>
      <c r="CY28" s="130"/>
      <c r="CZ28" s="130"/>
      <c r="DA28" s="130"/>
      <c r="DB28" s="130"/>
      <c r="DC28" s="130"/>
      <c r="DD28" s="130"/>
      <c r="DE28" s="130"/>
      <c r="DF28" s="130"/>
      <c r="DG28" s="130"/>
      <c r="DH28" s="130"/>
      <c r="DI28" s="130"/>
      <c r="DJ28" s="130"/>
      <c r="DK28" s="130"/>
      <c r="DL28" s="130"/>
      <c r="DM28" s="130"/>
      <c r="DN28" s="130"/>
      <c r="DO28" s="130"/>
      <c r="DP28" s="130"/>
      <c r="DQ28" s="130"/>
      <c r="DR28" s="130"/>
      <c r="DS28" s="130"/>
      <c r="DT28" s="130"/>
      <c r="DU28" s="130"/>
      <c r="DV28" s="130"/>
      <c r="DW28" s="130"/>
      <c r="DX28" s="130"/>
      <c r="DY28" s="130"/>
      <c r="DZ28" s="130"/>
      <c r="EA28" s="130"/>
      <c r="EB28" s="130"/>
      <c r="EC28" s="130"/>
      <c r="ED28" s="130"/>
      <c r="EE28" s="130"/>
      <c r="EF28" s="130"/>
      <c r="EG28" s="130"/>
      <c r="EH28" s="130"/>
      <c r="EI28" s="130"/>
      <c r="EJ28" s="130"/>
      <c r="EK28" s="130"/>
      <c r="EL28" s="130"/>
      <c r="EM28" s="130"/>
      <c r="EN28" s="130"/>
      <c r="EO28" s="130"/>
      <c r="EP28" s="130"/>
      <c r="EQ28" s="130"/>
      <c r="ER28" s="130"/>
      <c r="ES28" s="130"/>
      <c r="ET28" s="130"/>
      <c r="EU28" s="130"/>
      <c r="EV28" s="130"/>
      <c r="EW28" s="130"/>
      <c r="EX28" s="130"/>
      <c r="EY28" s="130"/>
      <c r="EZ28" s="130"/>
      <c r="FA28" s="130"/>
      <c r="FB28" s="130"/>
      <c r="FC28" s="130"/>
      <c r="FD28" s="130"/>
      <c r="FE28" s="130"/>
      <c r="FF28" s="130"/>
      <c r="FG28" s="130"/>
      <c r="FH28" s="130"/>
      <c r="FI28" s="130"/>
      <c r="FJ28" s="130"/>
      <c r="FK28" s="130"/>
      <c r="FL28" s="130"/>
      <c r="FM28" s="130"/>
      <c r="FN28" s="130"/>
      <c r="FO28" s="130"/>
      <c r="FP28" s="130"/>
      <c r="FQ28" s="130"/>
      <c r="FR28" s="130"/>
      <c r="FS28" s="130"/>
      <c r="FT28" s="130"/>
      <c r="FU28" s="130"/>
      <c r="FV28" s="130"/>
      <c r="FW28" s="130"/>
      <c r="FX28" s="130"/>
      <c r="FY28" s="130"/>
      <c r="FZ28" s="130"/>
      <c r="GA28" s="130"/>
      <c r="GB28" s="130"/>
      <c r="GC28" s="130"/>
      <c r="GD28" s="130"/>
      <c r="GE28" s="130"/>
      <c r="GF28" s="130"/>
      <c r="GG28" s="130"/>
      <c r="GH28" s="130"/>
      <c r="GI28" s="130"/>
      <c r="GJ28" s="130"/>
      <c r="GK28" s="130"/>
      <c r="GL28" s="130"/>
      <c r="GM28" s="130"/>
      <c r="GN28" s="130"/>
      <c r="GO28" s="130"/>
      <c r="GP28" s="130"/>
      <c r="GQ28" s="130"/>
      <c r="GR28" s="130"/>
      <c r="GS28" s="130"/>
      <c r="GT28" s="130"/>
      <c r="GU28" s="130"/>
      <c r="GV28" s="130"/>
      <c r="GW28" s="130"/>
      <c r="GX28" s="130"/>
      <c r="GY28" s="130"/>
      <c r="GZ28" s="130"/>
      <c r="HA28" s="130"/>
      <c r="HB28" s="130"/>
      <c r="HC28" s="130"/>
      <c r="HD28" s="130"/>
      <c r="HE28" s="130"/>
      <c r="HF28" s="130"/>
      <c r="HG28" s="130"/>
      <c r="HH28" s="130"/>
      <c r="HI28" s="130"/>
      <c r="HJ28" s="130"/>
      <c r="HK28" s="130"/>
      <c r="HL28" s="130"/>
      <c r="HM28" s="130"/>
      <c r="HN28" s="130"/>
      <c r="HO28" s="130"/>
      <c r="HP28" s="130"/>
      <c r="HQ28" s="130"/>
      <c r="HR28" s="130"/>
      <c r="HS28" s="130"/>
      <c r="HT28" s="130"/>
      <c r="HU28" s="130"/>
      <c r="HV28" s="130"/>
      <c r="HW28" s="130"/>
      <c r="HX28" s="130"/>
      <c r="HY28" s="130"/>
      <c r="HZ28" s="130"/>
      <c r="IA28" s="130"/>
      <c r="IB28" s="130"/>
      <c r="IC28" s="130"/>
      <c r="ID28" s="130"/>
      <c r="IE28" s="130"/>
      <c r="IF28" s="130"/>
      <c r="IG28" s="130"/>
      <c r="IH28" s="130"/>
      <c r="II28" s="130"/>
      <c r="IJ28" s="130"/>
      <c r="IK28" s="130"/>
      <c r="IL28" s="130"/>
      <c r="IM28" s="130"/>
      <c r="IN28" s="130"/>
      <c r="IO28" s="130"/>
      <c r="IP28" s="130"/>
      <c r="IQ28" s="130"/>
      <c r="IR28" s="130"/>
      <c r="IS28" s="130"/>
      <c r="IT28" s="130"/>
      <c r="IU28" s="130"/>
      <c r="IV28" s="130"/>
      <c r="IW28" s="130"/>
    </row>
    <row r="29" customFormat="false" ht="13.5" hidden="false" customHeight="false" outlineLevel="0" collapsed="false">
      <c r="B29" s="712" t="str">
        <f aca="false">Assum!B192</f>
        <v>EPC WARRANTY PAYMENT</v>
      </c>
      <c r="C29" s="713"/>
      <c r="D29" s="713"/>
      <c r="E29" s="712" t="n">
        <f aca="false">-$E$4*E$6*Assum!E192*Assum!$D$175</f>
        <v>-345</v>
      </c>
      <c r="F29" s="712" t="n">
        <f aca="false">-$E$4*F$6*Assum!F192*Assum!$D$175</f>
        <v>-345</v>
      </c>
      <c r="G29" s="712" t="n">
        <f aca="false">-$E$4*G$6*Assum!G192*Assum!$D$175</f>
        <v>-345</v>
      </c>
      <c r="H29" s="712" t="n">
        <f aca="false">-$E$4*H$6*Assum!H192*Assum!$D$175</f>
        <v>-345</v>
      </c>
      <c r="I29" s="712" t="n">
        <f aca="false">-$E$4*I$6*Assum!I192*Assum!$D$175</f>
        <v>-345</v>
      </c>
      <c r="J29" s="712" t="n">
        <f aca="false">-$E$4*J$6*Assum!J192*Assum!$D$175</f>
        <v>-0</v>
      </c>
      <c r="K29" s="712" t="n">
        <f aca="false">-$E$4*K$6*Assum!K192*Assum!$D$175</f>
        <v>-0</v>
      </c>
      <c r="L29" s="712" t="n">
        <f aca="false">-$E$4*L$6*Assum!L192*Assum!$D$175</f>
        <v>-0</v>
      </c>
      <c r="M29" s="712" t="n">
        <f aca="false">-$E$4*M$6*Assum!M192*Assum!$D$175</f>
        <v>-0</v>
      </c>
      <c r="N29" s="712" t="n">
        <f aca="false">-$E$4*N$6*Assum!N192*Assum!$D$175</f>
        <v>-0</v>
      </c>
      <c r="O29" s="712" t="n">
        <f aca="false">-$E$4*O$6*Assum!O192*Assum!$D$175</f>
        <v>-0</v>
      </c>
      <c r="P29" s="712" t="n">
        <f aca="false">-$E$4*P$6*Assum!P192*Assum!$D$175</f>
        <v>-0</v>
      </c>
      <c r="Q29" s="712" t="n">
        <f aca="false">-$E$4*Q$6*Assum!Q192*Assum!$D$175</f>
        <v>-0</v>
      </c>
      <c r="R29" s="712" t="n">
        <f aca="false">-$E$4*R$6*Assum!R192*Assum!$D$175</f>
        <v>-0</v>
      </c>
      <c r="S29" s="712" t="n">
        <f aca="false">-$E$4*S$6*Assum!S192*Assum!$D$175</f>
        <v>-0</v>
      </c>
      <c r="T29" s="712" t="n">
        <f aca="false">-$E$4*T$6*Assum!T192*Assum!$D$175</f>
        <v>-0</v>
      </c>
      <c r="U29" s="712" t="n">
        <f aca="false">-$E$4*U$6*Assum!U192*Assum!$D$175</f>
        <v>-0</v>
      </c>
      <c r="V29" s="712" t="n">
        <f aca="false">-$E$4*V$6*Assum!V192*Assum!$D$175</f>
        <v>-0</v>
      </c>
      <c r="W29" s="712" t="n">
        <f aca="false">-$E$4*W$6*Assum!W192*Assum!$D$175</f>
        <v>-0</v>
      </c>
      <c r="X29" s="712" t="n">
        <f aca="false">-$E$4*X$6*Assum!X192*Assum!$D$175</f>
        <v>-0</v>
      </c>
      <c r="Y29" s="712" t="n">
        <f aca="false">-$E$4*Y$6*Assum!Y192*Assum!$D$175</f>
        <v>-0</v>
      </c>
      <c r="Z29" s="712" t="n">
        <f aca="false">-$E$4*Z$6*Assum!Z192*Assum!$D$175</f>
        <v>-0</v>
      </c>
      <c r="AA29" s="712" t="n">
        <f aca="false">-$E$4*AA$6*Assum!AA192*Assum!$D$175</f>
        <v>-0</v>
      </c>
      <c r="AB29" s="712" t="n">
        <f aca="false">-$E$4*AB$6*Assum!AB192*Assum!$D$175</f>
        <v>-0</v>
      </c>
      <c r="AC29" s="712" t="n">
        <f aca="false">-$E$4*AC$6*Assum!AC192*Assum!$D$175</f>
        <v>-0</v>
      </c>
      <c r="AD29" s="712" t="n">
        <f aca="false">-$E$4*AD$6*Assum!AD192*Assum!$D$175</f>
        <v>-0</v>
      </c>
      <c r="AE29" s="712" t="n">
        <f aca="false">-$E$4*AE$6*Assum!AE192*Assum!$D$175</f>
        <v>-0</v>
      </c>
      <c r="AF29" s="712" t="n">
        <f aca="false">-$E$4*AF$6*Assum!AF192*Assum!$D$175</f>
        <v>-0</v>
      </c>
      <c r="AG29" s="712" t="n">
        <f aca="false">-$E$4*AG$6*Assum!AG192*Assum!$D$175</f>
        <v>-0</v>
      </c>
      <c r="AH29" s="712" t="n">
        <f aca="false">-$E$4*AH$6*Assum!AH192*Assum!$D$175</f>
        <v>-0</v>
      </c>
      <c r="AI29" s="712" t="n">
        <f aca="false">-$E$4*AI$6*Assum!AI192*Assum!$D$175</f>
        <v>-0</v>
      </c>
    </row>
    <row r="30" customFormat="false" ht="13.5" hidden="false" customHeight="false" outlineLevel="0" collapsed="false">
      <c r="B30" s="366" t="s">
        <v>512</v>
      </c>
      <c r="E30" s="366" t="n">
        <f aca="false">E13+E28+E29</f>
        <v>2230.40982781693</v>
      </c>
      <c r="F30" s="366" t="n">
        <f aca="false">F13+F28+F29</f>
        <v>2229.91223081693</v>
      </c>
      <c r="G30" s="366" t="n">
        <f aca="false">G13+G28+G29</f>
        <v>2228.76246222743</v>
      </c>
      <c r="H30" s="366" t="n">
        <f aca="false">H13+H28+H29</f>
        <v>2226.81324623775</v>
      </c>
      <c r="I30" s="366" t="n">
        <f aca="false">I13+I28+I29</f>
        <v>2224.19008860965</v>
      </c>
      <c r="J30" s="366" t="n">
        <f aca="false">J13+J28+J29</f>
        <v>2220.98031911034</v>
      </c>
      <c r="K30" s="366" t="n">
        <f aca="false">K13+K28+K29</f>
        <v>2208.06240881801</v>
      </c>
      <c r="L30" s="366" t="n">
        <f aca="false">L13+L28+L29</f>
        <v>2194.3884377525</v>
      </c>
      <c r="M30" s="366" t="n">
        <f aca="false">M13+M28+M29</f>
        <v>2179.95371613923</v>
      </c>
      <c r="N30" s="366" t="n">
        <f aca="false">N13+N28+N29</f>
        <v>2164.65689952843</v>
      </c>
      <c r="O30" s="366" t="n">
        <f aca="false">O13+O28+O29</f>
        <v>2193.429614228</v>
      </c>
      <c r="P30" s="366" t="n">
        <f aca="false">P13+P28+P29</f>
        <v>2175.92692923142</v>
      </c>
      <c r="Q30" s="366" t="n">
        <f aca="false">Q13+Q28+Q29</f>
        <v>2156.81730388257</v>
      </c>
      <c r="R30" s="366" t="n">
        <f aca="false">R13+R28+R29</f>
        <v>2136.01840457658</v>
      </c>
      <c r="S30" s="366" t="n">
        <f aca="false">S13+S28+S29</f>
        <v>2113.33440441968</v>
      </c>
      <c r="T30" s="366" t="n">
        <f aca="false">T13+T28+T29</f>
        <v>2088.76640361222</v>
      </c>
      <c r="U30" s="366" t="n">
        <f aca="false">U13+U28+U29</f>
        <v>2062.4529472529</v>
      </c>
      <c r="V30" s="366" t="n">
        <f aca="false">V13+V28+V29</f>
        <v>2112.33937895767</v>
      </c>
      <c r="W30" s="366" t="n">
        <f aca="false">W13+W28+W29</f>
        <v>2083.55049926652</v>
      </c>
      <c r="X30" s="366" t="n">
        <f aca="false">X13+X28+X29</f>
        <v>2051.62370416041</v>
      </c>
      <c r="Y30" s="366" t="n">
        <f aca="false">Y13+Y28+Y29</f>
        <v>0</v>
      </c>
      <c r="Z30" s="366" t="n">
        <f aca="false">Z13+Z28+Z29</f>
        <v>0</v>
      </c>
      <c r="AA30" s="366" t="n">
        <f aca="false">AA13+AA28+AA29</f>
        <v>0</v>
      </c>
      <c r="AB30" s="366" t="n">
        <f aca="false">AB13+AB28+AB29</f>
        <v>0</v>
      </c>
      <c r="AC30" s="366" t="n">
        <f aca="false">AC13+AC28+AC29</f>
        <v>0</v>
      </c>
      <c r="AD30" s="366" t="n">
        <f aca="false">AD13+AD28+AD29</f>
        <v>0</v>
      </c>
      <c r="AE30" s="366" t="n">
        <f aca="false">AE13+AE28+AE29</f>
        <v>0</v>
      </c>
      <c r="AF30" s="366" t="n">
        <f aca="false">AF13+AF28+AF29</f>
        <v>0</v>
      </c>
      <c r="AG30" s="366" t="n">
        <f aca="false">AG13+AG28+AG29</f>
        <v>0</v>
      </c>
      <c r="AH30" s="366" t="n">
        <f aca="false">AH13+AH28+AH29</f>
        <v>0</v>
      </c>
      <c r="AI30" s="366" t="n">
        <f aca="false">AI13+AI28+AI29</f>
        <v>0</v>
      </c>
      <c r="AJ30" s="313"/>
      <c r="AK30" s="313"/>
      <c r="AL30" s="313"/>
      <c r="AM30" s="313"/>
      <c r="AN30" s="313"/>
      <c r="AO30" s="313"/>
      <c r="AP30" s="313"/>
      <c r="AQ30" s="313"/>
      <c r="AR30" s="313"/>
      <c r="AS30" s="313"/>
      <c r="AT30" s="313"/>
      <c r="AU30" s="313"/>
      <c r="AV30" s="313"/>
      <c r="AW30" s="313"/>
      <c r="AX30" s="313"/>
      <c r="AY30" s="313"/>
      <c r="AZ30" s="313"/>
      <c r="BA30" s="313"/>
      <c r="BB30" s="313"/>
      <c r="BC30" s="313"/>
      <c r="BD30" s="313"/>
      <c r="BE30" s="313"/>
      <c r="BF30" s="313"/>
      <c r="BG30" s="313"/>
      <c r="BH30" s="313"/>
      <c r="BI30" s="313"/>
      <c r="BJ30" s="313"/>
      <c r="BK30" s="313"/>
      <c r="BL30" s="313"/>
      <c r="BM30" s="313"/>
      <c r="BN30" s="313"/>
      <c r="BO30" s="313"/>
      <c r="BP30" s="313"/>
      <c r="BQ30" s="313"/>
      <c r="BR30" s="313"/>
      <c r="BS30" s="313"/>
      <c r="BT30" s="313"/>
      <c r="BU30" s="313"/>
      <c r="BV30" s="313"/>
      <c r="BW30" s="313"/>
      <c r="BX30" s="313"/>
      <c r="BY30" s="313"/>
      <c r="BZ30" s="313"/>
      <c r="CA30" s="313"/>
      <c r="CB30" s="313"/>
      <c r="CC30" s="313"/>
      <c r="CD30" s="313"/>
      <c r="CE30" s="313"/>
      <c r="CF30" s="313"/>
      <c r="CG30" s="313"/>
      <c r="CH30" s="313"/>
      <c r="CI30" s="313"/>
      <c r="CJ30" s="313"/>
      <c r="CK30" s="313"/>
      <c r="CL30" s="313"/>
      <c r="CM30" s="313"/>
      <c r="CN30" s="313"/>
      <c r="CO30" s="313"/>
      <c r="CP30" s="313"/>
      <c r="CQ30" s="313"/>
      <c r="CR30" s="313"/>
      <c r="CS30" s="313"/>
      <c r="CT30" s="313"/>
      <c r="CU30" s="313"/>
      <c r="CV30" s="313"/>
      <c r="CW30" s="313"/>
      <c r="CX30" s="313"/>
      <c r="CY30" s="313"/>
      <c r="CZ30" s="313"/>
      <c r="DA30" s="313"/>
      <c r="DB30" s="313"/>
      <c r="DC30" s="313"/>
      <c r="DD30" s="313"/>
      <c r="DE30" s="313"/>
      <c r="DF30" s="313"/>
      <c r="DG30" s="313"/>
      <c r="DH30" s="313"/>
      <c r="DI30" s="313"/>
      <c r="DJ30" s="313"/>
      <c r="DK30" s="313"/>
      <c r="DL30" s="313"/>
      <c r="DM30" s="313"/>
      <c r="DN30" s="313"/>
      <c r="DO30" s="313"/>
      <c r="DP30" s="313"/>
      <c r="DQ30" s="313"/>
      <c r="DR30" s="313"/>
      <c r="DS30" s="313"/>
      <c r="DT30" s="313"/>
      <c r="DU30" s="313"/>
      <c r="DV30" s="313"/>
      <c r="DW30" s="313"/>
      <c r="DX30" s="313"/>
      <c r="DY30" s="313"/>
      <c r="DZ30" s="313"/>
      <c r="EA30" s="313"/>
      <c r="EB30" s="313"/>
      <c r="EC30" s="313"/>
      <c r="ED30" s="313"/>
      <c r="EE30" s="313"/>
      <c r="EF30" s="313"/>
      <c r="EG30" s="313"/>
      <c r="EH30" s="313"/>
      <c r="EI30" s="313"/>
      <c r="EJ30" s="313"/>
      <c r="EK30" s="313"/>
      <c r="EL30" s="313"/>
      <c r="EM30" s="313"/>
      <c r="EN30" s="313"/>
      <c r="EO30" s="313"/>
      <c r="EP30" s="313"/>
      <c r="EQ30" s="313"/>
      <c r="ER30" s="313"/>
      <c r="ES30" s="313"/>
      <c r="ET30" s="313"/>
      <c r="EU30" s="313"/>
      <c r="EV30" s="313"/>
      <c r="EW30" s="313"/>
      <c r="EX30" s="313"/>
      <c r="EY30" s="313"/>
      <c r="EZ30" s="313"/>
      <c r="FA30" s="313"/>
      <c r="FB30" s="313"/>
      <c r="FC30" s="313"/>
      <c r="FD30" s="313"/>
      <c r="FE30" s="313"/>
      <c r="FF30" s="313"/>
      <c r="FG30" s="313"/>
      <c r="FH30" s="313"/>
      <c r="FI30" s="313"/>
      <c r="FJ30" s="313"/>
      <c r="FK30" s="313"/>
      <c r="FL30" s="313"/>
      <c r="FM30" s="313"/>
      <c r="FN30" s="313"/>
      <c r="FO30" s="313"/>
      <c r="FP30" s="313"/>
      <c r="FQ30" s="313"/>
      <c r="FR30" s="313"/>
      <c r="FS30" s="313"/>
      <c r="FT30" s="313"/>
      <c r="FU30" s="313"/>
      <c r="FV30" s="313"/>
      <c r="FW30" s="313"/>
      <c r="FX30" s="313"/>
      <c r="FY30" s="313"/>
      <c r="FZ30" s="313"/>
      <c r="GA30" s="313"/>
      <c r="GB30" s="313"/>
      <c r="GC30" s="313"/>
      <c r="GD30" s="313"/>
      <c r="GE30" s="313"/>
      <c r="GF30" s="313"/>
      <c r="GG30" s="313"/>
      <c r="GH30" s="313"/>
      <c r="GI30" s="313"/>
      <c r="GJ30" s="313"/>
      <c r="GK30" s="313"/>
      <c r="GL30" s="313"/>
      <c r="GM30" s="313"/>
      <c r="GN30" s="313"/>
      <c r="GO30" s="313"/>
      <c r="GP30" s="313"/>
      <c r="GQ30" s="313"/>
      <c r="GR30" s="313"/>
      <c r="GS30" s="313"/>
      <c r="GT30" s="313"/>
      <c r="GU30" s="313"/>
      <c r="GV30" s="313"/>
      <c r="GW30" s="313"/>
      <c r="GX30" s="313"/>
      <c r="GY30" s="313"/>
      <c r="GZ30" s="313"/>
      <c r="HA30" s="313"/>
      <c r="HB30" s="313"/>
      <c r="HC30" s="313"/>
      <c r="HD30" s="313"/>
      <c r="HE30" s="313"/>
      <c r="HF30" s="313"/>
      <c r="HG30" s="313"/>
      <c r="HH30" s="313"/>
      <c r="HI30" s="313"/>
      <c r="HJ30" s="313"/>
      <c r="HK30" s="313"/>
      <c r="HL30" s="313"/>
      <c r="HM30" s="313"/>
      <c r="HN30" s="313"/>
      <c r="HO30" s="313"/>
      <c r="HP30" s="313"/>
      <c r="HQ30" s="313"/>
      <c r="HR30" s="313"/>
      <c r="HS30" s="313"/>
      <c r="HT30" s="313"/>
      <c r="HU30" s="313"/>
      <c r="HV30" s="313"/>
      <c r="HW30" s="313"/>
      <c r="HX30" s="313"/>
      <c r="HY30" s="313"/>
      <c r="HZ30" s="313"/>
      <c r="IA30" s="313"/>
      <c r="IB30" s="313"/>
      <c r="IC30" s="313"/>
      <c r="ID30" s="313"/>
      <c r="IE30" s="313"/>
      <c r="IF30" s="313"/>
      <c r="IG30" s="313"/>
      <c r="IH30" s="313"/>
      <c r="II30" s="313"/>
      <c r="IJ30" s="313"/>
      <c r="IK30" s="313"/>
      <c r="IL30" s="313"/>
      <c r="IM30" s="313"/>
      <c r="IN30" s="313"/>
      <c r="IO30" s="313"/>
      <c r="IP30" s="313"/>
      <c r="IQ30" s="313"/>
      <c r="IR30" s="313"/>
      <c r="IS30" s="313"/>
      <c r="IT30" s="313"/>
      <c r="IU30" s="313"/>
      <c r="IV30" s="313"/>
      <c r="IW30" s="313"/>
    </row>
    <row r="31" customFormat="false" ht="12.75" hidden="false" customHeight="false" outlineLevel="0" collapsed="false">
      <c r="A31" s="706" t="s">
        <v>326</v>
      </c>
      <c r="B31" s="703" t="s">
        <v>513</v>
      </c>
      <c r="E31" s="59" t="n">
        <f aca="false">-SrDebt!E110</f>
        <v>-1262.59931772513</v>
      </c>
      <c r="F31" s="59" t="n">
        <f aca="false">-SrDebt!F110</f>
        <v>-1235.53538544543</v>
      </c>
      <c r="G31" s="59" t="n">
        <f aca="false">-SrDebt!G110</f>
        <v>-1201.82004539327</v>
      </c>
      <c r="H31" s="59" t="n">
        <f aca="false">-SrDebt!H110</f>
        <v>-1157.73527530571</v>
      </c>
      <c r="I31" s="59" t="n">
        <f aca="false">-SrDebt!I110</f>
        <v>-1112.69430231155</v>
      </c>
      <c r="J31" s="59" t="n">
        <f aca="false">-SrDebt!J110</f>
        <v>-1063.16734715207</v>
      </c>
      <c r="K31" s="59" t="n">
        <f aca="false">-SrDebt!K110</f>
        <v>-1011.84240608777</v>
      </c>
      <c r="L31" s="59" t="n">
        <f aca="false">-SrDebt!L110</f>
        <v>-950.254524200638</v>
      </c>
      <c r="M31" s="59" t="n">
        <f aca="false">-SrDebt!M110</f>
        <v>-886.228133075645</v>
      </c>
      <c r="N31" s="59" t="n">
        <f aca="false">-SrDebt!N110</f>
        <v>-816.621945093302</v>
      </c>
      <c r="O31" s="59" t="n">
        <f aca="false">-SrDebt!O110</f>
        <v>-742.291751383858</v>
      </c>
      <c r="P31" s="59" t="n">
        <f aca="false">-SrDebt!P110</f>
        <v>-654.53922230299</v>
      </c>
      <c r="Q31" s="59" t="n">
        <f aca="false">-SrDebt!Q110</f>
        <v>-561.167421976736</v>
      </c>
      <c r="R31" s="59" t="n">
        <f aca="false">-SrDebt!R110</f>
        <v>-459.52185685264</v>
      </c>
      <c r="S31" s="59" t="n">
        <f aca="false">-SrDebt!S110</f>
        <v>-349.957474789461</v>
      </c>
      <c r="T31" s="59" t="n">
        <f aca="false">-SrDebt!T110</f>
        <v>-228.526962230695</v>
      </c>
      <c r="U31" s="59" t="n">
        <f aca="false">-SrDebt!U110</f>
        <v>-97.394575731349</v>
      </c>
      <c r="V31" s="59" t="n">
        <f aca="false">-SrDebt!V110</f>
        <v>-0</v>
      </c>
      <c r="W31" s="59" t="n">
        <f aca="false">-SrDebt!W110</f>
        <v>-0</v>
      </c>
      <c r="X31" s="59" t="n">
        <f aca="false">-SrDebt!X110</f>
        <v>-0</v>
      </c>
      <c r="Y31" s="59" t="n">
        <f aca="false">-SrDebt!Y110</f>
        <v>-0</v>
      </c>
      <c r="Z31" s="59" t="n">
        <f aca="false">-SrDebt!Z110</f>
        <v>-0</v>
      </c>
      <c r="AA31" s="59" t="n">
        <f aca="false">-SrDebt!AA110</f>
        <v>-0</v>
      </c>
      <c r="AB31" s="59" t="n">
        <f aca="false">-SrDebt!AB110</f>
        <v>-0</v>
      </c>
      <c r="AC31" s="59" t="n">
        <f aca="false">-SrDebt!AC110</f>
        <v>-0</v>
      </c>
      <c r="AD31" s="59" t="n">
        <f aca="false">-SrDebt!AD110</f>
        <v>-0</v>
      </c>
      <c r="AE31" s="59" t="n">
        <f aca="false">-SrDebt!AE110</f>
        <v>-0</v>
      </c>
      <c r="AF31" s="59" t="n">
        <f aca="false">-SrDebt!AF110</f>
        <v>-0</v>
      </c>
      <c r="AG31" s="59" t="n">
        <f aca="false">-SrDebt!AG110</f>
        <v>-0</v>
      </c>
      <c r="AH31" s="59" t="n">
        <f aca="false">-SrDebt!AH110</f>
        <v>-0</v>
      </c>
      <c r="AI31" s="59" t="n">
        <f aca="false">-SrDebt!AI110</f>
        <v>-0</v>
      </c>
    </row>
    <row r="32" customFormat="false" ht="12.75" hidden="false" customHeight="false" outlineLevel="0" collapsed="false">
      <c r="B32" s="703" t="s">
        <v>514</v>
      </c>
      <c r="E32" s="59" t="n">
        <f aca="false">-SrDebt!E111</f>
        <v>-330.550559286958</v>
      </c>
      <c r="F32" s="59" t="n">
        <f aca="false">-SrDebt!F111</f>
        <v>-357.259065138095</v>
      </c>
      <c r="G32" s="59" t="n">
        <f aca="false">-SrDebt!G111</f>
        <v>-390.153141912035</v>
      </c>
      <c r="H32" s="59" t="n">
        <f aca="false">-SrDebt!H111</f>
        <v>-432.845614864111</v>
      </c>
      <c r="I32" s="59" t="n">
        <f aca="false">-SrDebt!I111</f>
        <v>-476.0129038382</v>
      </c>
      <c r="J32" s="59" t="n">
        <f aca="false">-SrDebt!J111</f>
        <v>-523.247166498167</v>
      </c>
      <c r="K32" s="59" t="n">
        <f aca="false">-SrDebt!K111</f>
        <v>-565.34502878223</v>
      </c>
      <c r="L32" s="59" t="n">
        <f aca="false">-SrDebt!L111</f>
        <v>-617.165788479718</v>
      </c>
      <c r="M32" s="59" t="n">
        <f aca="false">-SrDebt!M111</f>
        <v>-670.881664166665</v>
      </c>
      <c r="N32" s="59" t="n">
        <f aca="false">-SrDebt!N111</f>
        <v>-729.56155456986</v>
      </c>
      <c r="O32" s="59" t="n">
        <f aca="false">-SrDebt!O111</f>
        <v>-824.443687350428</v>
      </c>
      <c r="P32" s="59" t="n">
        <f aca="false">-SrDebt!P111</f>
        <v>-899.694298576593</v>
      </c>
      <c r="Q32" s="59" t="n">
        <f aca="false">-SrDebt!Q111</f>
        <v>-979.416366510816</v>
      </c>
      <c r="R32" s="59" t="n">
        <f aca="false">-SrDebt!R111</f>
        <v>-1066.20557498777</v>
      </c>
      <c r="S32" s="59" t="n">
        <f aca="false">-SrDebt!S111</f>
        <v>-1159.56709979602</v>
      </c>
      <c r="T32" s="59" t="n">
        <f aca="false">-SrDebt!T111</f>
        <v>-1263.44904034946</v>
      </c>
      <c r="U32" s="59" t="n">
        <f aca="false">-SrDebt!U111</f>
        <v>-1295.13273763893</v>
      </c>
      <c r="V32" s="59" t="n">
        <f aca="false">-SrDebt!V111</f>
        <v>-0</v>
      </c>
      <c r="W32" s="59" t="n">
        <f aca="false">-SrDebt!W111</f>
        <v>-0</v>
      </c>
      <c r="X32" s="59" t="n">
        <f aca="false">-SrDebt!X111</f>
        <v>-0</v>
      </c>
      <c r="Y32" s="59" t="n">
        <f aca="false">-SrDebt!Y111</f>
        <v>-0</v>
      </c>
      <c r="Z32" s="59" t="n">
        <f aca="false">-SrDebt!Z111</f>
        <v>-0</v>
      </c>
      <c r="AA32" s="59" t="n">
        <f aca="false">-SrDebt!AA111</f>
        <v>-0</v>
      </c>
      <c r="AB32" s="59" t="n">
        <f aca="false">-SrDebt!AB111</f>
        <v>-0</v>
      </c>
      <c r="AC32" s="59" t="n">
        <f aca="false">-SrDebt!AC111</f>
        <v>-0</v>
      </c>
      <c r="AD32" s="59" t="n">
        <f aca="false">-SrDebt!AD111</f>
        <v>-0</v>
      </c>
      <c r="AE32" s="59" t="n">
        <f aca="false">-SrDebt!AE111</f>
        <v>-0</v>
      </c>
      <c r="AF32" s="59" t="n">
        <f aca="false">-SrDebt!AF111</f>
        <v>-0</v>
      </c>
      <c r="AG32" s="59" t="n">
        <f aca="false">-SrDebt!AG111</f>
        <v>-0</v>
      </c>
      <c r="AH32" s="59" t="n">
        <f aca="false">-SrDebt!AH111</f>
        <v>-0</v>
      </c>
      <c r="AI32" s="59" t="n">
        <f aca="false">-SrDebt!AI111</f>
        <v>-0</v>
      </c>
    </row>
    <row r="33" customFormat="false" ht="12.75" hidden="false" customHeight="false" outlineLevel="0" collapsed="false">
      <c r="A33" s="100"/>
      <c r="B33" s="703" t="s">
        <v>515</v>
      </c>
      <c r="E33" s="59" t="n">
        <f aca="false">-SrDebt!E116</f>
        <v>-0</v>
      </c>
      <c r="F33" s="59" t="n">
        <f aca="false">-SrDebt!F116</f>
        <v>-0</v>
      </c>
      <c r="G33" s="59" t="n">
        <f aca="false">-SrDebt!G116</f>
        <v>-0</v>
      </c>
      <c r="H33" s="59" t="n">
        <f aca="false">-SrDebt!H116</f>
        <v>-0</v>
      </c>
      <c r="I33" s="59" t="n">
        <f aca="false">-SrDebt!I116</f>
        <v>-0</v>
      </c>
      <c r="J33" s="59" t="n">
        <f aca="false">-SrDebt!J116</f>
        <v>-0</v>
      </c>
      <c r="K33" s="59" t="n">
        <f aca="false">-SrDebt!K116</f>
        <v>-0</v>
      </c>
      <c r="L33" s="59" t="n">
        <f aca="false">-SrDebt!L116</f>
        <v>-0</v>
      </c>
      <c r="M33" s="59" t="n">
        <f aca="false">-SrDebt!M116</f>
        <v>-0</v>
      </c>
      <c r="N33" s="59" t="n">
        <f aca="false">-SrDebt!N116</f>
        <v>-0</v>
      </c>
      <c r="O33" s="59" t="n">
        <f aca="false">-SrDebt!O116</f>
        <v>-0</v>
      </c>
      <c r="P33" s="59" t="n">
        <f aca="false">-SrDebt!P116</f>
        <v>-0</v>
      </c>
      <c r="Q33" s="59" t="n">
        <f aca="false">-SrDebt!Q116</f>
        <v>-0</v>
      </c>
      <c r="R33" s="59" t="n">
        <f aca="false">-SrDebt!R116</f>
        <v>-0</v>
      </c>
      <c r="S33" s="59" t="n">
        <f aca="false">-SrDebt!S116</f>
        <v>-0</v>
      </c>
      <c r="T33" s="59" t="n">
        <f aca="false">-SrDebt!T116</f>
        <v>-0</v>
      </c>
      <c r="U33" s="59" t="n">
        <f aca="false">-SrDebt!U116</f>
        <v>-0</v>
      </c>
      <c r="V33" s="59" t="n">
        <f aca="false">-SrDebt!V116</f>
        <v>-0</v>
      </c>
      <c r="W33" s="59" t="n">
        <f aca="false">-SrDebt!W116</f>
        <v>-0</v>
      </c>
      <c r="X33" s="59" t="n">
        <f aca="false">-SrDebt!X116</f>
        <v>-0</v>
      </c>
      <c r="Y33" s="59" t="n">
        <f aca="false">-SrDebt!Y116</f>
        <v>-0</v>
      </c>
      <c r="Z33" s="59" t="n">
        <f aca="false">-SrDebt!Z116</f>
        <v>-0</v>
      </c>
      <c r="AA33" s="59" t="n">
        <f aca="false">-SrDebt!AA116</f>
        <v>-0</v>
      </c>
      <c r="AB33" s="59" t="n">
        <f aca="false">-SrDebt!AB116</f>
        <v>-0</v>
      </c>
      <c r="AC33" s="59" t="n">
        <f aca="false">-SrDebt!AC116</f>
        <v>-0</v>
      </c>
      <c r="AD33" s="59" t="n">
        <f aca="false">-SrDebt!AD116</f>
        <v>-0</v>
      </c>
      <c r="AE33" s="59" t="n">
        <f aca="false">-SrDebt!AE116</f>
        <v>-0</v>
      </c>
      <c r="AF33" s="59" t="n">
        <f aca="false">-SrDebt!AF116</f>
        <v>-0</v>
      </c>
      <c r="AG33" s="59" t="n">
        <f aca="false">-SrDebt!AG116</f>
        <v>-0</v>
      </c>
      <c r="AH33" s="59" t="n">
        <f aca="false">-SrDebt!AH116</f>
        <v>-0</v>
      </c>
      <c r="AI33" s="59" t="n">
        <f aca="false">-SrDebt!AI116</f>
        <v>-0</v>
      </c>
    </row>
    <row r="34" customFormat="false" ht="12.75" hidden="false" customHeight="false" outlineLevel="0" collapsed="false">
      <c r="B34" s="703" t="s">
        <v>516</v>
      </c>
      <c r="E34" s="59" t="n">
        <f aca="false">-SrDebt!E117</f>
        <v>-0</v>
      </c>
      <c r="F34" s="59" t="n">
        <f aca="false">-SrDebt!F117</f>
        <v>-0</v>
      </c>
      <c r="G34" s="59" t="n">
        <f aca="false">-SrDebt!G117</f>
        <v>-0</v>
      </c>
      <c r="H34" s="59" t="n">
        <f aca="false">-SrDebt!H117</f>
        <v>-0</v>
      </c>
      <c r="I34" s="59" t="n">
        <f aca="false">-SrDebt!I117</f>
        <v>-0</v>
      </c>
      <c r="J34" s="59" t="n">
        <f aca="false">-SrDebt!J117</f>
        <v>-0</v>
      </c>
      <c r="K34" s="59" t="n">
        <f aca="false">-SrDebt!K117</f>
        <v>-0</v>
      </c>
      <c r="L34" s="59" t="n">
        <f aca="false">-SrDebt!L117</f>
        <v>-0</v>
      </c>
      <c r="M34" s="59" t="n">
        <f aca="false">-SrDebt!M117</f>
        <v>-0</v>
      </c>
      <c r="N34" s="59" t="n">
        <f aca="false">-SrDebt!N117</f>
        <v>-0</v>
      </c>
      <c r="O34" s="59" t="n">
        <f aca="false">-SrDebt!O117</f>
        <v>-0</v>
      </c>
      <c r="P34" s="59" t="n">
        <f aca="false">-SrDebt!P117</f>
        <v>-0</v>
      </c>
      <c r="Q34" s="59" t="n">
        <f aca="false">-SrDebt!Q117</f>
        <v>-0</v>
      </c>
      <c r="R34" s="59" t="n">
        <f aca="false">-SrDebt!R117</f>
        <v>-0</v>
      </c>
      <c r="S34" s="59" t="n">
        <f aca="false">-SrDebt!S117</f>
        <v>-0</v>
      </c>
      <c r="T34" s="59" t="n">
        <f aca="false">-SrDebt!T117</f>
        <v>-0</v>
      </c>
      <c r="U34" s="59" t="n">
        <f aca="false">-SrDebt!U117</f>
        <v>-0</v>
      </c>
      <c r="V34" s="59" t="n">
        <f aca="false">-SrDebt!V117</f>
        <v>-0</v>
      </c>
      <c r="W34" s="59" t="n">
        <f aca="false">-SrDebt!W117</f>
        <v>-0</v>
      </c>
      <c r="X34" s="59" t="n">
        <f aca="false">-SrDebt!X117</f>
        <v>-0</v>
      </c>
      <c r="Y34" s="59" t="n">
        <f aca="false">-SrDebt!Y117</f>
        <v>-0</v>
      </c>
      <c r="Z34" s="59" t="n">
        <f aca="false">-SrDebt!Z117</f>
        <v>-0</v>
      </c>
      <c r="AA34" s="59" t="n">
        <f aca="false">-SrDebt!AA117</f>
        <v>-0</v>
      </c>
      <c r="AB34" s="59" t="n">
        <f aca="false">-SrDebt!AB117</f>
        <v>-0</v>
      </c>
      <c r="AC34" s="59" t="n">
        <f aca="false">-SrDebt!AC117</f>
        <v>-0</v>
      </c>
      <c r="AD34" s="59" t="n">
        <f aca="false">-SrDebt!AD117</f>
        <v>-0</v>
      </c>
      <c r="AE34" s="59" t="n">
        <f aca="false">-SrDebt!AE117</f>
        <v>-0</v>
      </c>
      <c r="AF34" s="59" t="n">
        <f aca="false">-SrDebt!AF117</f>
        <v>-0</v>
      </c>
      <c r="AG34" s="59" t="n">
        <f aca="false">-SrDebt!AG117</f>
        <v>-0</v>
      </c>
      <c r="AH34" s="59" t="n">
        <f aca="false">-SrDebt!AH117</f>
        <v>-0</v>
      </c>
      <c r="AI34" s="59" t="n">
        <f aca="false">-SrDebt!AI117</f>
        <v>-0</v>
      </c>
    </row>
    <row r="35" customFormat="false" ht="12.75" hidden="false" customHeight="false" outlineLevel="0" collapsed="false">
      <c r="B35" s="714" t="s">
        <v>517</v>
      </c>
      <c r="C35" s="715"/>
      <c r="D35" s="715"/>
      <c r="E35" s="716" t="n">
        <f aca="false">SUM(E31:E34)</f>
        <v>-1593.14987701209</v>
      </c>
      <c r="F35" s="716" t="n">
        <f aca="false">SUM(F31:F34)</f>
        <v>-1592.79445058352</v>
      </c>
      <c r="G35" s="716" t="n">
        <f aca="false">SUM(G31:G34)</f>
        <v>-1591.97318730531</v>
      </c>
      <c r="H35" s="716" t="n">
        <f aca="false">SUM(H31:H34)</f>
        <v>-1590.58089016982</v>
      </c>
      <c r="I35" s="716" t="n">
        <f aca="false">SUM(I31:I34)</f>
        <v>-1588.70720614975</v>
      </c>
      <c r="J35" s="716" t="n">
        <f aca="false">SUM(J31:J34)</f>
        <v>-1586.41451365024</v>
      </c>
      <c r="K35" s="716" t="n">
        <f aca="false">SUM(K31:K34)</f>
        <v>-1577.18743487</v>
      </c>
      <c r="L35" s="716" t="n">
        <f aca="false">SUM(L31:L34)</f>
        <v>-1567.42031268036</v>
      </c>
      <c r="M35" s="716" t="n">
        <f aca="false">SUM(M31:M34)</f>
        <v>-1557.10979724231</v>
      </c>
      <c r="N35" s="716" t="n">
        <f aca="false">SUM(N31:N34)</f>
        <v>-1546.18349966316</v>
      </c>
      <c r="O35" s="716" t="n">
        <f aca="false">SUM(O31:O34)</f>
        <v>-1566.73543873429</v>
      </c>
      <c r="P35" s="716" t="n">
        <f aca="false">SUM(P31:P34)</f>
        <v>-1554.23352087958</v>
      </c>
      <c r="Q35" s="716" t="n">
        <f aca="false">SUM(Q31:Q34)</f>
        <v>-1540.58378848755</v>
      </c>
      <c r="R35" s="716" t="n">
        <f aca="false">SUM(R31:R34)</f>
        <v>-1525.72743184041</v>
      </c>
      <c r="S35" s="716" t="n">
        <f aca="false">SUM(S31:S34)</f>
        <v>-1509.52457458548</v>
      </c>
      <c r="T35" s="716" t="n">
        <f aca="false">SUM(T31:T34)</f>
        <v>-1491.97600258015</v>
      </c>
      <c r="U35" s="716" t="n">
        <f aca="false">SUM(U31:U34)</f>
        <v>-1392.52731337028</v>
      </c>
      <c r="V35" s="716" t="n">
        <f aca="false">SUM(V31:V34)</f>
        <v>0</v>
      </c>
      <c r="W35" s="716" t="n">
        <f aca="false">SUM(W31:W34)</f>
        <v>0</v>
      </c>
      <c r="X35" s="716" t="n">
        <f aca="false">SUM(X31:X34)</f>
        <v>0</v>
      </c>
      <c r="Y35" s="716" t="n">
        <f aca="false">SUM(Y31:Y34)</f>
        <v>0</v>
      </c>
      <c r="Z35" s="716" t="n">
        <f aca="false">SUM(Z31:Z34)</f>
        <v>0</v>
      </c>
      <c r="AA35" s="716" t="n">
        <f aca="false">SUM(AA31:AA34)</f>
        <v>0</v>
      </c>
      <c r="AB35" s="716" t="n">
        <f aca="false">SUM(AB31:AB34)</f>
        <v>0</v>
      </c>
      <c r="AC35" s="716" t="n">
        <f aca="false">SUM(AC31:AC34)</f>
        <v>0</v>
      </c>
      <c r="AD35" s="716" t="n">
        <f aca="false">SUM(AD31:AD34)</f>
        <v>0</v>
      </c>
      <c r="AE35" s="716" t="n">
        <f aca="false">SUM(AE31:AE34)</f>
        <v>0</v>
      </c>
      <c r="AF35" s="716" t="n">
        <f aca="false">SUM(AF31:AF34)</f>
        <v>0</v>
      </c>
      <c r="AG35" s="716" t="n">
        <f aca="false">SUM(AG31:AG34)</f>
        <v>0</v>
      </c>
      <c r="AH35" s="716" t="n">
        <f aca="false">SUM(AH31:AH34)</f>
        <v>0</v>
      </c>
      <c r="AI35" s="716" t="n">
        <f aca="false">SUM(AI31:AI34)</f>
        <v>0</v>
      </c>
    </row>
    <row r="36" customFormat="false" ht="13.5" hidden="false" customHeight="false" outlineLevel="0" collapsed="false">
      <c r="B36" s="717" t="s">
        <v>518</v>
      </c>
      <c r="C36" s="713"/>
      <c r="D36" s="713"/>
      <c r="E36" s="712" t="n">
        <f aca="false">(F35*Assum!$E$315)*Assum!$E$313</f>
        <v>-11.9459583793764</v>
      </c>
      <c r="F36" s="712" t="n">
        <f aca="false">(G35*Assum!$E$315)*Assum!$E$313</f>
        <v>-11.9397989047898</v>
      </c>
      <c r="G36" s="712" t="n">
        <f aca="false">(H35*Assum!$E$315)*Assum!$E$313</f>
        <v>-11.9293566762737</v>
      </c>
      <c r="H36" s="712" t="n">
        <f aca="false">(I35*Assum!$E$315)*Assum!$E$313</f>
        <v>-11.9153040461231</v>
      </c>
      <c r="I36" s="712" t="n">
        <f aca="false">(J35*Assum!$E$315)*Assum!$E$313</f>
        <v>-11.8981088523768</v>
      </c>
      <c r="J36" s="712" t="n">
        <f aca="false">(K35*Assum!$E$315)*Assum!$E$313</f>
        <v>-11.828905761525</v>
      </c>
      <c r="K36" s="712" t="n">
        <f aca="false">(L35*Assum!$E$315)*Assum!$E$313</f>
        <v>-11.7556523451027</v>
      </c>
      <c r="L36" s="712" t="n">
        <f aca="false">(M35*Assum!$E$315)*Assum!$E$313</f>
        <v>-11.6783234793173</v>
      </c>
      <c r="M36" s="712" t="n">
        <f aca="false">(N35*Assum!$E$315)*Assum!$E$313</f>
        <v>-11.5963762474737</v>
      </c>
      <c r="N36" s="712" t="n">
        <f aca="false">(O35*Assum!$E$315)*Assum!$E$313</f>
        <v>-11.7505157905071</v>
      </c>
      <c r="O36" s="712" t="n">
        <f aca="false">(P35*Assum!$E$315)*Assum!$E$313</f>
        <v>-11.6567514065969</v>
      </c>
      <c r="P36" s="712" t="n">
        <f aca="false">(Q35*Assum!$E$315)*Assum!$E$313</f>
        <v>-11.5543784136566</v>
      </c>
      <c r="Q36" s="712" t="n">
        <f aca="false">(R35*Assum!$E$315)*Assum!$E$313</f>
        <v>-11.4429557388031</v>
      </c>
      <c r="R36" s="712" t="n">
        <f aca="false">(S35*Assum!$E$315)*Assum!$E$313</f>
        <v>-11.3214343093911</v>
      </c>
      <c r="S36" s="712" t="n">
        <f aca="false">(T35*Assum!$E$315)*Assum!$E$313</f>
        <v>-11.1898200193512</v>
      </c>
      <c r="T36" s="712" t="n">
        <f aca="false">(U35*Assum!$E$315)*Assum!$E$313</f>
        <v>-10.4439548502771</v>
      </c>
      <c r="U36" s="712" t="n">
        <f aca="false">(V35*Assum!$E$315)*Assum!$E$313</f>
        <v>0</v>
      </c>
      <c r="V36" s="712" t="n">
        <f aca="false">(W35*Assum!$E$315)*Assum!$E$313</f>
        <v>0</v>
      </c>
      <c r="W36" s="712" t="n">
        <f aca="false">(X35*Assum!$E$315)*Assum!$E$313</f>
        <v>0</v>
      </c>
      <c r="X36" s="712" t="n">
        <f aca="false">(Y35*Assum!$E$315)*Assum!$E$313</f>
        <v>0</v>
      </c>
      <c r="Y36" s="712" t="n">
        <f aca="false">(Z35*Assum!$E$315)*Assum!$E$313</f>
        <v>0</v>
      </c>
      <c r="Z36" s="712" t="n">
        <f aca="false">(AA35*Assum!$E$315)*Assum!$E$313</f>
        <v>0</v>
      </c>
      <c r="AA36" s="712" t="n">
        <f aca="false">(AB35*Assum!$E$315)*Assum!$E$313</f>
        <v>0</v>
      </c>
      <c r="AB36" s="712" t="n">
        <f aca="false">(AC35*Assum!$E$315)*Assum!$E$313</f>
        <v>0</v>
      </c>
      <c r="AC36" s="712" t="n">
        <f aca="false">(AD35*Assum!$E$315)*Assum!$E$313</f>
        <v>0</v>
      </c>
      <c r="AD36" s="712" t="n">
        <f aca="false">(AE35*Assum!$E$315)*Assum!$E$313</f>
        <v>0</v>
      </c>
      <c r="AE36" s="712" t="n">
        <f aca="false">(AF35*Assum!$E$315)*Assum!$E$313</f>
        <v>0</v>
      </c>
      <c r="AF36" s="712" t="n">
        <f aca="false">(AG35*Assum!$E$315)*Assum!$E$313</f>
        <v>0</v>
      </c>
      <c r="AG36" s="712" t="n">
        <f aca="false">(AH35*Assum!$E$315)*Assum!$E$313</f>
        <v>0</v>
      </c>
      <c r="AH36" s="712" t="n">
        <f aca="false">(AI35*Assum!$E$315)*Assum!$E$313</f>
        <v>0</v>
      </c>
      <c r="AI36" s="712" t="n">
        <f aca="false">(AJ35*Assum!$E$315)*Assum!$E$313</f>
        <v>0</v>
      </c>
    </row>
    <row r="37" customFormat="false" ht="13.5" hidden="false" customHeight="false" outlineLevel="0" collapsed="false">
      <c r="B37" s="718" t="s">
        <v>519</v>
      </c>
      <c r="E37" s="366" t="n">
        <f aca="false">E30+E35+E36</f>
        <v>625.313992425461</v>
      </c>
      <c r="F37" s="366" t="n">
        <f aca="false">F30+F35+F36</f>
        <v>625.177981328619</v>
      </c>
      <c r="G37" s="366" t="n">
        <f aca="false">G30+G35+G36</f>
        <v>624.859918245849</v>
      </c>
      <c r="H37" s="366" t="n">
        <f aca="false">H30+H35+H36</f>
        <v>624.317052021805</v>
      </c>
      <c r="I37" s="366" t="n">
        <f aca="false">I30+I35+I36</f>
        <v>623.584773607523</v>
      </c>
      <c r="J37" s="366" t="n">
        <f aca="false">J30+J35+J36</f>
        <v>622.736899698571</v>
      </c>
      <c r="K37" s="366" t="n">
        <f aca="false">K30+K35+K36</f>
        <v>619.119321602899</v>
      </c>
      <c r="L37" s="366" t="n">
        <f aca="false">L30+L35+L36</f>
        <v>615.289801592825</v>
      </c>
      <c r="M37" s="366" t="n">
        <f aca="false">M30+M35+M36</f>
        <v>611.24754264945</v>
      </c>
      <c r="N37" s="366" t="n">
        <f aca="false">N30+N35+N36</f>
        <v>606.722884074758</v>
      </c>
      <c r="O37" s="366" t="n">
        <f aca="false">O30+O35+O36</f>
        <v>615.037424087117</v>
      </c>
      <c r="P37" s="366" t="n">
        <f aca="false">P30+P35+P36</f>
        <v>610.139029938177</v>
      </c>
      <c r="Q37" s="366" t="n">
        <f aca="false">Q30+Q35+Q36</f>
        <v>604.790559656218</v>
      </c>
      <c r="R37" s="366" t="n">
        <f aca="false">R30+R35+R36</f>
        <v>598.969538426774</v>
      </c>
      <c r="S37" s="366" t="n">
        <f aca="false">S30+S35+S36</f>
        <v>592.620009814842</v>
      </c>
      <c r="T37" s="366" t="n">
        <f aca="false">T30+T35+T36</f>
        <v>586.346446181785</v>
      </c>
      <c r="U37" s="366" t="n">
        <f aca="false">U30+U35+U36</f>
        <v>669.925633882615</v>
      </c>
      <c r="V37" s="366" t="n">
        <f aca="false">V30+V35+V36</f>
        <v>2112.33937895767</v>
      </c>
      <c r="W37" s="366" t="n">
        <f aca="false">W30+W35+W36</f>
        <v>2083.55049926652</v>
      </c>
      <c r="X37" s="366" t="n">
        <f aca="false">X30+X35+X36</f>
        <v>2051.62370416041</v>
      </c>
      <c r="Y37" s="366" t="n">
        <f aca="false">Y30+Y35+Y36</f>
        <v>0</v>
      </c>
      <c r="Z37" s="366" t="n">
        <f aca="false">Z30+Z35+Z36</f>
        <v>0</v>
      </c>
      <c r="AA37" s="366" t="n">
        <f aca="false">AA30+AA35+AA36</f>
        <v>0</v>
      </c>
      <c r="AB37" s="366" t="n">
        <f aca="false">AB30+AB35+AB36</f>
        <v>0</v>
      </c>
      <c r="AC37" s="366" t="n">
        <f aca="false">AC30+AC35+AC36</f>
        <v>0</v>
      </c>
      <c r="AD37" s="366" t="n">
        <f aca="false">AD30+AD35+AD36</f>
        <v>0</v>
      </c>
      <c r="AE37" s="366" t="n">
        <f aca="false">AE30+AE35+AE36</f>
        <v>0</v>
      </c>
      <c r="AF37" s="366" t="n">
        <f aca="false">AF30+AF35+AF36</f>
        <v>0</v>
      </c>
      <c r="AG37" s="366" t="n">
        <f aca="false">AG30+AG35+AG36</f>
        <v>0</v>
      </c>
      <c r="AH37" s="366" t="n">
        <f aca="false">AH30+AH35+AH36</f>
        <v>0</v>
      </c>
      <c r="AI37" s="366" t="n">
        <f aca="false">AI30+AI35+AI36</f>
        <v>0</v>
      </c>
      <c r="AJ37" s="313"/>
      <c r="AK37" s="313"/>
      <c r="AL37" s="313"/>
      <c r="AM37" s="313"/>
      <c r="AN37" s="313"/>
      <c r="AO37" s="313"/>
      <c r="AP37" s="313"/>
      <c r="AQ37" s="313"/>
      <c r="AR37" s="313"/>
      <c r="AS37" s="313"/>
      <c r="AT37" s="313"/>
      <c r="AU37" s="313"/>
      <c r="AV37" s="313"/>
      <c r="AW37" s="313"/>
      <c r="AX37" s="313"/>
      <c r="AY37" s="313"/>
      <c r="AZ37" s="313"/>
      <c r="BA37" s="313"/>
      <c r="BB37" s="313"/>
      <c r="BC37" s="313"/>
      <c r="BD37" s="313"/>
      <c r="BE37" s="313"/>
      <c r="BF37" s="313"/>
      <c r="BG37" s="313"/>
      <c r="BH37" s="313"/>
      <c r="BI37" s="313"/>
      <c r="BJ37" s="313"/>
      <c r="BK37" s="313"/>
      <c r="BL37" s="313"/>
      <c r="BM37" s="313"/>
      <c r="BN37" s="313"/>
      <c r="BO37" s="313"/>
      <c r="BP37" s="313"/>
      <c r="BQ37" s="313"/>
      <c r="BR37" s="313"/>
      <c r="BS37" s="313"/>
      <c r="BT37" s="313"/>
      <c r="BU37" s="313"/>
      <c r="BV37" s="313"/>
      <c r="BW37" s="313"/>
      <c r="BX37" s="313"/>
      <c r="BY37" s="313"/>
      <c r="BZ37" s="313"/>
      <c r="CA37" s="313"/>
      <c r="CB37" s="313"/>
      <c r="CC37" s="313"/>
      <c r="CD37" s="313"/>
      <c r="CE37" s="313"/>
      <c r="CF37" s="313"/>
      <c r="CG37" s="313"/>
      <c r="CH37" s="313"/>
      <c r="CI37" s="313"/>
      <c r="CJ37" s="313"/>
      <c r="CK37" s="313"/>
      <c r="CL37" s="313"/>
      <c r="CM37" s="313"/>
      <c r="CN37" s="313"/>
      <c r="CO37" s="313"/>
      <c r="CP37" s="313"/>
      <c r="CQ37" s="313"/>
      <c r="CR37" s="313"/>
      <c r="CS37" s="313"/>
      <c r="CT37" s="313"/>
      <c r="CU37" s="313"/>
      <c r="CV37" s="313"/>
      <c r="CW37" s="313"/>
      <c r="CX37" s="313"/>
      <c r="CY37" s="313"/>
      <c r="CZ37" s="313"/>
      <c r="DA37" s="313"/>
      <c r="DB37" s="313"/>
      <c r="DC37" s="313"/>
      <c r="DD37" s="313"/>
      <c r="DE37" s="313"/>
      <c r="DF37" s="313"/>
      <c r="DG37" s="313"/>
      <c r="DH37" s="313"/>
      <c r="DI37" s="313"/>
      <c r="DJ37" s="313"/>
      <c r="DK37" s="313"/>
      <c r="DL37" s="313"/>
      <c r="DM37" s="313"/>
      <c r="DN37" s="313"/>
      <c r="DO37" s="313"/>
      <c r="DP37" s="313"/>
      <c r="DQ37" s="313"/>
      <c r="DR37" s="313"/>
      <c r="DS37" s="313"/>
      <c r="DT37" s="313"/>
      <c r="DU37" s="313"/>
      <c r="DV37" s="313"/>
      <c r="DW37" s="313"/>
      <c r="DX37" s="313"/>
      <c r="DY37" s="313"/>
      <c r="DZ37" s="313"/>
      <c r="EA37" s="313"/>
      <c r="EB37" s="313"/>
      <c r="EC37" s="313"/>
      <c r="ED37" s="313"/>
      <c r="EE37" s="313"/>
      <c r="EF37" s="313"/>
      <c r="EG37" s="313"/>
      <c r="EH37" s="313"/>
      <c r="EI37" s="313"/>
      <c r="EJ37" s="313"/>
      <c r="EK37" s="313"/>
      <c r="EL37" s="313"/>
      <c r="EM37" s="313"/>
      <c r="EN37" s="313"/>
      <c r="EO37" s="313"/>
      <c r="EP37" s="313"/>
      <c r="EQ37" s="313"/>
      <c r="ER37" s="313"/>
      <c r="ES37" s="313"/>
      <c r="ET37" s="313"/>
      <c r="EU37" s="313"/>
      <c r="EV37" s="313"/>
      <c r="EW37" s="313"/>
      <c r="EX37" s="313"/>
      <c r="EY37" s="313"/>
      <c r="EZ37" s="313"/>
      <c r="FA37" s="313"/>
      <c r="FB37" s="313"/>
      <c r="FC37" s="313"/>
      <c r="FD37" s="313"/>
      <c r="FE37" s="313"/>
      <c r="FF37" s="313"/>
      <c r="FG37" s="313"/>
      <c r="FH37" s="313"/>
      <c r="FI37" s="313"/>
      <c r="FJ37" s="313"/>
      <c r="FK37" s="313"/>
      <c r="FL37" s="313"/>
      <c r="FM37" s="313"/>
      <c r="FN37" s="313"/>
      <c r="FO37" s="313"/>
      <c r="FP37" s="313"/>
      <c r="FQ37" s="313"/>
      <c r="FR37" s="313"/>
      <c r="FS37" s="313"/>
      <c r="FT37" s="313"/>
      <c r="FU37" s="313"/>
      <c r="FV37" s="313"/>
      <c r="FW37" s="313"/>
      <c r="FX37" s="313"/>
      <c r="FY37" s="313"/>
      <c r="FZ37" s="313"/>
      <c r="GA37" s="313"/>
      <c r="GB37" s="313"/>
      <c r="GC37" s="313"/>
      <c r="GD37" s="313"/>
      <c r="GE37" s="313"/>
      <c r="GF37" s="313"/>
      <c r="GG37" s="313"/>
      <c r="GH37" s="313"/>
      <c r="GI37" s="313"/>
      <c r="GJ37" s="313"/>
      <c r="GK37" s="313"/>
      <c r="GL37" s="313"/>
      <c r="GM37" s="313"/>
      <c r="GN37" s="313"/>
      <c r="GO37" s="313"/>
      <c r="GP37" s="313"/>
      <c r="GQ37" s="313"/>
      <c r="GR37" s="313"/>
      <c r="GS37" s="313"/>
      <c r="GT37" s="313"/>
      <c r="GU37" s="313"/>
      <c r="GV37" s="313"/>
      <c r="GW37" s="313"/>
      <c r="GX37" s="313"/>
      <c r="GY37" s="313"/>
      <c r="GZ37" s="313"/>
      <c r="HA37" s="313"/>
      <c r="HB37" s="313"/>
      <c r="HC37" s="313"/>
      <c r="HD37" s="313"/>
      <c r="HE37" s="313"/>
      <c r="HF37" s="313"/>
      <c r="HG37" s="313"/>
      <c r="HH37" s="313"/>
      <c r="HI37" s="313"/>
      <c r="HJ37" s="313"/>
      <c r="HK37" s="313"/>
      <c r="HL37" s="313"/>
      <c r="HM37" s="313"/>
      <c r="HN37" s="313"/>
      <c r="HO37" s="313"/>
      <c r="HP37" s="313"/>
      <c r="HQ37" s="313"/>
      <c r="HR37" s="313"/>
      <c r="HS37" s="313"/>
      <c r="HT37" s="313"/>
      <c r="HU37" s="313"/>
      <c r="HV37" s="313"/>
      <c r="HW37" s="313"/>
      <c r="HX37" s="313"/>
      <c r="HY37" s="313"/>
      <c r="HZ37" s="313"/>
      <c r="IA37" s="313"/>
      <c r="IB37" s="313"/>
      <c r="IC37" s="313"/>
      <c r="ID37" s="313"/>
      <c r="IE37" s="313"/>
      <c r="IF37" s="313"/>
      <c r="IG37" s="313"/>
      <c r="IH37" s="313"/>
      <c r="II37" s="313"/>
      <c r="IJ37" s="313"/>
      <c r="IK37" s="313"/>
      <c r="IL37" s="313"/>
      <c r="IM37" s="313"/>
      <c r="IN37" s="313"/>
      <c r="IO37" s="313"/>
      <c r="IP37" s="313"/>
      <c r="IQ37" s="313"/>
      <c r="IR37" s="313"/>
      <c r="IS37" s="313"/>
      <c r="IT37" s="313"/>
      <c r="IU37" s="313"/>
      <c r="IV37" s="313"/>
      <c r="IW37" s="313"/>
    </row>
    <row r="38" customFormat="false" ht="12.75" hidden="false" customHeight="false" outlineLevel="0" collapsed="false">
      <c r="A38" s="706" t="s">
        <v>520</v>
      </c>
      <c r="B38" s="703" t="s">
        <v>521</v>
      </c>
      <c r="E38" s="59" t="n">
        <f aca="false">Assum!$E$317*F15*Assum!$E$318</f>
        <v>-2.0130558525</v>
      </c>
      <c r="F38" s="59" t="n">
        <f aca="false">Assum!$E$317*G15*Assum!$E$318</f>
        <v>-2.07042794429625</v>
      </c>
      <c r="G38" s="59" t="n">
        <f aca="false">Assum!$E$317*H15*Assum!$E$318</f>
        <v>-2.12839992673654</v>
      </c>
      <c r="H38" s="59" t="n">
        <f aca="false">Assum!$E$317*I15*Assum!$E$318</f>
        <v>-2.18629240474378</v>
      </c>
      <c r="I38" s="59" t="n">
        <f aca="false">Assum!$E$317*J15*Assum!$E$318</f>
        <v>-2.24466641195044</v>
      </c>
      <c r="J38" s="59" t="n">
        <f aca="false">Assum!$E$317*K15*Assum!$E$318</f>
        <v>-2.30347667194354</v>
      </c>
      <c r="K38" s="59" t="n">
        <f aca="false">Assum!$E$317*L15*Assum!$E$318</f>
        <v>-2.36290637007968</v>
      </c>
      <c r="L38" s="59" t="n">
        <f aca="false">Assum!$E$317*M15*Assum!$E$318</f>
        <v>-2.42292419187971</v>
      </c>
      <c r="M38" s="59" t="n">
        <f aca="false">Assum!$E$317*N15*Assum!$E$318</f>
        <v>-2.48398188151507</v>
      </c>
      <c r="N38" s="59" t="n">
        <f aca="false">Assum!$E$317*O15*Assum!$E$318</f>
        <v>-2.54608142855295</v>
      </c>
      <c r="O38" s="59" t="n">
        <f aca="false">Assum!$E$317*P15*Assum!$E$318</f>
        <v>-2.61049728869534</v>
      </c>
      <c r="P38" s="59" t="n">
        <f aca="false">Assum!$E$317*Q15*Assum!$E$318</f>
        <v>-2.67758706901481</v>
      </c>
      <c r="Q38" s="59" t="n">
        <f aca="false">Assum!$E$317*R15*Assum!$E$318</f>
        <v>-2.7474720915161</v>
      </c>
      <c r="R38" s="59" t="n">
        <f aca="false">Assum!$E$317*S15*Assum!$E$318</f>
        <v>-2.82082959635958</v>
      </c>
      <c r="S38" s="59" t="n">
        <f aca="false">Assum!$E$317*T15*Assum!$E$318</f>
        <v>-2.89727407842092</v>
      </c>
      <c r="T38" s="59" t="n">
        <f aca="false">Assum!$E$317*U15*Assum!$E$318</f>
        <v>-2.97665938816966</v>
      </c>
      <c r="U38" s="59" t="n">
        <f aca="false">Assum!$E$317*V15*Assum!$E$318</f>
        <v>-3.06060118291604</v>
      </c>
      <c r="V38" s="59" t="n">
        <f aca="false">Assum!$E$317*W15*Assum!$E$318</f>
        <v>-3.1493586172206</v>
      </c>
      <c r="W38" s="59" t="n">
        <f aca="false">Assum!$E$317*X15*Assum!$E$318</f>
        <v>-3.24541405504583</v>
      </c>
      <c r="X38" s="59" t="n">
        <f aca="false">Assum!$E$317*Y15*Assum!$E$318</f>
        <v>-0</v>
      </c>
      <c r="Y38" s="59" t="n">
        <f aca="false">Assum!$E$317*Z15*Assum!$E$318</f>
        <v>-0</v>
      </c>
      <c r="Z38" s="59" t="n">
        <f aca="false">Assum!$E$317*AA15*Assum!$E$318</f>
        <v>-0</v>
      </c>
      <c r="AA38" s="59" t="n">
        <f aca="false">Assum!$E$317*AB15*Assum!$E$318</f>
        <v>-0</v>
      </c>
      <c r="AB38" s="59" t="n">
        <f aca="false">Assum!$E$317*AC15*Assum!$E$318</f>
        <v>-0</v>
      </c>
      <c r="AC38" s="59" t="n">
        <f aca="false">Assum!$E$317*AD15*Assum!$E$318</f>
        <v>-0</v>
      </c>
      <c r="AD38" s="59" t="n">
        <f aca="false">Assum!$E$317*AE15*Assum!$E$318</f>
        <v>-0</v>
      </c>
      <c r="AE38" s="59" t="n">
        <f aca="false">Assum!$E$317*AF15*Assum!$E$318</f>
        <v>-0</v>
      </c>
      <c r="AF38" s="59" t="n">
        <f aca="false">Assum!$E$317*AG15*Assum!$E$318</f>
        <v>-0</v>
      </c>
      <c r="AG38" s="59" t="n">
        <f aca="false">Assum!$E$317*AH15*Assum!$E$318</f>
        <v>-0</v>
      </c>
      <c r="AH38" s="59" t="n">
        <f aca="false">Assum!$E$317*AI15*Assum!$E$318</f>
        <v>-0</v>
      </c>
      <c r="AI38" s="59" t="n">
        <f aca="false">Assum!$E$317*AJ15*Assum!$E$318</f>
        <v>0</v>
      </c>
    </row>
    <row r="39" customFormat="false" ht="12.75" hidden="false" customHeight="false" outlineLevel="0" collapsed="false">
      <c r="A39" s="706" t="s">
        <v>522</v>
      </c>
      <c r="B39" s="703" t="s">
        <v>523</v>
      </c>
      <c r="E39" s="59" t="n">
        <f aca="false">-$E$4*E6*Assum!E193</f>
        <v>-50</v>
      </c>
      <c r="F39" s="59" t="n">
        <f aca="false">-$E$4*F6*Assum!F193</f>
        <v>-51.5</v>
      </c>
      <c r="G39" s="59" t="n">
        <f aca="false">-$E$4*G6*Assum!G193</f>
        <v>-52.9935</v>
      </c>
      <c r="H39" s="59" t="n">
        <f aca="false">-$E$4*H6*Assum!H193</f>
        <v>-54.50381475</v>
      </c>
      <c r="I39" s="59" t="n">
        <f aca="false">-$E$4*I6*Assum!I193</f>
        <v>-56.029921563</v>
      </c>
      <c r="J39" s="59" t="n">
        <f aca="false">-$E$4*J6*Assum!J193</f>
        <v>-57.5539354295136</v>
      </c>
      <c r="K39" s="59" t="n">
        <f aca="false">-$E$4*K6*Assum!K193</f>
        <v>-59.0906255054816</v>
      </c>
      <c r="L39" s="59" t="n">
        <f aca="false">-$E$4*L6*Assum!L193</f>
        <v>-60.6387998937252</v>
      </c>
      <c r="M39" s="59" t="n">
        <f aca="false">-$E$4*M6*Assum!M193</f>
        <v>-62.2032809309833</v>
      </c>
      <c r="N39" s="59" t="n">
        <f aca="false">-$E$4*N6*Assum!N193</f>
        <v>-63.7832442666303</v>
      </c>
      <c r="O39" s="59" t="n">
        <f aca="false">-$E$4*O6*Assum!O193</f>
        <v>-65.3905820221494</v>
      </c>
      <c r="P39" s="59" t="n">
        <f aca="false">-$E$4*P6*Assum!P193</f>
        <v>-67.0253465727031</v>
      </c>
      <c r="Q39" s="59" t="n">
        <f aca="false">-$E$4*Q6*Assum!Q193</f>
        <v>-68.7210878409925</v>
      </c>
      <c r="R39" s="59" t="n">
        <f aca="false">-$E$4*R6*Assum!R193</f>
        <v>-70.487219798506</v>
      </c>
      <c r="S39" s="59" t="n">
        <f aca="false">-$E$4*S6*Assum!S193</f>
        <v>-72.326936235247</v>
      </c>
      <c r="T39" s="59" t="n">
        <f aca="false">-$E$4*T6*Assum!T193</f>
        <v>-74.2580654327281</v>
      </c>
      <c r="U39" s="59" t="n">
        <f aca="false">-$E$4*U6*Assum!U193</f>
        <v>-76.2704590059551</v>
      </c>
      <c r="V39" s="59" t="n">
        <f aca="false">-$E$4*V6*Assum!V193</f>
        <v>-78.3602695827182</v>
      </c>
      <c r="W39" s="59" t="n">
        <f aca="false">-$E$4*W6*Assum!W193</f>
        <v>-80.5700291849509</v>
      </c>
      <c r="X39" s="59" t="n">
        <f aca="false">-$E$4*X6*Assum!X193</f>
        <v>-82.9065600313145</v>
      </c>
      <c r="Y39" s="59" t="n">
        <f aca="false">-$E$4*Y6*Assum!Y193</f>
        <v>-0</v>
      </c>
      <c r="Z39" s="59" t="n">
        <f aca="false">-$E$4*Z6*Assum!Z193</f>
        <v>-0</v>
      </c>
      <c r="AA39" s="59" t="n">
        <f aca="false">-$E$4*AA6*Assum!AA193</f>
        <v>-0</v>
      </c>
      <c r="AB39" s="59" t="n">
        <f aca="false">-$E$4*AB6*Assum!AB193</f>
        <v>-0</v>
      </c>
      <c r="AC39" s="59" t="n">
        <f aca="false">-$E$4*AC6*Assum!AC193</f>
        <v>-0</v>
      </c>
      <c r="AD39" s="59" t="n">
        <f aca="false">-$E$4*AD6*Assum!AD193</f>
        <v>-0</v>
      </c>
      <c r="AE39" s="59" t="n">
        <f aca="false">-$E$4*AE6*Assum!AE193</f>
        <v>-0</v>
      </c>
      <c r="AF39" s="59" t="n">
        <f aca="false">-$E$4*AF6*Assum!AF193</f>
        <v>-0</v>
      </c>
      <c r="AG39" s="59" t="n">
        <f aca="false">-$E$4*AG6*Assum!AG193</f>
        <v>-0</v>
      </c>
      <c r="AH39" s="59" t="n">
        <f aca="false">-$E$4*AH6*Assum!AH193</f>
        <v>-0</v>
      </c>
      <c r="AI39" s="59" t="n">
        <f aca="false">-$E$4*AI6*Assum!AI193</f>
        <v>-0</v>
      </c>
    </row>
    <row r="40" customFormat="false" ht="13.5" hidden="false" customHeight="false" outlineLevel="0" collapsed="false">
      <c r="A40" s="100"/>
      <c r="B40" s="719" t="s">
        <v>524</v>
      </c>
      <c r="C40" s="720"/>
      <c r="D40" s="720"/>
      <c r="E40" s="721" t="n">
        <f aca="false">SUM(E38:E39)</f>
        <v>-52.0130558525</v>
      </c>
      <c r="F40" s="721" t="n">
        <f aca="false">SUM(F38:F39)</f>
        <v>-53.5704279442963</v>
      </c>
      <c r="G40" s="721" t="n">
        <f aca="false">SUM(G38:G39)</f>
        <v>-55.1218999267365</v>
      </c>
      <c r="H40" s="721" t="n">
        <f aca="false">SUM(H38:H39)</f>
        <v>-56.6901071547438</v>
      </c>
      <c r="I40" s="721" t="n">
        <f aca="false">SUM(I38:I39)</f>
        <v>-58.2745879749504</v>
      </c>
      <c r="J40" s="721" t="n">
        <f aca="false">SUM(J38:J39)</f>
        <v>-59.8574121014571</v>
      </c>
      <c r="K40" s="721" t="n">
        <f aca="false">SUM(K38:K39)</f>
        <v>-61.4535318755613</v>
      </c>
      <c r="L40" s="721" t="n">
        <f aca="false">SUM(L38:L39)</f>
        <v>-63.0617240856049</v>
      </c>
      <c r="M40" s="721" t="n">
        <f aca="false">SUM(M38:M39)</f>
        <v>-64.6872628124984</v>
      </c>
      <c r="N40" s="721" t="n">
        <f aca="false">SUM(N38:N39)</f>
        <v>-66.3293256951833</v>
      </c>
      <c r="O40" s="721" t="n">
        <f aca="false">SUM(O38:O39)</f>
        <v>-68.0010793108447</v>
      </c>
      <c r="P40" s="721" t="n">
        <f aca="false">SUM(P38:P39)</f>
        <v>-69.7029336417179</v>
      </c>
      <c r="Q40" s="721" t="n">
        <f aca="false">SUM(Q38:Q39)</f>
        <v>-71.4685599325086</v>
      </c>
      <c r="R40" s="721" t="n">
        <f aca="false">SUM(R38:R39)</f>
        <v>-73.3080493948656</v>
      </c>
      <c r="S40" s="721" t="n">
        <f aca="false">SUM(S38:S39)</f>
        <v>-75.224210313668</v>
      </c>
      <c r="T40" s="721" t="n">
        <f aca="false">SUM(T38:T39)</f>
        <v>-77.2347248208978</v>
      </c>
      <c r="U40" s="721" t="n">
        <f aca="false">SUM(U38:U39)</f>
        <v>-79.3310601888711</v>
      </c>
      <c r="V40" s="721" t="n">
        <f aca="false">SUM(V38:V39)</f>
        <v>-81.5096281999388</v>
      </c>
      <c r="W40" s="721" t="n">
        <f aca="false">SUM(W38:W39)</f>
        <v>-83.8154432399967</v>
      </c>
      <c r="X40" s="721" t="n">
        <f aca="false">SUM(X38:X39)</f>
        <v>-82.9065600313145</v>
      </c>
      <c r="Y40" s="721" t="n">
        <f aca="false">SUM(Y38:Y39)</f>
        <v>0</v>
      </c>
      <c r="Z40" s="721" t="n">
        <f aca="false">SUM(Z38:Z39)</f>
        <v>0</v>
      </c>
      <c r="AA40" s="721" t="n">
        <f aca="false">SUM(AA38:AA39)</f>
        <v>0</v>
      </c>
      <c r="AB40" s="721" t="n">
        <f aca="false">SUM(AB38:AB39)</f>
        <v>0</v>
      </c>
      <c r="AC40" s="721" t="n">
        <f aca="false">SUM(AC38:AC39)</f>
        <v>0</v>
      </c>
      <c r="AD40" s="721" t="n">
        <f aca="false">SUM(AD38:AD39)</f>
        <v>0</v>
      </c>
      <c r="AE40" s="721" t="n">
        <f aca="false">SUM(AE38:AE39)</f>
        <v>0</v>
      </c>
      <c r="AF40" s="721" t="n">
        <f aca="false">SUM(AF38:AF39)</f>
        <v>0</v>
      </c>
      <c r="AG40" s="721" t="n">
        <f aca="false">SUM(AG38:AG39)</f>
        <v>0</v>
      </c>
      <c r="AH40" s="721" t="n">
        <f aca="false">SUM(AH38:AH39)</f>
        <v>0</v>
      </c>
      <c r="AI40" s="721" t="n">
        <f aca="false">SUM(AI38:AI39)</f>
        <v>0</v>
      </c>
    </row>
    <row r="41" customFormat="false" ht="13.5" hidden="false" customHeight="false" outlineLevel="0" collapsed="false">
      <c r="B41" s="366" t="s">
        <v>525</v>
      </c>
      <c r="E41" s="366" t="n">
        <f aca="false">E37+E40</f>
        <v>573.300936572961</v>
      </c>
      <c r="F41" s="366" t="n">
        <f aca="false">F37+F40</f>
        <v>571.607553384322</v>
      </c>
      <c r="G41" s="366" t="n">
        <f aca="false">G37+G40</f>
        <v>569.738018319113</v>
      </c>
      <c r="H41" s="366" t="n">
        <f aca="false">H37+H40</f>
        <v>567.626944867061</v>
      </c>
      <c r="I41" s="366" t="n">
        <f aca="false">I37+I40</f>
        <v>565.310185632573</v>
      </c>
      <c r="J41" s="366" t="n">
        <f aca="false">J37+J40</f>
        <v>562.879487597114</v>
      </c>
      <c r="K41" s="366" t="n">
        <f aca="false">K37+K40</f>
        <v>557.665789727338</v>
      </c>
      <c r="L41" s="366" t="n">
        <f aca="false">L37+L40</f>
        <v>552.22807750722</v>
      </c>
      <c r="M41" s="366" t="n">
        <f aca="false">M37+M40</f>
        <v>546.560279836952</v>
      </c>
      <c r="N41" s="366" t="n">
        <f aca="false">N37+N40</f>
        <v>540.393558379574</v>
      </c>
      <c r="O41" s="366" t="n">
        <f aca="false">O37+O40</f>
        <v>547.036344776273</v>
      </c>
      <c r="P41" s="366" t="n">
        <f aca="false">P37+P40</f>
        <v>540.436096296459</v>
      </c>
      <c r="Q41" s="366" t="n">
        <f aca="false">Q37+Q40</f>
        <v>533.321999723709</v>
      </c>
      <c r="R41" s="366" t="n">
        <f aca="false">R37+R40</f>
        <v>525.661489031909</v>
      </c>
      <c r="S41" s="366" t="n">
        <f aca="false">S37+S40</f>
        <v>517.395799501174</v>
      </c>
      <c r="T41" s="366" t="n">
        <f aca="false">T37+T40</f>
        <v>509.111721360887</v>
      </c>
      <c r="U41" s="366" t="n">
        <f aca="false">U37+U40</f>
        <v>590.594573693744</v>
      </c>
      <c r="V41" s="366" t="n">
        <f aca="false">V37+V40</f>
        <v>2030.82975075773</v>
      </c>
      <c r="W41" s="366" t="n">
        <f aca="false">W37+W40</f>
        <v>1999.73505602653</v>
      </c>
      <c r="X41" s="366" t="n">
        <f aca="false">X37+X40</f>
        <v>1968.7171441291</v>
      </c>
      <c r="Y41" s="366" t="n">
        <f aca="false">Y37+Y40</f>
        <v>0</v>
      </c>
      <c r="Z41" s="366" t="n">
        <f aca="false">Z37+Z40</f>
        <v>0</v>
      </c>
      <c r="AA41" s="366" t="n">
        <f aca="false">AA37+AA40</f>
        <v>0</v>
      </c>
      <c r="AB41" s="366" t="n">
        <f aca="false">AB37+AB40</f>
        <v>0</v>
      </c>
      <c r="AC41" s="366" t="n">
        <f aca="false">AC37+AC40</f>
        <v>0</v>
      </c>
      <c r="AD41" s="366" t="n">
        <f aca="false">AD37+AD40</f>
        <v>0</v>
      </c>
      <c r="AE41" s="366" t="n">
        <f aca="false">AE37+AE40</f>
        <v>0</v>
      </c>
      <c r="AF41" s="366" t="n">
        <f aca="false">AF37+AF40</f>
        <v>0</v>
      </c>
      <c r="AG41" s="366" t="n">
        <f aca="false">AG37+AG40</f>
        <v>0</v>
      </c>
      <c r="AH41" s="366" t="n">
        <f aca="false">AH37+AH40</f>
        <v>0</v>
      </c>
      <c r="AI41" s="366" t="n">
        <f aca="false">AI37+AI40</f>
        <v>0</v>
      </c>
      <c r="AJ41" s="313"/>
      <c r="AK41" s="313"/>
      <c r="AL41" s="313"/>
      <c r="AM41" s="313"/>
      <c r="AN41" s="313"/>
      <c r="AO41" s="313"/>
      <c r="AP41" s="313"/>
      <c r="AQ41" s="313"/>
      <c r="AR41" s="313"/>
      <c r="AS41" s="313"/>
      <c r="AT41" s="313"/>
      <c r="AU41" s="313"/>
      <c r="AV41" s="313"/>
      <c r="AW41" s="313"/>
      <c r="AX41" s="313"/>
      <c r="AY41" s="313"/>
      <c r="AZ41" s="313"/>
      <c r="BA41" s="313"/>
      <c r="BB41" s="313"/>
      <c r="BC41" s="313"/>
      <c r="BD41" s="313"/>
      <c r="BE41" s="313"/>
      <c r="BF41" s="313"/>
      <c r="BG41" s="313"/>
      <c r="BH41" s="313"/>
      <c r="BI41" s="313"/>
      <c r="BJ41" s="313"/>
      <c r="BK41" s="313"/>
      <c r="BL41" s="313"/>
      <c r="BM41" s="313"/>
      <c r="BN41" s="313"/>
      <c r="BO41" s="313"/>
      <c r="BP41" s="313"/>
      <c r="BQ41" s="313"/>
      <c r="BR41" s="313"/>
      <c r="BS41" s="313"/>
      <c r="BT41" s="313"/>
      <c r="BU41" s="313"/>
      <c r="BV41" s="313"/>
      <c r="BW41" s="313"/>
      <c r="BX41" s="313"/>
      <c r="BY41" s="313"/>
      <c r="BZ41" s="313"/>
      <c r="CA41" s="313"/>
      <c r="CB41" s="313"/>
      <c r="CC41" s="313"/>
      <c r="CD41" s="313"/>
      <c r="CE41" s="313"/>
      <c r="CF41" s="313"/>
      <c r="CG41" s="313"/>
      <c r="CH41" s="313"/>
      <c r="CI41" s="313"/>
      <c r="CJ41" s="313"/>
      <c r="CK41" s="313"/>
      <c r="CL41" s="313"/>
      <c r="CM41" s="313"/>
      <c r="CN41" s="313"/>
      <c r="CO41" s="313"/>
      <c r="CP41" s="313"/>
      <c r="CQ41" s="313"/>
      <c r="CR41" s="313"/>
      <c r="CS41" s="313"/>
      <c r="CT41" s="313"/>
      <c r="CU41" s="313"/>
      <c r="CV41" s="313"/>
      <c r="CW41" s="313"/>
      <c r="CX41" s="313"/>
      <c r="CY41" s="313"/>
      <c r="CZ41" s="313"/>
      <c r="DA41" s="313"/>
      <c r="DB41" s="313"/>
      <c r="DC41" s="313"/>
      <c r="DD41" s="313"/>
      <c r="DE41" s="313"/>
      <c r="DF41" s="313"/>
      <c r="DG41" s="313"/>
      <c r="DH41" s="313"/>
      <c r="DI41" s="313"/>
      <c r="DJ41" s="313"/>
      <c r="DK41" s="313"/>
      <c r="DL41" s="313"/>
      <c r="DM41" s="313"/>
      <c r="DN41" s="313"/>
      <c r="DO41" s="313"/>
      <c r="DP41" s="313"/>
      <c r="DQ41" s="313"/>
      <c r="DR41" s="313"/>
      <c r="DS41" s="313"/>
      <c r="DT41" s="313"/>
      <c r="DU41" s="313"/>
      <c r="DV41" s="313"/>
      <c r="DW41" s="313"/>
      <c r="DX41" s="313"/>
      <c r="DY41" s="313"/>
      <c r="DZ41" s="313"/>
      <c r="EA41" s="313"/>
      <c r="EB41" s="313"/>
      <c r="EC41" s="313"/>
      <c r="ED41" s="313"/>
      <c r="EE41" s="313"/>
      <c r="EF41" s="313"/>
      <c r="EG41" s="313"/>
      <c r="EH41" s="313"/>
      <c r="EI41" s="313"/>
      <c r="EJ41" s="313"/>
      <c r="EK41" s="313"/>
      <c r="EL41" s="313"/>
      <c r="EM41" s="313"/>
      <c r="EN41" s="313"/>
      <c r="EO41" s="313"/>
      <c r="EP41" s="313"/>
      <c r="EQ41" s="313"/>
      <c r="ER41" s="313"/>
      <c r="ES41" s="313"/>
      <c r="ET41" s="313"/>
      <c r="EU41" s="313"/>
      <c r="EV41" s="313"/>
      <c r="EW41" s="313"/>
      <c r="EX41" s="313"/>
      <c r="EY41" s="313"/>
      <c r="EZ41" s="313"/>
      <c r="FA41" s="313"/>
      <c r="FB41" s="313"/>
      <c r="FC41" s="313"/>
      <c r="FD41" s="313"/>
      <c r="FE41" s="313"/>
      <c r="FF41" s="313"/>
      <c r="FG41" s="313"/>
      <c r="FH41" s="313"/>
      <c r="FI41" s="313"/>
      <c r="FJ41" s="313"/>
      <c r="FK41" s="313"/>
      <c r="FL41" s="313"/>
      <c r="FM41" s="313"/>
      <c r="FN41" s="313"/>
      <c r="FO41" s="313"/>
      <c r="FP41" s="313"/>
      <c r="FQ41" s="313"/>
      <c r="FR41" s="313"/>
      <c r="FS41" s="313"/>
      <c r="FT41" s="313"/>
      <c r="FU41" s="313"/>
      <c r="FV41" s="313"/>
      <c r="FW41" s="313"/>
      <c r="FX41" s="313"/>
      <c r="FY41" s="313"/>
      <c r="FZ41" s="313"/>
      <c r="GA41" s="313"/>
      <c r="GB41" s="313"/>
      <c r="GC41" s="313"/>
      <c r="GD41" s="313"/>
      <c r="GE41" s="313"/>
      <c r="GF41" s="313"/>
      <c r="GG41" s="313"/>
      <c r="GH41" s="313"/>
      <c r="GI41" s="313"/>
      <c r="GJ41" s="313"/>
      <c r="GK41" s="313"/>
      <c r="GL41" s="313"/>
      <c r="GM41" s="313"/>
      <c r="GN41" s="313"/>
      <c r="GO41" s="313"/>
      <c r="GP41" s="313"/>
      <c r="GQ41" s="313"/>
      <c r="GR41" s="313"/>
      <c r="GS41" s="313"/>
      <c r="GT41" s="313"/>
      <c r="GU41" s="313"/>
      <c r="GV41" s="313"/>
      <c r="GW41" s="313"/>
      <c r="GX41" s="313"/>
      <c r="GY41" s="313"/>
      <c r="GZ41" s="313"/>
      <c r="HA41" s="313"/>
      <c r="HB41" s="313"/>
      <c r="HC41" s="313"/>
      <c r="HD41" s="313"/>
      <c r="HE41" s="313"/>
      <c r="HF41" s="313"/>
      <c r="HG41" s="313"/>
      <c r="HH41" s="313"/>
      <c r="HI41" s="313"/>
      <c r="HJ41" s="313"/>
      <c r="HK41" s="313"/>
      <c r="HL41" s="313"/>
      <c r="HM41" s="313"/>
      <c r="HN41" s="313"/>
      <c r="HO41" s="313"/>
      <c r="HP41" s="313"/>
      <c r="HQ41" s="313"/>
      <c r="HR41" s="313"/>
      <c r="HS41" s="313"/>
      <c r="HT41" s="313"/>
      <c r="HU41" s="313"/>
      <c r="HV41" s="313"/>
      <c r="HW41" s="313"/>
      <c r="HX41" s="313"/>
      <c r="HY41" s="313"/>
      <c r="HZ41" s="313"/>
      <c r="IA41" s="313"/>
      <c r="IB41" s="313"/>
      <c r="IC41" s="313"/>
      <c r="ID41" s="313"/>
      <c r="IE41" s="313"/>
      <c r="IF41" s="313"/>
      <c r="IG41" s="313"/>
      <c r="IH41" s="313"/>
      <c r="II41" s="313"/>
      <c r="IJ41" s="313"/>
      <c r="IK41" s="313"/>
      <c r="IL41" s="313"/>
      <c r="IM41" s="313"/>
      <c r="IN41" s="313"/>
      <c r="IO41" s="313"/>
      <c r="IP41" s="313"/>
      <c r="IQ41" s="313"/>
      <c r="IR41" s="313"/>
      <c r="IS41" s="313"/>
      <c r="IT41" s="313"/>
      <c r="IU41" s="313"/>
      <c r="IV41" s="313"/>
      <c r="IW41" s="313"/>
    </row>
    <row r="42" customFormat="false" ht="12.75" hidden="false" customHeight="false" outlineLevel="0" collapsed="false">
      <c r="A42" s="706" t="s">
        <v>497</v>
      </c>
      <c r="B42" s="59" t="s">
        <v>526</v>
      </c>
      <c r="E42" s="59" t="n">
        <f aca="false">JrDebt!E73</f>
        <v>0</v>
      </c>
      <c r="F42" s="59" t="n">
        <f aca="false">JrDebt!F73</f>
        <v>0</v>
      </c>
      <c r="G42" s="59" t="n">
        <f aca="false">JrDebt!G73</f>
        <v>0</v>
      </c>
      <c r="H42" s="59" t="n">
        <f aca="false">JrDebt!H73</f>
        <v>0</v>
      </c>
      <c r="I42" s="59" t="n">
        <f aca="false">JrDebt!I73</f>
        <v>0</v>
      </c>
      <c r="J42" s="59" t="n">
        <f aca="false">JrDebt!J73</f>
        <v>0</v>
      </c>
      <c r="K42" s="59" t="n">
        <f aca="false">JrDebt!K73</f>
        <v>0</v>
      </c>
      <c r="L42" s="59" t="n">
        <f aca="false">JrDebt!L73</f>
        <v>0</v>
      </c>
      <c r="M42" s="59" t="n">
        <f aca="false">JrDebt!M73</f>
        <v>0</v>
      </c>
      <c r="N42" s="59" t="n">
        <f aca="false">JrDebt!N73</f>
        <v>0</v>
      </c>
      <c r="O42" s="59" t="n">
        <f aca="false">JrDebt!O73</f>
        <v>0</v>
      </c>
      <c r="P42" s="59" t="n">
        <f aca="false">JrDebt!P73</f>
        <v>0</v>
      </c>
      <c r="Q42" s="59" t="n">
        <f aca="false">JrDebt!Q73</f>
        <v>0</v>
      </c>
      <c r="R42" s="59" t="n">
        <f aca="false">JrDebt!R73</f>
        <v>0</v>
      </c>
      <c r="S42" s="59" t="n">
        <f aca="false">JrDebt!S73</f>
        <v>0</v>
      </c>
      <c r="T42" s="59" t="n">
        <f aca="false">JrDebt!T73</f>
        <v>0</v>
      </c>
      <c r="U42" s="59" t="n">
        <f aca="false">JrDebt!U73</f>
        <v>0</v>
      </c>
      <c r="V42" s="59" t="n">
        <f aca="false">JrDebt!V73</f>
        <v>0</v>
      </c>
      <c r="W42" s="59" t="n">
        <f aca="false">JrDebt!W73</f>
        <v>0</v>
      </c>
      <c r="X42" s="59" t="n">
        <f aca="false">JrDebt!X73</f>
        <v>0</v>
      </c>
      <c r="Y42" s="59" t="n">
        <f aca="false">JrDebt!Y73</f>
        <v>0</v>
      </c>
      <c r="Z42" s="59" t="n">
        <f aca="false">JrDebt!Z73</f>
        <v>0</v>
      </c>
      <c r="AA42" s="59" t="n">
        <f aca="false">JrDebt!AA73</f>
        <v>0</v>
      </c>
      <c r="AB42" s="59" t="n">
        <f aca="false">JrDebt!AB73</f>
        <v>0</v>
      </c>
      <c r="AC42" s="59" t="n">
        <f aca="false">JrDebt!AC73</f>
        <v>0</v>
      </c>
      <c r="AD42" s="59" t="n">
        <f aca="false">JrDebt!AD73</f>
        <v>0</v>
      </c>
      <c r="AE42" s="59" t="n">
        <f aca="false">JrDebt!AE73</f>
        <v>0</v>
      </c>
      <c r="AF42" s="59" t="n">
        <f aca="false">JrDebt!AF73</f>
        <v>0</v>
      </c>
      <c r="AG42" s="59" t="n">
        <f aca="false">JrDebt!AG73</f>
        <v>0</v>
      </c>
      <c r="AH42" s="59" t="n">
        <f aca="false">JrDebt!AH73</f>
        <v>0</v>
      </c>
      <c r="AI42" s="59" t="n">
        <f aca="false">JrDebt!AI73</f>
        <v>0</v>
      </c>
    </row>
    <row r="43" customFormat="false" ht="13.5" hidden="false" customHeight="false" outlineLevel="0" collapsed="false">
      <c r="B43" s="712" t="s">
        <v>527</v>
      </c>
      <c r="C43" s="713"/>
      <c r="D43" s="713"/>
      <c r="E43" s="712" t="n">
        <f aca="false">JrDebt!E74</f>
        <v>0</v>
      </c>
      <c r="F43" s="712" t="n">
        <f aca="false">JrDebt!F74</f>
        <v>0</v>
      </c>
      <c r="G43" s="712" t="n">
        <f aca="false">JrDebt!G74</f>
        <v>0</v>
      </c>
      <c r="H43" s="712" t="n">
        <f aca="false">JrDebt!H74</f>
        <v>0</v>
      </c>
      <c r="I43" s="712" t="n">
        <f aca="false">JrDebt!I74</f>
        <v>0</v>
      </c>
      <c r="J43" s="712" t="n">
        <f aca="false">JrDebt!J74</f>
        <v>0</v>
      </c>
      <c r="K43" s="712" t="n">
        <f aca="false">JrDebt!K74</f>
        <v>0</v>
      </c>
      <c r="L43" s="712" t="n">
        <f aca="false">JrDebt!L74</f>
        <v>0</v>
      </c>
      <c r="M43" s="712" t="n">
        <f aca="false">JrDebt!M74</f>
        <v>0</v>
      </c>
      <c r="N43" s="712" t="n">
        <f aca="false">JrDebt!N74</f>
        <v>0</v>
      </c>
      <c r="O43" s="712" t="n">
        <f aca="false">JrDebt!O74</f>
        <v>0</v>
      </c>
      <c r="P43" s="712" t="n">
        <f aca="false">JrDebt!P74</f>
        <v>0</v>
      </c>
      <c r="Q43" s="712" t="n">
        <f aca="false">JrDebt!Q74</f>
        <v>0</v>
      </c>
      <c r="R43" s="712" t="n">
        <f aca="false">JrDebt!R74</f>
        <v>0</v>
      </c>
      <c r="S43" s="712" t="n">
        <f aca="false">JrDebt!S74</f>
        <v>0</v>
      </c>
      <c r="T43" s="712" t="n">
        <f aca="false">JrDebt!T74</f>
        <v>0</v>
      </c>
      <c r="U43" s="712" t="n">
        <f aca="false">JrDebt!U74</f>
        <v>0</v>
      </c>
      <c r="V43" s="712" t="n">
        <f aca="false">JrDebt!V74</f>
        <v>0</v>
      </c>
      <c r="W43" s="712" t="n">
        <f aca="false">JrDebt!W74</f>
        <v>0</v>
      </c>
      <c r="X43" s="712" t="n">
        <f aca="false">JrDebt!X74</f>
        <v>0</v>
      </c>
      <c r="Y43" s="712" t="n">
        <f aca="false">JrDebt!Y74</f>
        <v>0</v>
      </c>
      <c r="Z43" s="712" t="n">
        <f aca="false">JrDebt!Z74</f>
        <v>0</v>
      </c>
      <c r="AA43" s="712" t="n">
        <f aca="false">JrDebt!AA74</f>
        <v>0</v>
      </c>
      <c r="AB43" s="712" t="n">
        <f aca="false">JrDebt!AB74</f>
        <v>0</v>
      </c>
      <c r="AC43" s="712" t="n">
        <f aca="false">JrDebt!AC74</f>
        <v>0</v>
      </c>
      <c r="AD43" s="712" t="n">
        <f aca="false">JrDebt!AD74</f>
        <v>0</v>
      </c>
      <c r="AE43" s="712" t="n">
        <f aca="false">JrDebt!AE74</f>
        <v>0</v>
      </c>
      <c r="AF43" s="712" t="n">
        <f aca="false">JrDebt!AF74</f>
        <v>0</v>
      </c>
      <c r="AG43" s="712" t="n">
        <f aca="false">JrDebt!AG74</f>
        <v>0</v>
      </c>
      <c r="AH43" s="712" t="n">
        <f aca="false">JrDebt!AH74</f>
        <v>0</v>
      </c>
      <c r="AI43" s="712" t="n">
        <f aca="false">JrDebt!AI74</f>
        <v>0</v>
      </c>
    </row>
    <row r="44" customFormat="false" ht="13.5" hidden="false" customHeight="false" outlineLevel="0" collapsed="false">
      <c r="B44" s="366" t="s">
        <v>528</v>
      </c>
      <c r="C44" s="313"/>
      <c r="D44" s="313"/>
      <c r="E44" s="366" t="n">
        <f aca="false">SUM(E41:E43)</f>
        <v>573.300936572961</v>
      </c>
      <c r="F44" s="366" t="n">
        <f aca="false">SUM(F41:F43)</f>
        <v>571.607553384322</v>
      </c>
      <c r="G44" s="366" t="n">
        <f aca="false">SUM(G41:G43)</f>
        <v>569.738018319113</v>
      </c>
      <c r="H44" s="366" t="n">
        <f aca="false">SUM(H41:H43)</f>
        <v>567.626944867061</v>
      </c>
      <c r="I44" s="366" t="n">
        <f aca="false">SUM(I41:I43)</f>
        <v>565.310185632573</v>
      </c>
      <c r="J44" s="366" t="n">
        <f aca="false">SUM(J41:J43)</f>
        <v>562.879487597114</v>
      </c>
      <c r="K44" s="366" t="n">
        <f aca="false">SUM(K41:K43)</f>
        <v>557.665789727338</v>
      </c>
      <c r="L44" s="366" t="n">
        <f aca="false">SUM(L41:L43)</f>
        <v>552.22807750722</v>
      </c>
      <c r="M44" s="366" t="n">
        <f aca="false">SUM(M41:M43)</f>
        <v>546.560279836952</v>
      </c>
      <c r="N44" s="366" t="n">
        <f aca="false">SUM(N41:N43)</f>
        <v>540.393558379574</v>
      </c>
      <c r="O44" s="366" t="n">
        <f aca="false">SUM(O41:O43)</f>
        <v>547.036344776273</v>
      </c>
      <c r="P44" s="366" t="n">
        <f aca="false">SUM(P41:P43)</f>
        <v>540.436096296459</v>
      </c>
      <c r="Q44" s="366" t="n">
        <f aca="false">SUM(Q41:Q43)</f>
        <v>533.321999723709</v>
      </c>
      <c r="R44" s="366" t="n">
        <f aca="false">SUM(R41:R43)</f>
        <v>525.661489031909</v>
      </c>
      <c r="S44" s="366" t="n">
        <f aca="false">SUM(S41:S43)</f>
        <v>517.395799501174</v>
      </c>
      <c r="T44" s="366" t="n">
        <f aca="false">SUM(T41:T43)</f>
        <v>509.111721360887</v>
      </c>
      <c r="U44" s="366" t="n">
        <f aca="false">SUM(U41:U43)</f>
        <v>590.594573693744</v>
      </c>
      <c r="V44" s="366" t="n">
        <f aca="false">SUM(V41:V43)</f>
        <v>2030.82975075773</v>
      </c>
      <c r="W44" s="366" t="n">
        <f aca="false">SUM(W41:W43)</f>
        <v>1999.73505602653</v>
      </c>
      <c r="X44" s="366" t="n">
        <f aca="false">SUM(X41:X43)</f>
        <v>1968.7171441291</v>
      </c>
      <c r="Y44" s="366" t="n">
        <f aca="false">SUM(Y41:Y43)</f>
        <v>0</v>
      </c>
      <c r="Z44" s="366" t="n">
        <f aca="false">SUM(Z41:Z43)</f>
        <v>0</v>
      </c>
      <c r="AA44" s="366" t="n">
        <f aca="false">SUM(AA41:AA43)</f>
        <v>0</v>
      </c>
      <c r="AB44" s="366" t="n">
        <f aca="false">SUM(AB41:AB43)</f>
        <v>0</v>
      </c>
      <c r="AC44" s="366" t="n">
        <f aca="false">SUM(AC41:AC43)</f>
        <v>0</v>
      </c>
      <c r="AD44" s="366" t="n">
        <f aca="false">SUM(AD41:AD43)</f>
        <v>0</v>
      </c>
      <c r="AE44" s="366" t="n">
        <f aca="false">SUM(AE41:AE43)</f>
        <v>0</v>
      </c>
      <c r="AF44" s="366" t="n">
        <f aca="false">SUM(AF41:AF43)</f>
        <v>0</v>
      </c>
      <c r="AG44" s="366" t="n">
        <f aca="false">SUM(AG41:AG43)</f>
        <v>0</v>
      </c>
      <c r="AH44" s="366" t="n">
        <f aca="false">SUM(AH41:AH43)</f>
        <v>0</v>
      </c>
      <c r="AI44" s="366" t="n">
        <f aca="false">SUM(AI41:AI43)</f>
        <v>0</v>
      </c>
    </row>
    <row r="45" customFormat="false" ht="12.75" hidden="false" customHeight="false" outlineLevel="0" collapsed="false">
      <c r="A45" s="100"/>
      <c r="B45" s="59" t="s">
        <v>484</v>
      </c>
      <c r="E45" s="59" t="n">
        <f aca="false">-JrDebt!E69</f>
        <v>-0</v>
      </c>
      <c r="F45" s="59" t="n">
        <f aca="false">-JrDebt!F69</f>
        <v>-0</v>
      </c>
      <c r="G45" s="59" t="n">
        <f aca="false">-JrDebt!G69</f>
        <v>-0</v>
      </c>
      <c r="H45" s="59" t="n">
        <f aca="false">-JrDebt!H69</f>
        <v>-0</v>
      </c>
      <c r="I45" s="59" t="n">
        <f aca="false">-JrDebt!I69</f>
        <v>-0</v>
      </c>
      <c r="J45" s="59" t="n">
        <f aca="false">-JrDebt!J69</f>
        <v>-0</v>
      </c>
      <c r="K45" s="59" t="n">
        <f aca="false">-JrDebt!K69</f>
        <v>-0</v>
      </c>
      <c r="L45" s="59" t="n">
        <f aca="false">-JrDebt!L69</f>
        <v>-0</v>
      </c>
      <c r="M45" s="59" t="n">
        <f aca="false">-JrDebt!M69</f>
        <v>-0</v>
      </c>
      <c r="N45" s="59" t="n">
        <f aca="false">-JrDebt!N69</f>
        <v>-0</v>
      </c>
      <c r="O45" s="59" t="n">
        <f aca="false">-JrDebt!O69</f>
        <v>-0</v>
      </c>
      <c r="P45" s="59" t="n">
        <f aca="false">-JrDebt!P69</f>
        <v>-0</v>
      </c>
      <c r="Q45" s="59" t="n">
        <f aca="false">-JrDebt!Q69</f>
        <v>-0</v>
      </c>
      <c r="R45" s="59" t="n">
        <f aca="false">-JrDebt!R69</f>
        <v>-0</v>
      </c>
      <c r="S45" s="59" t="n">
        <f aca="false">-JrDebt!S69</f>
        <v>-0</v>
      </c>
      <c r="T45" s="59" t="n">
        <f aca="false">-JrDebt!T69</f>
        <v>-0</v>
      </c>
      <c r="U45" s="59" t="n">
        <f aca="false">-JrDebt!U69</f>
        <v>-0</v>
      </c>
      <c r="V45" s="59" t="n">
        <f aca="false">-JrDebt!V69</f>
        <v>-0</v>
      </c>
      <c r="W45" s="59" t="n">
        <f aca="false">-JrDebt!W69</f>
        <v>-0</v>
      </c>
      <c r="X45" s="59" t="n">
        <f aca="false">-JrDebt!X69</f>
        <v>-0</v>
      </c>
      <c r="Y45" s="59" t="n">
        <f aca="false">-JrDebt!Y69</f>
        <v>-0</v>
      </c>
      <c r="Z45" s="59" t="n">
        <f aca="false">-JrDebt!Z69</f>
        <v>-0</v>
      </c>
      <c r="AA45" s="59" t="n">
        <f aca="false">-JrDebt!AA69</f>
        <v>-0</v>
      </c>
      <c r="AB45" s="59" t="n">
        <f aca="false">-JrDebt!AB69</f>
        <v>-0</v>
      </c>
      <c r="AC45" s="59" t="n">
        <f aca="false">-JrDebt!AC69</f>
        <v>-0</v>
      </c>
      <c r="AD45" s="59" t="n">
        <f aca="false">-JrDebt!AD69</f>
        <v>-0</v>
      </c>
      <c r="AE45" s="59" t="n">
        <f aca="false">-JrDebt!AE69</f>
        <v>-0</v>
      </c>
      <c r="AF45" s="59" t="n">
        <f aca="false">-JrDebt!AF69</f>
        <v>-0</v>
      </c>
      <c r="AG45" s="59" t="n">
        <f aca="false">-JrDebt!AG69</f>
        <v>-0</v>
      </c>
      <c r="AH45" s="59" t="n">
        <f aca="false">-JrDebt!AH69</f>
        <v>-0</v>
      </c>
      <c r="AI45" s="59" t="n">
        <f aca="false">-JrDebt!AI69</f>
        <v>-0</v>
      </c>
    </row>
    <row r="46" customFormat="false" ht="12.75" hidden="false" customHeight="false" outlineLevel="0" collapsed="false">
      <c r="B46" s="59" t="s">
        <v>529</v>
      </c>
      <c r="E46" s="59" t="n">
        <f aca="false">-JrDebt!E70</f>
        <v>-0</v>
      </c>
      <c r="F46" s="59" t="n">
        <f aca="false">-JrDebt!F70</f>
        <v>-0</v>
      </c>
      <c r="G46" s="59" t="n">
        <f aca="false">-JrDebt!G70</f>
        <v>-0</v>
      </c>
      <c r="H46" s="59" t="n">
        <f aca="false">-JrDebt!H70</f>
        <v>-0</v>
      </c>
      <c r="I46" s="59" t="n">
        <f aca="false">-JrDebt!I70</f>
        <v>-0</v>
      </c>
      <c r="J46" s="59" t="n">
        <f aca="false">-JrDebt!J70</f>
        <v>-0</v>
      </c>
      <c r="K46" s="59" t="n">
        <f aca="false">-JrDebt!K70</f>
        <v>-0</v>
      </c>
      <c r="L46" s="59" t="n">
        <f aca="false">-JrDebt!L70</f>
        <v>-0</v>
      </c>
      <c r="M46" s="59" t="n">
        <f aca="false">-JrDebt!M70</f>
        <v>-0</v>
      </c>
      <c r="N46" s="59" t="n">
        <f aca="false">-JrDebt!N70</f>
        <v>-0</v>
      </c>
      <c r="O46" s="59" t="n">
        <f aca="false">-JrDebt!O70</f>
        <v>-0</v>
      </c>
      <c r="P46" s="59" t="n">
        <f aca="false">-JrDebt!P70</f>
        <v>-0</v>
      </c>
      <c r="Q46" s="59" t="n">
        <f aca="false">-JrDebt!Q70</f>
        <v>-0</v>
      </c>
      <c r="R46" s="59" t="n">
        <f aca="false">-JrDebt!R70</f>
        <v>-0</v>
      </c>
      <c r="S46" s="59" t="n">
        <f aca="false">-JrDebt!S70</f>
        <v>-0</v>
      </c>
      <c r="T46" s="59" t="n">
        <f aca="false">-JrDebt!T70</f>
        <v>-0</v>
      </c>
      <c r="U46" s="59" t="n">
        <f aca="false">-JrDebt!U70</f>
        <v>-0</v>
      </c>
      <c r="V46" s="59" t="n">
        <f aca="false">-JrDebt!V70</f>
        <v>-0</v>
      </c>
      <c r="W46" s="59" t="n">
        <f aca="false">-JrDebt!W70</f>
        <v>-0</v>
      </c>
      <c r="X46" s="59" t="n">
        <f aca="false">-JrDebt!X70</f>
        <v>-0</v>
      </c>
      <c r="Y46" s="59" t="n">
        <f aca="false">-JrDebt!Y70</f>
        <v>-0</v>
      </c>
      <c r="Z46" s="59" t="n">
        <f aca="false">-JrDebt!Z70</f>
        <v>-0</v>
      </c>
      <c r="AA46" s="59" t="n">
        <f aca="false">-JrDebt!AA70</f>
        <v>-0</v>
      </c>
      <c r="AB46" s="59" t="n">
        <f aca="false">-JrDebt!AB70</f>
        <v>-0</v>
      </c>
      <c r="AC46" s="59" t="n">
        <f aca="false">-JrDebt!AC70</f>
        <v>-0</v>
      </c>
      <c r="AD46" s="59" t="n">
        <f aca="false">-JrDebt!AD70</f>
        <v>-0</v>
      </c>
      <c r="AE46" s="59" t="n">
        <f aca="false">-JrDebt!AE70</f>
        <v>-0</v>
      </c>
      <c r="AF46" s="59" t="n">
        <f aca="false">-JrDebt!AF70</f>
        <v>-0</v>
      </c>
      <c r="AG46" s="59" t="n">
        <f aca="false">-JrDebt!AG70</f>
        <v>-0</v>
      </c>
      <c r="AH46" s="59" t="n">
        <f aca="false">-JrDebt!AH70</f>
        <v>-0</v>
      </c>
      <c r="AI46" s="59" t="n">
        <f aca="false">-JrDebt!AI70</f>
        <v>-0</v>
      </c>
    </row>
    <row r="47" customFormat="false" ht="12.75" hidden="false" customHeight="false" outlineLevel="0" collapsed="false">
      <c r="B47" s="716" t="s">
        <v>530</v>
      </c>
      <c r="C47" s="715"/>
      <c r="D47" s="715"/>
      <c r="E47" s="716" t="n">
        <f aca="false">SUM(E45:E46)</f>
        <v>0</v>
      </c>
      <c r="F47" s="716" t="n">
        <f aca="false">SUM(F45:F46)</f>
        <v>0</v>
      </c>
      <c r="G47" s="716" t="n">
        <f aca="false">SUM(G45:G46)</f>
        <v>0</v>
      </c>
      <c r="H47" s="716" t="n">
        <f aca="false">SUM(H45:H46)</f>
        <v>0</v>
      </c>
      <c r="I47" s="716" t="n">
        <f aca="false">SUM(I45:I46)</f>
        <v>0</v>
      </c>
      <c r="J47" s="716" t="n">
        <f aca="false">SUM(J45:J46)</f>
        <v>0</v>
      </c>
      <c r="K47" s="716" t="n">
        <f aca="false">SUM(K45:K46)</f>
        <v>0</v>
      </c>
      <c r="L47" s="716" t="n">
        <f aca="false">SUM(L45:L46)</f>
        <v>0</v>
      </c>
      <c r="M47" s="716" t="n">
        <f aca="false">SUM(M45:M46)</f>
        <v>0</v>
      </c>
      <c r="N47" s="716" t="n">
        <f aca="false">SUM(N45:N46)</f>
        <v>0</v>
      </c>
      <c r="O47" s="716" t="n">
        <f aca="false">SUM(O45:O46)</f>
        <v>0</v>
      </c>
      <c r="P47" s="716" t="n">
        <f aca="false">SUM(P45:P46)</f>
        <v>0</v>
      </c>
      <c r="Q47" s="716" t="n">
        <f aca="false">SUM(Q45:Q46)</f>
        <v>0</v>
      </c>
      <c r="R47" s="716" t="n">
        <f aca="false">SUM(R45:R46)</f>
        <v>0</v>
      </c>
      <c r="S47" s="716" t="n">
        <f aca="false">SUM(S45:S46)</f>
        <v>0</v>
      </c>
      <c r="T47" s="716" t="n">
        <f aca="false">SUM(T45:T46)</f>
        <v>0</v>
      </c>
      <c r="U47" s="716" t="n">
        <f aca="false">SUM(U45:U46)</f>
        <v>0</v>
      </c>
      <c r="V47" s="716" t="n">
        <f aca="false">SUM(V45:V46)</f>
        <v>0</v>
      </c>
      <c r="W47" s="716" t="n">
        <f aca="false">SUM(W45:W46)</f>
        <v>0</v>
      </c>
      <c r="X47" s="716" t="n">
        <f aca="false">SUM(X45:X46)</f>
        <v>0</v>
      </c>
      <c r="Y47" s="716" t="n">
        <f aca="false">SUM(Y45:Y46)</f>
        <v>0</v>
      </c>
      <c r="Z47" s="716" t="n">
        <f aca="false">SUM(Z45:Z46)</f>
        <v>0</v>
      </c>
      <c r="AA47" s="716" t="n">
        <f aca="false">SUM(AA45:AA46)</f>
        <v>0</v>
      </c>
      <c r="AB47" s="716" t="n">
        <f aca="false">SUM(AB45:AB46)</f>
        <v>0</v>
      </c>
      <c r="AC47" s="716" t="n">
        <f aca="false">SUM(AC45:AC46)</f>
        <v>0</v>
      </c>
      <c r="AD47" s="716" t="n">
        <f aca="false">SUM(AD45:AD46)</f>
        <v>0</v>
      </c>
      <c r="AE47" s="716" t="n">
        <f aca="false">SUM(AE45:AE46)</f>
        <v>0</v>
      </c>
      <c r="AF47" s="716" t="n">
        <f aca="false">SUM(AF45:AF46)</f>
        <v>0</v>
      </c>
      <c r="AG47" s="716" t="n">
        <f aca="false">SUM(AG45:AG46)</f>
        <v>0</v>
      </c>
      <c r="AH47" s="716" t="n">
        <f aca="false">SUM(AH45:AH46)</f>
        <v>0</v>
      </c>
      <c r="AI47" s="716" t="n">
        <f aca="false">SUM(AI45:AI46)</f>
        <v>0</v>
      </c>
    </row>
    <row r="48" customFormat="false" ht="13.5" hidden="false" customHeight="false" outlineLevel="0" collapsed="false">
      <c r="B48" s="712" t="s">
        <v>531</v>
      </c>
      <c r="C48" s="713"/>
      <c r="D48" s="713"/>
      <c r="E48" s="712" t="n">
        <f aca="false">F47*Assum!$E$314*Assum!$E$315</f>
        <v>0</v>
      </c>
      <c r="F48" s="712" t="n">
        <f aca="false">G47*Assum!$E$314*Assum!$E$315</f>
        <v>0</v>
      </c>
      <c r="G48" s="712" t="n">
        <f aca="false">H47*Assum!$E$314*Assum!$E$315</f>
        <v>0</v>
      </c>
      <c r="H48" s="712" t="n">
        <f aca="false">I47*Assum!$E$314*Assum!$E$315</f>
        <v>0</v>
      </c>
      <c r="I48" s="712" t="n">
        <f aca="false">J47*Assum!$E$314*Assum!$E$315</f>
        <v>0</v>
      </c>
      <c r="J48" s="712" t="n">
        <f aca="false">K47*Assum!$E$314*Assum!$E$315</f>
        <v>0</v>
      </c>
      <c r="K48" s="712" t="n">
        <f aca="false">L47*Assum!$E$314*Assum!$E$315</f>
        <v>0</v>
      </c>
      <c r="L48" s="712" t="n">
        <f aca="false">M47*Assum!$E$314*Assum!$E$315</f>
        <v>0</v>
      </c>
      <c r="M48" s="712" t="n">
        <f aca="false">N47*Assum!$E$314*Assum!$E$315</f>
        <v>0</v>
      </c>
      <c r="N48" s="712" t="n">
        <f aca="false">O47*Assum!$E$314*Assum!$E$315</f>
        <v>0</v>
      </c>
      <c r="O48" s="712" t="n">
        <f aca="false">P47*Assum!$E$314*Assum!$E$315</f>
        <v>0</v>
      </c>
      <c r="P48" s="712" t="n">
        <f aca="false">Q47*Assum!$E$314*Assum!$E$315</f>
        <v>0</v>
      </c>
      <c r="Q48" s="712" t="n">
        <f aca="false">R47*Assum!$E$314*Assum!$E$315</f>
        <v>0</v>
      </c>
      <c r="R48" s="712" t="n">
        <f aca="false">S47*Assum!$E$314*Assum!$E$315</f>
        <v>0</v>
      </c>
      <c r="S48" s="712" t="n">
        <f aca="false">T47*Assum!$E$314*Assum!$E$315</f>
        <v>0</v>
      </c>
      <c r="T48" s="712" t="n">
        <f aca="false">U47*Assum!$E$314*Assum!$E$315</f>
        <v>0</v>
      </c>
      <c r="U48" s="712" t="n">
        <f aca="false">V47*Assum!$E$314*Assum!$E$315</f>
        <v>0</v>
      </c>
      <c r="V48" s="712" t="n">
        <f aca="false">W47*Assum!$E$314*Assum!$E$315</f>
        <v>0</v>
      </c>
      <c r="W48" s="712" t="n">
        <f aca="false">X47*Assum!$E$314*Assum!$E$315</f>
        <v>0</v>
      </c>
      <c r="X48" s="712" t="n">
        <f aca="false">Y47*Assum!$E$314*Assum!$E$315</f>
        <v>0</v>
      </c>
      <c r="Y48" s="712" t="n">
        <f aca="false">Z47*Assum!$E$314*Assum!$E$315</f>
        <v>0</v>
      </c>
      <c r="Z48" s="712" t="n">
        <f aca="false">AA47*Assum!$E$314*Assum!$E$315</f>
        <v>0</v>
      </c>
      <c r="AA48" s="712" t="n">
        <f aca="false">AB47*Assum!$E$314*Assum!$E$315</f>
        <v>0</v>
      </c>
      <c r="AB48" s="712" t="n">
        <f aca="false">AC47*Assum!$E$314*Assum!$E$315</f>
        <v>0</v>
      </c>
      <c r="AC48" s="712" t="n">
        <f aca="false">AD47*Assum!$E$314*Assum!$E$315</f>
        <v>0</v>
      </c>
      <c r="AD48" s="712" t="n">
        <f aca="false">AE47*Assum!$E$314*Assum!$E$315</f>
        <v>0</v>
      </c>
      <c r="AE48" s="712" t="n">
        <f aca="false">AF47*Assum!$E$314*Assum!$E$315</f>
        <v>0</v>
      </c>
      <c r="AF48" s="712" t="n">
        <f aca="false">AG47*Assum!$E$314*Assum!$E$315</f>
        <v>0</v>
      </c>
      <c r="AG48" s="712" t="n">
        <f aca="false">AH47*Assum!$E$314*Assum!$E$315</f>
        <v>0</v>
      </c>
      <c r="AH48" s="712" t="n">
        <f aca="false">AI47*Assum!$E$314*Assum!$E$315</f>
        <v>0</v>
      </c>
      <c r="AI48" s="712" t="n">
        <f aca="false">AJ47*Assum!$E$314*Assum!$E$315</f>
        <v>0</v>
      </c>
    </row>
    <row r="49" customFormat="false" ht="13.5" hidden="false" customHeight="false" outlineLevel="0" collapsed="false">
      <c r="B49" s="366" t="s">
        <v>532</v>
      </c>
      <c r="E49" s="366" t="n">
        <f aca="false">SUM(E41:E43)+E47+E48</f>
        <v>573.300936572961</v>
      </c>
      <c r="F49" s="366" t="n">
        <f aca="false">SUM(F41:F43)+F47+F48</f>
        <v>571.607553384322</v>
      </c>
      <c r="G49" s="366" t="n">
        <f aca="false">SUM(G41:G43)+G47+G48</f>
        <v>569.738018319113</v>
      </c>
      <c r="H49" s="366" t="n">
        <f aca="false">SUM(H41:H43)+H47+H48</f>
        <v>567.626944867061</v>
      </c>
      <c r="I49" s="366" t="n">
        <f aca="false">SUM(I41:I43)+I47+I48</f>
        <v>565.310185632573</v>
      </c>
      <c r="J49" s="366" t="n">
        <f aca="false">SUM(J41:J43)+J47+J48</f>
        <v>562.879487597114</v>
      </c>
      <c r="K49" s="366" t="n">
        <f aca="false">SUM(K41:K43)+K47+K48</f>
        <v>557.665789727338</v>
      </c>
      <c r="L49" s="366" t="n">
        <f aca="false">SUM(L41:L43)+L47+L48</f>
        <v>552.22807750722</v>
      </c>
      <c r="M49" s="366" t="n">
        <f aca="false">SUM(M41:M43)+M47+M48</f>
        <v>546.560279836952</v>
      </c>
      <c r="N49" s="366" t="n">
        <f aca="false">SUM(N41:N43)+N47+N48</f>
        <v>540.393558379574</v>
      </c>
      <c r="O49" s="366" t="n">
        <f aca="false">SUM(O41:O43)+O47+O48</f>
        <v>547.036344776273</v>
      </c>
      <c r="P49" s="366" t="n">
        <f aca="false">SUM(P41:P43)+P47+P48</f>
        <v>540.436096296459</v>
      </c>
      <c r="Q49" s="366" t="n">
        <f aca="false">SUM(Q41:Q43)+Q47+Q48</f>
        <v>533.321999723709</v>
      </c>
      <c r="R49" s="366" t="n">
        <f aca="false">SUM(R41:R43)+R47+R48</f>
        <v>525.661489031909</v>
      </c>
      <c r="S49" s="366" t="n">
        <f aca="false">SUM(S41:S43)+S47+S48</f>
        <v>517.395799501174</v>
      </c>
      <c r="T49" s="366" t="n">
        <f aca="false">SUM(T41:T43)+T47+T48</f>
        <v>509.111721360887</v>
      </c>
      <c r="U49" s="366" t="n">
        <f aca="false">SUM(U41:U43)+U47+U48</f>
        <v>590.594573693744</v>
      </c>
      <c r="V49" s="366" t="n">
        <f aca="false">SUM(V41:V43)+V47+V48</f>
        <v>2030.82975075773</v>
      </c>
      <c r="W49" s="366" t="n">
        <f aca="false">SUM(W41:W43)+W47+W48</f>
        <v>1999.73505602653</v>
      </c>
      <c r="X49" s="366" t="n">
        <f aca="false">SUM(X41:X43)+X47+X48</f>
        <v>1968.7171441291</v>
      </c>
      <c r="Y49" s="366" t="n">
        <f aca="false">SUM(Y41:Y43)+Y47+Y48</f>
        <v>0</v>
      </c>
      <c r="Z49" s="366" t="n">
        <f aca="false">SUM(Z41:Z43)+Z47+Z48</f>
        <v>0</v>
      </c>
      <c r="AA49" s="366" t="n">
        <f aca="false">SUM(AA41:AA43)+AA47+AA48</f>
        <v>0</v>
      </c>
      <c r="AB49" s="366" t="n">
        <f aca="false">SUM(AB41:AB43)+AB47+AB48</f>
        <v>0</v>
      </c>
      <c r="AC49" s="366" t="n">
        <f aca="false">SUM(AC41:AC43)+AC47+AC48</f>
        <v>0</v>
      </c>
      <c r="AD49" s="366" t="n">
        <f aca="false">SUM(AD41:AD43)+AD47+AD48</f>
        <v>0</v>
      </c>
      <c r="AE49" s="366" t="n">
        <f aca="false">SUM(AE41:AE43)+AE47+AE48</f>
        <v>0</v>
      </c>
      <c r="AF49" s="366" t="n">
        <f aca="false">SUM(AF41:AF43)+AF47+AF48</f>
        <v>0</v>
      </c>
      <c r="AG49" s="366" t="n">
        <f aca="false">SUM(AG41:AG43)+AG47+AG48</f>
        <v>0</v>
      </c>
      <c r="AH49" s="366" t="n">
        <f aca="false">SUM(AH41:AH43)+AH47+AH48</f>
        <v>0</v>
      </c>
      <c r="AI49" s="366" t="n">
        <f aca="false">SUM(AI41:AI43)+AI47+AI48</f>
        <v>0</v>
      </c>
      <c r="AJ49" s="313"/>
      <c r="AK49" s="313"/>
      <c r="AL49" s="313"/>
      <c r="AM49" s="313"/>
      <c r="AN49" s="313"/>
      <c r="AO49" s="313"/>
      <c r="AP49" s="313"/>
      <c r="AQ49" s="313"/>
      <c r="AR49" s="313"/>
      <c r="AS49" s="313"/>
      <c r="AT49" s="313"/>
      <c r="AU49" s="313"/>
      <c r="AV49" s="313"/>
      <c r="AW49" s="313"/>
      <c r="AX49" s="313"/>
      <c r="AY49" s="313"/>
      <c r="AZ49" s="313"/>
      <c r="BA49" s="313"/>
      <c r="BB49" s="313"/>
      <c r="BC49" s="313"/>
      <c r="BD49" s="313"/>
      <c r="BE49" s="313"/>
      <c r="BF49" s="313"/>
      <c r="BG49" s="313"/>
      <c r="BH49" s="313"/>
      <c r="BI49" s="313"/>
      <c r="BJ49" s="313"/>
      <c r="BK49" s="313"/>
      <c r="BL49" s="313"/>
      <c r="BM49" s="313"/>
      <c r="BN49" s="313"/>
      <c r="BO49" s="313"/>
      <c r="BP49" s="313"/>
      <c r="BQ49" s="313"/>
      <c r="BR49" s="313"/>
      <c r="BS49" s="313"/>
      <c r="BT49" s="313"/>
      <c r="BU49" s="313"/>
      <c r="BV49" s="313"/>
      <c r="BW49" s="313"/>
      <c r="BX49" s="313"/>
      <c r="BY49" s="313"/>
      <c r="BZ49" s="313"/>
      <c r="CA49" s="313"/>
      <c r="CB49" s="313"/>
      <c r="CC49" s="313"/>
      <c r="CD49" s="313"/>
      <c r="CE49" s="313"/>
      <c r="CF49" s="313"/>
      <c r="CG49" s="313"/>
      <c r="CH49" s="313"/>
      <c r="CI49" s="313"/>
      <c r="CJ49" s="313"/>
      <c r="CK49" s="313"/>
      <c r="CL49" s="313"/>
      <c r="CM49" s="313"/>
      <c r="CN49" s="313"/>
      <c r="CO49" s="313"/>
      <c r="CP49" s="313"/>
      <c r="CQ49" s="313"/>
      <c r="CR49" s="313"/>
      <c r="CS49" s="313"/>
      <c r="CT49" s="313"/>
      <c r="CU49" s="313"/>
      <c r="CV49" s="313"/>
      <c r="CW49" s="313"/>
      <c r="CX49" s="313"/>
      <c r="CY49" s="313"/>
      <c r="CZ49" s="313"/>
      <c r="DA49" s="313"/>
      <c r="DB49" s="313"/>
      <c r="DC49" s="313"/>
      <c r="DD49" s="313"/>
      <c r="DE49" s="313"/>
      <c r="DF49" s="313"/>
      <c r="DG49" s="313"/>
      <c r="DH49" s="313"/>
      <c r="DI49" s="313"/>
      <c r="DJ49" s="313"/>
      <c r="DK49" s="313"/>
      <c r="DL49" s="313"/>
      <c r="DM49" s="313"/>
      <c r="DN49" s="313"/>
      <c r="DO49" s="313"/>
      <c r="DP49" s="313"/>
      <c r="DQ49" s="313"/>
      <c r="DR49" s="313"/>
      <c r="DS49" s="313"/>
      <c r="DT49" s="313"/>
      <c r="DU49" s="313"/>
      <c r="DV49" s="313"/>
      <c r="DW49" s="313"/>
      <c r="DX49" s="313"/>
      <c r="DY49" s="313"/>
      <c r="DZ49" s="313"/>
      <c r="EA49" s="313"/>
      <c r="EB49" s="313"/>
      <c r="EC49" s="313"/>
      <c r="ED49" s="313"/>
      <c r="EE49" s="313"/>
      <c r="EF49" s="313"/>
      <c r="EG49" s="313"/>
      <c r="EH49" s="313"/>
      <c r="EI49" s="313"/>
      <c r="EJ49" s="313"/>
      <c r="EK49" s="313"/>
      <c r="EL49" s="313"/>
      <c r="EM49" s="313"/>
      <c r="EN49" s="313"/>
      <c r="EO49" s="313"/>
      <c r="EP49" s="313"/>
      <c r="EQ49" s="313"/>
      <c r="ER49" s="313"/>
      <c r="ES49" s="313"/>
      <c r="ET49" s="313"/>
      <c r="EU49" s="313"/>
      <c r="EV49" s="313"/>
      <c r="EW49" s="313"/>
      <c r="EX49" s="313"/>
      <c r="EY49" s="313"/>
      <c r="EZ49" s="313"/>
      <c r="FA49" s="313"/>
      <c r="FB49" s="313"/>
      <c r="FC49" s="313"/>
      <c r="FD49" s="313"/>
      <c r="FE49" s="313"/>
      <c r="FF49" s="313"/>
      <c r="FG49" s="313"/>
      <c r="FH49" s="313"/>
      <c r="FI49" s="313"/>
      <c r="FJ49" s="313"/>
      <c r="FK49" s="313"/>
      <c r="FL49" s="313"/>
      <c r="FM49" s="313"/>
      <c r="FN49" s="313"/>
      <c r="FO49" s="313"/>
      <c r="FP49" s="313"/>
      <c r="FQ49" s="313"/>
      <c r="FR49" s="313"/>
      <c r="FS49" s="313"/>
      <c r="FT49" s="313"/>
      <c r="FU49" s="313"/>
      <c r="FV49" s="313"/>
      <c r="FW49" s="313"/>
      <c r="FX49" s="313"/>
      <c r="FY49" s="313"/>
      <c r="FZ49" s="313"/>
      <c r="GA49" s="313"/>
      <c r="GB49" s="313"/>
      <c r="GC49" s="313"/>
      <c r="GD49" s="313"/>
      <c r="GE49" s="313"/>
      <c r="GF49" s="313"/>
      <c r="GG49" s="313"/>
      <c r="GH49" s="313"/>
      <c r="GI49" s="313"/>
      <c r="GJ49" s="313"/>
      <c r="GK49" s="313"/>
      <c r="GL49" s="313"/>
      <c r="GM49" s="313"/>
      <c r="GN49" s="313"/>
      <c r="GO49" s="313"/>
      <c r="GP49" s="313"/>
      <c r="GQ49" s="313"/>
      <c r="GR49" s="313"/>
      <c r="GS49" s="313"/>
      <c r="GT49" s="313"/>
      <c r="GU49" s="313"/>
      <c r="GV49" s="313"/>
      <c r="GW49" s="313"/>
      <c r="GX49" s="313"/>
      <c r="GY49" s="313"/>
      <c r="GZ49" s="313"/>
      <c r="HA49" s="313"/>
      <c r="HB49" s="313"/>
      <c r="HC49" s="313"/>
      <c r="HD49" s="313"/>
      <c r="HE49" s="313"/>
      <c r="HF49" s="313"/>
      <c r="HG49" s="313"/>
      <c r="HH49" s="313"/>
      <c r="HI49" s="313"/>
      <c r="HJ49" s="313"/>
      <c r="HK49" s="313"/>
      <c r="HL49" s="313"/>
      <c r="HM49" s="313"/>
      <c r="HN49" s="313"/>
      <c r="HO49" s="313"/>
      <c r="HP49" s="313"/>
      <c r="HQ49" s="313"/>
      <c r="HR49" s="313"/>
      <c r="HS49" s="313"/>
      <c r="HT49" s="313"/>
      <c r="HU49" s="313"/>
      <c r="HV49" s="313"/>
      <c r="HW49" s="313"/>
      <c r="HX49" s="313"/>
      <c r="HY49" s="313"/>
      <c r="HZ49" s="313"/>
      <c r="IA49" s="313"/>
      <c r="IB49" s="313"/>
      <c r="IC49" s="313"/>
      <c r="ID49" s="313"/>
      <c r="IE49" s="313"/>
      <c r="IF49" s="313"/>
      <c r="IG49" s="313"/>
      <c r="IH49" s="313"/>
      <c r="II49" s="313"/>
      <c r="IJ49" s="313"/>
      <c r="IK49" s="313"/>
      <c r="IL49" s="313"/>
      <c r="IM49" s="313"/>
      <c r="IN49" s="313"/>
      <c r="IO49" s="313"/>
      <c r="IP49" s="313"/>
      <c r="IQ49" s="313"/>
      <c r="IR49" s="313"/>
      <c r="IS49" s="313"/>
      <c r="IT49" s="313"/>
      <c r="IU49" s="313"/>
      <c r="IV49" s="313"/>
      <c r="IW49" s="313"/>
    </row>
    <row r="50" customFormat="false" ht="12.75" hidden="false" customHeight="false" outlineLevel="0" collapsed="false">
      <c r="A50" s="706" t="s">
        <v>533</v>
      </c>
      <c r="B50" s="722" t="s">
        <v>534</v>
      </c>
      <c r="E50" s="722" t="n">
        <f aca="false">Revolver!D8</f>
        <v>0</v>
      </c>
      <c r="F50" s="722" t="n">
        <f aca="false">Revolver!E8</f>
        <v>0</v>
      </c>
      <c r="G50" s="722" t="n">
        <f aca="false">Revolver!F8</f>
        <v>0</v>
      </c>
      <c r="H50" s="722" t="n">
        <f aca="false">Revolver!G8</f>
        <v>0</v>
      </c>
      <c r="I50" s="722" t="n">
        <f aca="false">Revolver!H8</f>
        <v>0</v>
      </c>
      <c r="J50" s="722" t="n">
        <f aca="false">Revolver!I8</f>
        <v>0</v>
      </c>
      <c r="K50" s="722" t="n">
        <f aca="false">Revolver!J8</f>
        <v>0</v>
      </c>
      <c r="L50" s="722" t="n">
        <f aca="false">Revolver!K8</f>
        <v>0</v>
      </c>
      <c r="M50" s="722" t="n">
        <f aca="false">Revolver!L8</f>
        <v>0</v>
      </c>
      <c r="N50" s="722" t="n">
        <f aca="false">Revolver!M8</f>
        <v>0</v>
      </c>
      <c r="O50" s="722" t="n">
        <f aca="false">Revolver!N8</f>
        <v>0</v>
      </c>
      <c r="P50" s="722" t="n">
        <f aca="false">Revolver!O8</f>
        <v>0</v>
      </c>
      <c r="Q50" s="722" t="n">
        <f aca="false">Revolver!P8</f>
        <v>0</v>
      </c>
      <c r="R50" s="722" t="n">
        <f aca="false">Revolver!Q8</f>
        <v>0</v>
      </c>
      <c r="S50" s="722" t="n">
        <f aca="false">Revolver!R8</f>
        <v>0</v>
      </c>
      <c r="T50" s="722" t="n">
        <f aca="false">Revolver!S8</f>
        <v>0</v>
      </c>
      <c r="U50" s="722" t="n">
        <f aca="false">Revolver!T8</f>
        <v>0</v>
      </c>
      <c r="V50" s="722" t="n">
        <f aca="false">Revolver!U8</f>
        <v>0</v>
      </c>
      <c r="W50" s="722" t="n">
        <f aca="false">Revolver!V8</f>
        <v>0</v>
      </c>
      <c r="X50" s="722" t="n">
        <f aca="false">Revolver!W8</f>
        <v>0</v>
      </c>
      <c r="Y50" s="722" t="n">
        <f aca="false">Revolver!X8</f>
        <v>0</v>
      </c>
      <c r="Z50" s="722" t="n">
        <f aca="false">Revolver!Y8</f>
        <v>0</v>
      </c>
      <c r="AA50" s="722" t="n">
        <f aca="false">Revolver!Z8</f>
        <v>0</v>
      </c>
      <c r="AB50" s="722" t="n">
        <f aca="false">Revolver!AA8</f>
        <v>0</v>
      </c>
      <c r="AC50" s="722" t="n">
        <f aca="false">Revolver!AB8</f>
        <v>0</v>
      </c>
      <c r="AD50" s="722" t="n">
        <f aca="false">Revolver!AC8</f>
        <v>0</v>
      </c>
      <c r="AE50" s="722" t="n">
        <f aca="false">Revolver!AD8</f>
        <v>0</v>
      </c>
      <c r="AF50" s="722" t="n">
        <f aca="false">Revolver!AE8</f>
        <v>0</v>
      </c>
      <c r="AG50" s="722" t="n">
        <f aca="false">Revolver!AF8</f>
        <v>0</v>
      </c>
      <c r="AH50" s="722" t="n">
        <f aca="false">Revolver!AG8</f>
        <v>0</v>
      </c>
      <c r="AI50" s="722" t="n">
        <f aca="false">Revolver!AH8</f>
        <v>0</v>
      </c>
      <c r="AJ50" s="130"/>
      <c r="AK50" s="130"/>
      <c r="AL50" s="130"/>
      <c r="AM50" s="130"/>
      <c r="AN50" s="130"/>
      <c r="AO50" s="130"/>
      <c r="AP50" s="130"/>
      <c r="AQ50" s="130"/>
      <c r="AR50" s="130"/>
      <c r="AS50" s="130"/>
      <c r="AT50" s="130"/>
      <c r="AU50" s="130"/>
      <c r="AV50" s="130"/>
      <c r="AW50" s="130"/>
      <c r="AX50" s="130"/>
      <c r="AY50" s="130"/>
      <c r="AZ50" s="130"/>
      <c r="BA50" s="130"/>
      <c r="BB50" s="130"/>
      <c r="BC50" s="130"/>
      <c r="BD50" s="130"/>
      <c r="BE50" s="130"/>
      <c r="BF50" s="130"/>
      <c r="BG50" s="130"/>
      <c r="BH50" s="130"/>
      <c r="BI50" s="130"/>
      <c r="BJ50" s="130"/>
      <c r="BK50" s="130"/>
      <c r="BL50" s="130"/>
      <c r="BM50" s="130"/>
      <c r="BN50" s="130"/>
      <c r="BO50" s="130"/>
      <c r="BP50" s="130"/>
      <c r="BQ50" s="130"/>
      <c r="BR50" s="130"/>
      <c r="BS50" s="130"/>
      <c r="BT50" s="130"/>
      <c r="BU50" s="130"/>
      <c r="BV50" s="130"/>
      <c r="BW50" s="130"/>
      <c r="BX50" s="130"/>
      <c r="BY50" s="130"/>
      <c r="BZ50" s="130"/>
      <c r="CA50" s="130"/>
      <c r="CB50" s="130"/>
      <c r="CC50" s="130"/>
      <c r="CD50" s="130"/>
      <c r="CE50" s="130"/>
      <c r="CF50" s="130"/>
      <c r="CG50" s="130"/>
      <c r="CH50" s="130"/>
      <c r="CI50" s="130"/>
      <c r="CJ50" s="130"/>
      <c r="CK50" s="130"/>
      <c r="CL50" s="130"/>
      <c r="CM50" s="130"/>
      <c r="CN50" s="130"/>
      <c r="CO50" s="130"/>
      <c r="CP50" s="130"/>
      <c r="CQ50" s="130"/>
      <c r="CR50" s="130"/>
      <c r="CS50" s="130"/>
      <c r="CT50" s="130"/>
      <c r="CU50" s="130"/>
      <c r="CV50" s="130"/>
      <c r="CW50" s="130"/>
      <c r="CX50" s="130"/>
      <c r="CY50" s="130"/>
      <c r="CZ50" s="130"/>
      <c r="DA50" s="130"/>
      <c r="DB50" s="130"/>
      <c r="DC50" s="130"/>
      <c r="DD50" s="130"/>
      <c r="DE50" s="130"/>
      <c r="DF50" s="130"/>
      <c r="DG50" s="130"/>
      <c r="DH50" s="130"/>
      <c r="DI50" s="130"/>
      <c r="DJ50" s="130"/>
      <c r="DK50" s="130"/>
      <c r="DL50" s="130"/>
      <c r="DM50" s="130"/>
      <c r="DN50" s="130"/>
      <c r="DO50" s="130"/>
      <c r="DP50" s="130"/>
      <c r="DQ50" s="130"/>
      <c r="DR50" s="130"/>
      <c r="DS50" s="130"/>
      <c r="DT50" s="130"/>
      <c r="DU50" s="130"/>
      <c r="DV50" s="130"/>
      <c r="DW50" s="130"/>
      <c r="DX50" s="130"/>
      <c r="DY50" s="130"/>
      <c r="DZ50" s="130"/>
      <c r="EA50" s="130"/>
      <c r="EB50" s="130"/>
      <c r="EC50" s="130"/>
      <c r="ED50" s="130"/>
      <c r="EE50" s="130"/>
      <c r="EF50" s="130"/>
      <c r="EG50" s="130"/>
      <c r="EH50" s="130"/>
      <c r="EI50" s="130"/>
      <c r="EJ50" s="130"/>
      <c r="EK50" s="130"/>
      <c r="EL50" s="130"/>
      <c r="EM50" s="130"/>
      <c r="EN50" s="130"/>
      <c r="EO50" s="130"/>
      <c r="EP50" s="130"/>
      <c r="EQ50" s="130"/>
      <c r="ER50" s="130"/>
      <c r="ES50" s="130"/>
      <c r="ET50" s="130"/>
      <c r="EU50" s="130"/>
      <c r="EV50" s="130"/>
      <c r="EW50" s="130"/>
      <c r="EX50" s="130"/>
      <c r="EY50" s="130"/>
      <c r="EZ50" s="130"/>
      <c r="FA50" s="130"/>
      <c r="FB50" s="130"/>
      <c r="FC50" s="130"/>
      <c r="FD50" s="130"/>
      <c r="FE50" s="130"/>
      <c r="FF50" s="130"/>
      <c r="FG50" s="130"/>
      <c r="FH50" s="130"/>
      <c r="FI50" s="130"/>
      <c r="FJ50" s="130"/>
      <c r="FK50" s="130"/>
      <c r="FL50" s="130"/>
      <c r="FM50" s="130"/>
      <c r="FN50" s="130"/>
      <c r="FO50" s="130"/>
      <c r="FP50" s="130"/>
      <c r="FQ50" s="130"/>
      <c r="FR50" s="130"/>
      <c r="FS50" s="130"/>
      <c r="FT50" s="130"/>
      <c r="FU50" s="130"/>
      <c r="FV50" s="130"/>
      <c r="FW50" s="130"/>
      <c r="FX50" s="130"/>
      <c r="FY50" s="130"/>
      <c r="FZ50" s="130"/>
      <c r="GA50" s="130"/>
      <c r="GB50" s="130"/>
      <c r="GC50" s="130"/>
      <c r="GD50" s="130"/>
      <c r="GE50" s="130"/>
      <c r="GF50" s="130"/>
      <c r="GG50" s="130"/>
      <c r="GH50" s="130"/>
      <c r="GI50" s="130"/>
      <c r="GJ50" s="130"/>
      <c r="GK50" s="130"/>
      <c r="GL50" s="130"/>
      <c r="GM50" s="130"/>
      <c r="GN50" s="130"/>
      <c r="GO50" s="130"/>
      <c r="GP50" s="130"/>
      <c r="GQ50" s="130"/>
      <c r="GR50" s="130"/>
      <c r="GS50" s="130"/>
      <c r="GT50" s="130"/>
      <c r="GU50" s="130"/>
      <c r="GV50" s="130"/>
      <c r="GW50" s="130"/>
      <c r="GX50" s="130"/>
      <c r="GY50" s="130"/>
      <c r="GZ50" s="130"/>
      <c r="HA50" s="130"/>
      <c r="HB50" s="130"/>
      <c r="HC50" s="130"/>
      <c r="HD50" s="130"/>
      <c r="HE50" s="130"/>
      <c r="HF50" s="130"/>
      <c r="HG50" s="130"/>
      <c r="HH50" s="130"/>
      <c r="HI50" s="130"/>
      <c r="HJ50" s="130"/>
      <c r="HK50" s="130"/>
      <c r="HL50" s="130"/>
      <c r="HM50" s="130"/>
      <c r="HN50" s="130"/>
      <c r="HO50" s="130"/>
      <c r="HP50" s="130"/>
      <c r="HQ50" s="130"/>
      <c r="HR50" s="130"/>
      <c r="HS50" s="130"/>
      <c r="HT50" s="130"/>
      <c r="HU50" s="130"/>
      <c r="HV50" s="130"/>
      <c r="HW50" s="130"/>
      <c r="HX50" s="130"/>
      <c r="HY50" s="130"/>
      <c r="HZ50" s="130"/>
      <c r="IA50" s="130"/>
      <c r="IB50" s="130"/>
      <c r="IC50" s="130"/>
      <c r="ID50" s="130"/>
      <c r="IE50" s="130"/>
      <c r="IF50" s="130"/>
      <c r="IG50" s="130"/>
      <c r="IH50" s="130"/>
      <c r="II50" s="130"/>
      <c r="IJ50" s="130"/>
      <c r="IK50" s="130"/>
      <c r="IL50" s="130"/>
      <c r="IM50" s="130"/>
      <c r="IN50" s="130"/>
      <c r="IO50" s="130"/>
      <c r="IP50" s="130"/>
      <c r="IQ50" s="130"/>
      <c r="IR50" s="130"/>
      <c r="IS50" s="130"/>
      <c r="IT50" s="130"/>
      <c r="IU50" s="130"/>
      <c r="IV50" s="130"/>
      <c r="IW50" s="130"/>
    </row>
    <row r="51" customFormat="false" ht="12.75" hidden="false" customHeight="false" outlineLevel="0" collapsed="false">
      <c r="A51" s="706" t="s">
        <v>535</v>
      </c>
      <c r="B51" s="722" t="s">
        <v>536</v>
      </c>
      <c r="E51" s="722" t="n">
        <f aca="false">-Revolver!D10</f>
        <v>-0</v>
      </c>
      <c r="F51" s="722" t="n">
        <f aca="false">-Revolver!E10</f>
        <v>-0</v>
      </c>
      <c r="G51" s="722" t="n">
        <f aca="false">-Revolver!F10</f>
        <v>-0</v>
      </c>
      <c r="H51" s="722" t="n">
        <f aca="false">-Revolver!G10</f>
        <v>-0</v>
      </c>
      <c r="I51" s="722" t="n">
        <f aca="false">-Revolver!H10</f>
        <v>-0</v>
      </c>
      <c r="J51" s="722" t="n">
        <f aca="false">-Revolver!I10</f>
        <v>-0</v>
      </c>
      <c r="K51" s="722" t="n">
        <f aca="false">-Revolver!J10</f>
        <v>-0</v>
      </c>
      <c r="L51" s="722" t="n">
        <f aca="false">-Revolver!K10</f>
        <v>-0</v>
      </c>
      <c r="M51" s="722" t="n">
        <f aca="false">-Revolver!L10</f>
        <v>-0</v>
      </c>
      <c r="N51" s="722" t="n">
        <f aca="false">-Revolver!M10</f>
        <v>-0</v>
      </c>
      <c r="O51" s="722" t="n">
        <f aca="false">-Revolver!N10</f>
        <v>-0</v>
      </c>
      <c r="P51" s="722" t="n">
        <f aca="false">-Revolver!O10</f>
        <v>-0</v>
      </c>
      <c r="Q51" s="722" t="n">
        <f aca="false">-Revolver!P10</f>
        <v>-0</v>
      </c>
      <c r="R51" s="722" t="n">
        <f aca="false">-Revolver!Q10</f>
        <v>-0</v>
      </c>
      <c r="S51" s="722" t="n">
        <f aca="false">-Revolver!R10</f>
        <v>-0</v>
      </c>
      <c r="T51" s="722" t="n">
        <f aca="false">-Revolver!S10</f>
        <v>-0</v>
      </c>
      <c r="U51" s="722" t="n">
        <f aca="false">-Revolver!T10</f>
        <v>-0</v>
      </c>
      <c r="V51" s="722" t="n">
        <f aca="false">-Revolver!U10</f>
        <v>-0</v>
      </c>
      <c r="W51" s="722" t="n">
        <f aca="false">-Revolver!V10</f>
        <v>-0</v>
      </c>
      <c r="X51" s="722" t="n">
        <f aca="false">-Revolver!W10</f>
        <v>-0</v>
      </c>
      <c r="Y51" s="722" t="n">
        <f aca="false">-Revolver!X10</f>
        <v>-0</v>
      </c>
      <c r="Z51" s="722" t="n">
        <f aca="false">-Revolver!Y10</f>
        <v>-0</v>
      </c>
      <c r="AA51" s="722" t="n">
        <f aca="false">-Revolver!Z10</f>
        <v>-0</v>
      </c>
      <c r="AB51" s="722" t="n">
        <f aca="false">-Revolver!AA10</f>
        <v>-0</v>
      </c>
      <c r="AC51" s="722" t="n">
        <f aca="false">-Revolver!AB10</f>
        <v>-0</v>
      </c>
      <c r="AD51" s="722" t="n">
        <f aca="false">-Revolver!AC10</f>
        <v>-0</v>
      </c>
      <c r="AE51" s="722" t="n">
        <f aca="false">-Revolver!AD10</f>
        <v>-0</v>
      </c>
      <c r="AF51" s="722" t="n">
        <f aca="false">-Revolver!AE10</f>
        <v>-0</v>
      </c>
      <c r="AG51" s="722" t="n">
        <f aca="false">-Revolver!AF10</f>
        <v>-0</v>
      </c>
      <c r="AH51" s="722" t="n">
        <f aca="false">-Revolver!AG10</f>
        <v>-0</v>
      </c>
      <c r="AI51" s="722" t="n">
        <f aca="false">-Revolver!AH10</f>
        <v>-0</v>
      </c>
      <c r="AJ51" s="130"/>
      <c r="AK51" s="130"/>
      <c r="AL51" s="130"/>
      <c r="AM51" s="130"/>
      <c r="AN51" s="130"/>
      <c r="AO51" s="130"/>
      <c r="AP51" s="130"/>
      <c r="AQ51" s="130"/>
      <c r="AR51" s="130"/>
      <c r="AS51" s="130"/>
      <c r="AT51" s="130"/>
      <c r="AU51" s="130"/>
      <c r="AV51" s="130"/>
      <c r="AW51" s="130"/>
      <c r="AX51" s="130"/>
      <c r="AY51" s="130"/>
      <c r="AZ51" s="130"/>
      <c r="BA51" s="130"/>
      <c r="BB51" s="130"/>
      <c r="BC51" s="130"/>
      <c r="BD51" s="130"/>
      <c r="BE51" s="130"/>
      <c r="BF51" s="130"/>
      <c r="BG51" s="130"/>
      <c r="BH51" s="130"/>
      <c r="BI51" s="130"/>
      <c r="BJ51" s="130"/>
      <c r="BK51" s="130"/>
      <c r="BL51" s="130"/>
      <c r="BM51" s="130"/>
      <c r="BN51" s="130"/>
      <c r="BO51" s="130"/>
      <c r="BP51" s="130"/>
      <c r="BQ51" s="130"/>
      <c r="BR51" s="130"/>
      <c r="BS51" s="130"/>
      <c r="BT51" s="130"/>
      <c r="BU51" s="130"/>
      <c r="BV51" s="130"/>
      <c r="BW51" s="130"/>
      <c r="BX51" s="130"/>
      <c r="BY51" s="130"/>
      <c r="BZ51" s="130"/>
      <c r="CA51" s="130"/>
      <c r="CB51" s="130"/>
      <c r="CC51" s="130"/>
      <c r="CD51" s="130"/>
      <c r="CE51" s="130"/>
      <c r="CF51" s="130"/>
      <c r="CG51" s="130"/>
      <c r="CH51" s="130"/>
      <c r="CI51" s="130"/>
      <c r="CJ51" s="130"/>
      <c r="CK51" s="130"/>
      <c r="CL51" s="130"/>
      <c r="CM51" s="130"/>
      <c r="CN51" s="130"/>
      <c r="CO51" s="130"/>
      <c r="CP51" s="130"/>
      <c r="CQ51" s="130"/>
      <c r="CR51" s="130"/>
      <c r="CS51" s="130"/>
      <c r="CT51" s="130"/>
      <c r="CU51" s="130"/>
      <c r="CV51" s="130"/>
      <c r="CW51" s="130"/>
      <c r="CX51" s="130"/>
      <c r="CY51" s="130"/>
      <c r="CZ51" s="130"/>
      <c r="DA51" s="130"/>
      <c r="DB51" s="130"/>
      <c r="DC51" s="130"/>
      <c r="DD51" s="130"/>
      <c r="DE51" s="130"/>
      <c r="DF51" s="130"/>
      <c r="DG51" s="130"/>
      <c r="DH51" s="130"/>
      <c r="DI51" s="130"/>
      <c r="DJ51" s="130"/>
      <c r="DK51" s="130"/>
      <c r="DL51" s="130"/>
      <c r="DM51" s="130"/>
      <c r="DN51" s="130"/>
      <c r="DO51" s="130"/>
      <c r="DP51" s="130"/>
      <c r="DQ51" s="130"/>
      <c r="DR51" s="130"/>
      <c r="DS51" s="130"/>
      <c r="DT51" s="130"/>
      <c r="DU51" s="130"/>
      <c r="DV51" s="130"/>
      <c r="DW51" s="130"/>
      <c r="DX51" s="130"/>
      <c r="DY51" s="130"/>
      <c r="DZ51" s="130"/>
      <c r="EA51" s="130"/>
      <c r="EB51" s="130"/>
      <c r="EC51" s="130"/>
      <c r="ED51" s="130"/>
      <c r="EE51" s="130"/>
      <c r="EF51" s="130"/>
      <c r="EG51" s="130"/>
      <c r="EH51" s="130"/>
      <c r="EI51" s="130"/>
      <c r="EJ51" s="130"/>
      <c r="EK51" s="130"/>
      <c r="EL51" s="130"/>
      <c r="EM51" s="130"/>
      <c r="EN51" s="130"/>
      <c r="EO51" s="130"/>
      <c r="EP51" s="130"/>
      <c r="EQ51" s="130"/>
      <c r="ER51" s="130"/>
      <c r="ES51" s="130"/>
      <c r="ET51" s="130"/>
      <c r="EU51" s="130"/>
      <c r="EV51" s="130"/>
      <c r="EW51" s="130"/>
      <c r="EX51" s="130"/>
      <c r="EY51" s="130"/>
      <c r="EZ51" s="130"/>
      <c r="FA51" s="130"/>
      <c r="FB51" s="130"/>
      <c r="FC51" s="130"/>
      <c r="FD51" s="130"/>
      <c r="FE51" s="130"/>
      <c r="FF51" s="130"/>
      <c r="FG51" s="130"/>
      <c r="FH51" s="130"/>
      <c r="FI51" s="130"/>
      <c r="FJ51" s="130"/>
      <c r="FK51" s="130"/>
      <c r="FL51" s="130"/>
      <c r="FM51" s="130"/>
      <c r="FN51" s="130"/>
      <c r="FO51" s="130"/>
      <c r="FP51" s="130"/>
      <c r="FQ51" s="130"/>
      <c r="FR51" s="130"/>
      <c r="FS51" s="130"/>
      <c r="FT51" s="130"/>
      <c r="FU51" s="130"/>
      <c r="FV51" s="130"/>
      <c r="FW51" s="130"/>
      <c r="FX51" s="130"/>
      <c r="FY51" s="130"/>
      <c r="FZ51" s="130"/>
      <c r="GA51" s="130"/>
      <c r="GB51" s="130"/>
      <c r="GC51" s="130"/>
      <c r="GD51" s="130"/>
      <c r="GE51" s="130"/>
      <c r="GF51" s="130"/>
      <c r="GG51" s="130"/>
      <c r="GH51" s="130"/>
      <c r="GI51" s="130"/>
      <c r="GJ51" s="130"/>
      <c r="GK51" s="130"/>
      <c r="GL51" s="130"/>
      <c r="GM51" s="130"/>
      <c r="GN51" s="130"/>
      <c r="GO51" s="130"/>
      <c r="GP51" s="130"/>
      <c r="GQ51" s="130"/>
      <c r="GR51" s="130"/>
      <c r="GS51" s="130"/>
      <c r="GT51" s="130"/>
      <c r="GU51" s="130"/>
      <c r="GV51" s="130"/>
      <c r="GW51" s="130"/>
      <c r="GX51" s="130"/>
      <c r="GY51" s="130"/>
      <c r="GZ51" s="130"/>
      <c r="HA51" s="130"/>
      <c r="HB51" s="130"/>
      <c r="HC51" s="130"/>
      <c r="HD51" s="130"/>
      <c r="HE51" s="130"/>
      <c r="HF51" s="130"/>
      <c r="HG51" s="130"/>
      <c r="HH51" s="130"/>
      <c r="HI51" s="130"/>
      <c r="HJ51" s="130"/>
      <c r="HK51" s="130"/>
      <c r="HL51" s="130"/>
      <c r="HM51" s="130"/>
      <c r="HN51" s="130"/>
      <c r="HO51" s="130"/>
      <c r="HP51" s="130"/>
      <c r="HQ51" s="130"/>
      <c r="HR51" s="130"/>
      <c r="HS51" s="130"/>
      <c r="HT51" s="130"/>
      <c r="HU51" s="130"/>
      <c r="HV51" s="130"/>
      <c r="HW51" s="130"/>
      <c r="HX51" s="130"/>
      <c r="HY51" s="130"/>
      <c r="HZ51" s="130"/>
      <c r="IA51" s="130"/>
      <c r="IB51" s="130"/>
      <c r="IC51" s="130"/>
      <c r="ID51" s="130"/>
      <c r="IE51" s="130"/>
      <c r="IF51" s="130"/>
      <c r="IG51" s="130"/>
      <c r="IH51" s="130"/>
      <c r="II51" s="130"/>
      <c r="IJ51" s="130"/>
      <c r="IK51" s="130"/>
      <c r="IL51" s="130"/>
      <c r="IM51" s="130"/>
      <c r="IN51" s="130"/>
      <c r="IO51" s="130"/>
      <c r="IP51" s="130"/>
      <c r="IQ51" s="130"/>
      <c r="IR51" s="130"/>
      <c r="IS51" s="130"/>
      <c r="IT51" s="130"/>
      <c r="IU51" s="130"/>
      <c r="IV51" s="130"/>
      <c r="IW51" s="130"/>
    </row>
    <row r="52" customFormat="false" ht="13.5" hidden="false" customHeight="false" outlineLevel="0" collapsed="false">
      <c r="A52" s="0"/>
      <c r="B52" s="723" t="s">
        <v>537</v>
      </c>
      <c r="C52" s="724"/>
      <c r="D52" s="724"/>
      <c r="E52" s="723" t="n">
        <f aca="false">E49+SUM(E50:E51)</f>
        <v>573.300936572961</v>
      </c>
      <c r="F52" s="723" t="n">
        <f aca="false">F49+SUM(F50:F51)</f>
        <v>571.607553384322</v>
      </c>
      <c r="G52" s="723" t="n">
        <f aca="false">G49+SUM(G50:G51)</f>
        <v>569.738018319113</v>
      </c>
      <c r="H52" s="723" t="n">
        <f aca="false">H49+SUM(H50:H51)</f>
        <v>567.626944867061</v>
      </c>
      <c r="I52" s="723" t="n">
        <f aca="false">I49+SUM(I50:I51)</f>
        <v>565.310185632573</v>
      </c>
      <c r="J52" s="723" t="n">
        <f aca="false">J49+SUM(J50:J51)</f>
        <v>562.879487597114</v>
      </c>
      <c r="K52" s="723" t="n">
        <f aca="false">K49+SUM(K50:K51)</f>
        <v>557.665789727338</v>
      </c>
      <c r="L52" s="723" t="n">
        <f aca="false">L49+SUM(L50:L51)</f>
        <v>552.22807750722</v>
      </c>
      <c r="M52" s="723" t="n">
        <f aca="false">M49+SUM(M50:M51)</f>
        <v>546.560279836952</v>
      </c>
      <c r="N52" s="723" t="n">
        <f aca="false">N49+SUM(N50:N51)</f>
        <v>540.393558379574</v>
      </c>
      <c r="O52" s="723" t="n">
        <f aca="false">O49+SUM(O50:O51)</f>
        <v>547.036344776273</v>
      </c>
      <c r="P52" s="723" t="n">
        <f aca="false">P49+SUM(P50:P51)</f>
        <v>540.436096296459</v>
      </c>
      <c r="Q52" s="723" t="n">
        <f aca="false">Q49+SUM(Q50:Q51)</f>
        <v>533.321999723709</v>
      </c>
      <c r="R52" s="723" t="n">
        <f aca="false">R49+SUM(R50:R51)</f>
        <v>525.661489031909</v>
      </c>
      <c r="S52" s="723" t="n">
        <f aca="false">S49+SUM(S50:S51)</f>
        <v>517.395799501174</v>
      </c>
      <c r="T52" s="723" t="n">
        <f aca="false">T49+SUM(T50:T51)</f>
        <v>509.111721360887</v>
      </c>
      <c r="U52" s="723" t="n">
        <f aca="false">U49+SUM(U50:U51)</f>
        <v>590.594573693744</v>
      </c>
      <c r="V52" s="723" t="n">
        <f aca="false">V49+SUM(V50:V51)</f>
        <v>2030.82975075773</v>
      </c>
      <c r="W52" s="723" t="n">
        <f aca="false">W49+SUM(W50:W51)</f>
        <v>1999.73505602653</v>
      </c>
      <c r="X52" s="723" t="n">
        <f aca="false">X49+SUM(X50:X51)</f>
        <v>1968.7171441291</v>
      </c>
      <c r="Y52" s="723" t="n">
        <f aca="false">Y49+SUM(Y50:Y51)</f>
        <v>0</v>
      </c>
      <c r="Z52" s="723" t="n">
        <f aca="false">Z49+SUM(Z50:Z51)</f>
        <v>0</v>
      </c>
      <c r="AA52" s="723" t="n">
        <f aca="false">AA49+SUM(AA50:AA51)</f>
        <v>0</v>
      </c>
      <c r="AB52" s="723" t="n">
        <f aca="false">AB49+SUM(AB50:AB51)</f>
        <v>0</v>
      </c>
      <c r="AC52" s="723" t="n">
        <f aca="false">AC49+SUM(AC50:AC51)</f>
        <v>0</v>
      </c>
      <c r="AD52" s="723" t="n">
        <f aca="false">AD49+SUM(AD50:AD51)</f>
        <v>0</v>
      </c>
      <c r="AE52" s="723" t="n">
        <f aca="false">AE49+SUM(AE50:AE51)</f>
        <v>0</v>
      </c>
      <c r="AF52" s="723" t="n">
        <f aca="false">AF49+SUM(AF50:AF51)</f>
        <v>0</v>
      </c>
      <c r="AG52" s="723" t="n">
        <f aca="false">AG49+SUM(AG50:AG51)</f>
        <v>0</v>
      </c>
      <c r="AH52" s="723" t="n">
        <f aca="false">AH49+SUM(AH50:AH51)</f>
        <v>0</v>
      </c>
      <c r="AI52" s="723" t="n">
        <f aca="false">AI49+SUM(AI50:AI51)</f>
        <v>0</v>
      </c>
      <c r="AJ52" s="130"/>
      <c r="AK52" s="130"/>
      <c r="AL52" s="130"/>
      <c r="AM52" s="130"/>
      <c r="AN52" s="130"/>
      <c r="AO52" s="130"/>
      <c r="AP52" s="130"/>
      <c r="AQ52" s="130"/>
      <c r="AR52" s="130"/>
      <c r="AS52" s="130"/>
      <c r="AT52" s="130"/>
      <c r="AU52" s="130"/>
      <c r="AV52" s="130"/>
      <c r="AW52" s="130"/>
      <c r="AX52" s="130"/>
      <c r="AY52" s="130"/>
      <c r="AZ52" s="130"/>
      <c r="BA52" s="130"/>
      <c r="BB52" s="130"/>
      <c r="BC52" s="130"/>
      <c r="BD52" s="130"/>
      <c r="BE52" s="130"/>
      <c r="BF52" s="130"/>
      <c r="BG52" s="130"/>
      <c r="BH52" s="130"/>
      <c r="BI52" s="130"/>
      <c r="BJ52" s="130"/>
      <c r="BK52" s="130"/>
      <c r="BL52" s="130"/>
      <c r="BM52" s="130"/>
      <c r="BN52" s="130"/>
      <c r="BO52" s="130"/>
      <c r="BP52" s="130"/>
      <c r="BQ52" s="130"/>
      <c r="BR52" s="130"/>
      <c r="BS52" s="130"/>
      <c r="BT52" s="130"/>
      <c r="BU52" s="130"/>
      <c r="BV52" s="130"/>
      <c r="BW52" s="130"/>
      <c r="BX52" s="130"/>
      <c r="BY52" s="130"/>
      <c r="BZ52" s="130"/>
      <c r="CA52" s="130"/>
      <c r="CB52" s="130"/>
      <c r="CC52" s="130"/>
      <c r="CD52" s="130"/>
      <c r="CE52" s="130"/>
      <c r="CF52" s="130"/>
      <c r="CG52" s="130"/>
      <c r="CH52" s="130"/>
      <c r="CI52" s="130"/>
      <c r="CJ52" s="130"/>
      <c r="CK52" s="130"/>
      <c r="CL52" s="130"/>
      <c r="CM52" s="130"/>
      <c r="CN52" s="130"/>
      <c r="CO52" s="130"/>
      <c r="CP52" s="130"/>
      <c r="CQ52" s="130"/>
      <c r="CR52" s="130"/>
      <c r="CS52" s="130"/>
      <c r="CT52" s="130"/>
      <c r="CU52" s="130"/>
      <c r="CV52" s="130"/>
      <c r="CW52" s="130"/>
      <c r="CX52" s="130"/>
      <c r="CY52" s="130"/>
      <c r="CZ52" s="130"/>
      <c r="DA52" s="130"/>
      <c r="DB52" s="130"/>
      <c r="DC52" s="130"/>
      <c r="DD52" s="130"/>
      <c r="DE52" s="130"/>
      <c r="DF52" s="130"/>
      <c r="DG52" s="130"/>
      <c r="DH52" s="130"/>
      <c r="DI52" s="130"/>
      <c r="DJ52" s="130"/>
      <c r="DK52" s="130"/>
      <c r="DL52" s="130"/>
      <c r="DM52" s="130"/>
      <c r="DN52" s="130"/>
      <c r="DO52" s="130"/>
      <c r="DP52" s="130"/>
      <c r="DQ52" s="130"/>
      <c r="DR52" s="130"/>
      <c r="DS52" s="130"/>
      <c r="DT52" s="130"/>
      <c r="DU52" s="130"/>
      <c r="DV52" s="130"/>
      <c r="DW52" s="130"/>
      <c r="DX52" s="130"/>
      <c r="DY52" s="130"/>
      <c r="DZ52" s="130"/>
      <c r="EA52" s="130"/>
      <c r="EB52" s="130"/>
      <c r="EC52" s="130"/>
      <c r="ED52" s="130"/>
      <c r="EE52" s="130"/>
      <c r="EF52" s="130"/>
      <c r="EG52" s="130"/>
      <c r="EH52" s="130"/>
      <c r="EI52" s="130"/>
      <c r="EJ52" s="130"/>
      <c r="EK52" s="130"/>
      <c r="EL52" s="130"/>
      <c r="EM52" s="130"/>
      <c r="EN52" s="130"/>
      <c r="EO52" s="130"/>
      <c r="EP52" s="130"/>
      <c r="EQ52" s="130"/>
      <c r="ER52" s="130"/>
      <c r="ES52" s="130"/>
      <c r="ET52" s="130"/>
      <c r="EU52" s="130"/>
      <c r="EV52" s="130"/>
      <c r="EW52" s="130"/>
      <c r="EX52" s="130"/>
      <c r="EY52" s="130"/>
      <c r="EZ52" s="130"/>
      <c r="FA52" s="130"/>
      <c r="FB52" s="130"/>
      <c r="FC52" s="130"/>
      <c r="FD52" s="130"/>
      <c r="FE52" s="130"/>
      <c r="FF52" s="130"/>
      <c r="FG52" s="130"/>
      <c r="FH52" s="130"/>
      <c r="FI52" s="130"/>
      <c r="FJ52" s="130"/>
      <c r="FK52" s="130"/>
      <c r="FL52" s="130"/>
      <c r="FM52" s="130"/>
      <c r="FN52" s="130"/>
      <c r="FO52" s="130"/>
      <c r="FP52" s="130"/>
      <c r="FQ52" s="130"/>
      <c r="FR52" s="130"/>
      <c r="FS52" s="130"/>
      <c r="FT52" s="130"/>
      <c r="FU52" s="130"/>
      <c r="FV52" s="130"/>
      <c r="FW52" s="130"/>
      <c r="FX52" s="130"/>
      <c r="FY52" s="130"/>
      <c r="FZ52" s="130"/>
      <c r="GA52" s="130"/>
      <c r="GB52" s="130"/>
      <c r="GC52" s="130"/>
      <c r="GD52" s="130"/>
      <c r="GE52" s="130"/>
      <c r="GF52" s="130"/>
      <c r="GG52" s="130"/>
      <c r="GH52" s="130"/>
      <c r="GI52" s="130"/>
      <c r="GJ52" s="130"/>
      <c r="GK52" s="130"/>
      <c r="GL52" s="130"/>
      <c r="GM52" s="130"/>
      <c r="GN52" s="130"/>
      <c r="GO52" s="130"/>
      <c r="GP52" s="130"/>
      <c r="GQ52" s="130"/>
      <c r="GR52" s="130"/>
      <c r="GS52" s="130"/>
      <c r="GT52" s="130"/>
      <c r="GU52" s="130"/>
      <c r="GV52" s="130"/>
      <c r="GW52" s="130"/>
      <c r="GX52" s="130"/>
      <c r="GY52" s="130"/>
      <c r="GZ52" s="130"/>
      <c r="HA52" s="130"/>
      <c r="HB52" s="130"/>
      <c r="HC52" s="130"/>
      <c r="HD52" s="130"/>
      <c r="HE52" s="130"/>
      <c r="HF52" s="130"/>
      <c r="HG52" s="130"/>
      <c r="HH52" s="130"/>
      <c r="HI52" s="130"/>
      <c r="HJ52" s="130"/>
      <c r="HK52" s="130"/>
      <c r="HL52" s="130"/>
      <c r="HM52" s="130"/>
      <c r="HN52" s="130"/>
      <c r="HO52" s="130"/>
      <c r="HP52" s="130"/>
      <c r="HQ52" s="130"/>
      <c r="HR52" s="130"/>
      <c r="HS52" s="130"/>
      <c r="HT52" s="130"/>
      <c r="HU52" s="130"/>
      <c r="HV52" s="130"/>
      <c r="HW52" s="130"/>
      <c r="HX52" s="130"/>
      <c r="HY52" s="130"/>
      <c r="HZ52" s="130"/>
      <c r="IA52" s="130"/>
      <c r="IB52" s="130"/>
      <c r="IC52" s="130"/>
      <c r="ID52" s="130"/>
      <c r="IE52" s="130"/>
      <c r="IF52" s="130"/>
      <c r="IG52" s="130"/>
      <c r="IH52" s="130"/>
      <c r="II52" s="130"/>
      <c r="IJ52" s="130"/>
      <c r="IK52" s="130"/>
      <c r="IL52" s="130"/>
      <c r="IM52" s="130"/>
      <c r="IN52" s="130"/>
      <c r="IO52" s="130"/>
      <c r="IP52" s="130"/>
      <c r="IQ52" s="130"/>
      <c r="IR52" s="130"/>
      <c r="IS52" s="130"/>
      <c r="IT52" s="130"/>
      <c r="IU52" s="130"/>
      <c r="IV52" s="130"/>
      <c r="IW52" s="130"/>
    </row>
    <row r="53" customFormat="false" ht="13.5" hidden="false" customHeight="false" outlineLevel="0" collapsed="false">
      <c r="A53" s="0"/>
      <c r="B53" s="722"/>
      <c r="E53" s="722"/>
      <c r="F53" s="722"/>
      <c r="G53" s="722"/>
      <c r="H53" s="722"/>
      <c r="I53" s="722"/>
      <c r="J53" s="722"/>
      <c r="K53" s="722"/>
      <c r="L53" s="722"/>
      <c r="M53" s="722"/>
      <c r="N53" s="722"/>
      <c r="O53" s="722"/>
      <c r="P53" s="722"/>
      <c r="Q53" s="722"/>
      <c r="R53" s="722"/>
      <c r="S53" s="722"/>
      <c r="T53" s="722"/>
      <c r="U53" s="722"/>
      <c r="V53" s="722"/>
      <c r="W53" s="722"/>
      <c r="X53" s="722"/>
      <c r="Y53" s="722"/>
      <c r="Z53" s="722"/>
      <c r="AA53" s="722"/>
      <c r="AB53" s="722"/>
      <c r="AC53" s="722"/>
      <c r="AD53" s="722"/>
      <c r="AE53" s="722"/>
      <c r="AF53" s="722"/>
      <c r="AG53" s="722"/>
      <c r="AH53" s="722"/>
      <c r="AI53" s="722"/>
      <c r="AJ53" s="130"/>
      <c r="AK53" s="130"/>
      <c r="AL53" s="130"/>
      <c r="AM53" s="130"/>
      <c r="AN53" s="130"/>
      <c r="AO53" s="130"/>
      <c r="AP53" s="130"/>
      <c r="AQ53" s="130"/>
      <c r="AR53" s="130"/>
      <c r="AS53" s="130"/>
      <c r="AT53" s="130"/>
      <c r="AU53" s="130"/>
      <c r="AV53" s="130"/>
      <c r="AW53" s="130"/>
      <c r="AX53" s="130"/>
      <c r="AY53" s="130"/>
      <c r="AZ53" s="130"/>
      <c r="BA53" s="130"/>
      <c r="BB53" s="130"/>
      <c r="BC53" s="130"/>
      <c r="BD53" s="130"/>
      <c r="BE53" s="130"/>
      <c r="BF53" s="130"/>
      <c r="BG53" s="130"/>
      <c r="BH53" s="130"/>
      <c r="BI53" s="130"/>
      <c r="BJ53" s="130"/>
      <c r="BK53" s="130"/>
      <c r="BL53" s="130"/>
      <c r="BM53" s="130"/>
      <c r="BN53" s="130"/>
      <c r="BO53" s="130"/>
      <c r="BP53" s="130"/>
      <c r="BQ53" s="130"/>
      <c r="BR53" s="130"/>
      <c r="BS53" s="130"/>
      <c r="BT53" s="130"/>
      <c r="BU53" s="130"/>
      <c r="BV53" s="130"/>
      <c r="BW53" s="130"/>
      <c r="BX53" s="130"/>
      <c r="BY53" s="130"/>
      <c r="BZ53" s="130"/>
      <c r="CA53" s="130"/>
      <c r="CB53" s="130"/>
      <c r="CC53" s="130"/>
      <c r="CD53" s="130"/>
      <c r="CE53" s="130"/>
      <c r="CF53" s="130"/>
      <c r="CG53" s="130"/>
      <c r="CH53" s="130"/>
      <c r="CI53" s="130"/>
      <c r="CJ53" s="130"/>
      <c r="CK53" s="130"/>
      <c r="CL53" s="130"/>
      <c r="CM53" s="130"/>
      <c r="CN53" s="130"/>
      <c r="CO53" s="130"/>
      <c r="CP53" s="130"/>
      <c r="CQ53" s="130"/>
      <c r="CR53" s="130"/>
      <c r="CS53" s="130"/>
      <c r="CT53" s="130"/>
      <c r="CU53" s="130"/>
      <c r="CV53" s="130"/>
      <c r="CW53" s="130"/>
      <c r="CX53" s="130"/>
      <c r="CY53" s="130"/>
      <c r="CZ53" s="130"/>
      <c r="DA53" s="130"/>
      <c r="DB53" s="130"/>
      <c r="DC53" s="130"/>
      <c r="DD53" s="130"/>
      <c r="DE53" s="130"/>
      <c r="DF53" s="130"/>
      <c r="DG53" s="130"/>
      <c r="DH53" s="130"/>
      <c r="DI53" s="130"/>
      <c r="DJ53" s="130"/>
      <c r="DK53" s="130"/>
      <c r="DL53" s="130"/>
      <c r="DM53" s="130"/>
      <c r="DN53" s="130"/>
      <c r="DO53" s="130"/>
      <c r="DP53" s="130"/>
      <c r="DQ53" s="130"/>
      <c r="DR53" s="130"/>
      <c r="DS53" s="130"/>
      <c r="DT53" s="130"/>
      <c r="DU53" s="130"/>
      <c r="DV53" s="130"/>
      <c r="DW53" s="130"/>
      <c r="DX53" s="130"/>
      <c r="DY53" s="130"/>
      <c r="DZ53" s="130"/>
      <c r="EA53" s="130"/>
      <c r="EB53" s="130"/>
      <c r="EC53" s="130"/>
      <c r="ED53" s="130"/>
      <c r="EE53" s="130"/>
      <c r="EF53" s="130"/>
      <c r="EG53" s="130"/>
      <c r="EH53" s="130"/>
      <c r="EI53" s="130"/>
      <c r="EJ53" s="130"/>
      <c r="EK53" s="130"/>
      <c r="EL53" s="130"/>
      <c r="EM53" s="130"/>
      <c r="EN53" s="130"/>
      <c r="EO53" s="130"/>
      <c r="EP53" s="130"/>
      <c r="EQ53" s="130"/>
      <c r="ER53" s="130"/>
      <c r="ES53" s="130"/>
      <c r="ET53" s="130"/>
      <c r="EU53" s="130"/>
      <c r="EV53" s="130"/>
      <c r="EW53" s="130"/>
      <c r="EX53" s="130"/>
      <c r="EY53" s="130"/>
      <c r="EZ53" s="130"/>
      <c r="FA53" s="130"/>
      <c r="FB53" s="130"/>
      <c r="FC53" s="130"/>
      <c r="FD53" s="130"/>
      <c r="FE53" s="130"/>
      <c r="FF53" s="130"/>
      <c r="FG53" s="130"/>
      <c r="FH53" s="130"/>
      <c r="FI53" s="130"/>
      <c r="FJ53" s="130"/>
      <c r="FK53" s="130"/>
      <c r="FL53" s="130"/>
      <c r="FM53" s="130"/>
      <c r="FN53" s="130"/>
      <c r="FO53" s="130"/>
      <c r="FP53" s="130"/>
      <c r="FQ53" s="130"/>
      <c r="FR53" s="130"/>
      <c r="FS53" s="130"/>
      <c r="FT53" s="130"/>
      <c r="FU53" s="130"/>
      <c r="FV53" s="130"/>
      <c r="FW53" s="130"/>
      <c r="FX53" s="130"/>
      <c r="FY53" s="130"/>
      <c r="FZ53" s="130"/>
      <c r="GA53" s="130"/>
      <c r="GB53" s="130"/>
      <c r="GC53" s="130"/>
      <c r="GD53" s="130"/>
      <c r="GE53" s="130"/>
      <c r="GF53" s="130"/>
      <c r="GG53" s="130"/>
      <c r="GH53" s="130"/>
      <c r="GI53" s="130"/>
      <c r="GJ53" s="130"/>
      <c r="GK53" s="130"/>
      <c r="GL53" s="130"/>
      <c r="GM53" s="130"/>
      <c r="GN53" s="130"/>
      <c r="GO53" s="130"/>
      <c r="GP53" s="130"/>
      <c r="GQ53" s="130"/>
      <c r="GR53" s="130"/>
      <c r="GS53" s="130"/>
      <c r="GT53" s="130"/>
      <c r="GU53" s="130"/>
      <c r="GV53" s="130"/>
      <c r="GW53" s="130"/>
      <c r="GX53" s="130"/>
      <c r="GY53" s="130"/>
      <c r="GZ53" s="130"/>
      <c r="HA53" s="130"/>
      <c r="HB53" s="130"/>
      <c r="HC53" s="130"/>
      <c r="HD53" s="130"/>
      <c r="HE53" s="130"/>
      <c r="HF53" s="130"/>
      <c r="HG53" s="130"/>
      <c r="HH53" s="130"/>
      <c r="HI53" s="130"/>
      <c r="HJ53" s="130"/>
      <c r="HK53" s="130"/>
      <c r="HL53" s="130"/>
      <c r="HM53" s="130"/>
      <c r="HN53" s="130"/>
      <c r="HO53" s="130"/>
      <c r="HP53" s="130"/>
      <c r="HQ53" s="130"/>
      <c r="HR53" s="130"/>
      <c r="HS53" s="130"/>
      <c r="HT53" s="130"/>
      <c r="HU53" s="130"/>
      <c r="HV53" s="130"/>
      <c r="HW53" s="130"/>
      <c r="HX53" s="130"/>
      <c r="HY53" s="130"/>
      <c r="HZ53" s="130"/>
      <c r="IA53" s="130"/>
      <c r="IB53" s="130"/>
      <c r="IC53" s="130"/>
      <c r="ID53" s="130"/>
      <c r="IE53" s="130"/>
      <c r="IF53" s="130"/>
      <c r="IG53" s="130"/>
      <c r="IH53" s="130"/>
      <c r="II53" s="130"/>
      <c r="IJ53" s="130"/>
      <c r="IK53" s="130"/>
      <c r="IL53" s="130"/>
      <c r="IM53" s="130"/>
      <c r="IN53" s="130"/>
      <c r="IO53" s="130"/>
      <c r="IP53" s="130"/>
      <c r="IQ53" s="130"/>
      <c r="IR53" s="130"/>
      <c r="IS53" s="130"/>
      <c r="IT53" s="130"/>
      <c r="IU53" s="130"/>
      <c r="IV53" s="130"/>
      <c r="IW53" s="130"/>
    </row>
    <row r="54" customFormat="false" ht="12.75" hidden="false" customHeight="false" outlineLevel="0" collapsed="false">
      <c r="B54" s="703" t="s">
        <v>538</v>
      </c>
      <c r="E54" s="59" t="n">
        <f aca="false">Srcs_Uses!E24</f>
        <v>197.5</v>
      </c>
      <c r="F54" s="59" t="n">
        <f aca="false">E59</f>
        <v>197.5</v>
      </c>
      <c r="G54" s="59" t="n">
        <f aca="false">F59</f>
        <v>197.5</v>
      </c>
      <c r="H54" s="59" t="n">
        <f aca="false">G59</f>
        <v>197.5</v>
      </c>
      <c r="I54" s="59" t="n">
        <f aca="false">H59</f>
        <v>197.5</v>
      </c>
      <c r="J54" s="59" t="n">
        <f aca="false">I59</f>
        <v>197.5</v>
      </c>
      <c r="K54" s="59" t="n">
        <f aca="false">J59</f>
        <v>197.5</v>
      </c>
      <c r="L54" s="59" t="n">
        <f aca="false">K59</f>
        <v>197.5</v>
      </c>
      <c r="M54" s="59" t="n">
        <f aca="false">L59</f>
        <v>197.5</v>
      </c>
      <c r="N54" s="59" t="n">
        <f aca="false">M59</f>
        <v>197.5</v>
      </c>
      <c r="O54" s="59" t="n">
        <f aca="false">N59</f>
        <v>197.5</v>
      </c>
      <c r="P54" s="59" t="n">
        <f aca="false">O59</f>
        <v>197.5</v>
      </c>
      <c r="Q54" s="59" t="n">
        <f aca="false">P59</f>
        <v>197.5</v>
      </c>
      <c r="R54" s="59" t="n">
        <f aca="false">Q59</f>
        <v>197.5</v>
      </c>
      <c r="S54" s="59" t="n">
        <f aca="false">R59</f>
        <v>197.5</v>
      </c>
      <c r="T54" s="59" t="n">
        <f aca="false">S59</f>
        <v>197.5</v>
      </c>
      <c r="U54" s="59" t="n">
        <f aca="false">T59</f>
        <v>197.5</v>
      </c>
      <c r="V54" s="59" t="n">
        <f aca="false">U59</f>
        <v>197.5</v>
      </c>
      <c r="W54" s="59" t="n">
        <f aca="false">V59</f>
        <v>197.5</v>
      </c>
      <c r="X54" s="59" t="n">
        <f aca="false">W59</f>
        <v>197.5</v>
      </c>
      <c r="Y54" s="59" t="n">
        <f aca="false">X59</f>
        <v>0</v>
      </c>
      <c r="Z54" s="59" t="n">
        <f aca="false">Y59</f>
        <v>0</v>
      </c>
      <c r="AA54" s="59" t="n">
        <f aca="false">Z59</f>
        <v>0</v>
      </c>
      <c r="AB54" s="59" t="n">
        <f aca="false">AA59</f>
        <v>0</v>
      </c>
      <c r="AC54" s="59" t="n">
        <f aca="false">AB59</f>
        <v>0</v>
      </c>
      <c r="AD54" s="59" t="n">
        <f aca="false">AC59</f>
        <v>0</v>
      </c>
      <c r="AE54" s="59" t="n">
        <f aca="false">AD59</f>
        <v>0</v>
      </c>
      <c r="AF54" s="59" t="n">
        <f aca="false">AE59</f>
        <v>0</v>
      </c>
      <c r="AG54" s="59" t="n">
        <f aca="false">AF59</f>
        <v>0</v>
      </c>
      <c r="AH54" s="59" t="n">
        <f aca="false">AG59</f>
        <v>0</v>
      </c>
      <c r="AI54" s="59" t="n">
        <f aca="false">AH59</f>
        <v>0</v>
      </c>
    </row>
    <row r="55" customFormat="false" ht="12.75" hidden="false" customHeight="false" outlineLevel="0" collapsed="false">
      <c r="A55" s="696" t="s">
        <v>539</v>
      </c>
      <c r="B55" s="703" t="s">
        <v>540</v>
      </c>
      <c r="E55" s="59" t="n">
        <f aca="false">E52</f>
        <v>573.300936572961</v>
      </c>
      <c r="F55" s="59" t="n">
        <f aca="false">F52</f>
        <v>571.607553384322</v>
      </c>
      <c r="G55" s="59" t="n">
        <f aca="false">G52</f>
        <v>569.738018319113</v>
      </c>
      <c r="H55" s="59" t="n">
        <f aca="false">H52</f>
        <v>567.626944867061</v>
      </c>
      <c r="I55" s="59" t="n">
        <f aca="false">I52</f>
        <v>565.310185632573</v>
      </c>
      <c r="J55" s="59" t="n">
        <f aca="false">J52</f>
        <v>562.879487597114</v>
      </c>
      <c r="K55" s="59" t="n">
        <f aca="false">K52</f>
        <v>557.665789727338</v>
      </c>
      <c r="L55" s="59" t="n">
        <f aca="false">L52</f>
        <v>552.22807750722</v>
      </c>
      <c r="M55" s="59" t="n">
        <f aca="false">M52</f>
        <v>546.560279836952</v>
      </c>
      <c r="N55" s="59" t="n">
        <f aca="false">N52</f>
        <v>540.393558379574</v>
      </c>
      <c r="O55" s="59" t="n">
        <f aca="false">O52</f>
        <v>547.036344776273</v>
      </c>
      <c r="P55" s="59" t="n">
        <f aca="false">P52</f>
        <v>540.436096296459</v>
      </c>
      <c r="Q55" s="59" t="n">
        <f aca="false">Q52</f>
        <v>533.321999723709</v>
      </c>
      <c r="R55" s="59" t="n">
        <f aca="false">R52</f>
        <v>525.661489031909</v>
      </c>
      <c r="S55" s="59" t="n">
        <f aca="false">S52</f>
        <v>517.395799501174</v>
      </c>
      <c r="T55" s="59" t="n">
        <f aca="false">T52</f>
        <v>509.111721360887</v>
      </c>
      <c r="U55" s="59" t="n">
        <f aca="false">U52</f>
        <v>590.594573693744</v>
      </c>
      <c r="V55" s="59" t="n">
        <f aca="false">V52</f>
        <v>2030.82975075773</v>
      </c>
      <c r="W55" s="59" t="n">
        <f aca="false">W52</f>
        <v>1999.73505602653</v>
      </c>
      <c r="X55" s="59" t="n">
        <f aca="false">X52</f>
        <v>1968.7171441291</v>
      </c>
      <c r="Y55" s="59" t="n">
        <f aca="false">Y52</f>
        <v>0</v>
      </c>
      <c r="Z55" s="59" t="n">
        <f aca="false">Z52</f>
        <v>0</v>
      </c>
      <c r="AA55" s="59" t="n">
        <f aca="false">AA52</f>
        <v>0</v>
      </c>
      <c r="AB55" s="59" t="n">
        <f aca="false">AB52</f>
        <v>0</v>
      </c>
      <c r="AC55" s="59" t="n">
        <f aca="false">AC52</f>
        <v>0</v>
      </c>
      <c r="AD55" s="59" t="n">
        <f aca="false">AD52</f>
        <v>0</v>
      </c>
      <c r="AE55" s="59" t="n">
        <f aca="false">AE52</f>
        <v>0</v>
      </c>
      <c r="AF55" s="59" t="n">
        <f aca="false">AF52</f>
        <v>0</v>
      </c>
      <c r="AG55" s="59" t="n">
        <f aca="false">AG52</f>
        <v>0</v>
      </c>
      <c r="AH55" s="59" t="n">
        <f aca="false">AH52</f>
        <v>0</v>
      </c>
      <c r="AI55" s="59" t="n">
        <f aca="false">AI52</f>
        <v>0</v>
      </c>
    </row>
    <row r="56" customFormat="false" ht="12.75" hidden="false" customHeight="false" outlineLevel="0" collapsed="false">
      <c r="A56" s="696" t="s">
        <v>541</v>
      </c>
      <c r="B56" s="703" t="s">
        <v>542</v>
      </c>
      <c r="E56" s="59" t="n">
        <f aca="false">$E$4*IF(E1&lt;Assum!$F$22,(-Assum!$E$124),0)</f>
        <v>-197.5</v>
      </c>
      <c r="F56" s="59" t="n">
        <f aca="false">$E$4*IF(F1&lt;Assum!$F$22,(-Assum!$E$124),0)</f>
        <v>-197.5</v>
      </c>
      <c r="G56" s="59" t="n">
        <f aca="false">$E$4*IF(G1&lt;Assum!$F$22,(-Assum!$E$124),0)</f>
        <v>-197.5</v>
      </c>
      <c r="H56" s="59" t="n">
        <f aca="false">$E$4*IF(H1&lt;Assum!$F$22,(-Assum!$E$124),0)</f>
        <v>-197.5</v>
      </c>
      <c r="I56" s="59" t="n">
        <f aca="false">$E$4*IF(I1&lt;Assum!$F$22,(-Assum!$E$124),0)</f>
        <v>-197.5</v>
      </c>
      <c r="J56" s="59" t="n">
        <f aca="false">$E$4*IF(J1&lt;Assum!$F$22,(-Assum!$E$124),0)</f>
        <v>-197.5</v>
      </c>
      <c r="K56" s="59" t="n">
        <f aca="false">$E$4*IF(K1&lt;Assum!$F$22,(-Assum!$E$124),0)</f>
        <v>-197.5</v>
      </c>
      <c r="L56" s="59" t="n">
        <f aca="false">$E$4*IF(L1&lt;Assum!$F$22,(-Assum!$E$124),0)</f>
        <v>-197.5</v>
      </c>
      <c r="M56" s="59" t="n">
        <f aca="false">$E$4*IF(M1&lt;Assum!$F$22,(-Assum!$E$124),0)</f>
        <v>-197.5</v>
      </c>
      <c r="N56" s="59" t="n">
        <f aca="false">$E$4*IF(N1&lt;Assum!$F$22,(-Assum!$E$124),0)</f>
        <v>-197.5</v>
      </c>
      <c r="O56" s="59" t="n">
        <f aca="false">$E$4*IF(O1&lt;Assum!$F$22,(-Assum!$E$124),0)</f>
        <v>-197.5</v>
      </c>
      <c r="P56" s="59" t="n">
        <f aca="false">$E$4*IF(P1&lt;Assum!$F$22,(-Assum!$E$124),0)</f>
        <v>-197.5</v>
      </c>
      <c r="Q56" s="59" t="n">
        <f aca="false">$E$4*IF(Q1&lt;Assum!$F$22,(-Assum!$E$124),0)</f>
        <v>-197.5</v>
      </c>
      <c r="R56" s="59" t="n">
        <f aca="false">$E$4*IF(R1&lt;Assum!$F$22,(-Assum!$E$124),0)</f>
        <v>-197.5</v>
      </c>
      <c r="S56" s="59" t="n">
        <f aca="false">$E$4*IF(S1&lt;Assum!$F$22,(-Assum!$E$124),0)</f>
        <v>-197.5</v>
      </c>
      <c r="T56" s="59" t="n">
        <f aca="false">$E$4*IF(T1&lt;Assum!$F$22,(-Assum!$E$124),0)</f>
        <v>-197.5</v>
      </c>
      <c r="U56" s="59" t="n">
        <f aca="false">$E$4*IF(U1&lt;Assum!$F$22,(-Assum!$E$124),0)</f>
        <v>-197.5</v>
      </c>
      <c r="V56" s="59" t="n">
        <f aca="false">$E$4*IF(V1&lt;Assum!$F$22,(-Assum!$E$124),0)</f>
        <v>-197.5</v>
      </c>
      <c r="W56" s="59" t="n">
        <f aca="false">$E$4*IF(W1&lt;Assum!$F$22,(-Assum!$E$124),0)</f>
        <v>-197.5</v>
      </c>
      <c r="X56" s="59" t="n">
        <f aca="false">$E$4*IF(X1&lt;Assum!$F$22,(-Assum!$E$124),0)</f>
        <v>0</v>
      </c>
      <c r="Y56" s="59" t="n">
        <f aca="false">$E$4*IF(Y1&lt;Assum!$F$22,(-Assum!$E$124),0)</f>
        <v>0</v>
      </c>
      <c r="Z56" s="59" t="n">
        <f aca="false">$E$4*IF(Z1&lt;Assum!$F$22,(-Assum!$E$124),0)</f>
        <v>0</v>
      </c>
      <c r="AA56" s="59" t="n">
        <f aca="false">$E$4*IF(AA1&lt;Assum!$F$22,(-Assum!$E$124),0)</f>
        <v>0</v>
      </c>
      <c r="AB56" s="59" t="n">
        <f aca="false">$E$4*IF(AB1&lt;Assum!$F$22,(-Assum!$E$124),0)</f>
        <v>0</v>
      </c>
      <c r="AC56" s="59" t="n">
        <f aca="false">$E$4*IF(AC1&lt;Assum!$F$22,(-Assum!$E$124),0)</f>
        <v>0</v>
      </c>
      <c r="AD56" s="59" t="n">
        <f aca="false">$E$4*IF(AD1&lt;Assum!$F$22,(-Assum!$E$124),0)</f>
        <v>0</v>
      </c>
      <c r="AE56" s="59" t="n">
        <f aca="false">$E$4*IF(AE1&lt;Assum!$F$22,(-Assum!$E$124),0)</f>
        <v>0</v>
      </c>
      <c r="AF56" s="59" t="n">
        <f aca="false">$E$4*IF(AF1&lt;Assum!$F$22,(-Assum!$E$124),0)</f>
        <v>0</v>
      </c>
      <c r="AG56" s="59" t="n">
        <f aca="false">$E$4*IF(AG1&lt;Assum!$F$22,(-Assum!$E$124),0)</f>
        <v>0</v>
      </c>
      <c r="AH56" s="59" t="n">
        <f aca="false">$E$4*IF(AH1&lt;Assum!$F$22,(-Assum!$E$124),0)</f>
        <v>0</v>
      </c>
      <c r="AI56" s="59" t="n">
        <f aca="false">$E$4*IF(AI1&lt;Assum!$F$22,(-Assum!$E$124),0)</f>
        <v>0</v>
      </c>
    </row>
    <row r="57" customFormat="false" ht="12.75" hidden="false" customHeight="false" outlineLevel="0" collapsed="false">
      <c r="B57" s="725" t="s">
        <v>543</v>
      </c>
      <c r="C57" s="711"/>
      <c r="D57" s="711"/>
      <c r="E57" s="710" t="n">
        <f aca="false">IF(YEAR(SrDebt!$E$84)&gt;YEAR(SrDebt!$E$120),0,IF(SUM(E54:E56)&gt;0,SUM(E54:E56),0))</f>
        <v>573.300936572961</v>
      </c>
      <c r="F57" s="710" t="n">
        <f aca="false">IF(SUM(F54:F56)&gt;0,SUM(F54:F56),0)</f>
        <v>571.607553384322</v>
      </c>
      <c r="G57" s="710" t="n">
        <f aca="false">IF(SUM(G54:G56)&gt;0,SUM(G54:G56),0)</f>
        <v>569.738018319113</v>
      </c>
      <c r="H57" s="710" t="n">
        <f aca="false">IF(SUM(H54:H56)&gt;0,SUM(H54:H56),0)</f>
        <v>567.626944867061</v>
      </c>
      <c r="I57" s="710" t="n">
        <f aca="false">IF(SUM(I54:I56)&gt;0,SUM(I54:I56),0)</f>
        <v>565.310185632573</v>
      </c>
      <c r="J57" s="710" t="n">
        <f aca="false">IF(SUM(J54:J56)&gt;0,SUM(J54:J56),0)</f>
        <v>562.879487597114</v>
      </c>
      <c r="K57" s="710" t="n">
        <f aca="false">IF(SUM(K54:K56)&gt;0,SUM(K54:K56),0)</f>
        <v>557.665789727338</v>
      </c>
      <c r="L57" s="710" t="n">
        <f aca="false">IF(SUM(L54:L56)&gt;0,SUM(L54:L56),0)</f>
        <v>552.22807750722</v>
      </c>
      <c r="M57" s="710" t="n">
        <f aca="false">IF(SUM(M54:M56)&gt;0,SUM(M54:M56),0)</f>
        <v>546.560279836952</v>
      </c>
      <c r="N57" s="710" t="n">
        <f aca="false">IF(SUM(N54:N56)&gt;0,SUM(N54:N56),0)</f>
        <v>540.393558379574</v>
      </c>
      <c r="O57" s="710" t="n">
        <f aca="false">IF(SUM(O54:O56)&gt;0,SUM(O54:O56),0)</f>
        <v>547.036344776273</v>
      </c>
      <c r="P57" s="710" t="n">
        <f aca="false">IF(SUM(P54:P56)&gt;0,SUM(P54:P56),0)</f>
        <v>540.436096296459</v>
      </c>
      <c r="Q57" s="710" t="n">
        <f aca="false">IF(SUM(Q54:Q56)&gt;0,SUM(Q54:Q56),0)</f>
        <v>533.321999723709</v>
      </c>
      <c r="R57" s="710" t="n">
        <f aca="false">IF(SUM(R54:R56)&gt;0,SUM(R54:R56),0)</f>
        <v>525.661489031909</v>
      </c>
      <c r="S57" s="710" t="n">
        <f aca="false">IF(SUM(S54:S56)&gt;0,SUM(S54:S56),0)</f>
        <v>517.395799501174</v>
      </c>
      <c r="T57" s="710" t="n">
        <f aca="false">IF(SUM(T54:T56)&gt;0,SUM(T54:T56),0)</f>
        <v>509.111721360887</v>
      </c>
      <c r="U57" s="710" t="n">
        <f aca="false">IF(SUM(U54:U56)&gt;0,SUM(U54:U56),0)</f>
        <v>590.594573693744</v>
      </c>
      <c r="V57" s="710" t="n">
        <f aca="false">IF(SUM(V54:V56)&gt;0,SUM(V54:V56),0)</f>
        <v>2030.82975075773</v>
      </c>
      <c r="W57" s="710" t="n">
        <f aca="false">IF(SUM(W54:W56)&gt;0,SUM(W54:W56),0)</f>
        <v>1999.73505602653</v>
      </c>
      <c r="X57" s="710" t="n">
        <f aca="false">IF(SUM(X54:X56)&gt;0,SUM(X54:X56),0)</f>
        <v>2166.2171441291</v>
      </c>
      <c r="Y57" s="710" t="n">
        <f aca="false">IF(SUM(Y54:Y56)&gt;0,SUM(Y54:Y56),0)</f>
        <v>0</v>
      </c>
      <c r="Z57" s="710" t="n">
        <f aca="false">IF(SUM(Z54:Z56)&gt;0,SUM(Z54:Z56),0)</f>
        <v>0</v>
      </c>
      <c r="AA57" s="710" t="n">
        <f aca="false">IF(SUM(AA54:AA56)&gt;0,SUM(AA54:AA56),0)</f>
        <v>0</v>
      </c>
      <c r="AB57" s="710" t="n">
        <f aca="false">IF(SUM(AB54:AB56)&gt;0,SUM(AB54:AB56),0)</f>
        <v>0</v>
      </c>
      <c r="AC57" s="710" t="n">
        <f aca="false">IF(SUM(AC54:AC56)&gt;0,SUM(AC54:AC56),0)</f>
        <v>0</v>
      </c>
      <c r="AD57" s="710" t="n">
        <f aca="false">IF(SUM(AD54:AD56)&gt;0,SUM(AD54:AD56),0)</f>
        <v>0</v>
      </c>
      <c r="AE57" s="710" t="n">
        <f aca="false">IF(SUM(AE54:AE56)&gt;0,SUM(AE54:AE56),0)</f>
        <v>0</v>
      </c>
      <c r="AF57" s="710" t="n">
        <f aca="false">IF(SUM(AF54:AF56)&gt;0,SUM(AF54:AF56),0)</f>
        <v>0</v>
      </c>
      <c r="AG57" s="710" t="n">
        <f aca="false">IF(SUM(AG54:AG56)&gt;0,SUM(AG54:AG56),0)</f>
        <v>0</v>
      </c>
      <c r="AH57" s="710" t="n">
        <f aca="false">IF(SUM(AH54:AH56)&gt;0,SUM(AH54:AH56),0)</f>
        <v>0</v>
      </c>
      <c r="AI57" s="710" t="n">
        <f aca="false">IF(SUM(AI54:AI56)&gt;0,SUM(AI54:AI56),0)</f>
        <v>0</v>
      </c>
      <c r="AJ57" s="313"/>
      <c r="AK57" s="313"/>
      <c r="AL57" s="313"/>
      <c r="AM57" s="313"/>
      <c r="AN57" s="313"/>
      <c r="AO57" s="313"/>
      <c r="AP57" s="313"/>
      <c r="AQ57" s="313"/>
      <c r="AR57" s="313"/>
      <c r="AS57" s="313"/>
      <c r="AT57" s="313"/>
      <c r="AU57" s="313"/>
      <c r="AV57" s="313"/>
      <c r="AW57" s="313"/>
      <c r="AX57" s="313"/>
      <c r="AY57" s="313"/>
      <c r="AZ57" s="313"/>
      <c r="BA57" s="313"/>
      <c r="BB57" s="313"/>
      <c r="BC57" s="313"/>
      <c r="BD57" s="313"/>
      <c r="BE57" s="313"/>
      <c r="BF57" s="313"/>
      <c r="BG57" s="313"/>
      <c r="BH57" s="313"/>
      <c r="BI57" s="313"/>
      <c r="BJ57" s="313"/>
      <c r="BK57" s="313"/>
      <c r="BL57" s="313"/>
      <c r="BM57" s="313"/>
      <c r="BN57" s="313"/>
      <c r="BO57" s="313"/>
      <c r="BP57" s="313"/>
      <c r="BQ57" s="313"/>
      <c r="BR57" s="313"/>
      <c r="BS57" s="313"/>
      <c r="BT57" s="313"/>
      <c r="BU57" s="313"/>
      <c r="BV57" s="313"/>
      <c r="BW57" s="313"/>
      <c r="BX57" s="313"/>
      <c r="BY57" s="313"/>
      <c r="BZ57" s="313"/>
      <c r="CA57" s="313"/>
      <c r="CB57" s="313"/>
      <c r="CC57" s="313"/>
      <c r="CD57" s="313"/>
      <c r="CE57" s="313"/>
      <c r="CF57" s="313"/>
      <c r="CG57" s="313"/>
      <c r="CH57" s="313"/>
      <c r="CI57" s="313"/>
      <c r="CJ57" s="313"/>
      <c r="CK57" s="313"/>
      <c r="CL57" s="313"/>
      <c r="CM57" s="313"/>
      <c r="CN57" s="313"/>
      <c r="CO57" s="313"/>
      <c r="CP57" s="313"/>
      <c r="CQ57" s="313"/>
      <c r="CR57" s="313"/>
      <c r="CS57" s="313"/>
      <c r="CT57" s="313"/>
      <c r="CU57" s="313"/>
      <c r="CV57" s="313"/>
      <c r="CW57" s="313"/>
      <c r="CX57" s="313"/>
      <c r="CY57" s="313"/>
      <c r="CZ57" s="313"/>
      <c r="DA57" s="313"/>
      <c r="DB57" s="313"/>
      <c r="DC57" s="313"/>
      <c r="DD57" s="313"/>
      <c r="DE57" s="313"/>
      <c r="DF57" s="313"/>
      <c r="DG57" s="313"/>
      <c r="DH57" s="313"/>
      <c r="DI57" s="313"/>
      <c r="DJ57" s="313"/>
      <c r="DK57" s="313"/>
      <c r="DL57" s="313"/>
      <c r="DM57" s="313"/>
      <c r="DN57" s="313"/>
      <c r="DO57" s="313"/>
      <c r="DP57" s="313"/>
      <c r="DQ57" s="313"/>
      <c r="DR57" s="313"/>
      <c r="DS57" s="313"/>
      <c r="DT57" s="313"/>
      <c r="DU57" s="313"/>
      <c r="DV57" s="313"/>
      <c r="DW57" s="313"/>
      <c r="DX57" s="313"/>
      <c r="DY57" s="313"/>
      <c r="DZ57" s="313"/>
      <c r="EA57" s="313"/>
      <c r="EB57" s="313"/>
      <c r="EC57" s="313"/>
      <c r="ED57" s="313"/>
      <c r="EE57" s="313"/>
      <c r="EF57" s="313"/>
      <c r="EG57" s="313"/>
      <c r="EH57" s="313"/>
      <c r="EI57" s="313"/>
      <c r="EJ57" s="313"/>
      <c r="EK57" s="313"/>
      <c r="EL57" s="313"/>
      <c r="EM57" s="313"/>
      <c r="EN57" s="313"/>
      <c r="EO57" s="313"/>
      <c r="EP57" s="313"/>
      <c r="EQ57" s="313"/>
      <c r="ER57" s="313"/>
      <c r="ES57" s="313"/>
      <c r="ET57" s="313"/>
      <c r="EU57" s="313"/>
      <c r="EV57" s="313"/>
      <c r="EW57" s="313"/>
      <c r="EX57" s="313"/>
      <c r="EY57" s="313"/>
      <c r="EZ57" s="313"/>
      <c r="FA57" s="313"/>
      <c r="FB57" s="313"/>
      <c r="FC57" s="313"/>
      <c r="FD57" s="313"/>
      <c r="FE57" s="313"/>
      <c r="FF57" s="313"/>
      <c r="FG57" s="313"/>
      <c r="FH57" s="313"/>
      <c r="FI57" s="313"/>
      <c r="FJ57" s="313"/>
      <c r="FK57" s="313"/>
      <c r="FL57" s="313"/>
      <c r="FM57" s="313"/>
      <c r="FN57" s="313"/>
      <c r="FO57" s="313"/>
      <c r="FP57" s="313"/>
      <c r="FQ57" s="313"/>
      <c r="FR57" s="313"/>
      <c r="FS57" s="313"/>
      <c r="FT57" s="313"/>
      <c r="FU57" s="313"/>
      <c r="FV57" s="313"/>
      <c r="FW57" s="313"/>
      <c r="FX57" s="313"/>
      <c r="FY57" s="313"/>
      <c r="FZ57" s="313"/>
      <c r="GA57" s="313"/>
      <c r="GB57" s="313"/>
      <c r="GC57" s="313"/>
      <c r="GD57" s="313"/>
      <c r="GE57" s="313"/>
      <c r="GF57" s="313"/>
      <c r="GG57" s="313"/>
      <c r="GH57" s="313"/>
      <c r="GI57" s="313"/>
      <c r="GJ57" s="313"/>
      <c r="GK57" s="313"/>
      <c r="GL57" s="313"/>
      <c r="GM57" s="313"/>
      <c r="GN57" s="313"/>
      <c r="GO57" s="313"/>
      <c r="GP57" s="313"/>
      <c r="GQ57" s="313"/>
      <c r="GR57" s="313"/>
      <c r="GS57" s="313"/>
      <c r="GT57" s="313"/>
      <c r="GU57" s="313"/>
      <c r="GV57" s="313"/>
      <c r="GW57" s="313"/>
      <c r="GX57" s="313"/>
      <c r="GY57" s="313"/>
      <c r="GZ57" s="313"/>
      <c r="HA57" s="313"/>
      <c r="HB57" s="313"/>
      <c r="HC57" s="313"/>
      <c r="HD57" s="313"/>
      <c r="HE57" s="313"/>
      <c r="HF57" s="313"/>
      <c r="HG57" s="313"/>
      <c r="HH57" s="313"/>
      <c r="HI57" s="313"/>
      <c r="HJ57" s="313"/>
      <c r="HK57" s="313"/>
      <c r="HL57" s="313"/>
      <c r="HM57" s="313"/>
      <c r="HN57" s="313"/>
      <c r="HO57" s="313"/>
      <c r="HP57" s="313"/>
      <c r="HQ57" s="313"/>
      <c r="HR57" s="313"/>
      <c r="HS57" s="313"/>
      <c r="HT57" s="313"/>
      <c r="HU57" s="313"/>
      <c r="HV57" s="313"/>
      <c r="HW57" s="313"/>
      <c r="HX57" s="313"/>
      <c r="HY57" s="313"/>
      <c r="HZ57" s="313"/>
      <c r="IA57" s="313"/>
      <c r="IB57" s="313"/>
      <c r="IC57" s="313"/>
      <c r="ID57" s="313"/>
      <c r="IE57" s="313"/>
      <c r="IF57" s="313"/>
      <c r="IG57" s="313"/>
      <c r="IH57" s="313"/>
      <c r="II57" s="313"/>
      <c r="IJ57" s="313"/>
      <c r="IK57" s="313"/>
      <c r="IL57" s="313"/>
      <c r="IM57" s="313"/>
      <c r="IN57" s="313"/>
      <c r="IO57" s="313"/>
      <c r="IP57" s="313"/>
      <c r="IQ57" s="313"/>
      <c r="IR57" s="313"/>
      <c r="IS57" s="313"/>
      <c r="IT57" s="313"/>
      <c r="IU57" s="313"/>
      <c r="IV57" s="313"/>
      <c r="IW57" s="313"/>
    </row>
    <row r="58" customFormat="false" ht="13.5" hidden="false" customHeight="false" outlineLevel="0" collapsed="false">
      <c r="B58" s="726" t="s">
        <v>544</v>
      </c>
      <c r="C58" s="727"/>
      <c r="D58" s="727"/>
      <c r="E58" s="728" t="n">
        <f aca="false">-E57</f>
        <v>-573.300936572961</v>
      </c>
      <c r="F58" s="728" t="n">
        <f aca="false">-F57</f>
        <v>-571.607553384322</v>
      </c>
      <c r="G58" s="728" t="n">
        <f aca="false">-G57</f>
        <v>-569.738018319113</v>
      </c>
      <c r="H58" s="728" t="n">
        <f aca="false">-H57</f>
        <v>-567.626944867061</v>
      </c>
      <c r="I58" s="728" t="n">
        <f aca="false">-I57</f>
        <v>-565.310185632573</v>
      </c>
      <c r="J58" s="728" t="n">
        <f aca="false">-J57</f>
        <v>-562.879487597114</v>
      </c>
      <c r="K58" s="728" t="n">
        <f aca="false">-K57</f>
        <v>-557.665789727338</v>
      </c>
      <c r="L58" s="728" t="n">
        <f aca="false">-L57</f>
        <v>-552.22807750722</v>
      </c>
      <c r="M58" s="728" t="n">
        <f aca="false">-M57</f>
        <v>-546.560279836952</v>
      </c>
      <c r="N58" s="728" t="n">
        <f aca="false">-N57</f>
        <v>-540.393558379574</v>
      </c>
      <c r="O58" s="728" t="n">
        <f aca="false">-O57</f>
        <v>-547.036344776273</v>
      </c>
      <c r="P58" s="728" t="n">
        <f aca="false">-P57</f>
        <v>-540.436096296459</v>
      </c>
      <c r="Q58" s="728" t="n">
        <f aca="false">-Q57</f>
        <v>-533.321999723709</v>
      </c>
      <c r="R58" s="728" t="n">
        <f aca="false">-R57</f>
        <v>-525.661489031909</v>
      </c>
      <c r="S58" s="728" t="n">
        <f aca="false">-S57</f>
        <v>-517.395799501174</v>
      </c>
      <c r="T58" s="728" t="n">
        <f aca="false">-T57</f>
        <v>-509.111721360887</v>
      </c>
      <c r="U58" s="728" t="n">
        <f aca="false">-U57</f>
        <v>-590.594573693744</v>
      </c>
      <c r="V58" s="728" t="n">
        <f aca="false">-V57</f>
        <v>-2030.82975075773</v>
      </c>
      <c r="W58" s="728" t="n">
        <f aca="false">-W57</f>
        <v>-1999.73505602653</v>
      </c>
      <c r="X58" s="728" t="n">
        <f aca="false">-X57</f>
        <v>-2166.2171441291</v>
      </c>
      <c r="Y58" s="728" t="n">
        <f aca="false">-Y57</f>
        <v>-0</v>
      </c>
      <c r="Z58" s="728" t="n">
        <f aca="false">-Z57</f>
        <v>-0</v>
      </c>
      <c r="AA58" s="728" t="n">
        <f aca="false">-AA57</f>
        <v>-0</v>
      </c>
      <c r="AB58" s="728" t="n">
        <f aca="false">-AB57</f>
        <v>-0</v>
      </c>
      <c r="AC58" s="728" t="n">
        <f aca="false">-AC57</f>
        <v>-0</v>
      </c>
      <c r="AD58" s="728" t="n">
        <f aca="false">-AD57</f>
        <v>-0</v>
      </c>
      <c r="AE58" s="728" t="n">
        <f aca="false">-AE57</f>
        <v>-0</v>
      </c>
      <c r="AF58" s="728" t="n">
        <f aca="false">-AF57</f>
        <v>-0</v>
      </c>
      <c r="AG58" s="728" t="n">
        <f aca="false">-AG57</f>
        <v>-0</v>
      </c>
      <c r="AH58" s="728" t="n">
        <f aca="false">-AH57</f>
        <v>-0</v>
      </c>
      <c r="AI58" s="728" t="n">
        <f aca="false">-AI57</f>
        <v>-0</v>
      </c>
      <c r="AJ58" s="313"/>
      <c r="AK58" s="313"/>
      <c r="AL58" s="313"/>
      <c r="AM58" s="313"/>
      <c r="AN58" s="313"/>
      <c r="AO58" s="313"/>
      <c r="AP58" s="313"/>
      <c r="AQ58" s="313"/>
      <c r="AR58" s="313"/>
      <c r="AS58" s="313"/>
      <c r="AT58" s="313"/>
      <c r="AU58" s="313"/>
      <c r="AV58" s="313"/>
      <c r="AW58" s="313"/>
      <c r="AX58" s="313"/>
      <c r="AY58" s="313"/>
      <c r="AZ58" s="313"/>
      <c r="BA58" s="313"/>
      <c r="BB58" s="313"/>
      <c r="BC58" s="313"/>
      <c r="BD58" s="313"/>
      <c r="BE58" s="313"/>
      <c r="BF58" s="313"/>
      <c r="BG58" s="313"/>
      <c r="BH58" s="313"/>
      <c r="BI58" s="313"/>
      <c r="BJ58" s="313"/>
      <c r="BK58" s="313"/>
      <c r="BL58" s="313"/>
      <c r="BM58" s="313"/>
      <c r="BN58" s="313"/>
      <c r="BO58" s="313"/>
      <c r="BP58" s="313"/>
      <c r="BQ58" s="313"/>
      <c r="BR58" s="313"/>
      <c r="BS58" s="313"/>
      <c r="BT58" s="313"/>
      <c r="BU58" s="313"/>
      <c r="BV58" s="313"/>
      <c r="BW58" s="313"/>
      <c r="BX58" s="313"/>
      <c r="BY58" s="313"/>
      <c r="BZ58" s="313"/>
      <c r="CA58" s="313"/>
      <c r="CB58" s="313"/>
      <c r="CC58" s="313"/>
      <c r="CD58" s="313"/>
      <c r="CE58" s="313"/>
      <c r="CF58" s="313"/>
      <c r="CG58" s="313"/>
      <c r="CH58" s="313"/>
      <c r="CI58" s="313"/>
      <c r="CJ58" s="313"/>
      <c r="CK58" s="313"/>
      <c r="CL58" s="313"/>
      <c r="CM58" s="313"/>
      <c r="CN58" s="313"/>
      <c r="CO58" s="313"/>
      <c r="CP58" s="313"/>
      <c r="CQ58" s="313"/>
      <c r="CR58" s="313"/>
      <c r="CS58" s="313"/>
      <c r="CT58" s="313"/>
      <c r="CU58" s="313"/>
      <c r="CV58" s="313"/>
      <c r="CW58" s="313"/>
      <c r="CX58" s="313"/>
      <c r="CY58" s="313"/>
      <c r="CZ58" s="313"/>
      <c r="DA58" s="313"/>
      <c r="DB58" s="313"/>
      <c r="DC58" s="313"/>
      <c r="DD58" s="313"/>
      <c r="DE58" s="313"/>
      <c r="DF58" s="313"/>
      <c r="DG58" s="313"/>
      <c r="DH58" s="313"/>
      <c r="DI58" s="313"/>
      <c r="DJ58" s="313"/>
      <c r="DK58" s="313"/>
      <c r="DL58" s="313"/>
      <c r="DM58" s="313"/>
      <c r="DN58" s="313"/>
      <c r="DO58" s="313"/>
      <c r="DP58" s="313"/>
      <c r="DQ58" s="313"/>
      <c r="DR58" s="313"/>
      <c r="DS58" s="313"/>
      <c r="DT58" s="313"/>
      <c r="DU58" s="313"/>
      <c r="DV58" s="313"/>
      <c r="DW58" s="313"/>
      <c r="DX58" s="313"/>
      <c r="DY58" s="313"/>
      <c r="DZ58" s="313"/>
      <c r="EA58" s="313"/>
      <c r="EB58" s="313"/>
      <c r="EC58" s="313"/>
      <c r="ED58" s="313"/>
      <c r="EE58" s="313"/>
      <c r="EF58" s="313"/>
      <c r="EG58" s="313"/>
      <c r="EH58" s="313"/>
      <c r="EI58" s="313"/>
      <c r="EJ58" s="313"/>
      <c r="EK58" s="313"/>
      <c r="EL58" s="313"/>
      <c r="EM58" s="313"/>
      <c r="EN58" s="313"/>
      <c r="EO58" s="313"/>
      <c r="EP58" s="313"/>
      <c r="EQ58" s="313"/>
      <c r="ER58" s="313"/>
      <c r="ES58" s="313"/>
      <c r="ET58" s="313"/>
      <c r="EU58" s="313"/>
      <c r="EV58" s="313"/>
      <c r="EW58" s="313"/>
      <c r="EX58" s="313"/>
      <c r="EY58" s="313"/>
      <c r="EZ58" s="313"/>
      <c r="FA58" s="313"/>
      <c r="FB58" s="313"/>
      <c r="FC58" s="313"/>
      <c r="FD58" s="313"/>
      <c r="FE58" s="313"/>
      <c r="FF58" s="313"/>
      <c r="FG58" s="313"/>
      <c r="FH58" s="313"/>
      <c r="FI58" s="313"/>
      <c r="FJ58" s="313"/>
      <c r="FK58" s="313"/>
      <c r="FL58" s="313"/>
      <c r="FM58" s="313"/>
      <c r="FN58" s="313"/>
      <c r="FO58" s="313"/>
      <c r="FP58" s="313"/>
      <c r="FQ58" s="313"/>
      <c r="FR58" s="313"/>
      <c r="FS58" s="313"/>
      <c r="FT58" s="313"/>
      <c r="FU58" s="313"/>
      <c r="FV58" s="313"/>
      <c r="FW58" s="313"/>
      <c r="FX58" s="313"/>
      <c r="FY58" s="313"/>
      <c r="FZ58" s="313"/>
      <c r="GA58" s="313"/>
      <c r="GB58" s="313"/>
      <c r="GC58" s="313"/>
      <c r="GD58" s="313"/>
      <c r="GE58" s="313"/>
      <c r="GF58" s="313"/>
      <c r="GG58" s="313"/>
      <c r="GH58" s="313"/>
      <c r="GI58" s="313"/>
      <c r="GJ58" s="313"/>
      <c r="GK58" s="313"/>
      <c r="GL58" s="313"/>
      <c r="GM58" s="313"/>
      <c r="GN58" s="313"/>
      <c r="GO58" s="313"/>
      <c r="GP58" s="313"/>
      <c r="GQ58" s="313"/>
      <c r="GR58" s="313"/>
      <c r="GS58" s="313"/>
      <c r="GT58" s="313"/>
      <c r="GU58" s="313"/>
      <c r="GV58" s="313"/>
      <c r="GW58" s="313"/>
      <c r="GX58" s="313"/>
      <c r="GY58" s="313"/>
      <c r="GZ58" s="313"/>
      <c r="HA58" s="313"/>
      <c r="HB58" s="313"/>
      <c r="HC58" s="313"/>
      <c r="HD58" s="313"/>
      <c r="HE58" s="313"/>
      <c r="HF58" s="313"/>
      <c r="HG58" s="313"/>
      <c r="HH58" s="313"/>
      <c r="HI58" s="313"/>
      <c r="HJ58" s="313"/>
      <c r="HK58" s="313"/>
      <c r="HL58" s="313"/>
      <c r="HM58" s="313"/>
      <c r="HN58" s="313"/>
      <c r="HO58" s="313"/>
      <c r="HP58" s="313"/>
      <c r="HQ58" s="313"/>
      <c r="HR58" s="313"/>
      <c r="HS58" s="313"/>
      <c r="HT58" s="313"/>
      <c r="HU58" s="313"/>
      <c r="HV58" s="313"/>
      <c r="HW58" s="313"/>
      <c r="HX58" s="313"/>
      <c r="HY58" s="313"/>
      <c r="HZ58" s="313"/>
      <c r="IA58" s="313"/>
      <c r="IB58" s="313"/>
      <c r="IC58" s="313"/>
      <c r="ID58" s="313"/>
      <c r="IE58" s="313"/>
      <c r="IF58" s="313"/>
      <c r="IG58" s="313"/>
      <c r="IH58" s="313"/>
      <c r="II58" s="313"/>
      <c r="IJ58" s="313"/>
      <c r="IK58" s="313"/>
      <c r="IL58" s="313"/>
      <c r="IM58" s="313"/>
      <c r="IN58" s="313"/>
      <c r="IO58" s="313"/>
      <c r="IP58" s="313"/>
      <c r="IQ58" s="313"/>
      <c r="IR58" s="313"/>
      <c r="IS58" s="313"/>
      <c r="IT58" s="313"/>
      <c r="IU58" s="313"/>
      <c r="IV58" s="313"/>
      <c r="IW58" s="313"/>
    </row>
    <row r="59" customFormat="false" ht="14.25" hidden="false" customHeight="false" outlineLevel="0" collapsed="false">
      <c r="B59" s="729" t="s">
        <v>545</v>
      </c>
      <c r="C59" s="730"/>
      <c r="D59" s="730"/>
      <c r="E59" s="731" t="n">
        <f aca="false">SUM(E54:E55)+E58</f>
        <v>197.5</v>
      </c>
      <c r="F59" s="731" t="n">
        <f aca="false">SUM(F54:F55)+F58</f>
        <v>197.5</v>
      </c>
      <c r="G59" s="731" t="n">
        <f aca="false">SUM(G54:G55)+G58</f>
        <v>197.5</v>
      </c>
      <c r="H59" s="731" t="n">
        <f aca="false">SUM(H54:H55)+H58</f>
        <v>197.5</v>
      </c>
      <c r="I59" s="731" t="n">
        <f aca="false">SUM(I54:I55)+I58</f>
        <v>197.5</v>
      </c>
      <c r="J59" s="731" t="n">
        <f aca="false">SUM(J54:J55)+J58</f>
        <v>197.5</v>
      </c>
      <c r="K59" s="731" t="n">
        <f aca="false">SUM(K54:K55)+K58</f>
        <v>197.5</v>
      </c>
      <c r="L59" s="731" t="n">
        <f aca="false">SUM(L54:L55)+L58</f>
        <v>197.5</v>
      </c>
      <c r="M59" s="731" t="n">
        <f aca="false">SUM(M54:M55)+M58</f>
        <v>197.5</v>
      </c>
      <c r="N59" s="731" t="n">
        <f aca="false">SUM(N54:N55)+N58</f>
        <v>197.5</v>
      </c>
      <c r="O59" s="731" t="n">
        <f aca="false">SUM(O54:O55)+O58</f>
        <v>197.5</v>
      </c>
      <c r="P59" s="731" t="n">
        <f aca="false">SUM(P54:P55)+P58</f>
        <v>197.5</v>
      </c>
      <c r="Q59" s="731" t="n">
        <f aca="false">SUM(Q54:Q55)+Q58</f>
        <v>197.5</v>
      </c>
      <c r="R59" s="731" t="n">
        <f aca="false">SUM(R54:R55)+R58</f>
        <v>197.5</v>
      </c>
      <c r="S59" s="731" t="n">
        <f aca="false">SUM(S54:S55)+S58</f>
        <v>197.5</v>
      </c>
      <c r="T59" s="731" t="n">
        <f aca="false">SUM(T54:T55)+T58</f>
        <v>197.5</v>
      </c>
      <c r="U59" s="731" t="n">
        <f aca="false">SUM(U54:U55)+U58</f>
        <v>197.5</v>
      </c>
      <c r="V59" s="731" t="n">
        <f aca="false">SUM(V54:V55)+V58</f>
        <v>197.5</v>
      </c>
      <c r="W59" s="731" t="n">
        <f aca="false">SUM(W54:W55)+W58</f>
        <v>197.5</v>
      </c>
      <c r="X59" s="731" t="n">
        <f aca="false">SUM(X54:X55)+X58</f>
        <v>0</v>
      </c>
      <c r="Y59" s="731" t="n">
        <f aca="false">SUM(Y54:Y55)+Y58</f>
        <v>0</v>
      </c>
      <c r="Z59" s="731" t="n">
        <f aca="false">SUM(Z54:Z55)+Z58</f>
        <v>0</v>
      </c>
      <c r="AA59" s="731" t="n">
        <f aca="false">SUM(AA54:AA55)+AA58</f>
        <v>0</v>
      </c>
      <c r="AB59" s="731" t="n">
        <f aca="false">SUM(AB54:AB55)+AB58</f>
        <v>0</v>
      </c>
      <c r="AC59" s="731" t="n">
        <f aca="false">SUM(AC54:AC55)+AC58</f>
        <v>0</v>
      </c>
      <c r="AD59" s="731" t="n">
        <f aca="false">SUM(AD54:AD55)+AD58</f>
        <v>0</v>
      </c>
      <c r="AE59" s="731" t="n">
        <f aca="false">SUM(AE54:AE55)+AE58</f>
        <v>0</v>
      </c>
      <c r="AF59" s="731" t="n">
        <f aca="false">SUM(AF54:AF55)+AF58</f>
        <v>0</v>
      </c>
      <c r="AG59" s="731" t="n">
        <f aca="false">SUM(AG54:AG55)+AG58</f>
        <v>0</v>
      </c>
      <c r="AH59" s="731" t="n">
        <f aca="false">SUM(AH54:AH55)+AH58</f>
        <v>0</v>
      </c>
      <c r="AI59" s="731" t="n">
        <f aca="false">SUM(AI54:AI55)+AI58</f>
        <v>0</v>
      </c>
    </row>
    <row r="60" customFormat="false" ht="12.75" hidden="false" customHeight="false" outlineLevel="0" collapsed="false">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row>
    <row r="61" customFormat="false" ht="12.75" hidden="false" customHeight="false" outlineLevel="0" collapsed="false">
      <c r="A61" s="706" t="s">
        <v>546</v>
      </c>
      <c r="B61" s="718" t="s">
        <v>494</v>
      </c>
      <c r="E61" s="366" t="n">
        <f aca="false">IF(E57&gt;1,E57*Assum!E337,0)</f>
        <v>567.567927207231</v>
      </c>
      <c r="F61" s="366" t="n">
        <f aca="false">IF(F57&gt;1,F57*Assum!F337,0)</f>
        <v>565.891477850479</v>
      </c>
      <c r="G61" s="366" t="n">
        <f aca="false">IF(G57&gt;1,G57*Assum!G337,0)</f>
        <v>564.040638135921</v>
      </c>
      <c r="H61" s="366" t="n">
        <f aca="false">IF(H57&gt;1,H57*Assum!H337,0)</f>
        <v>561.950675418391</v>
      </c>
      <c r="I61" s="366" t="n">
        <f aca="false">IF(I57&gt;1,I57*Assum!I337,0)</f>
        <v>559.657083776247</v>
      </c>
      <c r="J61" s="366" t="n">
        <f aca="false">IF(J57&gt;1,J57*Assum!J337,0)</f>
        <v>557.250692721143</v>
      </c>
      <c r="K61" s="366" t="n">
        <f aca="false">IF(K57&gt;1,K57*Assum!K337,0)</f>
        <v>552.089131830064</v>
      </c>
      <c r="L61" s="366" t="n">
        <f aca="false">IF(L57&gt;1,L57*Assum!L337,0)</f>
        <v>546.705796732148</v>
      </c>
      <c r="M61" s="366" t="n">
        <f aca="false">IF(M57&gt;1,M57*Assum!M337,0)</f>
        <v>541.094677038582</v>
      </c>
      <c r="N61" s="366" t="n">
        <f aca="false">IF(N57&gt;1,N57*Assum!N337,0)</f>
        <v>534.989622795779</v>
      </c>
      <c r="O61" s="366" t="n">
        <f aca="false">IF(O57&gt;1,O57*Assum!O337,0)</f>
        <v>541.56598132851</v>
      </c>
      <c r="P61" s="366" t="n">
        <f aca="false">IF(P57&gt;1,P57*Assum!P337,0)</f>
        <v>535.031735333494</v>
      </c>
      <c r="Q61" s="366" t="n">
        <f aca="false">IF(Q57&gt;1,Q57*Assum!Q337,0)</f>
        <v>527.988779726472</v>
      </c>
      <c r="R61" s="366" t="n">
        <f aca="false">IF(R57&gt;1,R57*Assum!R337,0)</f>
        <v>520.40487414159</v>
      </c>
      <c r="S61" s="366" t="n">
        <f aca="false">IF(S57&gt;1,S57*Assum!S337,0)</f>
        <v>512.221841506162</v>
      </c>
      <c r="T61" s="366" t="n">
        <f aca="false">IF(T57&gt;1,T57*Assum!T337,0)</f>
        <v>504.020604147278</v>
      </c>
      <c r="U61" s="366" t="n">
        <f aca="false">IF(U57&gt;1,U57*Assum!U337,0)</f>
        <v>584.688627956806</v>
      </c>
      <c r="V61" s="366" t="n">
        <f aca="false">IF(V57&gt;1,V57*Assum!V337,0)</f>
        <v>2010.52145325015</v>
      </c>
      <c r="W61" s="366" t="n">
        <f aca="false">IF(W57&gt;1,W57*Assum!W337,0)</f>
        <v>1979.73770546626</v>
      </c>
      <c r="X61" s="366" t="n">
        <f aca="false">IF(X57&gt;1,X57*Assum!X337,0)</f>
        <v>2144.55497268781</v>
      </c>
      <c r="Y61" s="366" t="n">
        <f aca="false">IF(Y57&gt;1,Y57*Assum!Y337,0)</f>
        <v>0</v>
      </c>
      <c r="Z61" s="366" t="n">
        <f aca="false">IF(Z57&gt;1,Z57*Assum!Z337,0)</f>
        <v>0</v>
      </c>
      <c r="AA61" s="366" t="n">
        <f aca="false">IF(AA57&gt;1,AA57*Assum!AA337,0)</f>
        <v>0</v>
      </c>
      <c r="AB61" s="366" t="n">
        <f aca="false">IF(AB57&gt;1,AB57*Assum!AB337,0)</f>
        <v>0</v>
      </c>
      <c r="AC61" s="366" t="n">
        <f aca="false">IF(AC57&gt;1,AC57*Assum!AC337,0)</f>
        <v>0</v>
      </c>
      <c r="AD61" s="366" t="n">
        <f aca="false">IF(AD57&gt;1,AD57*Assum!AD337,0)</f>
        <v>0</v>
      </c>
      <c r="AE61" s="366" t="n">
        <f aca="false">IF(AE57&gt;1,AE57*Assum!AE337,0)</f>
        <v>0</v>
      </c>
      <c r="AF61" s="366" t="n">
        <f aca="false">IF(AF57&gt;1,AF57*Assum!AF337,0)</f>
        <v>0</v>
      </c>
      <c r="AG61" s="366" t="n">
        <f aca="false">IF(AG57&gt;1,AG57*Assum!AG337,0)</f>
        <v>0</v>
      </c>
      <c r="AH61" s="366" t="n">
        <f aca="false">IF(AH57&gt;1,AH57*Assum!AH337,0)</f>
        <v>0</v>
      </c>
      <c r="AI61" s="366" t="n">
        <f aca="false">IF(AI57&gt;1,AI57*Assum!AI337,0)</f>
        <v>0</v>
      </c>
      <c r="AJ61" s="313"/>
      <c r="AK61" s="313"/>
      <c r="AL61" s="313"/>
      <c r="AM61" s="313"/>
      <c r="AN61" s="313"/>
      <c r="AO61" s="313"/>
      <c r="AP61" s="313"/>
      <c r="AQ61" s="313"/>
      <c r="AR61" s="313"/>
      <c r="AS61" s="313"/>
      <c r="AT61" s="313"/>
      <c r="AU61" s="313"/>
      <c r="AV61" s="313"/>
      <c r="AW61" s="313"/>
      <c r="AX61" s="313"/>
      <c r="AY61" s="313"/>
      <c r="AZ61" s="313"/>
      <c r="BA61" s="313"/>
      <c r="BB61" s="313"/>
      <c r="BC61" s="313"/>
      <c r="BD61" s="313"/>
      <c r="BE61" s="313"/>
      <c r="BF61" s="313"/>
      <c r="BG61" s="313"/>
      <c r="BH61" s="313"/>
      <c r="BI61" s="313"/>
      <c r="BJ61" s="313"/>
      <c r="BK61" s="313"/>
      <c r="BL61" s="313"/>
      <c r="BM61" s="313"/>
      <c r="BN61" s="313"/>
      <c r="BO61" s="313"/>
      <c r="BP61" s="313"/>
      <c r="BQ61" s="313"/>
      <c r="BR61" s="313"/>
      <c r="BS61" s="313"/>
      <c r="BT61" s="313"/>
      <c r="BU61" s="313"/>
      <c r="BV61" s="313"/>
      <c r="BW61" s="313"/>
      <c r="BX61" s="313"/>
      <c r="BY61" s="313"/>
      <c r="BZ61" s="313"/>
      <c r="CA61" s="313"/>
      <c r="CB61" s="313"/>
      <c r="CC61" s="313"/>
      <c r="CD61" s="313"/>
      <c r="CE61" s="313"/>
      <c r="CF61" s="313"/>
      <c r="CG61" s="313"/>
      <c r="CH61" s="313"/>
      <c r="CI61" s="313"/>
      <c r="CJ61" s="313"/>
      <c r="CK61" s="313"/>
      <c r="CL61" s="313"/>
      <c r="CM61" s="313"/>
      <c r="CN61" s="313"/>
      <c r="CO61" s="313"/>
      <c r="CP61" s="313"/>
      <c r="CQ61" s="313"/>
      <c r="CR61" s="313"/>
      <c r="CS61" s="313"/>
      <c r="CT61" s="313"/>
      <c r="CU61" s="313"/>
      <c r="CV61" s="313"/>
      <c r="CW61" s="313"/>
      <c r="CX61" s="313"/>
      <c r="CY61" s="313"/>
      <c r="CZ61" s="313"/>
      <c r="DA61" s="313"/>
      <c r="DB61" s="313"/>
      <c r="DC61" s="313"/>
      <c r="DD61" s="313"/>
      <c r="DE61" s="313"/>
      <c r="DF61" s="313"/>
      <c r="DG61" s="313"/>
      <c r="DH61" s="313"/>
      <c r="DI61" s="313"/>
      <c r="DJ61" s="313"/>
      <c r="DK61" s="313"/>
      <c r="DL61" s="313"/>
      <c r="DM61" s="313"/>
      <c r="DN61" s="313"/>
      <c r="DO61" s="313"/>
      <c r="DP61" s="313"/>
      <c r="DQ61" s="313"/>
      <c r="DR61" s="313"/>
      <c r="DS61" s="313"/>
      <c r="DT61" s="313"/>
      <c r="DU61" s="313"/>
      <c r="DV61" s="313"/>
      <c r="DW61" s="313"/>
      <c r="DX61" s="313"/>
      <c r="DY61" s="313"/>
      <c r="DZ61" s="313"/>
      <c r="EA61" s="313"/>
      <c r="EB61" s="313"/>
      <c r="EC61" s="313"/>
      <c r="ED61" s="313"/>
      <c r="EE61" s="313"/>
      <c r="EF61" s="313"/>
      <c r="EG61" s="313"/>
      <c r="EH61" s="313"/>
      <c r="EI61" s="313"/>
      <c r="EJ61" s="313"/>
      <c r="EK61" s="313"/>
      <c r="EL61" s="313"/>
      <c r="EM61" s="313"/>
      <c r="EN61" s="313"/>
      <c r="EO61" s="313"/>
      <c r="EP61" s="313"/>
      <c r="EQ61" s="313"/>
      <c r="ER61" s="313"/>
      <c r="ES61" s="313"/>
      <c r="ET61" s="313"/>
      <c r="EU61" s="313"/>
      <c r="EV61" s="313"/>
      <c r="EW61" s="313"/>
      <c r="EX61" s="313"/>
      <c r="EY61" s="313"/>
      <c r="EZ61" s="313"/>
      <c r="FA61" s="313"/>
      <c r="FB61" s="313"/>
      <c r="FC61" s="313"/>
      <c r="FD61" s="313"/>
      <c r="FE61" s="313"/>
      <c r="FF61" s="313"/>
      <c r="FG61" s="313"/>
      <c r="FH61" s="313"/>
      <c r="FI61" s="313"/>
      <c r="FJ61" s="313"/>
      <c r="FK61" s="313"/>
      <c r="FL61" s="313"/>
      <c r="FM61" s="313"/>
      <c r="FN61" s="313"/>
      <c r="FO61" s="313"/>
      <c r="FP61" s="313"/>
      <c r="FQ61" s="313"/>
      <c r="FR61" s="313"/>
      <c r="FS61" s="313"/>
      <c r="FT61" s="313"/>
      <c r="FU61" s="313"/>
      <c r="FV61" s="313"/>
      <c r="FW61" s="313"/>
      <c r="FX61" s="313"/>
      <c r="FY61" s="313"/>
      <c r="FZ61" s="313"/>
      <c r="GA61" s="313"/>
      <c r="GB61" s="313"/>
      <c r="GC61" s="313"/>
      <c r="GD61" s="313"/>
      <c r="GE61" s="313"/>
      <c r="GF61" s="313"/>
      <c r="GG61" s="313"/>
      <c r="GH61" s="313"/>
      <c r="GI61" s="313"/>
      <c r="GJ61" s="313"/>
      <c r="GK61" s="313"/>
      <c r="GL61" s="313"/>
      <c r="GM61" s="313"/>
      <c r="GN61" s="313"/>
      <c r="GO61" s="313"/>
      <c r="GP61" s="313"/>
      <c r="GQ61" s="313"/>
      <c r="GR61" s="313"/>
      <c r="GS61" s="313"/>
      <c r="GT61" s="313"/>
      <c r="GU61" s="313"/>
      <c r="GV61" s="313"/>
      <c r="GW61" s="313"/>
      <c r="GX61" s="313"/>
      <c r="GY61" s="313"/>
      <c r="GZ61" s="313"/>
      <c r="HA61" s="313"/>
      <c r="HB61" s="313"/>
      <c r="HC61" s="313"/>
      <c r="HD61" s="313"/>
      <c r="HE61" s="313"/>
      <c r="HF61" s="313"/>
      <c r="HG61" s="313"/>
      <c r="HH61" s="313"/>
      <c r="HI61" s="313"/>
      <c r="HJ61" s="313"/>
      <c r="HK61" s="313"/>
      <c r="HL61" s="313"/>
      <c r="HM61" s="313"/>
      <c r="HN61" s="313"/>
      <c r="HO61" s="313"/>
      <c r="HP61" s="313"/>
      <c r="HQ61" s="313"/>
      <c r="HR61" s="313"/>
      <c r="HS61" s="313"/>
      <c r="HT61" s="313"/>
      <c r="HU61" s="313"/>
      <c r="HV61" s="313"/>
      <c r="HW61" s="313"/>
      <c r="HX61" s="313"/>
      <c r="HY61" s="313"/>
      <c r="HZ61" s="313"/>
      <c r="IA61" s="313"/>
      <c r="IB61" s="313"/>
      <c r="IC61" s="313"/>
      <c r="ID61" s="313"/>
      <c r="IE61" s="313"/>
      <c r="IF61" s="313"/>
      <c r="IG61" s="313"/>
      <c r="IH61" s="313"/>
      <c r="II61" s="313"/>
      <c r="IJ61" s="313"/>
      <c r="IK61" s="313"/>
      <c r="IL61" s="313"/>
      <c r="IM61" s="313"/>
      <c r="IN61" s="313"/>
      <c r="IO61" s="313"/>
      <c r="IP61" s="313"/>
      <c r="IQ61" s="313"/>
      <c r="IR61" s="313"/>
      <c r="IS61" s="313"/>
      <c r="IT61" s="313"/>
      <c r="IU61" s="313"/>
      <c r="IV61" s="313"/>
      <c r="IW61" s="313"/>
    </row>
    <row r="62" customFormat="false" ht="12.75" hidden="false" customHeight="false" outlineLevel="0" collapsed="false">
      <c r="B62" s="313" t="s">
        <v>334</v>
      </c>
      <c r="E62" s="366" t="n">
        <f aca="false">IF(E57&gt;1,E57*Assum!E338,0)</f>
        <v>5.73300936572961</v>
      </c>
      <c r="F62" s="366" t="n">
        <f aca="false">IF(F57&gt;1,F57*Assum!F338,0)</f>
        <v>5.71607553384322</v>
      </c>
      <c r="G62" s="366" t="n">
        <f aca="false">IF(G57&gt;1,G57*Assum!G338,0)</f>
        <v>5.69738018319113</v>
      </c>
      <c r="H62" s="366" t="n">
        <f aca="false">IF(H57&gt;1,H57*Assum!H338,0)</f>
        <v>5.67626944867061</v>
      </c>
      <c r="I62" s="366" t="n">
        <f aca="false">IF(I57&gt;1,I57*Assum!I338,0)</f>
        <v>5.65310185632573</v>
      </c>
      <c r="J62" s="366" t="n">
        <f aca="false">IF(J57&gt;1,J57*Assum!J338,0)</f>
        <v>5.62879487597114</v>
      </c>
      <c r="K62" s="366" t="n">
        <f aca="false">IF(K57&gt;1,K57*Assum!K338,0)</f>
        <v>5.57665789727338</v>
      </c>
      <c r="L62" s="366" t="n">
        <f aca="false">IF(L57&gt;1,L57*Assum!L338,0)</f>
        <v>5.5222807750722</v>
      </c>
      <c r="M62" s="366" t="n">
        <f aca="false">IF(M57&gt;1,M57*Assum!M338,0)</f>
        <v>5.46560279836952</v>
      </c>
      <c r="N62" s="366" t="n">
        <f aca="false">IF(N57&gt;1,N57*Assum!N338,0)</f>
        <v>5.40393558379574</v>
      </c>
      <c r="O62" s="366" t="n">
        <f aca="false">IF(O57&gt;1,O57*Assum!O338,0)</f>
        <v>5.47036344776272</v>
      </c>
      <c r="P62" s="366" t="n">
        <f aca="false">IF(P57&gt;1,P57*Assum!P338,0)</f>
        <v>5.40436096296459</v>
      </c>
      <c r="Q62" s="366" t="n">
        <f aca="false">IF(Q57&gt;1,Q57*Assum!Q338,0)</f>
        <v>5.33321999723709</v>
      </c>
      <c r="R62" s="366" t="n">
        <f aca="false">IF(R57&gt;1,R57*Assum!R338,0)</f>
        <v>5.25661489031909</v>
      </c>
      <c r="S62" s="366" t="n">
        <f aca="false">IF(S57&gt;1,S57*Assum!S338,0)</f>
        <v>5.17395799501174</v>
      </c>
      <c r="T62" s="366" t="n">
        <f aca="false">IF(T57&gt;1,T57*Assum!T338,0)</f>
        <v>5.09111721360887</v>
      </c>
      <c r="U62" s="366" t="n">
        <f aca="false">IF(U57&gt;1,U57*Assum!U338,0)</f>
        <v>5.90594573693744</v>
      </c>
      <c r="V62" s="366" t="n">
        <f aca="false">IF(V57&gt;1,V57*Assum!V338,0)</f>
        <v>20.3082975075773</v>
      </c>
      <c r="W62" s="366" t="n">
        <f aca="false">IF(W57&gt;1,W57*Assum!W338,0)</f>
        <v>19.9973505602653</v>
      </c>
      <c r="X62" s="366" t="n">
        <f aca="false">IF(X57&gt;1,X57*Assum!X338,0)</f>
        <v>21.662171441291</v>
      </c>
      <c r="Y62" s="366" t="n">
        <f aca="false">IF(Y57&gt;1,Y57*Assum!Y338,0)</f>
        <v>0</v>
      </c>
      <c r="Z62" s="366" t="n">
        <f aca="false">IF(Z57&gt;1,Z57*Assum!Z338,0)</f>
        <v>0</v>
      </c>
      <c r="AA62" s="366" t="n">
        <f aca="false">IF(AA57&gt;1,AA57*Assum!AA338,0)</f>
        <v>0</v>
      </c>
      <c r="AB62" s="366" t="n">
        <f aca="false">IF(AB57&gt;1,AB57*Assum!AB338,0)</f>
        <v>0</v>
      </c>
      <c r="AC62" s="366" t="n">
        <f aca="false">IF(AC57&gt;1,AC57*Assum!AC338,0)</f>
        <v>0</v>
      </c>
      <c r="AD62" s="366" t="n">
        <f aca="false">IF(AD57&gt;1,AD57*Assum!AD338,0)</f>
        <v>0</v>
      </c>
      <c r="AE62" s="366" t="n">
        <f aca="false">IF(AE57&gt;1,AE57*Assum!AE338,0)</f>
        <v>0</v>
      </c>
      <c r="AF62" s="366" t="n">
        <f aca="false">IF(AF57&gt;1,AF57*Assum!AF338,0)</f>
        <v>0</v>
      </c>
      <c r="AG62" s="366" t="n">
        <f aca="false">IF(AG57&gt;1,AG57*Assum!AG338,0)</f>
        <v>0</v>
      </c>
      <c r="AH62" s="366" t="n">
        <f aca="false">IF(AH57&gt;1,AH57*Assum!AH338,0)</f>
        <v>0</v>
      </c>
      <c r="AI62" s="366" t="n">
        <f aca="false">IF(AI57&gt;1,AI57*Assum!AI338,0)</f>
        <v>0</v>
      </c>
      <c r="AJ62" s="313"/>
      <c r="AK62" s="313"/>
      <c r="AL62" s="313"/>
      <c r="AM62" s="313"/>
      <c r="AN62" s="313"/>
      <c r="AO62" s="313"/>
      <c r="AP62" s="313"/>
      <c r="AQ62" s="313"/>
      <c r="AR62" s="313"/>
      <c r="AS62" s="313"/>
      <c r="AT62" s="313"/>
      <c r="AU62" s="313"/>
      <c r="AV62" s="313"/>
      <c r="AW62" s="313"/>
      <c r="AX62" s="313"/>
      <c r="AY62" s="313"/>
      <c r="AZ62" s="313"/>
      <c r="BA62" s="313"/>
      <c r="BB62" s="313"/>
      <c r="BC62" s="313"/>
      <c r="BD62" s="313"/>
      <c r="BE62" s="313"/>
      <c r="BF62" s="313"/>
      <c r="BG62" s="313"/>
      <c r="BH62" s="313"/>
      <c r="BI62" s="313"/>
      <c r="BJ62" s="313"/>
      <c r="BK62" s="313"/>
      <c r="BL62" s="313"/>
      <c r="BM62" s="313"/>
      <c r="BN62" s="313"/>
      <c r="BO62" s="313"/>
      <c r="BP62" s="313"/>
      <c r="BQ62" s="313"/>
      <c r="BR62" s="313"/>
      <c r="BS62" s="313"/>
      <c r="BT62" s="313"/>
      <c r="BU62" s="313"/>
      <c r="BV62" s="313"/>
      <c r="BW62" s="313"/>
      <c r="BX62" s="313"/>
      <c r="BY62" s="313"/>
      <c r="BZ62" s="313"/>
      <c r="CA62" s="313"/>
      <c r="CB62" s="313"/>
      <c r="CC62" s="313"/>
      <c r="CD62" s="313"/>
      <c r="CE62" s="313"/>
      <c r="CF62" s="313"/>
      <c r="CG62" s="313"/>
      <c r="CH62" s="313"/>
      <c r="CI62" s="313"/>
      <c r="CJ62" s="313"/>
      <c r="CK62" s="313"/>
      <c r="CL62" s="313"/>
      <c r="CM62" s="313"/>
      <c r="CN62" s="313"/>
      <c r="CO62" s="313"/>
      <c r="CP62" s="313"/>
      <c r="CQ62" s="313"/>
      <c r="CR62" s="313"/>
      <c r="CS62" s="313"/>
      <c r="CT62" s="313"/>
      <c r="CU62" s="313"/>
      <c r="CV62" s="313"/>
      <c r="CW62" s="313"/>
      <c r="CX62" s="313"/>
      <c r="CY62" s="313"/>
      <c r="CZ62" s="313"/>
      <c r="DA62" s="313"/>
      <c r="DB62" s="313"/>
      <c r="DC62" s="313"/>
      <c r="DD62" s="313"/>
      <c r="DE62" s="313"/>
      <c r="DF62" s="313"/>
      <c r="DG62" s="313"/>
      <c r="DH62" s="313"/>
      <c r="DI62" s="313"/>
      <c r="DJ62" s="313"/>
      <c r="DK62" s="313"/>
      <c r="DL62" s="313"/>
      <c r="DM62" s="313"/>
      <c r="DN62" s="313"/>
      <c r="DO62" s="313"/>
      <c r="DP62" s="313"/>
      <c r="DQ62" s="313"/>
      <c r="DR62" s="313"/>
      <c r="DS62" s="313"/>
      <c r="DT62" s="313"/>
      <c r="DU62" s="313"/>
      <c r="DV62" s="313"/>
      <c r="DW62" s="313"/>
      <c r="DX62" s="313"/>
      <c r="DY62" s="313"/>
      <c r="DZ62" s="313"/>
      <c r="EA62" s="313"/>
      <c r="EB62" s="313"/>
      <c r="EC62" s="313"/>
      <c r="ED62" s="313"/>
      <c r="EE62" s="313"/>
      <c r="EF62" s="313"/>
      <c r="EG62" s="313"/>
      <c r="EH62" s="313"/>
      <c r="EI62" s="313"/>
      <c r="EJ62" s="313"/>
      <c r="EK62" s="313"/>
      <c r="EL62" s="313"/>
      <c r="EM62" s="313"/>
      <c r="EN62" s="313"/>
      <c r="EO62" s="313"/>
      <c r="EP62" s="313"/>
      <c r="EQ62" s="313"/>
      <c r="ER62" s="313"/>
      <c r="ES62" s="313"/>
      <c r="ET62" s="313"/>
      <c r="EU62" s="313"/>
      <c r="EV62" s="313"/>
      <c r="EW62" s="313"/>
      <c r="EX62" s="313"/>
      <c r="EY62" s="313"/>
      <c r="EZ62" s="313"/>
      <c r="FA62" s="313"/>
      <c r="FB62" s="313"/>
      <c r="FC62" s="313"/>
      <c r="FD62" s="313"/>
      <c r="FE62" s="313"/>
      <c r="FF62" s="313"/>
      <c r="FG62" s="313"/>
      <c r="FH62" s="313"/>
      <c r="FI62" s="313"/>
      <c r="FJ62" s="313"/>
      <c r="FK62" s="313"/>
      <c r="FL62" s="313"/>
      <c r="FM62" s="313"/>
      <c r="FN62" s="313"/>
      <c r="FO62" s="313"/>
      <c r="FP62" s="313"/>
      <c r="FQ62" s="313"/>
      <c r="FR62" s="313"/>
      <c r="FS62" s="313"/>
      <c r="FT62" s="313"/>
      <c r="FU62" s="313"/>
      <c r="FV62" s="313"/>
      <c r="FW62" s="313"/>
      <c r="FX62" s="313"/>
      <c r="FY62" s="313"/>
      <c r="FZ62" s="313"/>
      <c r="GA62" s="313"/>
      <c r="GB62" s="313"/>
      <c r="GC62" s="313"/>
      <c r="GD62" s="313"/>
      <c r="GE62" s="313"/>
      <c r="GF62" s="313"/>
      <c r="GG62" s="313"/>
      <c r="GH62" s="313"/>
      <c r="GI62" s="313"/>
      <c r="GJ62" s="313"/>
      <c r="GK62" s="313"/>
      <c r="GL62" s="313"/>
      <c r="GM62" s="313"/>
      <c r="GN62" s="313"/>
      <c r="GO62" s="313"/>
      <c r="GP62" s="313"/>
      <c r="GQ62" s="313"/>
      <c r="GR62" s="313"/>
      <c r="GS62" s="313"/>
      <c r="GT62" s="313"/>
      <c r="GU62" s="313"/>
      <c r="GV62" s="313"/>
      <c r="GW62" s="313"/>
      <c r="GX62" s="313"/>
      <c r="GY62" s="313"/>
      <c r="GZ62" s="313"/>
      <c r="HA62" s="313"/>
      <c r="HB62" s="313"/>
      <c r="HC62" s="313"/>
      <c r="HD62" s="313"/>
      <c r="HE62" s="313"/>
      <c r="HF62" s="313"/>
      <c r="HG62" s="313"/>
      <c r="HH62" s="313"/>
      <c r="HI62" s="313"/>
      <c r="HJ62" s="313"/>
      <c r="HK62" s="313"/>
      <c r="HL62" s="313"/>
      <c r="HM62" s="313"/>
      <c r="HN62" s="313"/>
      <c r="HO62" s="313"/>
      <c r="HP62" s="313"/>
      <c r="HQ62" s="313"/>
      <c r="HR62" s="313"/>
      <c r="HS62" s="313"/>
      <c r="HT62" s="313"/>
      <c r="HU62" s="313"/>
      <c r="HV62" s="313"/>
      <c r="HW62" s="313"/>
      <c r="HX62" s="313"/>
      <c r="HY62" s="313"/>
      <c r="HZ62" s="313"/>
      <c r="IA62" s="313"/>
      <c r="IB62" s="313"/>
      <c r="IC62" s="313"/>
      <c r="ID62" s="313"/>
      <c r="IE62" s="313"/>
      <c r="IF62" s="313"/>
      <c r="IG62" s="313"/>
      <c r="IH62" s="313"/>
      <c r="II62" s="313"/>
      <c r="IJ62" s="313"/>
      <c r="IK62" s="313"/>
      <c r="IL62" s="313"/>
      <c r="IM62" s="313"/>
      <c r="IN62" s="313"/>
      <c r="IO62" s="313"/>
      <c r="IP62" s="313"/>
      <c r="IQ62" s="313"/>
      <c r="IR62" s="313"/>
      <c r="IS62" s="313"/>
      <c r="IT62" s="313"/>
      <c r="IU62" s="313"/>
      <c r="IV62" s="313"/>
      <c r="IW62" s="313"/>
    </row>
    <row r="63" customFormat="false" ht="13.5" hidden="false" customHeight="false" outlineLevel="0" collapsed="false">
      <c r="B63" s="732" t="s">
        <v>547</v>
      </c>
      <c r="C63" s="720"/>
      <c r="D63" s="720"/>
      <c r="E63" s="723" t="n">
        <f aca="false">E61+E62</f>
        <v>573.300936572961</v>
      </c>
      <c r="F63" s="723" t="n">
        <f aca="false">F61+F62</f>
        <v>571.607553384322</v>
      </c>
      <c r="G63" s="723" t="n">
        <f aca="false">G61+G62</f>
        <v>569.738018319113</v>
      </c>
      <c r="H63" s="723" t="n">
        <f aca="false">H61+H62</f>
        <v>567.626944867061</v>
      </c>
      <c r="I63" s="723" t="n">
        <f aca="false">I61+I62</f>
        <v>565.310185632573</v>
      </c>
      <c r="J63" s="723" t="n">
        <f aca="false">J61+J62</f>
        <v>562.879487597114</v>
      </c>
      <c r="K63" s="723" t="n">
        <f aca="false">K61+K62</f>
        <v>557.665789727338</v>
      </c>
      <c r="L63" s="723" t="n">
        <f aca="false">L61+L62</f>
        <v>552.22807750722</v>
      </c>
      <c r="M63" s="723" t="n">
        <f aca="false">M61+M62</f>
        <v>546.560279836952</v>
      </c>
      <c r="N63" s="723" t="n">
        <f aca="false">N61+N62</f>
        <v>540.393558379574</v>
      </c>
      <c r="O63" s="723" t="n">
        <f aca="false">O61+O62</f>
        <v>547.036344776273</v>
      </c>
      <c r="P63" s="723" t="n">
        <f aca="false">P61+P62</f>
        <v>540.436096296459</v>
      </c>
      <c r="Q63" s="723" t="n">
        <f aca="false">Q61+Q62</f>
        <v>533.321999723709</v>
      </c>
      <c r="R63" s="723" t="n">
        <f aca="false">R61+R62</f>
        <v>525.661489031909</v>
      </c>
      <c r="S63" s="723" t="n">
        <f aca="false">S61+S62</f>
        <v>517.395799501174</v>
      </c>
      <c r="T63" s="723" t="n">
        <f aca="false">T61+T62</f>
        <v>509.111721360887</v>
      </c>
      <c r="U63" s="723" t="n">
        <f aca="false">U61+U62</f>
        <v>590.594573693744</v>
      </c>
      <c r="V63" s="723" t="n">
        <f aca="false">V61+V62</f>
        <v>2030.82975075773</v>
      </c>
      <c r="W63" s="723" t="n">
        <f aca="false">W61+W62</f>
        <v>1999.73505602653</v>
      </c>
      <c r="X63" s="723" t="n">
        <f aca="false">X61+X62</f>
        <v>2166.2171441291</v>
      </c>
      <c r="Y63" s="723" t="n">
        <f aca="false">Y61+Y62</f>
        <v>0</v>
      </c>
      <c r="Z63" s="723" t="n">
        <f aca="false">Z61+Z62</f>
        <v>0</v>
      </c>
      <c r="AA63" s="723" t="n">
        <f aca="false">AA61+AA62</f>
        <v>0</v>
      </c>
      <c r="AB63" s="723" t="n">
        <f aca="false">AB61+AB62</f>
        <v>0</v>
      </c>
      <c r="AC63" s="723" t="n">
        <f aca="false">AC61+AC62</f>
        <v>0</v>
      </c>
      <c r="AD63" s="723" t="n">
        <f aca="false">AD61+AD62</f>
        <v>0</v>
      </c>
      <c r="AE63" s="723" t="n">
        <f aca="false">AE61+AE62</f>
        <v>0</v>
      </c>
      <c r="AF63" s="723" t="n">
        <f aca="false">AF61+AF62</f>
        <v>0</v>
      </c>
      <c r="AG63" s="723" t="n">
        <f aca="false">AG61+AG62</f>
        <v>0</v>
      </c>
      <c r="AH63" s="723" t="n">
        <f aca="false">AH61+AH62</f>
        <v>0</v>
      </c>
      <c r="AI63" s="723" t="n">
        <f aca="false">AI61+AI62</f>
        <v>0</v>
      </c>
      <c r="AJ63" s="313"/>
      <c r="AK63" s="313"/>
      <c r="AL63" s="313"/>
      <c r="AM63" s="313"/>
      <c r="AN63" s="313"/>
      <c r="AO63" s="313"/>
      <c r="AP63" s="313"/>
      <c r="AQ63" s="313"/>
      <c r="AR63" s="313"/>
      <c r="AS63" s="313"/>
      <c r="AT63" s="313"/>
      <c r="AU63" s="313"/>
      <c r="AV63" s="313"/>
      <c r="AW63" s="313"/>
      <c r="AX63" s="313"/>
      <c r="AY63" s="313"/>
      <c r="AZ63" s="313"/>
      <c r="BA63" s="313"/>
      <c r="BB63" s="313"/>
      <c r="BC63" s="313"/>
      <c r="BD63" s="313"/>
      <c r="BE63" s="313"/>
      <c r="BF63" s="313"/>
      <c r="BG63" s="313"/>
      <c r="BH63" s="313"/>
      <c r="BI63" s="313"/>
      <c r="BJ63" s="313"/>
      <c r="BK63" s="313"/>
      <c r="BL63" s="313"/>
      <c r="BM63" s="313"/>
      <c r="BN63" s="313"/>
      <c r="BO63" s="313"/>
      <c r="BP63" s="313"/>
      <c r="BQ63" s="313"/>
      <c r="BR63" s="313"/>
      <c r="BS63" s="313"/>
      <c r="BT63" s="313"/>
      <c r="BU63" s="313"/>
      <c r="BV63" s="313"/>
      <c r="BW63" s="313"/>
      <c r="BX63" s="313"/>
      <c r="BY63" s="313"/>
      <c r="BZ63" s="313"/>
      <c r="CA63" s="313"/>
      <c r="CB63" s="313"/>
      <c r="CC63" s="313"/>
      <c r="CD63" s="313"/>
      <c r="CE63" s="313"/>
      <c r="CF63" s="313"/>
      <c r="CG63" s="313"/>
      <c r="CH63" s="313"/>
      <c r="CI63" s="313"/>
      <c r="CJ63" s="313"/>
      <c r="CK63" s="313"/>
      <c r="CL63" s="313"/>
      <c r="CM63" s="313"/>
      <c r="CN63" s="313"/>
      <c r="CO63" s="313"/>
      <c r="CP63" s="313"/>
      <c r="CQ63" s="313"/>
      <c r="CR63" s="313"/>
      <c r="CS63" s="313"/>
      <c r="CT63" s="313"/>
      <c r="CU63" s="313"/>
      <c r="CV63" s="313"/>
      <c r="CW63" s="313"/>
      <c r="CX63" s="313"/>
      <c r="CY63" s="313"/>
      <c r="CZ63" s="313"/>
      <c r="DA63" s="313"/>
      <c r="DB63" s="313"/>
      <c r="DC63" s="313"/>
      <c r="DD63" s="313"/>
      <c r="DE63" s="313"/>
      <c r="DF63" s="313"/>
      <c r="DG63" s="313"/>
      <c r="DH63" s="313"/>
      <c r="DI63" s="313"/>
      <c r="DJ63" s="313"/>
      <c r="DK63" s="313"/>
      <c r="DL63" s="313"/>
      <c r="DM63" s="313"/>
      <c r="DN63" s="313"/>
      <c r="DO63" s="313"/>
      <c r="DP63" s="313"/>
      <c r="DQ63" s="313"/>
      <c r="DR63" s="313"/>
      <c r="DS63" s="313"/>
      <c r="DT63" s="313"/>
      <c r="DU63" s="313"/>
      <c r="DV63" s="313"/>
      <c r="DW63" s="313"/>
      <c r="DX63" s="313"/>
      <c r="DY63" s="313"/>
      <c r="DZ63" s="313"/>
      <c r="EA63" s="313"/>
      <c r="EB63" s="313"/>
      <c r="EC63" s="313"/>
      <c r="ED63" s="313"/>
      <c r="EE63" s="313"/>
      <c r="EF63" s="313"/>
      <c r="EG63" s="313"/>
      <c r="EH63" s="313"/>
      <c r="EI63" s="313"/>
      <c r="EJ63" s="313"/>
      <c r="EK63" s="313"/>
      <c r="EL63" s="313"/>
      <c r="EM63" s="313"/>
      <c r="EN63" s="313"/>
      <c r="EO63" s="313"/>
      <c r="EP63" s="313"/>
      <c r="EQ63" s="313"/>
      <c r="ER63" s="313"/>
      <c r="ES63" s="313"/>
      <c r="ET63" s="313"/>
      <c r="EU63" s="313"/>
      <c r="EV63" s="313"/>
      <c r="EW63" s="313"/>
      <c r="EX63" s="313"/>
      <c r="EY63" s="313"/>
      <c r="EZ63" s="313"/>
      <c r="FA63" s="313"/>
      <c r="FB63" s="313"/>
      <c r="FC63" s="313"/>
      <c r="FD63" s="313"/>
      <c r="FE63" s="313"/>
      <c r="FF63" s="313"/>
      <c r="FG63" s="313"/>
      <c r="FH63" s="313"/>
      <c r="FI63" s="313"/>
      <c r="FJ63" s="313"/>
      <c r="FK63" s="313"/>
      <c r="FL63" s="313"/>
      <c r="FM63" s="313"/>
      <c r="FN63" s="313"/>
      <c r="FO63" s="313"/>
      <c r="FP63" s="313"/>
      <c r="FQ63" s="313"/>
      <c r="FR63" s="313"/>
      <c r="FS63" s="313"/>
      <c r="FT63" s="313"/>
      <c r="FU63" s="313"/>
      <c r="FV63" s="313"/>
      <c r="FW63" s="313"/>
      <c r="FX63" s="313"/>
      <c r="FY63" s="313"/>
      <c r="FZ63" s="313"/>
      <c r="GA63" s="313"/>
      <c r="GB63" s="313"/>
      <c r="GC63" s="313"/>
      <c r="GD63" s="313"/>
      <c r="GE63" s="313"/>
      <c r="GF63" s="313"/>
      <c r="GG63" s="313"/>
      <c r="GH63" s="313"/>
      <c r="GI63" s="313"/>
      <c r="GJ63" s="313"/>
      <c r="GK63" s="313"/>
      <c r="GL63" s="313"/>
      <c r="GM63" s="313"/>
      <c r="GN63" s="313"/>
      <c r="GO63" s="313"/>
      <c r="GP63" s="313"/>
      <c r="GQ63" s="313"/>
      <c r="GR63" s="313"/>
      <c r="GS63" s="313"/>
      <c r="GT63" s="313"/>
      <c r="GU63" s="313"/>
      <c r="GV63" s="313"/>
      <c r="GW63" s="313"/>
      <c r="GX63" s="313"/>
      <c r="GY63" s="313"/>
      <c r="GZ63" s="313"/>
      <c r="HA63" s="313"/>
      <c r="HB63" s="313"/>
      <c r="HC63" s="313"/>
      <c r="HD63" s="313"/>
      <c r="HE63" s="313"/>
      <c r="HF63" s="313"/>
      <c r="HG63" s="313"/>
      <c r="HH63" s="313"/>
      <c r="HI63" s="313"/>
      <c r="HJ63" s="313"/>
      <c r="HK63" s="313"/>
      <c r="HL63" s="313"/>
      <c r="HM63" s="313"/>
      <c r="HN63" s="313"/>
      <c r="HO63" s="313"/>
      <c r="HP63" s="313"/>
      <c r="HQ63" s="313"/>
      <c r="HR63" s="313"/>
      <c r="HS63" s="313"/>
      <c r="HT63" s="313"/>
      <c r="HU63" s="313"/>
      <c r="HV63" s="313"/>
      <c r="HW63" s="313"/>
      <c r="HX63" s="313"/>
      <c r="HY63" s="313"/>
      <c r="HZ63" s="313"/>
      <c r="IA63" s="313"/>
      <c r="IB63" s="313"/>
      <c r="IC63" s="313"/>
      <c r="ID63" s="313"/>
      <c r="IE63" s="313"/>
      <c r="IF63" s="313"/>
      <c r="IG63" s="313"/>
      <c r="IH63" s="313"/>
      <c r="II63" s="313"/>
      <c r="IJ63" s="313"/>
      <c r="IK63" s="313"/>
      <c r="IL63" s="313"/>
      <c r="IM63" s="313"/>
      <c r="IN63" s="313"/>
      <c r="IO63" s="313"/>
      <c r="IP63" s="313"/>
      <c r="IQ63" s="313"/>
      <c r="IR63" s="313"/>
      <c r="IS63" s="313"/>
      <c r="IT63" s="313"/>
      <c r="IU63" s="313"/>
      <c r="IV63" s="313"/>
      <c r="IW63" s="313"/>
    </row>
    <row r="64" customFormat="false" ht="13.5" hidden="false" customHeight="false" outlineLevel="0" collapsed="false"/>
    <row r="65" customFormat="false" ht="12.75" hidden="false" customHeight="false" outlineLevel="0" collapsed="false">
      <c r="A65" s="733" t="s">
        <v>319</v>
      </c>
      <c r="B65" s="734" t="s">
        <v>548</v>
      </c>
      <c r="E65" s="735" t="n">
        <f aca="false">Assum!E220</f>
        <v>0.018</v>
      </c>
      <c r="F65" s="735" t="n">
        <f aca="false">Assum!F220</f>
        <v>0.019</v>
      </c>
      <c r="G65" s="735" t="n">
        <f aca="false">Assum!G220</f>
        <v>0.019</v>
      </c>
      <c r="H65" s="735" t="n">
        <f aca="false">Assum!H220</f>
        <v>0.019</v>
      </c>
      <c r="I65" s="735" t="n">
        <f aca="false">Assum!I220</f>
        <v>0.02</v>
      </c>
      <c r="J65" s="735" t="n">
        <f aca="false">Assum!J220</f>
        <v>0.02</v>
      </c>
      <c r="K65" s="735" t="n">
        <f aca="false">Assum!K220</f>
        <v>0.021</v>
      </c>
      <c r="L65" s="735" t="n">
        <f aca="false">Assum!L220</f>
        <v>0.021</v>
      </c>
      <c r="M65" s="735" t="n">
        <f aca="false">Assum!M220</f>
        <v>0.021</v>
      </c>
      <c r="N65" s="735" t="n">
        <f aca="false">Assum!N220</f>
        <v>0.022</v>
      </c>
      <c r="O65" s="735" t="n">
        <f aca="false">Assum!O220</f>
        <v>0.022</v>
      </c>
      <c r="P65" s="735" t="n">
        <f aca="false">Assum!P220</f>
        <v>0</v>
      </c>
      <c r="Q65" s="735" t="n">
        <f aca="false">Assum!Q220</f>
        <v>0</v>
      </c>
      <c r="R65" s="735" t="n">
        <f aca="false">Assum!R220</f>
        <v>0</v>
      </c>
      <c r="S65" s="735" t="n">
        <f aca="false">Assum!S220</f>
        <v>0</v>
      </c>
      <c r="T65" s="735" t="n">
        <f aca="false">Assum!T220</f>
        <v>0</v>
      </c>
      <c r="U65" s="735" t="n">
        <f aca="false">Assum!U220</f>
        <v>0</v>
      </c>
      <c r="V65" s="735" t="n">
        <f aca="false">Assum!V220</f>
        <v>0</v>
      </c>
      <c r="W65" s="735" t="n">
        <f aca="false">Assum!W220</f>
        <v>0</v>
      </c>
      <c r="X65" s="735" t="n">
        <f aca="false">Assum!X220</f>
        <v>0</v>
      </c>
      <c r="Y65" s="735" t="n">
        <f aca="false">Assum!Y220</f>
        <v>0</v>
      </c>
      <c r="Z65" s="735" t="n">
        <f aca="false">Assum!Z220</f>
        <v>0</v>
      </c>
      <c r="AA65" s="735" t="n">
        <f aca="false">Assum!AA220</f>
        <v>0</v>
      </c>
      <c r="AB65" s="735" t="n">
        <f aca="false">Assum!AB220</f>
        <v>0</v>
      </c>
      <c r="AC65" s="735" t="n">
        <f aca="false">Assum!AC220</f>
        <v>0</v>
      </c>
      <c r="AD65" s="735" t="n">
        <f aca="false">Assum!AD220</f>
        <v>0</v>
      </c>
      <c r="AE65" s="735" t="n">
        <f aca="false">Assum!AE220</f>
        <v>0</v>
      </c>
      <c r="AF65" s="735" t="n">
        <f aca="false">Assum!AF220</f>
        <v>0</v>
      </c>
      <c r="AG65" s="735" t="n">
        <f aca="false">Assum!AG220</f>
        <v>0</v>
      </c>
      <c r="AH65" s="735" t="n">
        <f aca="false">Assum!AH220</f>
        <v>0</v>
      </c>
      <c r="AI65" s="734"/>
      <c r="AJ65" s="734"/>
      <c r="AK65" s="734"/>
      <c r="AL65" s="734"/>
      <c r="AM65" s="734"/>
      <c r="AN65" s="734"/>
      <c r="AO65" s="734"/>
      <c r="AP65" s="734"/>
      <c r="AQ65" s="734"/>
      <c r="AR65" s="734"/>
      <c r="AS65" s="734"/>
      <c r="AT65" s="734"/>
      <c r="AU65" s="734"/>
      <c r="AV65" s="734"/>
      <c r="AW65" s="734"/>
      <c r="AX65" s="734"/>
      <c r="AY65" s="734"/>
      <c r="AZ65" s="734"/>
      <c r="BA65" s="734"/>
      <c r="BB65" s="734"/>
      <c r="BC65" s="734"/>
      <c r="BD65" s="734"/>
      <c r="BE65" s="734"/>
      <c r="BF65" s="734"/>
      <c r="BG65" s="734"/>
      <c r="BH65" s="734"/>
      <c r="BI65" s="734"/>
      <c r="BJ65" s="734"/>
      <c r="BK65" s="734"/>
      <c r="BL65" s="734"/>
      <c r="BM65" s="734"/>
      <c r="BN65" s="734"/>
      <c r="BO65" s="734"/>
      <c r="BP65" s="734"/>
      <c r="BQ65" s="734"/>
      <c r="BR65" s="734"/>
      <c r="BS65" s="734"/>
      <c r="BT65" s="734"/>
      <c r="BU65" s="734"/>
      <c r="BV65" s="734"/>
      <c r="BW65" s="734"/>
      <c r="BX65" s="734"/>
      <c r="BY65" s="734"/>
      <c r="BZ65" s="734"/>
      <c r="CA65" s="734"/>
      <c r="CB65" s="734"/>
      <c r="CC65" s="734"/>
      <c r="CD65" s="734"/>
      <c r="CE65" s="734"/>
      <c r="CF65" s="734"/>
      <c r="CG65" s="734"/>
      <c r="CH65" s="734"/>
      <c r="CI65" s="734"/>
      <c r="CJ65" s="734"/>
      <c r="CK65" s="734"/>
      <c r="CL65" s="734"/>
      <c r="CM65" s="734"/>
      <c r="CN65" s="734"/>
      <c r="CO65" s="734"/>
      <c r="CP65" s="734"/>
      <c r="CQ65" s="734"/>
      <c r="CR65" s="734"/>
      <c r="CS65" s="734"/>
      <c r="CT65" s="734"/>
      <c r="CU65" s="734"/>
      <c r="CV65" s="734"/>
      <c r="CW65" s="734"/>
      <c r="CX65" s="734"/>
      <c r="CY65" s="734"/>
      <c r="CZ65" s="734"/>
      <c r="DA65" s="734"/>
      <c r="DB65" s="734"/>
      <c r="DC65" s="734"/>
      <c r="DD65" s="734"/>
      <c r="DE65" s="734"/>
      <c r="DF65" s="734"/>
      <c r="DG65" s="734"/>
      <c r="DH65" s="734"/>
      <c r="DI65" s="734"/>
      <c r="DJ65" s="734"/>
      <c r="DK65" s="734"/>
      <c r="DL65" s="734"/>
      <c r="DM65" s="734"/>
      <c r="DN65" s="734"/>
      <c r="DO65" s="734"/>
      <c r="DP65" s="734"/>
      <c r="DQ65" s="734"/>
      <c r="DR65" s="734"/>
      <c r="DS65" s="734"/>
      <c r="DT65" s="734"/>
      <c r="DU65" s="734"/>
      <c r="DV65" s="734"/>
      <c r="DW65" s="734"/>
      <c r="DX65" s="734"/>
      <c r="DY65" s="734"/>
      <c r="DZ65" s="734"/>
      <c r="EA65" s="734"/>
      <c r="EB65" s="734"/>
      <c r="EC65" s="734"/>
      <c r="ED65" s="734"/>
      <c r="EE65" s="734"/>
      <c r="EF65" s="734"/>
      <c r="EG65" s="734"/>
      <c r="EH65" s="734"/>
      <c r="EI65" s="734"/>
      <c r="EJ65" s="734"/>
      <c r="EK65" s="734"/>
      <c r="EL65" s="734"/>
      <c r="EM65" s="734"/>
      <c r="EN65" s="734"/>
      <c r="EO65" s="734"/>
      <c r="EP65" s="734"/>
      <c r="EQ65" s="734"/>
      <c r="ER65" s="734"/>
      <c r="ES65" s="734"/>
      <c r="ET65" s="734"/>
      <c r="EU65" s="734"/>
      <c r="EV65" s="734"/>
      <c r="EW65" s="734"/>
      <c r="EX65" s="734"/>
      <c r="EY65" s="734"/>
      <c r="EZ65" s="734"/>
      <c r="FA65" s="734"/>
      <c r="FB65" s="734"/>
      <c r="FC65" s="734"/>
      <c r="FD65" s="734"/>
      <c r="FE65" s="734"/>
      <c r="FF65" s="734"/>
      <c r="FG65" s="734"/>
      <c r="FH65" s="734"/>
      <c r="FI65" s="734"/>
      <c r="FJ65" s="734"/>
      <c r="FK65" s="734"/>
      <c r="FL65" s="734"/>
      <c r="FM65" s="734"/>
      <c r="FN65" s="734"/>
      <c r="FO65" s="734"/>
      <c r="FP65" s="734"/>
      <c r="FQ65" s="734"/>
      <c r="FR65" s="734"/>
      <c r="FS65" s="734"/>
      <c r="FT65" s="734"/>
      <c r="FU65" s="734"/>
      <c r="FV65" s="734"/>
      <c r="FW65" s="734"/>
      <c r="FX65" s="734"/>
      <c r="FY65" s="734"/>
      <c r="FZ65" s="734"/>
      <c r="GA65" s="734"/>
      <c r="GB65" s="734"/>
      <c r="GC65" s="734"/>
      <c r="GD65" s="734"/>
      <c r="GE65" s="734"/>
      <c r="GF65" s="734"/>
      <c r="GG65" s="734"/>
      <c r="GH65" s="734"/>
      <c r="GI65" s="734"/>
      <c r="GJ65" s="734"/>
      <c r="GK65" s="734"/>
      <c r="GL65" s="734"/>
      <c r="GM65" s="734"/>
      <c r="GN65" s="734"/>
      <c r="GO65" s="734"/>
      <c r="GP65" s="734"/>
      <c r="GQ65" s="734"/>
      <c r="GR65" s="734"/>
      <c r="GS65" s="734"/>
      <c r="GT65" s="734"/>
      <c r="GU65" s="734"/>
      <c r="GV65" s="734"/>
      <c r="GW65" s="734"/>
      <c r="GX65" s="734"/>
      <c r="GY65" s="734"/>
      <c r="GZ65" s="734"/>
      <c r="HA65" s="734"/>
      <c r="HB65" s="734"/>
      <c r="HC65" s="734"/>
      <c r="HD65" s="734"/>
      <c r="HE65" s="734"/>
      <c r="HF65" s="734"/>
      <c r="HG65" s="734"/>
      <c r="HH65" s="734"/>
      <c r="HI65" s="734"/>
      <c r="HJ65" s="734"/>
      <c r="HK65" s="734"/>
      <c r="HL65" s="734"/>
      <c r="HM65" s="734"/>
      <c r="HN65" s="734"/>
      <c r="HO65" s="734"/>
      <c r="HP65" s="734"/>
      <c r="HQ65" s="734"/>
      <c r="HR65" s="734"/>
      <c r="HS65" s="734"/>
      <c r="HT65" s="734"/>
      <c r="HU65" s="734"/>
      <c r="HV65" s="734"/>
      <c r="HW65" s="734"/>
      <c r="HX65" s="734"/>
      <c r="HY65" s="734"/>
      <c r="HZ65" s="734"/>
      <c r="IA65" s="734"/>
      <c r="IB65" s="734"/>
      <c r="IC65" s="734"/>
      <c r="ID65" s="734"/>
      <c r="IE65" s="734"/>
      <c r="IF65" s="734"/>
      <c r="IG65" s="734"/>
      <c r="IH65" s="734"/>
      <c r="II65" s="734"/>
      <c r="IJ65" s="734"/>
      <c r="IK65" s="734"/>
      <c r="IL65" s="734"/>
      <c r="IM65" s="734"/>
      <c r="IN65" s="734"/>
      <c r="IO65" s="734"/>
      <c r="IP65" s="734"/>
      <c r="IQ65" s="734"/>
      <c r="IR65" s="734"/>
      <c r="IS65" s="734"/>
      <c r="IT65" s="734"/>
      <c r="IU65" s="734"/>
      <c r="IV65" s="734"/>
      <c r="IW65" s="734"/>
    </row>
    <row r="66" customFormat="false" ht="12.75" hidden="false" customHeight="false" outlineLevel="0" collapsed="false">
      <c r="A66" s="736"/>
      <c r="B66" s="737" t="s">
        <v>549</v>
      </c>
      <c r="C66" s="313"/>
      <c r="D66" s="313"/>
      <c r="E66" s="738" t="n">
        <f aca="false">E65*CashFlow!E7*$E$4</f>
        <v>2291.11065638161</v>
      </c>
      <c r="F66" s="738" t="n">
        <f aca="false">F65*CashFlow!F7*$E$4</f>
        <v>2418.39458173614</v>
      </c>
      <c r="G66" s="738" t="n">
        <f aca="false">G65*CashFlow!G7*$E$4</f>
        <v>2418.39458173614</v>
      </c>
      <c r="H66" s="738" t="n">
        <f aca="false">H65*CashFlow!H7*$E$4</f>
        <v>2418.39458173614</v>
      </c>
      <c r="I66" s="738" t="n">
        <f aca="false">I65*CashFlow!I7*$E$4</f>
        <v>2545.67850709067</v>
      </c>
      <c r="J66" s="738" t="n">
        <f aca="false">J65*CashFlow!J7*$E$4</f>
        <v>2545.67850709067</v>
      </c>
      <c r="K66" s="738" t="n">
        <f aca="false">K65*CashFlow!K7*$E$4</f>
        <v>2672.96243244521</v>
      </c>
      <c r="L66" s="738" t="n">
        <f aca="false">L65*CashFlow!L7*$E$4</f>
        <v>2672.96243244521</v>
      </c>
      <c r="M66" s="738" t="n">
        <f aca="false">M65*CashFlow!M7*$E$4</f>
        <v>2672.96243244521</v>
      </c>
      <c r="N66" s="738" t="n">
        <f aca="false">N65*CashFlow!N7*$E$4</f>
        <v>2800.24635779974</v>
      </c>
      <c r="O66" s="738" t="n">
        <f aca="false">O65*CashFlow!O7*$E$4*(1-Assum!H23)</f>
        <v>0</v>
      </c>
      <c r="P66" s="738" t="n">
        <f aca="false">P65*CashFlow!P7*$E$4</f>
        <v>0</v>
      </c>
      <c r="Q66" s="738" t="n">
        <f aca="false">Q65*CashFlow!Q7*$E$4</f>
        <v>0</v>
      </c>
      <c r="R66" s="738" t="n">
        <f aca="false">R65*CashFlow!R7*$E$4</f>
        <v>0</v>
      </c>
      <c r="S66" s="738" t="n">
        <f aca="false">S65*CashFlow!S7*$E$4</f>
        <v>0</v>
      </c>
      <c r="T66" s="738" t="n">
        <f aca="false">T65*CashFlow!T7*$E$4</f>
        <v>0</v>
      </c>
      <c r="U66" s="738" t="n">
        <f aca="false">U65*CashFlow!U7*$E$4</f>
        <v>0</v>
      </c>
      <c r="V66" s="738" t="n">
        <f aca="false">V65*CashFlow!V7*$E$4</f>
        <v>0</v>
      </c>
      <c r="W66" s="738" t="n">
        <f aca="false">W65*CashFlow!W7*$E$4</f>
        <v>0</v>
      </c>
      <c r="X66" s="738" t="n">
        <f aca="false">X65*CashFlow!X7*$E$4</f>
        <v>0</v>
      </c>
      <c r="Y66" s="738" t="n">
        <f aca="false">Y65*CashFlow!Y7*$E$4</f>
        <v>0</v>
      </c>
      <c r="Z66" s="738" t="n">
        <f aca="false">Z65*CashFlow!Z7*$E$4</f>
        <v>0</v>
      </c>
      <c r="AA66" s="738" t="n">
        <f aca="false">AA65*CashFlow!AA7*Assum!$F$21</f>
        <v>0</v>
      </c>
      <c r="AB66" s="738" t="n">
        <f aca="false">AB65*CashFlow!AB7*Assum!$F$21</f>
        <v>0</v>
      </c>
      <c r="AC66" s="738" t="n">
        <f aca="false">AC65*CashFlow!AC7*Assum!$F$21</f>
        <v>0</v>
      </c>
      <c r="AD66" s="738" t="n">
        <f aca="false">AD65*CashFlow!AD7*Assum!$F$21</f>
        <v>0</v>
      </c>
      <c r="AE66" s="738" t="n">
        <f aca="false">AE65*CashFlow!AE7*Assum!$F$21</f>
        <v>0</v>
      </c>
      <c r="AF66" s="738" t="n">
        <f aca="false">AF65*CashFlow!AF7*Assum!$F$21</f>
        <v>0</v>
      </c>
      <c r="AG66" s="738" t="n">
        <f aca="false">AG65*CashFlow!AG7*Assum!$F$21</f>
        <v>0</v>
      </c>
      <c r="AH66" s="738" t="n">
        <f aca="false">AH65*CashFlow!AH7*Assum!$F$21</f>
        <v>0</v>
      </c>
      <c r="AI66" s="737"/>
      <c r="AJ66" s="737"/>
      <c r="AK66" s="737"/>
      <c r="AL66" s="737"/>
      <c r="AM66" s="737"/>
      <c r="AN66" s="737"/>
      <c r="AO66" s="737"/>
      <c r="AP66" s="737"/>
      <c r="AQ66" s="737"/>
      <c r="AR66" s="737"/>
      <c r="AS66" s="737"/>
      <c r="AT66" s="737"/>
      <c r="AU66" s="737"/>
      <c r="AV66" s="737"/>
      <c r="AW66" s="737"/>
      <c r="AX66" s="737"/>
      <c r="AY66" s="737"/>
      <c r="AZ66" s="737"/>
      <c r="BA66" s="737"/>
      <c r="BB66" s="737"/>
      <c r="BC66" s="737"/>
      <c r="BD66" s="737"/>
      <c r="BE66" s="737"/>
      <c r="BF66" s="737"/>
      <c r="BG66" s="737"/>
      <c r="BH66" s="737"/>
      <c r="BI66" s="737"/>
      <c r="BJ66" s="737"/>
      <c r="BK66" s="737"/>
      <c r="BL66" s="737"/>
      <c r="BM66" s="737"/>
      <c r="BN66" s="737"/>
      <c r="BO66" s="737"/>
      <c r="BP66" s="737"/>
      <c r="BQ66" s="737"/>
      <c r="BR66" s="737"/>
      <c r="BS66" s="737"/>
      <c r="BT66" s="737"/>
      <c r="BU66" s="737"/>
      <c r="BV66" s="737"/>
      <c r="BW66" s="737"/>
      <c r="BX66" s="737"/>
      <c r="BY66" s="737"/>
      <c r="BZ66" s="737"/>
      <c r="CA66" s="737"/>
      <c r="CB66" s="737"/>
      <c r="CC66" s="737"/>
      <c r="CD66" s="737"/>
      <c r="CE66" s="737"/>
      <c r="CF66" s="737"/>
      <c r="CG66" s="737"/>
      <c r="CH66" s="737"/>
      <c r="CI66" s="737"/>
      <c r="CJ66" s="737"/>
      <c r="CK66" s="737"/>
      <c r="CL66" s="737"/>
      <c r="CM66" s="737"/>
      <c r="CN66" s="737"/>
      <c r="CO66" s="737"/>
      <c r="CP66" s="737"/>
      <c r="CQ66" s="737"/>
      <c r="CR66" s="737"/>
      <c r="CS66" s="737"/>
      <c r="CT66" s="737"/>
      <c r="CU66" s="737"/>
      <c r="CV66" s="737"/>
      <c r="CW66" s="737"/>
      <c r="CX66" s="737"/>
      <c r="CY66" s="737"/>
      <c r="CZ66" s="737"/>
      <c r="DA66" s="737"/>
      <c r="DB66" s="737"/>
      <c r="DC66" s="737"/>
      <c r="DD66" s="737"/>
      <c r="DE66" s="737"/>
      <c r="DF66" s="737"/>
      <c r="DG66" s="737"/>
      <c r="DH66" s="737"/>
      <c r="DI66" s="737"/>
      <c r="DJ66" s="737"/>
      <c r="DK66" s="737"/>
      <c r="DL66" s="737"/>
      <c r="DM66" s="737"/>
      <c r="DN66" s="737"/>
      <c r="DO66" s="737"/>
      <c r="DP66" s="737"/>
      <c r="DQ66" s="737"/>
      <c r="DR66" s="737"/>
      <c r="DS66" s="737"/>
      <c r="DT66" s="737"/>
      <c r="DU66" s="737"/>
      <c r="DV66" s="737"/>
      <c r="DW66" s="737"/>
      <c r="DX66" s="737"/>
      <c r="DY66" s="737"/>
      <c r="DZ66" s="737"/>
      <c r="EA66" s="737"/>
      <c r="EB66" s="737"/>
      <c r="EC66" s="737"/>
      <c r="ED66" s="737"/>
      <c r="EE66" s="737"/>
      <c r="EF66" s="737"/>
      <c r="EG66" s="737"/>
      <c r="EH66" s="737"/>
      <c r="EI66" s="737"/>
      <c r="EJ66" s="737"/>
      <c r="EK66" s="737"/>
      <c r="EL66" s="737"/>
      <c r="EM66" s="737"/>
      <c r="EN66" s="737"/>
      <c r="EO66" s="737"/>
      <c r="EP66" s="737"/>
      <c r="EQ66" s="737"/>
      <c r="ER66" s="737"/>
      <c r="ES66" s="737"/>
      <c r="ET66" s="737"/>
      <c r="EU66" s="737"/>
      <c r="EV66" s="737"/>
      <c r="EW66" s="737"/>
      <c r="EX66" s="737"/>
      <c r="EY66" s="737"/>
      <c r="EZ66" s="737"/>
      <c r="FA66" s="737"/>
      <c r="FB66" s="737"/>
      <c r="FC66" s="737"/>
      <c r="FD66" s="737"/>
      <c r="FE66" s="737"/>
      <c r="FF66" s="737"/>
      <c r="FG66" s="737"/>
      <c r="FH66" s="737"/>
      <c r="FI66" s="737"/>
      <c r="FJ66" s="737"/>
      <c r="FK66" s="737"/>
      <c r="FL66" s="737"/>
      <c r="FM66" s="737"/>
      <c r="FN66" s="737"/>
      <c r="FO66" s="737"/>
      <c r="FP66" s="737"/>
      <c r="FQ66" s="737"/>
      <c r="FR66" s="737"/>
      <c r="FS66" s="737"/>
      <c r="FT66" s="737"/>
      <c r="FU66" s="737"/>
      <c r="FV66" s="737"/>
      <c r="FW66" s="737"/>
      <c r="FX66" s="737"/>
      <c r="FY66" s="737"/>
      <c r="FZ66" s="737"/>
      <c r="GA66" s="737"/>
      <c r="GB66" s="737"/>
      <c r="GC66" s="737"/>
      <c r="GD66" s="737"/>
      <c r="GE66" s="737"/>
      <c r="GF66" s="737"/>
      <c r="GG66" s="737"/>
      <c r="GH66" s="737"/>
      <c r="GI66" s="737"/>
      <c r="GJ66" s="737"/>
      <c r="GK66" s="737"/>
      <c r="GL66" s="737"/>
      <c r="GM66" s="737"/>
      <c r="GN66" s="737"/>
      <c r="GO66" s="737"/>
      <c r="GP66" s="737"/>
      <c r="GQ66" s="737"/>
      <c r="GR66" s="737"/>
      <c r="GS66" s="737"/>
      <c r="GT66" s="737"/>
      <c r="GU66" s="737"/>
      <c r="GV66" s="737"/>
      <c r="GW66" s="737"/>
      <c r="GX66" s="737"/>
      <c r="GY66" s="737"/>
      <c r="GZ66" s="737"/>
      <c r="HA66" s="737"/>
      <c r="HB66" s="737"/>
      <c r="HC66" s="737"/>
      <c r="HD66" s="737"/>
      <c r="HE66" s="737"/>
      <c r="HF66" s="737"/>
      <c r="HG66" s="737"/>
      <c r="HH66" s="737"/>
      <c r="HI66" s="737"/>
      <c r="HJ66" s="737"/>
      <c r="HK66" s="737"/>
      <c r="HL66" s="737"/>
      <c r="HM66" s="737"/>
      <c r="HN66" s="737"/>
      <c r="HO66" s="737"/>
      <c r="HP66" s="737"/>
      <c r="HQ66" s="737"/>
      <c r="HR66" s="737"/>
      <c r="HS66" s="737"/>
      <c r="HT66" s="737"/>
      <c r="HU66" s="737"/>
      <c r="HV66" s="737"/>
      <c r="HW66" s="737"/>
      <c r="HX66" s="737"/>
      <c r="HY66" s="737"/>
      <c r="HZ66" s="737"/>
      <c r="IA66" s="737"/>
      <c r="IB66" s="737"/>
      <c r="IC66" s="737"/>
      <c r="ID66" s="737"/>
      <c r="IE66" s="737"/>
      <c r="IF66" s="737"/>
      <c r="IG66" s="737"/>
      <c r="IH66" s="737"/>
      <c r="II66" s="737"/>
      <c r="IJ66" s="737"/>
      <c r="IK66" s="737"/>
      <c r="IL66" s="737"/>
      <c r="IM66" s="737"/>
      <c r="IN66" s="737"/>
      <c r="IO66" s="737"/>
      <c r="IP66" s="737"/>
      <c r="IQ66" s="737"/>
      <c r="IR66" s="737"/>
      <c r="IS66" s="737"/>
      <c r="IT66" s="737"/>
      <c r="IU66" s="737"/>
      <c r="IV66" s="737"/>
      <c r="IW66" s="737"/>
    </row>
    <row r="67" customFormat="false" ht="12.75" hidden="false" customHeight="false" outlineLevel="0" collapsed="false">
      <c r="A67" s="327"/>
      <c r="P67" s="59"/>
    </row>
    <row r="68" customFormat="false" ht="12.75" hidden="false" customHeight="false" outlineLevel="0" collapsed="false">
      <c r="A68" s="736"/>
      <c r="B68" s="739" t="s">
        <v>550</v>
      </c>
      <c r="C68" s="737"/>
      <c r="D68" s="313"/>
      <c r="E68" s="740" t="n">
        <f aca="false">SUM(E47:E48)-E41</f>
        <v>-573.300936572961</v>
      </c>
      <c r="F68" s="740" t="n">
        <f aca="false">SUM(F47:F48)-F41</f>
        <v>-571.607553384322</v>
      </c>
      <c r="G68" s="740" t="n">
        <f aca="false">SUM(G47:G48)-G41</f>
        <v>-569.738018319113</v>
      </c>
      <c r="H68" s="740" t="n">
        <f aca="false">SUM(H47:H48)-H41</f>
        <v>-567.626944867061</v>
      </c>
      <c r="I68" s="740" t="n">
        <f aca="false">SUM(I47:I48)-I41</f>
        <v>-565.310185632573</v>
      </c>
      <c r="J68" s="740" t="n">
        <f aca="false">SUM(J47:J48)-J41</f>
        <v>-562.879487597114</v>
      </c>
      <c r="K68" s="740" t="n">
        <f aca="false">SUM(K47:K48)-K41</f>
        <v>-557.665789727338</v>
      </c>
      <c r="L68" s="740" t="n">
        <f aca="false">SUM(L47:L48)-L41</f>
        <v>-552.22807750722</v>
      </c>
      <c r="M68" s="740" t="n">
        <f aca="false">SUM(M47:M48)-M41</f>
        <v>-546.560279836952</v>
      </c>
      <c r="N68" s="740" t="n">
        <f aca="false">SUM(N47:N48)-N41</f>
        <v>-540.393558379574</v>
      </c>
      <c r="O68" s="740" t="n">
        <f aca="false">SUM(O47:O48)-O41</f>
        <v>-547.036344776273</v>
      </c>
      <c r="P68" s="59"/>
    </row>
    <row r="69" customFormat="false" ht="12.75" hidden="false" customHeight="false" outlineLevel="0" collapsed="false">
      <c r="A69" s="327"/>
      <c r="B69" s="740" t="s">
        <v>551</v>
      </c>
      <c r="E69" s="740" t="n">
        <f aca="false">SUM(E42:E43)</f>
        <v>0</v>
      </c>
      <c r="F69" s="740" t="n">
        <f aca="false">SUM(F42:F43)</f>
        <v>0</v>
      </c>
      <c r="G69" s="740" t="n">
        <f aca="false">SUM(G42:G43)</f>
        <v>0</v>
      </c>
      <c r="H69" s="740" t="n">
        <f aca="false">SUM(H42:H43)</f>
        <v>0</v>
      </c>
      <c r="I69" s="740" t="n">
        <f aca="false">SUM(I42:I43)</f>
        <v>0</v>
      </c>
      <c r="J69" s="740" t="n">
        <f aca="false">SUM(J42:J43)</f>
        <v>0</v>
      </c>
      <c r="K69" s="740" t="n">
        <f aca="false">SUM(K42:K43)</f>
        <v>0</v>
      </c>
      <c r="L69" s="740" t="n">
        <f aca="false">SUM(L42:L43)</f>
        <v>0</v>
      </c>
      <c r="M69" s="740" t="n">
        <f aca="false">SUM(M42:M43)</f>
        <v>0</v>
      </c>
      <c r="N69" s="740" t="n">
        <f aca="false">SUM(N42:N43)</f>
        <v>0</v>
      </c>
      <c r="O69" s="740" t="n">
        <f aca="false">SUM(O42:O43)</f>
        <v>0</v>
      </c>
      <c r="P69" s="59"/>
    </row>
    <row r="70" customFormat="false" ht="12.75" hidden="false" customHeight="false" outlineLevel="0" collapsed="false">
      <c r="A70" s="327"/>
      <c r="B70" s="740" t="s">
        <v>552</v>
      </c>
      <c r="E70" s="741" t="str">
        <f aca="false">IF(E69=0,"N/A",E68/E69)</f>
        <v>N/A</v>
      </c>
      <c r="F70" s="741" t="str">
        <f aca="false">IF(F69=0,"N/A",F68/F69)</f>
        <v>N/A</v>
      </c>
      <c r="G70" s="741" t="str">
        <f aca="false">IF(G69=0,"N/A",G68/G69)</f>
        <v>N/A</v>
      </c>
      <c r="H70" s="741" t="str">
        <f aca="false">IF(H69=0,"N/A",H68/H69)</f>
        <v>N/A</v>
      </c>
      <c r="I70" s="741" t="str">
        <f aca="false">IF(I69=0,"N/A",I68/I69)</f>
        <v>N/A</v>
      </c>
      <c r="J70" s="741" t="str">
        <f aca="false">IF(J69=0,"N/A",J68/J69)</f>
        <v>N/A</v>
      </c>
      <c r="K70" s="741" t="str">
        <f aca="false">IF(K69=0,"N/A",K68/K69)</f>
        <v>N/A</v>
      </c>
      <c r="L70" s="741" t="str">
        <f aca="false">IF(L69=0,"N/A",L68/L69)</f>
        <v>N/A</v>
      </c>
      <c r="M70" s="741" t="str">
        <f aca="false">IF(M69=0,"N/A",M68/M69)</f>
        <v>N/A</v>
      </c>
      <c r="N70" s="741" t="str">
        <f aca="false">IF(N69=0,"N/A",N68/N69)</f>
        <v>N/A</v>
      </c>
      <c r="O70" s="741" t="str">
        <f aca="false">IF(O69=0,"N/A",O68/O69)</f>
        <v>N/A</v>
      </c>
      <c r="P70" s="59"/>
    </row>
    <row r="71" customFormat="false" ht="12.75" hidden="false" customHeight="false" outlineLevel="0" collapsed="false">
      <c r="A71" s="327"/>
      <c r="B71" s="740" t="s">
        <v>553</v>
      </c>
      <c r="E71" s="741" t="n">
        <f aca="false">E68/E66*Assum!E281</f>
        <v>-0</v>
      </c>
      <c r="F71" s="741" t="n">
        <f aca="false">F68/F66*Assum!F281</f>
        <v>-0</v>
      </c>
      <c r="G71" s="741" t="n">
        <f aca="false">G68/G66*Assum!G281</f>
        <v>-0</v>
      </c>
      <c r="H71" s="741" t="n">
        <f aca="false">H68/H66*Assum!H281</f>
        <v>-0</v>
      </c>
      <c r="I71" s="741" t="n">
        <f aca="false">I68/I66*Assum!I281</f>
        <v>-0</v>
      </c>
      <c r="J71" s="741" t="n">
        <f aca="false">J68/J66*Assum!J281</f>
        <v>-0</v>
      </c>
      <c r="K71" s="741" t="n">
        <f aca="false">K68/K66*Assum!K281</f>
        <v>-0</v>
      </c>
      <c r="L71" s="741" t="n">
        <f aca="false">L68/L66*Assum!L281</f>
        <v>-0</v>
      </c>
      <c r="M71" s="741" t="n">
        <f aca="false">M68/M66*Assum!M281</f>
        <v>-0</v>
      </c>
      <c r="N71" s="741" t="n">
        <f aca="false">N68/N66*Assum!N281</f>
        <v>-0</v>
      </c>
      <c r="O71" s="741" t="e">
        <f aca="false">O68/O66*Assum!O281</f>
        <v>#DIV/0!</v>
      </c>
      <c r="P71" s="59"/>
    </row>
    <row r="72" customFormat="false" ht="12.75" hidden="false" customHeight="false" outlineLevel="0" collapsed="false">
      <c r="A72" s="742"/>
      <c r="B72" s="743"/>
      <c r="C72" s="743"/>
      <c r="D72" s="743"/>
      <c r="E72" s="743"/>
      <c r="F72" s="743"/>
      <c r="G72" s="743"/>
      <c r="H72" s="743"/>
      <c r="I72" s="743"/>
      <c r="J72" s="743"/>
      <c r="K72" s="743"/>
      <c r="L72" s="743"/>
      <c r="M72" s="743"/>
      <c r="N72" s="743"/>
      <c r="O72" s="743"/>
      <c r="P72" s="743"/>
      <c r="Q72" s="744"/>
      <c r="R72" s="743"/>
      <c r="S72" s="743"/>
      <c r="T72" s="743"/>
      <c r="U72" s="743"/>
      <c r="V72" s="743"/>
      <c r="W72" s="743"/>
      <c r="X72" s="743"/>
      <c r="Y72" s="743"/>
      <c r="Z72" s="743"/>
      <c r="AA72" s="743"/>
      <c r="AB72" s="743"/>
      <c r="AC72" s="743"/>
      <c r="AD72" s="743"/>
      <c r="AE72" s="743"/>
      <c r="AF72" s="743"/>
      <c r="AG72" s="743"/>
      <c r="AH72" s="743"/>
      <c r="AI72" s="743"/>
      <c r="AJ72" s="743"/>
      <c r="AK72" s="743"/>
      <c r="AL72" s="743"/>
      <c r="AM72" s="743"/>
      <c r="AN72" s="743"/>
      <c r="AO72" s="743"/>
      <c r="AP72" s="743"/>
      <c r="AQ72" s="743"/>
      <c r="AR72" s="743"/>
      <c r="AS72" s="743"/>
      <c r="AT72" s="743"/>
      <c r="AU72" s="743"/>
      <c r="AV72" s="743"/>
      <c r="AW72" s="743"/>
      <c r="AX72" s="743"/>
      <c r="AY72" s="743"/>
      <c r="AZ72" s="743"/>
      <c r="BA72" s="743"/>
      <c r="BB72" s="743"/>
      <c r="BC72" s="743"/>
      <c r="BD72" s="743"/>
      <c r="BE72" s="743"/>
      <c r="BF72" s="743"/>
      <c r="BG72" s="743"/>
      <c r="BH72" s="743"/>
      <c r="BI72" s="743"/>
      <c r="BJ72" s="743"/>
      <c r="BK72" s="743"/>
      <c r="BL72" s="743"/>
      <c r="BM72" s="743"/>
      <c r="BN72" s="743"/>
      <c r="BO72" s="743"/>
      <c r="BP72" s="743"/>
      <c r="BQ72" s="743"/>
      <c r="BR72" s="743"/>
      <c r="BS72" s="743"/>
      <c r="BT72" s="743"/>
      <c r="BU72" s="743"/>
      <c r="BV72" s="743"/>
      <c r="BW72" s="743"/>
      <c r="BX72" s="743"/>
      <c r="BY72" s="743"/>
      <c r="BZ72" s="743"/>
      <c r="CA72" s="743"/>
      <c r="CB72" s="743"/>
      <c r="CC72" s="743"/>
      <c r="CD72" s="743"/>
      <c r="CE72" s="743"/>
      <c r="CF72" s="743"/>
      <c r="CG72" s="743"/>
      <c r="CH72" s="743"/>
      <c r="CI72" s="743"/>
      <c r="CJ72" s="743"/>
      <c r="CK72" s="743"/>
      <c r="CL72" s="743"/>
      <c r="CM72" s="743"/>
      <c r="CN72" s="743"/>
      <c r="CO72" s="743"/>
      <c r="CP72" s="743"/>
      <c r="CQ72" s="743"/>
      <c r="CR72" s="743"/>
      <c r="CS72" s="743"/>
      <c r="CT72" s="743"/>
      <c r="CU72" s="743"/>
      <c r="CV72" s="743"/>
      <c r="CW72" s="743"/>
      <c r="CX72" s="743"/>
      <c r="CY72" s="743"/>
      <c r="CZ72" s="743"/>
      <c r="DA72" s="743"/>
      <c r="DB72" s="743"/>
      <c r="DC72" s="743"/>
      <c r="DD72" s="743"/>
      <c r="DE72" s="743"/>
      <c r="DF72" s="743"/>
      <c r="DG72" s="743"/>
      <c r="DH72" s="743"/>
      <c r="DI72" s="743"/>
      <c r="DJ72" s="743"/>
      <c r="DK72" s="743"/>
      <c r="DL72" s="743"/>
      <c r="DM72" s="743"/>
      <c r="DN72" s="743"/>
      <c r="DO72" s="743"/>
      <c r="DP72" s="743"/>
      <c r="DQ72" s="743"/>
      <c r="DR72" s="743"/>
      <c r="DS72" s="743"/>
      <c r="DT72" s="743"/>
      <c r="DU72" s="743"/>
      <c r="DV72" s="743"/>
      <c r="DW72" s="743"/>
      <c r="DX72" s="743"/>
      <c r="DY72" s="743"/>
      <c r="DZ72" s="743"/>
      <c r="EA72" s="743"/>
      <c r="EB72" s="743"/>
      <c r="EC72" s="743"/>
      <c r="ED72" s="743"/>
      <c r="EE72" s="743"/>
      <c r="EF72" s="743"/>
      <c r="EG72" s="743"/>
      <c r="EH72" s="743"/>
      <c r="EI72" s="743"/>
      <c r="EJ72" s="743"/>
      <c r="EK72" s="743"/>
      <c r="EL72" s="743"/>
      <c r="EM72" s="743"/>
      <c r="EN72" s="743"/>
      <c r="EO72" s="743"/>
      <c r="EP72" s="743"/>
      <c r="EQ72" s="743"/>
      <c r="ER72" s="743"/>
      <c r="ES72" s="743"/>
      <c r="ET72" s="743"/>
      <c r="EU72" s="743"/>
      <c r="EV72" s="743"/>
      <c r="EW72" s="743"/>
      <c r="EX72" s="743"/>
      <c r="EY72" s="743"/>
      <c r="EZ72" s="743"/>
      <c r="FA72" s="743"/>
      <c r="FB72" s="743"/>
      <c r="FC72" s="743"/>
      <c r="FD72" s="743"/>
      <c r="FE72" s="743"/>
      <c r="FF72" s="743"/>
      <c r="FG72" s="743"/>
      <c r="FH72" s="743"/>
      <c r="FI72" s="743"/>
      <c r="FJ72" s="743"/>
      <c r="FK72" s="743"/>
      <c r="FL72" s="743"/>
      <c r="FM72" s="743"/>
      <c r="FN72" s="743"/>
      <c r="FO72" s="743"/>
      <c r="FP72" s="743"/>
      <c r="FQ72" s="743"/>
      <c r="FR72" s="743"/>
      <c r="FS72" s="743"/>
      <c r="FT72" s="743"/>
      <c r="FU72" s="743"/>
      <c r="FV72" s="743"/>
      <c r="FW72" s="743"/>
      <c r="FX72" s="743"/>
      <c r="FY72" s="743"/>
      <c r="FZ72" s="743"/>
      <c r="GA72" s="743"/>
      <c r="GB72" s="743"/>
      <c r="GC72" s="743"/>
      <c r="GD72" s="743"/>
      <c r="GE72" s="743"/>
      <c r="GF72" s="743"/>
      <c r="GG72" s="743"/>
      <c r="GH72" s="743"/>
      <c r="GI72" s="743"/>
      <c r="GJ72" s="743"/>
      <c r="GK72" s="743"/>
      <c r="GL72" s="743"/>
      <c r="GM72" s="743"/>
      <c r="GN72" s="743"/>
      <c r="GO72" s="743"/>
      <c r="GP72" s="743"/>
      <c r="GQ72" s="743"/>
      <c r="GR72" s="743"/>
      <c r="GS72" s="743"/>
      <c r="GT72" s="743"/>
      <c r="GU72" s="743"/>
      <c r="GV72" s="743"/>
      <c r="GW72" s="743"/>
      <c r="GX72" s="743"/>
      <c r="GY72" s="743"/>
      <c r="GZ72" s="743"/>
      <c r="HA72" s="743"/>
      <c r="HB72" s="743"/>
      <c r="HC72" s="743"/>
      <c r="HD72" s="743"/>
      <c r="HE72" s="743"/>
      <c r="HF72" s="743"/>
      <c r="HG72" s="743"/>
      <c r="HH72" s="743"/>
      <c r="HI72" s="743"/>
      <c r="HJ72" s="743"/>
      <c r="HK72" s="743"/>
      <c r="HL72" s="743"/>
      <c r="HM72" s="743"/>
      <c r="HN72" s="743"/>
      <c r="HO72" s="743"/>
      <c r="HP72" s="743"/>
      <c r="HQ72" s="743"/>
      <c r="HR72" s="743"/>
      <c r="HS72" s="743"/>
      <c r="HT72" s="743"/>
      <c r="HU72" s="743"/>
      <c r="HV72" s="743"/>
      <c r="HW72" s="743"/>
      <c r="HX72" s="743"/>
      <c r="HY72" s="743"/>
      <c r="HZ72" s="743"/>
      <c r="IA72" s="743"/>
      <c r="IB72" s="743"/>
      <c r="IC72" s="743"/>
      <c r="ID72" s="743"/>
      <c r="IE72" s="743"/>
      <c r="IF72" s="743"/>
      <c r="IG72" s="743"/>
      <c r="IH72" s="743"/>
      <c r="II72" s="743"/>
      <c r="IJ72" s="743"/>
      <c r="IK72" s="743"/>
      <c r="IL72" s="743"/>
      <c r="IM72" s="743"/>
      <c r="IN72" s="743"/>
      <c r="IO72" s="743"/>
      <c r="IP72" s="743"/>
      <c r="IQ72" s="743"/>
      <c r="IR72" s="743"/>
      <c r="IS72" s="743"/>
      <c r="IT72" s="743"/>
      <c r="IU72" s="743"/>
      <c r="IV72" s="743"/>
      <c r="IW72" s="743"/>
    </row>
    <row r="73" customFormat="false" ht="12.75" hidden="false" customHeight="false" outlineLevel="0" collapsed="false">
      <c r="C73" s="313"/>
      <c r="D73" s="313"/>
      <c r="Q73" s="59"/>
    </row>
    <row r="74" customFormat="false" ht="12.75" hidden="false" customHeight="false" outlineLevel="0" collapsed="false">
      <c r="B74" s="100" t="s">
        <v>554</v>
      </c>
      <c r="C74" s="745" t="n">
        <v>0.015</v>
      </c>
      <c r="E74" s="100" t="n">
        <f aca="false">E7*$C$74</f>
        <v>1909.258880318</v>
      </c>
      <c r="F74" s="100" t="n">
        <f aca="false">F7*$C$74</f>
        <v>1909.258880318</v>
      </c>
      <c r="G74" s="100" t="n">
        <f aca="false">G7*$C$74</f>
        <v>1909.258880318</v>
      </c>
      <c r="H74" s="100" t="n">
        <f aca="false">H7*$C$74</f>
        <v>1909.258880318</v>
      </c>
      <c r="I74" s="100" t="n">
        <f aca="false">I7*$C$74</f>
        <v>1909.258880318</v>
      </c>
      <c r="J74" s="100" t="n">
        <f aca="false">J7*$C$74</f>
        <v>1909.258880318</v>
      </c>
      <c r="K74" s="100" t="n">
        <f aca="false">K7*$C$74</f>
        <v>1909.258880318</v>
      </c>
      <c r="L74" s="100" t="n">
        <f aca="false">L7*$C$74</f>
        <v>1909.258880318</v>
      </c>
      <c r="M74" s="100" t="n">
        <f aca="false">M7*$C$74</f>
        <v>1909.258880318</v>
      </c>
      <c r="N74" s="100" t="n">
        <f aca="false">N7*$C$74</f>
        <v>1909.258880318</v>
      </c>
      <c r="O74" s="100" t="n">
        <f aca="false">O7*$C$74</f>
        <v>1909.258880318</v>
      </c>
      <c r="P74" s="100" t="n">
        <f aca="false">P7*$C$74</f>
        <v>1909.258880318</v>
      </c>
      <c r="Q74" s="100" t="n">
        <f aca="false">Q7*$C$74</f>
        <v>1909.258880318</v>
      </c>
      <c r="R74" s="100" t="n">
        <f aca="false">R7*$C$74</f>
        <v>1909.258880318</v>
      </c>
      <c r="S74" s="100" t="n">
        <f aca="false">S7*$C$74</f>
        <v>1909.258880318</v>
      </c>
      <c r="T74" s="100" t="n">
        <f aca="false">T7*$C$74</f>
        <v>1909.258880318</v>
      </c>
      <c r="U74" s="100" t="n">
        <f aca="false">U7*$C$74</f>
        <v>1909.258880318</v>
      </c>
      <c r="V74" s="100" t="n">
        <f aca="false">V7*$C$74</f>
        <v>1909.258880318</v>
      </c>
      <c r="W74" s="100" t="n">
        <f aca="false">W7*$C$74</f>
        <v>1909.258880318</v>
      </c>
      <c r="X74" s="100" t="n">
        <f aca="false">X7*$C$74</f>
        <v>1909.258880318</v>
      </c>
      <c r="Y74" s="100" t="n">
        <f aca="false">Y7*$C$74</f>
        <v>0</v>
      </c>
      <c r="Z74" s="100" t="n">
        <f aca="false">Z7*$C$74</f>
        <v>0</v>
      </c>
      <c r="AA74" s="100" t="n">
        <f aca="false">AA7*$C$74</f>
        <v>0</v>
      </c>
      <c r="AB74" s="100" t="n">
        <f aca="false">AB7*$C$74</f>
        <v>0</v>
      </c>
      <c r="AC74" s="100" t="n">
        <f aca="false">AC7*$C$74</f>
        <v>0</v>
      </c>
      <c r="AD74" s="100" t="n">
        <f aca="false">AD7*$C$74</f>
        <v>0</v>
      </c>
      <c r="AE74" s="100" t="n">
        <f aca="false">AE7*$C$74</f>
        <v>0</v>
      </c>
      <c r="AF74" s="100" t="n">
        <f aca="false">AF7*$C$74</f>
        <v>0</v>
      </c>
      <c r="AG74" s="100" t="n">
        <f aca="false">AG7*$C$74</f>
        <v>0</v>
      </c>
      <c r="AH74" s="100" t="n">
        <f aca="false">AH7*$C$74</f>
        <v>0</v>
      </c>
      <c r="AI74" s="100" t="n">
        <f aca="false">AI7*$C$74</f>
        <v>0</v>
      </c>
    </row>
    <row r="75" customFormat="false" ht="12.75" hidden="false" customHeight="false" outlineLevel="0" collapsed="false">
      <c r="B75" s="100" t="s">
        <v>408</v>
      </c>
      <c r="C75" s="746" t="n">
        <v>0.5</v>
      </c>
      <c r="E75" s="100" t="n">
        <f aca="false">E74*$C$75</f>
        <v>954.629440159002</v>
      </c>
      <c r="F75" s="100" t="n">
        <f aca="false">F74*$C$75</f>
        <v>954.629440159002</v>
      </c>
      <c r="G75" s="100" t="n">
        <f aca="false">G74*$C$75</f>
        <v>954.629440159002</v>
      </c>
      <c r="H75" s="100" t="n">
        <f aca="false">H74*$C$75</f>
        <v>954.629440159002</v>
      </c>
      <c r="I75" s="100" t="n">
        <f aca="false">I74*$C$75</f>
        <v>954.629440159002</v>
      </c>
      <c r="J75" s="100" t="n">
        <f aca="false">J74*$C$75</f>
        <v>954.629440159002</v>
      </c>
      <c r="K75" s="100" t="n">
        <f aca="false">K74*$C$75</f>
        <v>954.629440159002</v>
      </c>
      <c r="L75" s="100" t="n">
        <f aca="false">L74*$C$75</f>
        <v>954.629440159002</v>
      </c>
      <c r="M75" s="100" t="n">
        <f aca="false">M74*$C$75</f>
        <v>954.629440159002</v>
      </c>
      <c r="N75" s="100" t="n">
        <f aca="false">N74*$C$75</f>
        <v>954.629440159002</v>
      </c>
      <c r="O75" s="100" t="n">
        <f aca="false">O74*$C$75</f>
        <v>954.629440159002</v>
      </c>
      <c r="P75" s="100" t="n">
        <f aca="false">P74*$C$75</f>
        <v>954.629440159002</v>
      </c>
      <c r="Q75" s="100" t="n">
        <f aca="false">Q74*$C$75</f>
        <v>954.629440159002</v>
      </c>
      <c r="R75" s="100" t="n">
        <f aca="false">R74*$C$75</f>
        <v>954.629440159002</v>
      </c>
      <c r="S75" s="100" t="n">
        <f aca="false">S74*$C$75</f>
        <v>954.629440159002</v>
      </c>
      <c r="T75" s="100" t="n">
        <f aca="false">T74*$C$75</f>
        <v>954.629440159002</v>
      </c>
      <c r="U75" s="100" t="n">
        <f aca="false">U74*$C$75</f>
        <v>954.629440159002</v>
      </c>
      <c r="V75" s="100" t="n">
        <f aca="false">V74*$C$75</f>
        <v>954.629440159002</v>
      </c>
      <c r="W75" s="100" t="n">
        <f aca="false">W74*$C$75</f>
        <v>954.629440159002</v>
      </c>
      <c r="X75" s="100" t="n">
        <f aca="false">X74*$C$75</f>
        <v>954.629440159002</v>
      </c>
      <c r="Y75" s="100" t="n">
        <f aca="false">Y74*$C$75</f>
        <v>0</v>
      </c>
      <c r="Z75" s="100" t="n">
        <f aca="false">Z74*$C$75</f>
        <v>0</v>
      </c>
      <c r="AA75" s="100" t="n">
        <f aca="false">AA74*$C$75</f>
        <v>0</v>
      </c>
      <c r="AB75" s="100" t="n">
        <f aca="false">AB74*$C$75</f>
        <v>0</v>
      </c>
      <c r="AC75" s="100" t="n">
        <f aca="false">AC74*$C$75</f>
        <v>0</v>
      </c>
      <c r="AD75" s="100" t="n">
        <f aca="false">AD74*$C$75</f>
        <v>0</v>
      </c>
      <c r="AE75" s="100" t="n">
        <f aca="false">AE74*$C$75</f>
        <v>0</v>
      </c>
      <c r="AF75" s="100" t="n">
        <f aca="false">AF74*$C$75</f>
        <v>0</v>
      </c>
      <c r="AG75" s="100" t="n">
        <f aca="false">AG74*$C$75</f>
        <v>0</v>
      </c>
      <c r="AH75" s="100" t="n">
        <f aca="false">AH74*$C$75</f>
        <v>0</v>
      </c>
      <c r="AI75" s="100" t="n">
        <f aca="false">AI74*$C$75</f>
        <v>0</v>
      </c>
    </row>
    <row r="76" customFormat="false" ht="12.75" hidden="false" customHeight="false" outlineLevel="0" collapsed="false">
      <c r="Q76" s="59"/>
    </row>
    <row r="77" customFormat="false" ht="12.75" hidden="false" customHeight="false" outlineLevel="0" collapsed="false">
      <c r="Q77" s="59"/>
    </row>
    <row r="78" customFormat="false" ht="12.75" hidden="false" customHeight="false" outlineLevel="0" collapsed="false">
      <c r="Q78" s="59"/>
    </row>
    <row r="79" customFormat="false" ht="12.75" hidden="false" customHeight="false" outlineLevel="0" collapsed="false">
      <c r="Q79" s="59"/>
    </row>
    <row r="80" customFormat="false" ht="12.75" hidden="false" customHeight="false" outlineLevel="0" collapsed="false">
      <c r="Q80" s="59"/>
    </row>
    <row r="81" customFormat="false" ht="12.75" hidden="false" customHeight="false" outlineLevel="0" collapsed="false">
      <c r="Q81" s="59"/>
    </row>
    <row r="82" customFormat="false" ht="12.75" hidden="false" customHeight="false" outlineLevel="0" collapsed="false">
      <c r="Q82" s="59"/>
    </row>
    <row r="83" customFormat="false" ht="12.75" hidden="false" customHeight="false" outlineLevel="0" collapsed="false">
      <c r="Q83" s="59"/>
    </row>
    <row r="84" customFormat="false" ht="12.75" hidden="false" customHeight="false" outlineLevel="0" collapsed="false">
      <c r="B84" s="23"/>
      <c r="C84" s="40"/>
      <c r="D84" s="40"/>
      <c r="E84" s="23"/>
      <c r="F84" s="23"/>
      <c r="G84" s="747"/>
      <c r="H84" s="23"/>
      <c r="I84" s="23"/>
      <c r="J84" s="23"/>
      <c r="K84" s="23"/>
      <c r="L84" s="23"/>
      <c r="M84" s="23"/>
      <c r="N84" s="23"/>
      <c r="O84" s="23"/>
      <c r="P84" s="23"/>
      <c r="Q84" s="64"/>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c r="BZ84" s="23"/>
      <c r="CA84" s="23"/>
      <c r="CB84" s="23"/>
      <c r="CC84" s="23"/>
      <c r="CD84" s="23"/>
      <c r="CE84" s="23"/>
      <c r="CF84" s="23"/>
      <c r="CG84" s="23"/>
      <c r="CH84" s="23"/>
      <c r="CI84" s="23"/>
      <c r="CJ84" s="23"/>
      <c r="CK84" s="23"/>
      <c r="CL84" s="23"/>
      <c r="CM84" s="23"/>
      <c r="CN84" s="23"/>
      <c r="CO84" s="23"/>
      <c r="CP84" s="23"/>
      <c r="CQ84" s="23"/>
      <c r="CR84" s="23"/>
      <c r="CS84" s="23"/>
      <c r="CT84" s="23"/>
      <c r="CU84" s="23"/>
      <c r="CV84" s="23"/>
      <c r="CW84" s="23"/>
      <c r="CX84" s="23"/>
      <c r="CY84" s="23"/>
      <c r="CZ84" s="23"/>
      <c r="DA84" s="23"/>
      <c r="DB84" s="23"/>
      <c r="DC84" s="23"/>
      <c r="DD84" s="23"/>
      <c r="DE84" s="23"/>
      <c r="DF84" s="23"/>
      <c r="DG84" s="23"/>
      <c r="DH84" s="23"/>
      <c r="DI84" s="23"/>
      <c r="DJ84" s="23"/>
      <c r="DK84" s="23"/>
      <c r="DL84" s="23"/>
      <c r="DM84" s="23"/>
      <c r="DN84" s="23"/>
      <c r="DO84" s="23"/>
      <c r="DP84" s="23"/>
      <c r="DQ84" s="23"/>
      <c r="DR84" s="23"/>
      <c r="DS84" s="23"/>
      <c r="DT84" s="23"/>
      <c r="DU84" s="23"/>
      <c r="DV84" s="23"/>
      <c r="DW84" s="23"/>
      <c r="DX84" s="23"/>
      <c r="DY84" s="23"/>
      <c r="DZ84" s="23"/>
      <c r="EA84" s="23"/>
      <c r="EB84" s="23"/>
      <c r="EC84" s="23"/>
      <c r="ED84" s="23"/>
      <c r="EE84" s="23"/>
      <c r="EF84" s="23"/>
      <c r="EG84" s="23"/>
      <c r="EH84" s="23"/>
      <c r="EI84" s="23"/>
      <c r="EJ84" s="23"/>
      <c r="EK84" s="23"/>
      <c r="EL84" s="23"/>
      <c r="EM84" s="23"/>
      <c r="EN84" s="23"/>
      <c r="EO84" s="23"/>
      <c r="EP84" s="23"/>
      <c r="EQ84" s="23"/>
      <c r="ER84" s="23"/>
      <c r="ES84" s="23"/>
      <c r="ET84" s="23"/>
      <c r="EU84" s="23"/>
      <c r="EV84" s="23"/>
      <c r="EW84" s="23"/>
    </row>
    <row r="85" customFormat="false" ht="12.75" hidden="false" customHeight="false" outlineLevel="0" collapsed="false">
      <c r="B85" s="23"/>
      <c r="C85" s="40"/>
      <c r="D85" s="40"/>
      <c r="E85" s="23"/>
      <c r="F85" s="23"/>
      <c r="G85" s="747"/>
      <c r="H85" s="23"/>
      <c r="I85" s="23"/>
      <c r="J85" s="23"/>
      <c r="K85" s="23"/>
      <c r="L85" s="23"/>
      <c r="M85" s="23"/>
      <c r="N85" s="23"/>
      <c r="O85" s="23"/>
      <c r="P85" s="23"/>
      <c r="Q85" s="64"/>
      <c r="R85" s="23"/>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c r="CJ85" s="23"/>
      <c r="CK85" s="23"/>
      <c r="CL85" s="23"/>
      <c r="CM85" s="23"/>
      <c r="CN85" s="23"/>
      <c r="CO85" s="23"/>
      <c r="CP85" s="23"/>
      <c r="CQ85" s="23"/>
      <c r="CR85" s="23"/>
      <c r="CS85" s="23"/>
      <c r="CT85" s="23"/>
      <c r="CU85" s="23"/>
      <c r="CV85" s="23"/>
      <c r="CW85" s="23"/>
      <c r="CX85" s="23"/>
      <c r="CY85" s="23"/>
      <c r="CZ85" s="23"/>
      <c r="DA85" s="23"/>
      <c r="DB85" s="23"/>
      <c r="DC85" s="23"/>
      <c r="DD85" s="23"/>
      <c r="DE85" s="23"/>
      <c r="DF85" s="23"/>
      <c r="DG85" s="23"/>
      <c r="DH85" s="23"/>
      <c r="DI85" s="23"/>
      <c r="DJ85" s="23"/>
      <c r="DK85" s="23"/>
      <c r="DL85" s="23"/>
      <c r="DM85" s="23"/>
      <c r="DN85" s="23"/>
      <c r="DO85" s="23"/>
      <c r="DP85" s="23"/>
      <c r="DQ85" s="23"/>
      <c r="DR85" s="23"/>
      <c r="DS85" s="23"/>
      <c r="DT85" s="23"/>
      <c r="DU85" s="23"/>
      <c r="DV85" s="23"/>
      <c r="DW85" s="23"/>
      <c r="DX85" s="23"/>
      <c r="DY85" s="23"/>
      <c r="DZ85" s="23"/>
      <c r="EA85" s="23"/>
      <c r="EB85" s="23"/>
      <c r="EC85" s="23"/>
      <c r="ED85" s="23"/>
      <c r="EE85" s="23"/>
      <c r="EF85" s="23"/>
      <c r="EG85" s="23"/>
      <c r="EH85" s="23"/>
      <c r="EI85" s="23"/>
      <c r="EJ85" s="23"/>
      <c r="EK85" s="23"/>
      <c r="EL85" s="23"/>
      <c r="EM85" s="23"/>
      <c r="EN85" s="23"/>
      <c r="EO85" s="23"/>
      <c r="EP85" s="23"/>
      <c r="EQ85" s="23"/>
      <c r="ER85" s="23"/>
      <c r="ES85" s="23"/>
      <c r="ET85" s="23"/>
      <c r="EU85" s="23"/>
      <c r="EV85" s="23"/>
      <c r="EW85" s="23"/>
    </row>
    <row r="86" customFormat="false" ht="12.75" hidden="false" customHeight="false" outlineLevel="0" collapsed="false">
      <c r="B86" s="23"/>
      <c r="C86" s="40"/>
      <c r="D86" s="40"/>
      <c r="E86" s="23"/>
      <c r="F86" s="23"/>
      <c r="G86" s="747"/>
      <c r="H86" s="23"/>
      <c r="I86" s="23"/>
      <c r="J86" s="23"/>
      <c r="K86" s="23"/>
      <c r="L86" s="23"/>
      <c r="M86" s="23"/>
      <c r="N86" s="23"/>
      <c r="O86" s="23"/>
      <c r="P86" s="23"/>
      <c r="Q86" s="64"/>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c r="BQ86" s="23"/>
      <c r="BR86" s="23"/>
      <c r="BS86" s="23"/>
      <c r="BT86" s="23"/>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3"/>
      <c r="EA86" s="23"/>
      <c r="EB86" s="23"/>
      <c r="EC86" s="23"/>
      <c r="ED86" s="23"/>
      <c r="EE86" s="23"/>
      <c r="EF86" s="23"/>
      <c r="EG86" s="23"/>
      <c r="EH86" s="23"/>
      <c r="EI86" s="23"/>
      <c r="EJ86" s="23"/>
      <c r="EK86" s="23"/>
      <c r="EL86" s="23"/>
      <c r="EM86" s="23"/>
      <c r="EN86" s="23"/>
      <c r="EO86" s="23"/>
      <c r="EP86" s="23"/>
      <c r="EQ86" s="23"/>
      <c r="ER86" s="23"/>
      <c r="ES86" s="23"/>
      <c r="ET86" s="23"/>
      <c r="EU86" s="23"/>
      <c r="EV86" s="23"/>
      <c r="EW86" s="23"/>
    </row>
    <row r="87" customFormat="false" ht="12.75" hidden="false" customHeight="false" outlineLevel="0" collapsed="false">
      <c r="B87" s="23"/>
      <c r="C87" s="40"/>
      <c r="D87" s="40"/>
      <c r="E87" s="23"/>
      <c r="F87" s="23"/>
      <c r="G87" s="747"/>
      <c r="H87" s="23"/>
      <c r="I87" s="23"/>
      <c r="J87" s="23"/>
      <c r="K87" s="23"/>
      <c r="L87" s="23"/>
      <c r="M87" s="23"/>
      <c r="N87" s="23"/>
      <c r="O87" s="23"/>
      <c r="P87" s="23"/>
      <c r="Q87" s="64"/>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c r="CJ87" s="23"/>
      <c r="CK87" s="23"/>
      <c r="CL87" s="23"/>
      <c r="CM87" s="23"/>
      <c r="CN87" s="23"/>
      <c r="CO87" s="23"/>
      <c r="CP87" s="23"/>
      <c r="CQ87" s="23"/>
      <c r="CR87" s="23"/>
      <c r="CS87" s="23"/>
      <c r="CT87" s="23"/>
      <c r="CU87" s="23"/>
      <c r="CV87" s="23"/>
      <c r="CW87" s="23"/>
      <c r="CX87" s="23"/>
      <c r="CY87" s="23"/>
      <c r="CZ87" s="23"/>
      <c r="DA87" s="23"/>
      <c r="DB87" s="23"/>
      <c r="DC87" s="23"/>
      <c r="DD87" s="23"/>
      <c r="DE87" s="23"/>
      <c r="DF87" s="23"/>
      <c r="DG87" s="23"/>
      <c r="DH87" s="23"/>
      <c r="DI87" s="23"/>
      <c r="DJ87" s="23"/>
      <c r="DK87" s="23"/>
      <c r="DL87" s="23"/>
      <c r="DM87" s="23"/>
      <c r="DN87" s="23"/>
      <c r="DO87" s="23"/>
      <c r="DP87" s="23"/>
      <c r="DQ87" s="23"/>
      <c r="DR87" s="23"/>
      <c r="DS87" s="23"/>
      <c r="DT87" s="23"/>
      <c r="DU87" s="23"/>
      <c r="DV87" s="23"/>
      <c r="DW87" s="23"/>
      <c r="DX87" s="23"/>
      <c r="DY87" s="23"/>
      <c r="DZ87" s="23"/>
      <c r="EA87" s="23"/>
      <c r="EB87" s="23"/>
      <c r="EC87" s="23"/>
      <c r="ED87" s="23"/>
      <c r="EE87" s="23"/>
      <c r="EF87" s="23"/>
      <c r="EG87" s="23"/>
      <c r="EH87" s="23"/>
      <c r="EI87" s="23"/>
      <c r="EJ87" s="23"/>
      <c r="EK87" s="23"/>
      <c r="EL87" s="23"/>
      <c r="EM87" s="23"/>
      <c r="EN87" s="23"/>
      <c r="EO87" s="23"/>
      <c r="EP87" s="23"/>
      <c r="EQ87" s="23"/>
      <c r="ER87" s="23"/>
      <c r="ES87" s="23"/>
      <c r="ET87" s="23"/>
      <c r="EU87" s="23"/>
      <c r="EV87" s="23"/>
      <c r="EW87" s="23"/>
    </row>
    <row r="88" customFormat="false" ht="12.75" hidden="false" customHeight="false" outlineLevel="0" collapsed="false">
      <c r="B88" s="23"/>
      <c r="C88" s="40"/>
      <c r="D88" s="40"/>
      <c r="E88" s="23"/>
      <c r="F88" s="23"/>
      <c r="G88" s="747"/>
      <c r="H88" s="23"/>
      <c r="I88" s="23"/>
      <c r="J88" s="23"/>
      <c r="K88" s="23"/>
      <c r="L88" s="23"/>
      <c r="M88" s="23"/>
      <c r="N88" s="23"/>
      <c r="O88" s="23"/>
      <c r="P88" s="23"/>
      <c r="Q88" s="64"/>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c r="BV88" s="23"/>
      <c r="BW88" s="23"/>
      <c r="BX88" s="23"/>
      <c r="BY88" s="23"/>
      <c r="BZ88" s="23"/>
      <c r="CA88" s="23"/>
      <c r="CB88" s="23"/>
      <c r="CC88" s="23"/>
      <c r="CD88" s="23"/>
      <c r="CE88" s="23"/>
      <c r="CF88" s="23"/>
      <c r="CG88" s="23"/>
      <c r="CH88" s="23"/>
      <c r="CI88" s="23"/>
      <c r="CJ88" s="23"/>
      <c r="CK88" s="23"/>
      <c r="CL88" s="23"/>
      <c r="CM88" s="23"/>
      <c r="CN88" s="23"/>
      <c r="CO88" s="23"/>
      <c r="CP88" s="23"/>
      <c r="CQ88" s="23"/>
      <c r="CR88" s="23"/>
      <c r="CS88" s="23"/>
      <c r="CT88" s="23"/>
      <c r="CU88" s="23"/>
      <c r="CV88" s="23"/>
      <c r="CW88" s="23"/>
      <c r="CX88" s="23"/>
      <c r="CY88" s="23"/>
      <c r="CZ88" s="23"/>
      <c r="DA88" s="23"/>
      <c r="DB88" s="23"/>
      <c r="DC88" s="23"/>
      <c r="DD88" s="23"/>
      <c r="DE88" s="23"/>
      <c r="DF88" s="23"/>
      <c r="DG88" s="23"/>
      <c r="DH88" s="23"/>
      <c r="DI88" s="23"/>
      <c r="DJ88" s="23"/>
      <c r="DK88" s="23"/>
      <c r="DL88" s="23"/>
      <c r="DM88" s="23"/>
      <c r="DN88" s="23"/>
      <c r="DO88" s="23"/>
      <c r="DP88" s="23"/>
      <c r="DQ88" s="23"/>
      <c r="DR88" s="23"/>
      <c r="DS88" s="23"/>
      <c r="DT88" s="23"/>
      <c r="DU88" s="23"/>
      <c r="DV88" s="23"/>
      <c r="DW88" s="23"/>
      <c r="DX88" s="23"/>
      <c r="DY88" s="23"/>
      <c r="DZ88" s="23"/>
      <c r="EA88" s="23"/>
      <c r="EB88" s="23"/>
      <c r="EC88" s="23"/>
      <c r="ED88" s="23"/>
      <c r="EE88" s="23"/>
      <c r="EF88" s="23"/>
      <c r="EG88" s="23"/>
      <c r="EH88" s="23"/>
      <c r="EI88" s="23"/>
      <c r="EJ88" s="23"/>
      <c r="EK88" s="23"/>
      <c r="EL88" s="23"/>
      <c r="EM88" s="23"/>
      <c r="EN88" s="23"/>
      <c r="EO88" s="23"/>
      <c r="EP88" s="23"/>
      <c r="EQ88" s="23"/>
      <c r="ER88" s="23"/>
      <c r="ES88" s="23"/>
      <c r="ET88" s="23"/>
      <c r="EU88" s="23"/>
      <c r="EV88" s="23"/>
      <c r="EW88" s="23"/>
    </row>
    <row r="89" customFormat="false" ht="12.75" hidden="false" customHeight="false" outlineLevel="0" collapsed="false">
      <c r="B89" s="23"/>
      <c r="C89" s="40"/>
      <c r="D89" s="40"/>
      <c r="E89" s="23"/>
      <c r="F89" s="23"/>
      <c r="G89" s="747"/>
      <c r="H89" s="23"/>
      <c r="I89" s="23"/>
      <c r="J89" s="23"/>
      <c r="K89" s="23"/>
      <c r="L89" s="23"/>
      <c r="M89" s="23"/>
      <c r="N89" s="23"/>
      <c r="O89" s="23"/>
      <c r="P89" s="23"/>
      <c r="Q89" s="64"/>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c r="BV89" s="23"/>
      <c r="BW89" s="23"/>
      <c r="BX89" s="23"/>
      <c r="BY89" s="23"/>
      <c r="BZ89" s="23"/>
      <c r="CA89" s="23"/>
      <c r="CB89" s="23"/>
      <c r="CC89" s="23"/>
      <c r="CD89" s="23"/>
      <c r="CE89" s="23"/>
      <c r="CF89" s="23"/>
      <c r="CG89" s="23"/>
      <c r="CH89" s="23"/>
      <c r="CI89" s="23"/>
      <c r="CJ89" s="23"/>
      <c r="CK89" s="23"/>
      <c r="CL89" s="23"/>
      <c r="CM89" s="23"/>
      <c r="CN89" s="23"/>
      <c r="CO89" s="23"/>
      <c r="CP89" s="23"/>
      <c r="CQ89" s="23"/>
      <c r="CR89" s="23"/>
      <c r="CS89" s="23"/>
      <c r="CT89" s="23"/>
      <c r="CU89" s="23"/>
      <c r="CV89" s="23"/>
      <c r="CW89" s="23"/>
      <c r="CX89" s="23"/>
      <c r="CY89" s="23"/>
      <c r="CZ89" s="23"/>
      <c r="DA89" s="23"/>
      <c r="DB89" s="23"/>
      <c r="DC89" s="23"/>
      <c r="DD89" s="23"/>
      <c r="DE89" s="23"/>
      <c r="DF89" s="23"/>
      <c r="DG89" s="23"/>
      <c r="DH89" s="23"/>
      <c r="DI89" s="23"/>
      <c r="DJ89" s="23"/>
      <c r="DK89" s="23"/>
      <c r="DL89" s="23"/>
      <c r="DM89" s="23"/>
      <c r="DN89" s="23"/>
      <c r="DO89" s="23"/>
      <c r="DP89" s="23"/>
      <c r="DQ89" s="23"/>
      <c r="DR89" s="23"/>
      <c r="DS89" s="23"/>
      <c r="DT89" s="23"/>
      <c r="DU89" s="23"/>
      <c r="DV89" s="23"/>
      <c r="DW89" s="23"/>
      <c r="DX89" s="23"/>
      <c r="DY89" s="23"/>
      <c r="DZ89" s="23"/>
      <c r="EA89" s="23"/>
      <c r="EB89" s="23"/>
      <c r="EC89" s="23"/>
      <c r="ED89" s="23"/>
      <c r="EE89" s="23"/>
      <c r="EF89" s="23"/>
      <c r="EG89" s="23"/>
      <c r="EH89" s="23"/>
      <c r="EI89" s="23"/>
      <c r="EJ89" s="23"/>
      <c r="EK89" s="23"/>
      <c r="EL89" s="23"/>
      <c r="EM89" s="23"/>
      <c r="EN89" s="23"/>
      <c r="EO89" s="23"/>
      <c r="EP89" s="23"/>
      <c r="EQ89" s="23"/>
      <c r="ER89" s="23"/>
      <c r="ES89" s="23"/>
      <c r="ET89" s="23"/>
      <c r="EU89" s="23"/>
      <c r="EV89" s="23"/>
      <c r="EW89" s="23"/>
    </row>
    <row r="90" customFormat="false" ht="12.75" hidden="false" customHeight="false" outlineLevel="0" collapsed="false">
      <c r="B90" s="23"/>
      <c r="C90" s="40"/>
      <c r="D90" s="40"/>
      <c r="E90" s="23"/>
      <c r="F90" s="23"/>
      <c r="G90" s="747"/>
      <c r="H90" s="23"/>
      <c r="I90" s="23"/>
      <c r="J90" s="23"/>
      <c r="K90" s="23"/>
      <c r="L90" s="23"/>
      <c r="M90" s="23"/>
      <c r="N90" s="23"/>
      <c r="O90" s="23"/>
      <c r="P90" s="23"/>
      <c r="Q90" s="64"/>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c r="BV90" s="23"/>
      <c r="BW90" s="23"/>
      <c r="BX90" s="23"/>
      <c r="BY90" s="23"/>
      <c r="BZ90" s="23"/>
      <c r="CA90" s="23"/>
      <c r="CB90" s="23"/>
      <c r="CC90" s="23"/>
      <c r="CD90" s="23"/>
      <c r="CE90" s="23"/>
      <c r="CF90" s="23"/>
      <c r="CG90" s="23"/>
      <c r="CH90" s="23"/>
      <c r="CI90" s="23"/>
      <c r="CJ90" s="23"/>
      <c r="CK90" s="23"/>
      <c r="CL90" s="23"/>
      <c r="CM90" s="23"/>
      <c r="CN90" s="23"/>
      <c r="CO90" s="23"/>
      <c r="CP90" s="23"/>
      <c r="CQ90" s="23"/>
      <c r="CR90" s="23"/>
      <c r="CS90" s="23"/>
      <c r="CT90" s="23"/>
      <c r="CU90" s="23"/>
      <c r="CV90" s="23"/>
      <c r="CW90" s="23"/>
      <c r="CX90" s="23"/>
      <c r="CY90" s="23"/>
      <c r="CZ90" s="23"/>
      <c r="DA90" s="23"/>
      <c r="DB90" s="23"/>
      <c r="DC90" s="23"/>
      <c r="DD90" s="23"/>
      <c r="DE90" s="23"/>
      <c r="DF90" s="23"/>
      <c r="DG90" s="23"/>
      <c r="DH90" s="23"/>
      <c r="DI90" s="23"/>
      <c r="DJ90" s="23"/>
      <c r="DK90" s="23"/>
      <c r="DL90" s="23"/>
      <c r="DM90" s="23"/>
      <c r="DN90" s="23"/>
      <c r="DO90" s="23"/>
      <c r="DP90" s="23"/>
      <c r="DQ90" s="23"/>
      <c r="DR90" s="23"/>
      <c r="DS90" s="23"/>
      <c r="DT90" s="23"/>
      <c r="DU90" s="23"/>
      <c r="DV90" s="23"/>
      <c r="DW90" s="23"/>
      <c r="DX90" s="23"/>
      <c r="DY90" s="23"/>
      <c r="DZ90" s="23"/>
      <c r="EA90" s="23"/>
      <c r="EB90" s="23"/>
      <c r="EC90" s="23"/>
      <c r="ED90" s="23"/>
      <c r="EE90" s="23"/>
      <c r="EF90" s="23"/>
      <c r="EG90" s="23"/>
      <c r="EH90" s="23"/>
      <c r="EI90" s="23"/>
      <c r="EJ90" s="23"/>
      <c r="EK90" s="23"/>
      <c r="EL90" s="23"/>
      <c r="EM90" s="23"/>
      <c r="EN90" s="23"/>
      <c r="EO90" s="23"/>
      <c r="EP90" s="23"/>
      <c r="EQ90" s="23"/>
      <c r="ER90" s="23"/>
      <c r="ES90" s="23"/>
      <c r="ET90" s="23"/>
      <c r="EU90" s="23"/>
      <c r="EV90" s="23"/>
      <c r="EW90" s="23"/>
    </row>
    <row r="91" customFormat="false" ht="12.75" hidden="false" customHeight="false" outlineLevel="0" collapsed="false">
      <c r="B91" s="23"/>
      <c r="C91" s="40"/>
      <c r="D91" s="40"/>
      <c r="E91" s="23"/>
      <c r="F91" s="23"/>
      <c r="G91" s="747"/>
      <c r="H91" s="23"/>
      <c r="I91" s="23"/>
      <c r="J91" s="23"/>
      <c r="K91" s="23"/>
      <c r="L91" s="23"/>
      <c r="M91" s="23"/>
      <c r="N91" s="23"/>
      <c r="O91" s="23"/>
      <c r="P91" s="23"/>
      <c r="Q91" s="64"/>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c r="BD91" s="23"/>
      <c r="BE91" s="23"/>
      <c r="BF91" s="23"/>
      <c r="BG91" s="23"/>
      <c r="BH91" s="23"/>
      <c r="BI91" s="23"/>
      <c r="BJ91" s="23"/>
      <c r="BK91" s="23"/>
      <c r="BL91" s="23"/>
      <c r="BM91" s="23"/>
      <c r="BN91" s="23"/>
      <c r="BO91" s="23"/>
      <c r="BP91" s="23"/>
      <c r="BQ91" s="23"/>
      <c r="BR91" s="23"/>
      <c r="BS91" s="23"/>
      <c r="BT91" s="23"/>
      <c r="BU91" s="23"/>
      <c r="BV91" s="23"/>
      <c r="BW91" s="23"/>
      <c r="BX91" s="23"/>
      <c r="BY91" s="23"/>
      <c r="BZ91" s="23"/>
      <c r="CA91" s="23"/>
      <c r="CB91" s="23"/>
      <c r="CC91" s="23"/>
      <c r="CD91" s="23"/>
      <c r="CE91" s="23"/>
      <c r="CF91" s="23"/>
      <c r="CG91" s="23"/>
      <c r="CH91" s="23"/>
      <c r="CI91" s="23"/>
      <c r="CJ91" s="23"/>
      <c r="CK91" s="23"/>
      <c r="CL91" s="23"/>
      <c r="CM91" s="23"/>
      <c r="CN91" s="23"/>
      <c r="CO91" s="23"/>
      <c r="CP91" s="23"/>
      <c r="CQ91" s="23"/>
      <c r="CR91" s="23"/>
      <c r="CS91" s="23"/>
      <c r="CT91" s="23"/>
      <c r="CU91" s="23"/>
      <c r="CV91" s="23"/>
      <c r="CW91" s="23"/>
      <c r="CX91" s="23"/>
      <c r="CY91" s="23"/>
      <c r="CZ91" s="23"/>
      <c r="DA91" s="23"/>
      <c r="DB91" s="23"/>
      <c r="DC91" s="23"/>
      <c r="DD91" s="23"/>
      <c r="DE91" s="23"/>
      <c r="DF91" s="23"/>
      <c r="DG91" s="23"/>
      <c r="DH91" s="23"/>
      <c r="DI91" s="23"/>
      <c r="DJ91" s="23"/>
      <c r="DK91" s="23"/>
      <c r="DL91" s="23"/>
      <c r="DM91" s="23"/>
      <c r="DN91" s="23"/>
      <c r="DO91" s="23"/>
      <c r="DP91" s="23"/>
      <c r="DQ91" s="23"/>
      <c r="DR91" s="23"/>
      <c r="DS91" s="23"/>
      <c r="DT91" s="23"/>
      <c r="DU91" s="23"/>
      <c r="DV91" s="23"/>
      <c r="DW91" s="23"/>
      <c r="DX91" s="23"/>
      <c r="DY91" s="23"/>
      <c r="DZ91" s="23"/>
      <c r="EA91" s="23"/>
      <c r="EB91" s="23"/>
      <c r="EC91" s="23"/>
      <c r="ED91" s="23"/>
      <c r="EE91" s="23"/>
      <c r="EF91" s="23"/>
      <c r="EG91" s="23"/>
      <c r="EH91" s="23"/>
      <c r="EI91" s="23"/>
      <c r="EJ91" s="23"/>
      <c r="EK91" s="23"/>
      <c r="EL91" s="23"/>
      <c r="EM91" s="23"/>
      <c r="EN91" s="23"/>
      <c r="EO91" s="23"/>
      <c r="EP91" s="23"/>
      <c r="EQ91" s="23"/>
      <c r="ER91" s="23"/>
      <c r="ES91" s="23"/>
      <c r="ET91" s="23"/>
      <c r="EU91" s="23"/>
      <c r="EV91" s="23"/>
      <c r="EW91" s="23"/>
    </row>
    <row r="92" customFormat="false" ht="12.75" hidden="false" customHeight="false" outlineLevel="0" collapsed="false">
      <c r="B92" s="23"/>
      <c r="C92" s="40"/>
      <c r="D92" s="40"/>
      <c r="E92" s="23"/>
      <c r="F92" s="23"/>
      <c r="G92" s="747"/>
      <c r="H92" s="23"/>
      <c r="I92" s="23"/>
      <c r="J92" s="23"/>
      <c r="K92" s="23"/>
      <c r="L92" s="23"/>
      <c r="M92" s="23"/>
      <c r="N92" s="23"/>
      <c r="O92" s="23"/>
      <c r="P92" s="23"/>
      <c r="Q92" s="64"/>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row>
    <row r="93" customFormat="false" ht="12.75" hidden="false" customHeight="false" outlineLevel="0" collapsed="false">
      <c r="B93" s="23"/>
      <c r="C93" s="40"/>
      <c r="D93" s="40"/>
      <c r="E93" s="23"/>
      <c r="F93" s="23"/>
      <c r="G93" s="747"/>
      <c r="H93" s="23"/>
      <c r="I93" s="23"/>
      <c r="J93" s="23"/>
      <c r="K93" s="23"/>
      <c r="L93" s="23"/>
      <c r="M93" s="23"/>
      <c r="N93" s="23"/>
      <c r="O93" s="23"/>
      <c r="P93" s="23"/>
      <c r="Q93" s="64"/>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c r="BM93" s="23"/>
      <c r="BN93" s="23"/>
      <c r="BO93" s="23"/>
      <c r="BP93" s="23"/>
      <c r="BQ93" s="23"/>
      <c r="BR93" s="23"/>
      <c r="BS93" s="23"/>
      <c r="BT93" s="23"/>
      <c r="BU93" s="23"/>
      <c r="BV93" s="23"/>
      <c r="BW93" s="23"/>
      <c r="BX93" s="23"/>
      <c r="BY93" s="23"/>
      <c r="BZ93" s="23"/>
      <c r="CA93" s="23"/>
      <c r="CB93" s="23"/>
      <c r="CC93" s="23"/>
      <c r="CD93" s="23"/>
      <c r="CE93" s="23"/>
      <c r="CF93" s="23"/>
      <c r="CG93" s="23"/>
      <c r="CH93" s="23"/>
      <c r="CI93" s="23"/>
      <c r="CJ93" s="23"/>
      <c r="CK93" s="23"/>
      <c r="CL93" s="23"/>
      <c r="CM93" s="23"/>
      <c r="CN93" s="23"/>
      <c r="CO93" s="23"/>
      <c r="CP93" s="23"/>
      <c r="CQ93" s="23"/>
      <c r="CR93" s="23"/>
      <c r="CS93" s="23"/>
      <c r="CT93" s="23"/>
      <c r="CU93" s="23"/>
      <c r="CV93" s="23"/>
      <c r="CW93" s="23"/>
      <c r="CX93" s="23"/>
      <c r="CY93" s="23"/>
      <c r="CZ93" s="23"/>
      <c r="DA93" s="23"/>
      <c r="DB93" s="23"/>
      <c r="DC93" s="23"/>
      <c r="DD93" s="23"/>
      <c r="DE93" s="23"/>
      <c r="DF93" s="23"/>
      <c r="DG93" s="23"/>
      <c r="DH93" s="23"/>
      <c r="DI93" s="23"/>
      <c r="DJ93" s="23"/>
      <c r="DK93" s="23"/>
      <c r="DL93" s="23"/>
      <c r="DM93" s="23"/>
      <c r="DN93" s="23"/>
      <c r="DO93" s="23"/>
      <c r="DP93" s="23"/>
      <c r="DQ93" s="23"/>
      <c r="DR93" s="23"/>
      <c r="DS93" s="23"/>
      <c r="DT93" s="23"/>
      <c r="DU93" s="23"/>
      <c r="DV93" s="23"/>
      <c r="DW93" s="23"/>
      <c r="DX93" s="23"/>
      <c r="DY93" s="23"/>
      <c r="DZ93" s="23"/>
      <c r="EA93" s="23"/>
      <c r="EB93" s="23"/>
      <c r="EC93" s="23"/>
      <c r="ED93" s="23"/>
      <c r="EE93" s="23"/>
      <c r="EF93" s="23"/>
      <c r="EG93" s="23"/>
      <c r="EH93" s="23"/>
      <c r="EI93" s="23"/>
      <c r="EJ93" s="23"/>
      <c r="EK93" s="23"/>
      <c r="EL93" s="23"/>
      <c r="EM93" s="23"/>
      <c r="EN93" s="23"/>
      <c r="EO93" s="23"/>
      <c r="EP93" s="23"/>
      <c r="EQ93" s="23"/>
      <c r="ER93" s="23"/>
      <c r="ES93" s="23"/>
      <c r="ET93" s="23"/>
      <c r="EU93" s="23"/>
      <c r="EV93" s="23"/>
      <c r="EW93" s="23"/>
    </row>
    <row r="94" customFormat="false" ht="12.75" hidden="false" customHeight="false" outlineLevel="0" collapsed="false">
      <c r="B94" s="23"/>
      <c r="C94" s="40"/>
      <c r="D94" s="40"/>
      <c r="E94" s="23"/>
      <c r="F94" s="23"/>
      <c r="G94" s="747"/>
      <c r="H94" s="23"/>
      <c r="I94" s="23"/>
      <c r="J94" s="23"/>
      <c r="K94" s="23"/>
      <c r="L94" s="23"/>
      <c r="M94" s="23"/>
      <c r="N94" s="23"/>
      <c r="O94" s="23"/>
      <c r="P94" s="23"/>
      <c r="Q94" s="64"/>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23"/>
      <c r="BX94" s="23"/>
      <c r="BY94" s="23"/>
      <c r="BZ94" s="23"/>
      <c r="CA94" s="23"/>
      <c r="CB94" s="23"/>
      <c r="CC94" s="23"/>
      <c r="CD94" s="23"/>
      <c r="CE94" s="23"/>
      <c r="CF94" s="23"/>
      <c r="CG94" s="23"/>
      <c r="CH94" s="23"/>
      <c r="CI94" s="23"/>
      <c r="CJ94" s="23"/>
      <c r="CK94" s="23"/>
      <c r="CL94" s="23"/>
      <c r="CM94" s="23"/>
      <c r="CN94" s="23"/>
      <c r="CO94" s="23"/>
      <c r="CP94" s="23"/>
      <c r="CQ94" s="23"/>
      <c r="CR94" s="23"/>
      <c r="CS94" s="23"/>
      <c r="CT94" s="23"/>
      <c r="CU94" s="23"/>
      <c r="CV94" s="23"/>
      <c r="CW94" s="23"/>
      <c r="CX94" s="23"/>
      <c r="CY94" s="23"/>
      <c r="CZ94" s="23"/>
      <c r="DA94" s="23"/>
      <c r="DB94" s="23"/>
      <c r="DC94" s="23"/>
      <c r="DD94" s="23"/>
      <c r="DE94" s="23"/>
      <c r="DF94" s="23"/>
      <c r="DG94" s="23"/>
      <c r="DH94" s="23"/>
      <c r="DI94" s="23"/>
      <c r="DJ94" s="23"/>
      <c r="DK94" s="23"/>
      <c r="DL94" s="23"/>
      <c r="DM94" s="23"/>
      <c r="DN94" s="23"/>
      <c r="DO94" s="23"/>
      <c r="DP94" s="23"/>
      <c r="DQ94" s="23"/>
      <c r="DR94" s="23"/>
      <c r="DS94" s="23"/>
      <c r="DT94" s="23"/>
      <c r="DU94" s="23"/>
      <c r="DV94" s="23"/>
      <c r="DW94" s="23"/>
      <c r="DX94" s="23"/>
      <c r="DY94" s="23"/>
      <c r="DZ94" s="23"/>
      <c r="EA94" s="23"/>
      <c r="EB94" s="23"/>
      <c r="EC94" s="23"/>
      <c r="ED94" s="23"/>
      <c r="EE94" s="23"/>
      <c r="EF94" s="23"/>
      <c r="EG94" s="23"/>
      <c r="EH94" s="23"/>
      <c r="EI94" s="23"/>
      <c r="EJ94" s="23"/>
      <c r="EK94" s="23"/>
      <c r="EL94" s="23"/>
      <c r="EM94" s="23"/>
      <c r="EN94" s="23"/>
      <c r="EO94" s="23"/>
      <c r="EP94" s="23"/>
      <c r="EQ94" s="23"/>
      <c r="ER94" s="23"/>
      <c r="ES94" s="23"/>
      <c r="ET94" s="23"/>
      <c r="EU94" s="23"/>
      <c r="EV94" s="23"/>
      <c r="EW94" s="23"/>
    </row>
    <row r="95" customFormat="false" ht="12.75" hidden="false" customHeight="false" outlineLevel="0" collapsed="false">
      <c r="B95" s="23"/>
      <c r="C95" s="40"/>
      <c r="D95" s="40"/>
      <c r="E95" s="23"/>
      <c r="F95" s="23"/>
      <c r="G95" s="747"/>
      <c r="H95" s="23"/>
      <c r="I95" s="23"/>
      <c r="J95" s="23"/>
      <c r="K95" s="23"/>
      <c r="L95" s="23"/>
      <c r="M95" s="23"/>
      <c r="N95" s="23"/>
      <c r="O95" s="23"/>
      <c r="P95" s="23"/>
      <c r="Q95" s="64"/>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c r="BM95" s="23"/>
      <c r="BN95" s="23"/>
      <c r="BO95" s="23"/>
      <c r="BP95" s="23"/>
      <c r="BQ95" s="23"/>
      <c r="BR95" s="23"/>
      <c r="BS95" s="23"/>
      <c r="BT95" s="23"/>
      <c r="BU95" s="23"/>
      <c r="BV95" s="23"/>
      <c r="BW95" s="23"/>
      <c r="BX95" s="23"/>
      <c r="BY95" s="23"/>
      <c r="BZ95" s="23"/>
      <c r="CA95" s="23"/>
      <c r="CB95" s="23"/>
      <c r="CC95" s="23"/>
      <c r="CD95" s="23"/>
      <c r="CE95" s="23"/>
      <c r="CF95" s="23"/>
      <c r="CG95" s="23"/>
      <c r="CH95" s="23"/>
      <c r="CI95" s="23"/>
      <c r="CJ95" s="23"/>
      <c r="CK95" s="23"/>
      <c r="CL95" s="23"/>
      <c r="CM95" s="23"/>
      <c r="CN95" s="23"/>
      <c r="CO95" s="23"/>
      <c r="CP95" s="23"/>
      <c r="CQ95" s="23"/>
      <c r="CR95" s="23"/>
      <c r="CS95" s="23"/>
      <c r="CT95" s="23"/>
      <c r="CU95" s="23"/>
      <c r="CV95" s="23"/>
      <c r="CW95" s="23"/>
      <c r="CX95" s="23"/>
      <c r="CY95" s="23"/>
      <c r="CZ95" s="23"/>
      <c r="DA95" s="23"/>
      <c r="DB95" s="23"/>
      <c r="DC95" s="23"/>
      <c r="DD95" s="23"/>
      <c r="DE95" s="23"/>
      <c r="DF95" s="23"/>
      <c r="DG95" s="23"/>
      <c r="DH95" s="23"/>
      <c r="DI95" s="23"/>
      <c r="DJ95" s="23"/>
      <c r="DK95" s="23"/>
      <c r="DL95" s="23"/>
      <c r="DM95" s="23"/>
      <c r="DN95" s="23"/>
      <c r="DO95" s="23"/>
      <c r="DP95" s="23"/>
      <c r="DQ95" s="23"/>
      <c r="DR95" s="23"/>
      <c r="DS95" s="23"/>
      <c r="DT95" s="23"/>
      <c r="DU95" s="23"/>
      <c r="DV95" s="23"/>
      <c r="DW95" s="23"/>
      <c r="DX95" s="23"/>
      <c r="DY95" s="23"/>
      <c r="DZ95" s="23"/>
      <c r="EA95" s="23"/>
      <c r="EB95" s="23"/>
      <c r="EC95" s="23"/>
      <c r="ED95" s="23"/>
      <c r="EE95" s="23"/>
      <c r="EF95" s="23"/>
      <c r="EG95" s="23"/>
      <c r="EH95" s="23"/>
      <c r="EI95" s="23"/>
      <c r="EJ95" s="23"/>
      <c r="EK95" s="23"/>
      <c r="EL95" s="23"/>
      <c r="EM95" s="23"/>
      <c r="EN95" s="23"/>
      <c r="EO95" s="23"/>
      <c r="EP95" s="23"/>
      <c r="EQ95" s="23"/>
      <c r="ER95" s="23"/>
      <c r="ES95" s="23"/>
      <c r="ET95" s="23"/>
      <c r="EU95" s="23"/>
      <c r="EV95" s="23"/>
      <c r="EW95" s="23"/>
    </row>
    <row r="96" customFormat="false" ht="12.75" hidden="false" customHeight="false" outlineLevel="0" collapsed="false">
      <c r="B96" s="23"/>
      <c r="C96" s="40"/>
      <c r="D96" s="40"/>
      <c r="E96" s="23"/>
      <c r="F96" s="23"/>
      <c r="G96" s="747"/>
      <c r="H96" s="23"/>
      <c r="I96" s="23"/>
      <c r="J96" s="23"/>
      <c r="K96" s="23"/>
      <c r="L96" s="23"/>
      <c r="M96" s="23"/>
      <c r="N96" s="23"/>
      <c r="O96" s="23"/>
      <c r="P96" s="23"/>
      <c r="Q96" s="64"/>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row>
    <row r="97" customFormat="false" ht="12.75" hidden="false" customHeight="false" outlineLevel="0" collapsed="false">
      <c r="B97" s="23"/>
      <c r="C97" s="40"/>
      <c r="D97" s="40"/>
      <c r="E97" s="23"/>
      <c r="F97" s="23"/>
      <c r="G97" s="747"/>
      <c r="H97" s="23"/>
      <c r="I97" s="23"/>
      <c r="J97" s="23"/>
      <c r="K97" s="23"/>
      <c r="L97" s="23"/>
      <c r="M97" s="23"/>
      <c r="N97" s="23"/>
      <c r="O97" s="23"/>
      <c r="P97" s="23"/>
      <c r="Q97" s="64"/>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c r="BM97" s="23"/>
      <c r="BN97" s="23"/>
      <c r="BO97" s="23"/>
      <c r="BP97" s="23"/>
      <c r="BQ97" s="23"/>
      <c r="BR97" s="23"/>
      <c r="BS97" s="23"/>
      <c r="BT97" s="23"/>
      <c r="BU97" s="23"/>
      <c r="BV97" s="23"/>
      <c r="BW97" s="23"/>
      <c r="BX97" s="23"/>
      <c r="BY97" s="23"/>
      <c r="BZ97" s="23"/>
      <c r="CA97" s="23"/>
      <c r="CB97" s="23"/>
      <c r="CC97" s="23"/>
      <c r="CD97" s="23"/>
      <c r="CE97" s="23"/>
      <c r="CF97" s="23"/>
      <c r="CG97" s="23"/>
      <c r="CH97" s="23"/>
      <c r="CI97" s="23"/>
      <c r="CJ97" s="23"/>
      <c r="CK97" s="23"/>
      <c r="CL97" s="23"/>
      <c r="CM97" s="23"/>
      <c r="CN97" s="23"/>
      <c r="CO97" s="23"/>
      <c r="CP97" s="23"/>
      <c r="CQ97" s="23"/>
      <c r="CR97" s="23"/>
      <c r="CS97" s="23"/>
      <c r="CT97" s="23"/>
      <c r="CU97" s="23"/>
      <c r="CV97" s="23"/>
      <c r="CW97" s="23"/>
      <c r="CX97" s="23"/>
      <c r="CY97" s="23"/>
      <c r="CZ97" s="23"/>
      <c r="DA97" s="23"/>
      <c r="DB97" s="23"/>
      <c r="DC97" s="23"/>
      <c r="DD97" s="23"/>
      <c r="DE97" s="23"/>
      <c r="DF97" s="23"/>
      <c r="DG97" s="23"/>
      <c r="DH97" s="23"/>
      <c r="DI97" s="23"/>
      <c r="DJ97" s="23"/>
      <c r="DK97" s="23"/>
      <c r="DL97" s="23"/>
      <c r="DM97" s="23"/>
      <c r="DN97" s="23"/>
      <c r="DO97" s="23"/>
      <c r="DP97" s="23"/>
      <c r="DQ97" s="23"/>
      <c r="DR97" s="23"/>
      <c r="DS97" s="23"/>
      <c r="DT97" s="23"/>
      <c r="DU97" s="23"/>
      <c r="DV97" s="23"/>
      <c r="DW97" s="23"/>
      <c r="DX97" s="23"/>
      <c r="DY97" s="23"/>
      <c r="DZ97" s="23"/>
      <c r="EA97" s="23"/>
      <c r="EB97" s="23"/>
      <c r="EC97" s="23"/>
      <c r="ED97" s="23"/>
      <c r="EE97" s="23"/>
      <c r="EF97" s="23"/>
      <c r="EG97" s="23"/>
      <c r="EH97" s="23"/>
      <c r="EI97" s="23"/>
      <c r="EJ97" s="23"/>
      <c r="EK97" s="23"/>
      <c r="EL97" s="23"/>
      <c r="EM97" s="23"/>
      <c r="EN97" s="23"/>
      <c r="EO97" s="23"/>
      <c r="EP97" s="23"/>
      <c r="EQ97" s="23"/>
      <c r="ER97" s="23"/>
      <c r="ES97" s="23"/>
      <c r="ET97" s="23"/>
      <c r="EU97" s="23"/>
      <c r="EV97" s="23"/>
      <c r="EW97" s="23"/>
    </row>
    <row r="98" customFormat="false" ht="12.75" hidden="false" customHeight="false" outlineLevel="0" collapsed="false">
      <c r="B98" s="23"/>
      <c r="C98" s="40"/>
      <c r="D98" s="40"/>
      <c r="E98" s="23"/>
      <c r="F98" s="23"/>
      <c r="G98" s="747"/>
      <c r="H98" s="23"/>
      <c r="I98" s="23"/>
      <c r="J98" s="23"/>
      <c r="K98" s="23"/>
      <c r="L98" s="23"/>
      <c r="M98" s="23"/>
      <c r="N98" s="23"/>
      <c r="O98" s="23"/>
      <c r="P98" s="23"/>
      <c r="Q98" s="64"/>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c r="BS98" s="23"/>
      <c r="BT98" s="23"/>
      <c r="BU98" s="23"/>
      <c r="BV98" s="23"/>
      <c r="BW98" s="23"/>
      <c r="BX98" s="23"/>
      <c r="BY98" s="23"/>
      <c r="BZ98" s="23"/>
      <c r="CA98" s="23"/>
      <c r="CB98" s="23"/>
      <c r="CC98" s="23"/>
      <c r="CD98" s="23"/>
      <c r="CE98" s="23"/>
      <c r="CF98" s="23"/>
      <c r="CG98" s="23"/>
      <c r="CH98" s="23"/>
      <c r="CI98" s="23"/>
      <c r="CJ98" s="23"/>
      <c r="CK98" s="23"/>
      <c r="CL98" s="23"/>
      <c r="CM98" s="23"/>
      <c r="CN98" s="23"/>
      <c r="CO98" s="23"/>
      <c r="CP98" s="23"/>
      <c r="CQ98" s="23"/>
      <c r="CR98" s="23"/>
      <c r="CS98" s="23"/>
      <c r="CT98" s="23"/>
      <c r="CU98" s="23"/>
      <c r="CV98" s="23"/>
      <c r="CW98" s="23"/>
      <c r="CX98" s="23"/>
      <c r="CY98" s="23"/>
      <c r="CZ98" s="23"/>
      <c r="DA98" s="23"/>
      <c r="DB98" s="23"/>
      <c r="DC98" s="23"/>
      <c r="DD98" s="23"/>
      <c r="DE98" s="23"/>
      <c r="DF98" s="23"/>
      <c r="DG98" s="23"/>
      <c r="DH98" s="23"/>
      <c r="DI98" s="23"/>
      <c r="DJ98" s="23"/>
      <c r="DK98" s="23"/>
      <c r="DL98" s="23"/>
      <c r="DM98" s="23"/>
      <c r="DN98" s="23"/>
      <c r="DO98" s="23"/>
      <c r="DP98" s="23"/>
      <c r="DQ98" s="23"/>
      <c r="DR98" s="23"/>
      <c r="DS98" s="23"/>
      <c r="DT98" s="23"/>
      <c r="DU98" s="23"/>
      <c r="DV98" s="23"/>
      <c r="DW98" s="23"/>
      <c r="DX98" s="23"/>
      <c r="DY98" s="23"/>
      <c r="DZ98" s="23"/>
      <c r="EA98" s="23"/>
      <c r="EB98" s="23"/>
      <c r="EC98" s="23"/>
      <c r="ED98" s="23"/>
      <c r="EE98" s="23"/>
      <c r="EF98" s="23"/>
      <c r="EG98" s="23"/>
      <c r="EH98" s="23"/>
      <c r="EI98" s="23"/>
      <c r="EJ98" s="23"/>
      <c r="EK98" s="23"/>
      <c r="EL98" s="23"/>
      <c r="EM98" s="23"/>
      <c r="EN98" s="23"/>
      <c r="EO98" s="23"/>
      <c r="EP98" s="23"/>
      <c r="EQ98" s="23"/>
      <c r="ER98" s="23"/>
      <c r="ES98" s="23"/>
      <c r="ET98" s="23"/>
      <c r="EU98" s="23"/>
      <c r="EV98" s="23"/>
      <c r="EW98" s="23"/>
    </row>
    <row r="99" customFormat="false" ht="12.75" hidden="false" customHeight="false" outlineLevel="0" collapsed="false">
      <c r="B99" s="23"/>
      <c r="C99" s="40"/>
      <c r="D99" s="40"/>
      <c r="E99" s="23"/>
      <c r="F99" s="23"/>
      <c r="G99" s="747"/>
      <c r="H99" s="23"/>
      <c r="I99" s="23"/>
      <c r="J99" s="23"/>
      <c r="K99" s="23"/>
      <c r="L99" s="23"/>
      <c r="M99" s="23"/>
      <c r="N99" s="23"/>
      <c r="O99" s="23"/>
      <c r="P99" s="23"/>
      <c r="Q99" s="64"/>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c r="BV99" s="23"/>
      <c r="BW99" s="23"/>
      <c r="BX99" s="23"/>
      <c r="BY99" s="23"/>
      <c r="BZ99" s="23"/>
      <c r="CA99" s="23"/>
      <c r="CB99" s="23"/>
      <c r="CC99" s="23"/>
      <c r="CD99" s="23"/>
      <c r="CE99" s="23"/>
      <c r="CF99" s="23"/>
      <c r="CG99" s="23"/>
      <c r="CH99" s="23"/>
      <c r="CI99" s="23"/>
      <c r="CJ99" s="23"/>
      <c r="CK99" s="23"/>
      <c r="CL99" s="23"/>
      <c r="CM99" s="23"/>
      <c r="CN99" s="23"/>
      <c r="CO99" s="23"/>
      <c r="CP99" s="23"/>
      <c r="CQ99" s="23"/>
      <c r="CR99" s="23"/>
      <c r="CS99" s="23"/>
      <c r="CT99" s="23"/>
      <c r="CU99" s="23"/>
      <c r="CV99" s="23"/>
      <c r="CW99" s="23"/>
      <c r="CX99" s="23"/>
      <c r="CY99" s="23"/>
      <c r="CZ99" s="23"/>
      <c r="DA99" s="23"/>
      <c r="DB99" s="23"/>
      <c r="DC99" s="23"/>
      <c r="DD99" s="23"/>
      <c r="DE99" s="23"/>
      <c r="DF99" s="23"/>
      <c r="DG99" s="23"/>
      <c r="DH99" s="23"/>
      <c r="DI99" s="23"/>
      <c r="DJ99" s="23"/>
      <c r="DK99" s="23"/>
      <c r="DL99" s="23"/>
      <c r="DM99" s="23"/>
      <c r="DN99" s="23"/>
      <c r="DO99" s="23"/>
      <c r="DP99" s="23"/>
      <c r="DQ99" s="23"/>
      <c r="DR99" s="23"/>
      <c r="DS99" s="23"/>
      <c r="DT99" s="23"/>
      <c r="DU99" s="23"/>
      <c r="DV99" s="23"/>
      <c r="DW99" s="23"/>
      <c r="DX99" s="23"/>
      <c r="DY99" s="23"/>
      <c r="DZ99" s="23"/>
      <c r="EA99" s="23"/>
      <c r="EB99" s="23"/>
      <c r="EC99" s="23"/>
      <c r="ED99" s="23"/>
      <c r="EE99" s="23"/>
      <c r="EF99" s="23"/>
      <c r="EG99" s="23"/>
      <c r="EH99" s="23"/>
      <c r="EI99" s="23"/>
      <c r="EJ99" s="23"/>
      <c r="EK99" s="23"/>
      <c r="EL99" s="23"/>
      <c r="EM99" s="23"/>
      <c r="EN99" s="23"/>
      <c r="EO99" s="23"/>
      <c r="EP99" s="23"/>
      <c r="EQ99" s="23"/>
      <c r="ER99" s="23"/>
      <c r="ES99" s="23"/>
      <c r="ET99" s="23"/>
      <c r="EU99" s="23"/>
      <c r="EV99" s="23"/>
      <c r="EW99" s="23"/>
    </row>
    <row r="100" customFormat="false" ht="12.75" hidden="false" customHeight="false" outlineLevel="0" collapsed="false">
      <c r="B100" s="23"/>
      <c r="C100" s="40"/>
      <c r="D100" s="40"/>
      <c r="E100" s="23"/>
      <c r="F100" s="23"/>
      <c r="G100" s="747"/>
      <c r="H100" s="23"/>
      <c r="I100" s="23"/>
      <c r="J100" s="23"/>
      <c r="K100" s="23"/>
      <c r="L100" s="23"/>
      <c r="M100" s="23"/>
      <c r="N100" s="23"/>
      <c r="O100" s="23"/>
      <c r="P100" s="23"/>
      <c r="Q100" s="64"/>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BM100" s="23"/>
      <c r="BN100" s="23"/>
      <c r="BO100" s="23"/>
      <c r="BP100" s="23"/>
      <c r="BQ100" s="23"/>
      <c r="BR100" s="23"/>
      <c r="BS100" s="23"/>
      <c r="BT100" s="23"/>
      <c r="BU100" s="23"/>
      <c r="BV100" s="23"/>
      <c r="BW100" s="23"/>
      <c r="BX100" s="23"/>
      <c r="BY100" s="23"/>
      <c r="BZ100" s="23"/>
      <c r="CA100" s="23"/>
      <c r="CB100" s="23"/>
      <c r="CC100" s="23"/>
      <c r="CD100" s="23"/>
      <c r="CE100" s="23"/>
      <c r="CF100" s="23"/>
      <c r="CG100" s="23"/>
      <c r="CH100" s="23"/>
      <c r="CI100" s="23"/>
      <c r="CJ100" s="23"/>
      <c r="CK100" s="23"/>
      <c r="CL100" s="23"/>
      <c r="CM100" s="23"/>
      <c r="CN100" s="23"/>
      <c r="CO100" s="23"/>
      <c r="CP100" s="23"/>
      <c r="CQ100" s="23"/>
      <c r="CR100" s="23"/>
      <c r="CS100" s="23"/>
      <c r="CT100" s="23"/>
      <c r="CU100" s="23"/>
      <c r="CV100" s="23"/>
      <c r="CW100" s="23"/>
      <c r="CX100" s="23"/>
      <c r="CY100" s="23"/>
      <c r="CZ100" s="23"/>
      <c r="DA100" s="23"/>
      <c r="DB100" s="23"/>
      <c r="DC100" s="23"/>
      <c r="DD100" s="23"/>
      <c r="DE100" s="23"/>
      <c r="DF100" s="23"/>
      <c r="DG100" s="23"/>
      <c r="DH100" s="23"/>
      <c r="DI100" s="23"/>
      <c r="DJ100" s="23"/>
      <c r="DK100" s="23"/>
      <c r="DL100" s="23"/>
      <c r="DM100" s="23"/>
      <c r="DN100" s="23"/>
      <c r="DO100" s="23"/>
      <c r="DP100" s="23"/>
      <c r="DQ100" s="23"/>
      <c r="DR100" s="23"/>
      <c r="DS100" s="23"/>
      <c r="DT100" s="23"/>
      <c r="DU100" s="23"/>
      <c r="DV100" s="23"/>
      <c r="DW100" s="23"/>
      <c r="DX100" s="23"/>
      <c r="DY100" s="23"/>
      <c r="DZ100" s="23"/>
      <c r="EA100" s="23"/>
      <c r="EB100" s="23"/>
      <c r="EC100" s="23"/>
      <c r="ED100" s="23"/>
      <c r="EE100" s="23"/>
      <c r="EF100" s="23"/>
      <c r="EG100" s="23"/>
      <c r="EH100" s="23"/>
      <c r="EI100" s="23"/>
      <c r="EJ100" s="23"/>
      <c r="EK100" s="23"/>
      <c r="EL100" s="23"/>
      <c r="EM100" s="23"/>
      <c r="EN100" s="23"/>
      <c r="EO100" s="23"/>
      <c r="EP100" s="23"/>
      <c r="EQ100" s="23"/>
      <c r="ER100" s="23"/>
      <c r="ES100" s="23"/>
      <c r="ET100" s="23"/>
      <c r="EU100" s="23"/>
      <c r="EV100" s="23"/>
      <c r="EW100" s="23"/>
    </row>
    <row r="101" customFormat="false" ht="12.75" hidden="false" customHeight="false" outlineLevel="0" collapsed="false">
      <c r="B101" s="23"/>
      <c r="C101" s="40"/>
      <c r="D101" s="40"/>
      <c r="E101" s="23"/>
      <c r="F101" s="23"/>
      <c r="G101" s="747"/>
      <c r="H101" s="23"/>
      <c r="I101" s="23"/>
      <c r="J101" s="23"/>
      <c r="K101" s="23"/>
      <c r="L101" s="23"/>
      <c r="M101" s="23"/>
      <c r="N101" s="23"/>
      <c r="O101" s="23"/>
      <c r="P101" s="23"/>
      <c r="Q101" s="64"/>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c r="CY101" s="23"/>
      <c r="CZ101" s="23"/>
      <c r="DA101" s="23"/>
      <c r="DB101" s="23"/>
      <c r="DC101" s="23"/>
      <c r="DD101" s="23"/>
      <c r="DE101" s="23"/>
      <c r="DF101" s="23"/>
      <c r="DG101" s="23"/>
      <c r="DH101" s="23"/>
      <c r="DI101" s="23"/>
      <c r="DJ101" s="23"/>
      <c r="DK101" s="23"/>
      <c r="DL101" s="23"/>
      <c r="DM101" s="23"/>
      <c r="DN101" s="23"/>
      <c r="DO101" s="23"/>
      <c r="DP101" s="23"/>
      <c r="DQ101" s="23"/>
      <c r="DR101" s="23"/>
      <c r="DS101" s="23"/>
      <c r="DT101" s="23"/>
      <c r="DU101" s="23"/>
      <c r="DV101" s="23"/>
      <c r="DW101" s="23"/>
      <c r="DX101" s="23"/>
      <c r="DY101" s="23"/>
      <c r="DZ101" s="23"/>
      <c r="EA101" s="23"/>
      <c r="EB101" s="23"/>
      <c r="EC101" s="23"/>
      <c r="ED101" s="23"/>
      <c r="EE101" s="23"/>
      <c r="EF101" s="23"/>
      <c r="EG101" s="23"/>
      <c r="EH101" s="23"/>
      <c r="EI101" s="23"/>
      <c r="EJ101" s="23"/>
      <c r="EK101" s="23"/>
      <c r="EL101" s="23"/>
      <c r="EM101" s="23"/>
      <c r="EN101" s="23"/>
      <c r="EO101" s="23"/>
      <c r="EP101" s="23"/>
      <c r="EQ101" s="23"/>
      <c r="ER101" s="23"/>
      <c r="ES101" s="23"/>
      <c r="ET101" s="23"/>
      <c r="EU101" s="23"/>
      <c r="EV101" s="23"/>
      <c r="EW101" s="23"/>
    </row>
    <row r="102" customFormat="false" ht="12.75" hidden="false" customHeight="false" outlineLevel="0" collapsed="false">
      <c r="B102" s="23"/>
      <c r="C102" s="40"/>
      <c r="D102" s="40"/>
      <c r="E102" s="23"/>
      <c r="F102" s="23"/>
      <c r="G102" s="747"/>
      <c r="H102" s="23"/>
      <c r="I102" s="23"/>
      <c r="J102" s="23"/>
      <c r="K102" s="23"/>
      <c r="L102" s="23"/>
      <c r="M102" s="23"/>
      <c r="N102" s="23"/>
      <c r="O102" s="23"/>
      <c r="P102" s="23"/>
      <c r="Q102" s="64"/>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row>
    <row r="103" customFormat="false" ht="12.75" hidden="false" customHeight="false" outlineLevel="0" collapsed="false">
      <c r="B103" s="23"/>
      <c r="C103" s="40"/>
      <c r="D103" s="40"/>
      <c r="E103" s="23"/>
      <c r="F103" s="23"/>
      <c r="G103" s="747"/>
      <c r="H103" s="23"/>
      <c r="I103" s="23"/>
      <c r="J103" s="23"/>
      <c r="K103" s="23"/>
      <c r="L103" s="23"/>
      <c r="M103" s="23"/>
      <c r="N103" s="23"/>
      <c r="O103" s="23"/>
      <c r="P103" s="23"/>
      <c r="Q103" s="64"/>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O103" s="23"/>
      <c r="BP103" s="23"/>
      <c r="BQ103" s="23"/>
      <c r="BR103" s="23"/>
      <c r="BS103" s="23"/>
      <c r="BT103" s="23"/>
      <c r="BU103" s="23"/>
      <c r="BV103" s="23"/>
      <c r="BW103" s="23"/>
      <c r="BX103" s="23"/>
      <c r="BY103" s="23"/>
      <c r="BZ103" s="23"/>
      <c r="CA103" s="23"/>
      <c r="CB103" s="23"/>
      <c r="CC103" s="23"/>
      <c r="CD103" s="23"/>
      <c r="CE103" s="23"/>
      <c r="CF103" s="23"/>
      <c r="CG103" s="23"/>
      <c r="CH103" s="23"/>
      <c r="CI103" s="23"/>
      <c r="CJ103" s="23"/>
      <c r="CK103" s="23"/>
      <c r="CL103" s="23"/>
      <c r="CM103" s="23"/>
      <c r="CN103" s="23"/>
      <c r="CO103" s="23"/>
      <c r="CP103" s="23"/>
      <c r="CQ103" s="23"/>
      <c r="CR103" s="23"/>
      <c r="CS103" s="23"/>
      <c r="CT103" s="23"/>
      <c r="CU103" s="23"/>
      <c r="CV103" s="23"/>
      <c r="CW103" s="23"/>
      <c r="CX103" s="23"/>
      <c r="CY103" s="23"/>
      <c r="CZ103" s="23"/>
      <c r="DA103" s="23"/>
      <c r="DB103" s="23"/>
      <c r="DC103" s="23"/>
      <c r="DD103" s="23"/>
      <c r="DE103" s="23"/>
      <c r="DF103" s="23"/>
      <c r="DG103" s="23"/>
      <c r="DH103" s="23"/>
      <c r="DI103" s="23"/>
      <c r="DJ103" s="23"/>
      <c r="DK103" s="23"/>
      <c r="DL103" s="23"/>
      <c r="DM103" s="23"/>
      <c r="DN103" s="23"/>
      <c r="DO103" s="23"/>
      <c r="DP103" s="23"/>
      <c r="DQ103" s="23"/>
      <c r="DR103" s="23"/>
      <c r="DS103" s="23"/>
      <c r="DT103" s="23"/>
      <c r="DU103" s="23"/>
      <c r="DV103" s="23"/>
      <c r="DW103" s="23"/>
      <c r="DX103" s="23"/>
      <c r="DY103" s="23"/>
      <c r="DZ103" s="23"/>
      <c r="EA103" s="23"/>
      <c r="EB103" s="23"/>
      <c r="EC103" s="23"/>
      <c r="ED103" s="23"/>
      <c r="EE103" s="23"/>
      <c r="EF103" s="23"/>
      <c r="EG103" s="23"/>
      <c r="EH103" s="23"/>
      <c r="EI103" s="23"/>
      <c r="EJ103" s="23"/>
      <c r="EK103" s="23"/>
      <c r="EL103" s="23"/>
      <c r="EM103" s="23"/>
      <c r="EN103" s="23"/>
      <c r="EO103" s="23"/>
      <c r="EP103" s="23"/>
      <c r="EQ103" s="23"/>
      <c r="ER103" s="23"/>
      <c r="ES103" s="23"/>
      <c r="ET103" s="23"/>
      <c r="EU103" s="23"/>
      <c r="EV103" s="23"/>
      <c r="EW103" s="23"/>
    </row>
    <row r="104" customFormat="false" ht="12.75" hidden="false" customHeight="false" outlineLevel="0" collapsed="false">
      <c r="B104" s="23"/>
      <c r="C104" s="40"/>
      <c r="D104" s="40"/>
      <c r="E104" s="23"/>
      <c r="F104" s="23"/>
      <c r="G104" s="747"/>
      <c r="H104" s="23"/>
      <c r="I104" s="23"/>
      <c r="J104" s="23"/>
      <c r="K104" s="23"/>
      <c r="L104" s="23"/>
      <c r="M104" s="23"/>
      <c r="N104" s="23"/>
      <c r="O104" s="23"/>
      <c r="P104" s="23"/>
      <c r="Q104" s="64"/>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row>
    <row r="105" customFormat="false" ht="12.75" hidden="false" customHeight="false" outlineLevel="0" collapsed="false">
      <c r="B105" s="23"/>
      <c r="C105" s="40"/>
      <c r="D105" s="40"/>
      <c r="E105" s="23"/>
      <c r="F105" s="23"/>
      <c r="G105" s="747"/>
      <c r="H105" s="23"/>
      <c r="I105" s="23"/>
      <c r="J105" s="23"/>
      <c r="K105" s="23"/>
      <c r="L105" s="23"/>
      <c r="M105" s="23"/>
      <c r="N105" s="23"/>
      <c r="O105" s="23"/>
      <c r="P105" s="23"/>
      <c r="Q105" s="64"/>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row>
    <row r="106" customFormat="false" ht="12.75" hidden="false" customHeight="false" outlineLevel="0" collapsed="false">
      <c r="B106" s="23"/>
      <c r="C106" s="40"/>
      <c r="D106" s="40"/>
      <c r="E106" s="23"/>
      <c r="F106" s="23"/>
      <c r="G106" s="747"/>
      <c r="H106" s="23"/>
      <c r="I106" s="23"/>
      <c r="J106" s="23"/>
      <c r="K106" s="23"/>
      <c r="L106" s="23"/>
      <c r="M106" s="23"/>
      <c r="N106" s="23"/>
      <c r="O106" s="23"/>
      <c r="P106" s="23"/>
      <c r="Q106" s="64"/>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row>
    <row r="107" customFormat="false" ht="12.75" hidden="false" customHeight="false" outlineLevel="0" collapsed="false">
      <c r="B107" s="23"/>
      <c r="C107" s="40"/>
      <c r="D107" s="40"/>
      <c r="E107" s="23"/>
      <c r="F107" s="23"/>
      <c r="G107" s="747"/>
      <c r="H107" s="23"/>
      <c r="I107" s="23"/>
      <c r="J107" s="23"/>
      <c r="K107" s="23"/>
      <c r="L107" s="23"/>
      <c r="M107" s="23"/>
      <c r="N107" s="23"/>
      <c r="O107" s="23"/>
      <c r="P107" s="23"/>
      <c r="Q107" s="64"/>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row>
    <row r="108" customFormat="false" ht="12.75" hidden="false" customHeight="false" outlineLevel="0" collapsed="false">
      <c r="B108" s="23"/>
      <c r="C108" s="40"/>
      <c r="D108" s="40"/>
      <c r="E108" s="23"/>
      <c r="F108" s="23"/>
      <c r="G108" s="747"/>
      <c r="H108" s="23"/>
      <c r="I108" s="23"/>
      <c r="J108" s="23"/>
      <c r="K108" s="23"/>
      <c r="L108" s="23"/>
      <c r="M108" s="23"/>
      <c r="N108" s="23"/>
      <c r="O108" s="23"/>
      <c r="P108" s="23"/>
      <c r="Q108" s="64"/>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row>
    <row r="109" customFormat="false" ht="12.75" hidden="false" customHeight="false" outlineLevel="0" collapsed="false">
      <c r="B109" s="23"/>
      <c r="C109" s="40"/>
      <c r="D109" s="40"/>
      <c r="E109" s="23"/>
      <c r="F109" s="23"/>
      <c r="G109" s="747"/>
      <c r="H109" s="23"/>
      <c r="I109" s="23"/>
      <c r="J109" s="23"/>
      <c r="K109" s="23"/>
      <c r="L109" s="23"/>
      <c r="M109" s="23"/>
      <c r="N109" s="23"/>
      <c r="O109" s="23"/>
      <c r="P109" s="23"/>
      <c r="Q109" s="64"/>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row>
    <row r="110" customFormat="false" ht="12.75" hidden="false" customHeight="false" outlineLevel="0" collapsed="false">
      <c r="B110" s="23"/>
      <c r="C110" s="40"/>
      <c r="D110" s="40"/>
      <c r="E110" s="23"/>
      <c r="F110" s="23"/>
      <c r="G110" s="747"/>
      <c r="H110" s="23"/>
      <c r="I110" s="23"/>
      <c r="J110" s="23"/>
      <c r="K110" s="23"/>
      <c r="L110" s="23"/>
      <c r="M110" s="23"/>
      <c r="N110" s="23"/>
      <c r="O110" s="23"/>
      <c r="P110" s="23"/>
      <c r="Q110" s="64"/>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row>
  </sheetData>
  <printOptions headings="true" gridLines="false" gridLinesSet="true" horizontalCentered="false" verticalCentered="false"/>
  <pageMargins left="0.279861111111111" right="0.320138888888889" top="0.370138888888889" bottom="0.620138888888889"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&amp;R&amp;F</oddFooter>
  </headerFooter>
  <colBreaks count="2" manualBreakCount="2">
    <brk id="19" man="true" max="65535" min="0"/>
    <brk id="35" man="true" max="65535" min="0"/>
  </colBreaks>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62">
              <controlPr defaultSize="0" print="false" autoFill="0" autoPict="0" macro="Module6.Print_Cashflow">
                <anchor moveWithCells="true" sizeWithCells="false">
                  <from>
                    <xdr:col>0</xdr:col>
                    <xdr:colOff>49680</xdr:colOff>
                    <xdr:row>0</xdr:row>
                    <xdr:rowOff>9360</xdr:rowOff>
                  </from>
                  <to>
                    <xdr:col>1</xdr:col>
                    <xdr:colOff>-48240</xdr:colOff>
                    <xdr:row>1</xdr:row>
                    <xdr:rowOff>38160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3"/>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
    </sheetView>
  </sheetViews>
  <sheetFormatPr defaultColWidth="8.84765625" defaultRowHeight="12.75" customHeight="true" zeroHeight="false" outlineLevelRow="0" outlineLevelCol="0"/>
  <cols>
    <col collapsed="false" customWidth="true" hidden="false" outlineLevel="0" max="1" min="1" style="0" width="39.41"/>
  </cols>
  <sheetData>
    <row r="1" customFormat="false" ht="12.75" hidden="false" customHeight="false" outlineLevel="0" collapsed="false">
      <c r="A1" s="15" t="s">
        <v>555</v>
      </c>
      <c r="D1" s="4" t="n">
        <v>1</v>
      </c>
      <c r="E1" s="5" t="n">
        <f aca="false">D1+1</f>
        <v>2</v>
      </c>
      <c r="F1" s="5" t="n">
        <f aca="false">E1+1</f>
        <v>3</v>
      </c>
      <c r="G1" s="5" t="n">
        <f aca="false">F1+1</f>
        <v>4</v>
      </c>
      <c r="H1" s="5" t="n">
        <f aca="false">G1+1</f>
        <v>5</v>
      </c>
      <c r="I1" s="5" t="n">
        <f aca="false">H1+1</f>
        <v>6</v>
      </c>
      <c r="J1" s="5" t="n">
        <f aca="false">I1+1</f>
        <v>7</v>
      </c>
      <c r="K1" s="5" t="n">
        <f aca="false">J1+1</f>
        <v>8</v>
      </c>
      <c r="L1" s="5" t="n">
        <f aca="false">K1+1</f>
        <v>9</v>
      </c>
      <c r="M1" s="5" t="n">
        <f aca="false">L1+1</f>
        <v>10</v>
      </c>
      <c r="N1" s="5" t="n">
        <f aca="false">M1+1</f>
        <v>11</v>
      </c>
      <c r="O1" s="5" t="n">
        <f aca="false">N1+1</f>
        <v>12</v>
      </c>
      <c r="P1" s="5" t="n">
        <f aca="false">O1+1</f>
        <v>13</v>
      </c>
      <c r="Q1" s="5" t="n">
        <f aca="false">P1+1</f>
        <v>14</v>
      </c>
      <c r="R1" s="5" t="n">
        <f aca="false">Q1+1</f>
        <v>15</v>
      </c>
      <c r="S1" s="5" t="n">
        <f aca="false">R1+1</f>
        <v>16</v>
      </c>
      <c r="T1" s="5" t="n">
        <f aca="false">S1+1</f>
        <v>17</v>
      </c>
      <c r="U1" s="5" t="n">
        <f aca="false">T1+1</f>
        <v>18</v>
      </c>
      <c r="V1" s="5" t="n">
        <f aca="false">U1+1</f>
        <v>19</v>
      </c>
      <c r="W1" s="5" t="n">
        <f aca="false">V1+1</f>
        <v>20</v>
      </c>
      <c r="X1" s="5" t="n">
        <f aca="false">W1+1</f>
        <v>21</v>
      </c>
      <c r="Y1" s="5" t="n">
        <f aca="false">X1+1</f>
        <v>22</v>
      </c>
      <c r="Z1" s="5" t="n">
        <f aca="false">Y1+1</f>
        <v>23</v>
      </c>
      <c r="AA1" s="5" t="n">
        <f aca="false">Z1+1</f>
        <v>24</v>
      </c>
      <c r="AB1" s="5" t="n">
        <f aca="false">AA1+1</f>
        <v>25</v>
      </c>
      <c r="AC1" s="5" t="n">
        <f aca="false">AB1+1</f>
        <v>26</v>
      </c>
      <c r="AD1" s="5" t="n">
        <f aca="false">AC1+1</f>
        <v>27</v>
      </c>
      <c r="AE1" s="5" t="n">
        <f aca="false">AD1+1</f>
        <v>28</v>
      </c>
      <c r="AF1" s="5" t="n">
        <f aca="false">AE1+1</f>
        <v>29</v>
      </c>
      <c r="AG1" s="5" t="n">
        <f aca="false">AF1+1</f>
        <v>30</v>
      </c>
      <c r="AH1" s="6" t="n">
        <f aca="false">AG1+1</f>
        <v>31</v>
      </c>
    </row>
    <row r="2" customFormat="false" ht="12.75" hidden="false" customHeight="false" outlineLevel="0" collapsed="false">
      <c r="A2" s="0" t="s">
        <v>556</v>
      </c>
      <c r="D2" s="7" t="n">
        <f aca="false">Assum!H25</f>
        <v>2002</v>
      </c>
      <c r="E2" s="8" t="n">
        <f aca="false">D2+1</f>
        <v>2003</v>
      </c>
      <c r="F2" s="8" t="n">
        <f aca="false">E2+1</f>
        <v>2004</v>
      </c>
      <c r="G2" s="8" t="n">
        <f aca="false">F2+1</f>
        <v>2005</v>
      </c>
      <c r="H2" s="8" t="n">
        <f aca="false">G2+1</f>
        <v>2006</v>
      </c>
      <c r="I2" s="8" t="n">
        <f aca="false">H2+1</f>
        <v>2007</v>
      </c>
      <c r="J2" s="8" t="n">
        <f aca="false">I2+1</f>
        <v>2008</v>
      </c>
      <c r="K2" s="8" t="n">
        <f aca="false">J2+1</f>
        <v>2009</v>
      </c>
      <c r="L2" s="8" t="n">
        <f aca="false">K2+1</f>
        <v>2010</v>
      </c>
      <c r="M2" s="8" t="n">
        <f aca="false">L2+1</f>
        <v>2011</v>
      </c>
      <c r="N2" s="8" t="n">
        <f aca="false">M2+1</f>
        <v>2012</v>
      </c>
      <c r="O2" s="8" t="n">
        <f aca="false">N2+1</f>
        <v>2013</v>
      </c>
      <c r="P2" s="8" t="n">
        <f aca="false">O2+1</f>
        <v>2014</v>
      </c>
      <c r="Q2" s="8" t="n">
        <f aca="false">P2+1</f>
        <v>2015</v>
      </c>
      <c r="R2" s="8" t="n">
        <f aca="false">Q2+1</f>
        <v>2016</v>
      </c>
      <c r="S2" s="8" t="n">
        <f aca="false">R2+1</f>
        <v>2017</v>
      </c>
      <c r="T2" s="8" t="n">
        <f aca="false">S2+1</f>
        <v>2018</v>
      </c>
      <c r="U2" s="8" t="n">
        <f aca="false">T2+1</f>
        <v>2019</v>
      </c>
      <c r="V2" s="8" t="n">
        <f aca="false">U2+1</f>
        <v>2020</v>
      </c>
      <c r="W2" s="8" t="n">
        <f aca="false">V2+1</f>
        <v>2021</v>
      </c>
      <c r="X2" s="8" t="n">
        <f aca="false">W2+1</f>
        <v>2022</v>
      </c>
      <c r="Y2" s="8" t="n">
        <f aca="false">X2+1</f>
        <v>2023</v>
      </c>
      <c r="Z2" s="8" t="n">
        <f aca="false">Y2+1</f>
        <v>2024</v>
      </c>
      <c r="AA2" s="8" t="n">
        <f aca="false">Z2+1</f>
        <v>2025</v>
      </c>
      <c r="AB2" s="8" t="n">
        <f aca="false">AA2+1</f>
        <v>2026</v>
      </c>
      <c r="AC2" s="8" t="n">
        <f aca="false">AB2+1</f>
        <v>2027</v>
      </c>
      <c r="AD2" s="8" t="n">
        <f aca="false">AC2+1</f>
        <v>2028</v>
      </c>
      <c r="AE2" s="8" t="n">
        <f aca="false">AD2+1</f>
        <v>2029</v>
      </c>
      <c r="AF2" s="8" t="n">
        <f aca="false">AE2+1</f>
        <v>2030</v>
      </c>
      <c r="AG2" s="8" t="n">
        <f aca="false">AF2+1</f>
        <v>2031</v>
      </c>
      <c r="AH2" s="9" t="n">
        <f aca="false">AG2+1</f>
        <v>2032</v>
      </c>
    </row>
    <row r="4" customFormat="false" ht="12.75" hidden="false" customHeight="false" outlineLevel="0" collapsed="false">
      <c r="A4" s="748" t="str">
        <f aca="false">CashFlow!B49</f>
        <v>NET CASH AFTER JR DEBT</v>
      </c>
      <c r="C4" s="313"/>
      <c r="D4" s="748" t="n">
        <f aca="false">CashFlow!E49</f>
        <v>573.300936572961</v>
      </c>
      <c r="E4" s="748" t="n">
        <f aca="false">CashFlow!F49</f>
        <v>571.607553384322</v>
      </c>
      <c r="F4" s="748" t="n">
        <f aca="false">CashFlow!G49</f>
        <v>569.738018319113</v>
      </c>
      <c r="G4" s="748" t="n">
        <f aca="false">CashFlow!H49</f>
        <v>567.626944867061</v>
      </c>
      <c r="H4" s="748" t="n">
        <f aca="false">CashFlow!I49</f>
        <v>565.310185632573</v>
      </c>
      <c r="I4" s="748" t="n">
        <f aca="false">CashFlow!J49</f>
        <v>562.879487597114</v>
      </c>
      <c r="J4" s="748" t="n">
        <f aca="false">CashFlow!K49</f>
        <v>557.665789727338</v>
      </c>
      <c r="K4" s="748" t="n">
        <f aca="false">CashFlow!L49</f>
        <v>552.22807750722</v>
      </c>
      <c r="L4" s="748" t="n">
        <f aca="false">CashFlow!M49</f>
        <v>546.560279836952</v>
      </c>
      <c r="M4" s="748" t="n">
        <f aca="false">CashFlow!N49</f>
        <v>540.393558379574</v>
      </c>
      <c r="N4" s="748" t="n">
        <f aca="false">CashFlow!O49</f>
        <v>547.036344776273</v>
      </c>
      <c r="O4" s="748" t="n">
        <f aca="false">CashFlow!P49</f>
        <v>540.436096296459</v>
      </c>
      <c r="P4" s="748" t="n">
        <f aca="false">CashFlow!Q49</f>
        <v>533.321999723709</v>
      </c>
      <c r="Q4" s="748" t="n">
        <f aca="false">CashFlow!R49</f>
        <v>525.661489031909</v>
      </c>
      <c r="R4" s="748" t="n">
        <f aca="false">CashFlow!S49</f>
        <v>517.395799501174</v>
      </c>
      <c r="S4" s="748" t="n">
        <f aca="false">CashFlow!T49</f>
        <v>509.111721360887</v>
      </c>
      <c r="T4" s="748" t="n">
        <f aca="false">CashFlow!U49</f>
        <v>590.594573693744</v>
      </c>
      <c r="U4" s="748" t="n">
        <f aca="false">CashFlow!V49</f>
        <v>2030.82975075773</v>
      </c>
      <c r="V4" s="748" t="n">
        <f aca="false">CashFlow!W49</f>
        <v>1999.73505602653</v>
      </c>
      <c r="W4" s="748" t="n">
        <f aca="false">CashFlow!X49</f>
        <v>1968.7171441291</v>
      </c>
      <c r="X4" s="748" t="n">
        <f aca="false">CashFlow!Y49</f>
        <v>0</v>
      </c>
      <c r="Y4" s="748" t="n">
        <f aca="false">CashFlow!Z49</f>
        <v>0</v>
      </c>
      <c r="Z4" s="748" t="n">
        <f aca="false">CashFlow!AA49</f>
        <v>0</v>
      </c>
      <c r="AA4" s="748" t="n">
        <f aca="false">CashFlow!AB49</f>
        <v>0</v>
      </c>
      <c r="AB4" s="748" t="n">
        <f aca="false">CashFlow!AC49</f>
        <v>0</v>
      </c>
      <c r="AC4" s="748" t="n">
        <f aca="false">CashFlow!AD49</f>
        <v>0</v>
      </c>
      <c r="AD4" s="748" t="n">
        <f aca="false">CashFlow!AE49</f>
        <v>0</v>
      </c>
      <c r="AE4" s="748" t="n">
        <f aca="false">CashFlow!AF49</f>
        <v>0</v>
      </c>
      <c r="AF4" s="748" t="n">
        <f aca="false">CashFlow!AG49</f>
        <v>0</v>
      </c>
      <c r="AG4" s="748" t="n">
        <f aca="false">CashFlow!AH49</f>
        <v>0</v>
      </c>
      <c r="AH4" s="748" t="n">
        <f aca="false">CashFlow!AI49</f>
        <v>0</v>
      </c>
    </row>
    <row r="6" customFormat="false" ht="12.75" hidden="false" customHeight="false" outlineLevel="0" collapsed="false">
      <c r="A6" s="15"/>
      <c r="B6" s="15"/>
      <c r="C6" s="313"/>
      <c r="D6" s="749"/>
      <c r="E6" s="749"/>
      <c r="F6" s="749"/>
    </row>
    <row r="7" customFormat="false" ht="12.75" hidden="false" customHeight="false" outlineLevel="0" collapsed="false">
      <c r="A7" s="0" t="s">
        <v>557</v>
      </c>
      <c r="D7" s="100" t="n">
        <v>0</v>
      </c>
      <c r="E7" s="100" t="n">
        <f aca="false">D11</f>
        <v>0</v>
      </c>
      <c r="F7" s="100" t="n">
        <f aca="false">E11</f>
        <v>0</v>
      </c>
      <c r="G7" s="100" t="n">
        <f aca="false">F11</f>
        <v>0</v>
      </c>
      <c r="H7" s="100" t="n">
        <f aca="false">G11</f>
        <v>0</v>
      </c>
      <c r="I7" s="100" t="n">
        <f aca="false">H11</f>
        <v>0</v>
      </c>
      <c r="J7" s="100" t="n">
        <f aca="false">I11</f>
        <v>0</v>
      </c>
      <c r="K7" s="100" t="n">
        <f aca="false">J11</f>
        <v>0</v>
      </c>
      <c r="L7" s="100" t="n">
        <f aca="false">K11</f>
        <v>0</v>
      </c>
      <c r="M7" s="100" t="n">
        <f aca="false">L11</f>
        <v>0</v>
      </c>
      <c r="N7" s="100" t="n">
        <f aca="false">M11</f>
        <v>0</v>
      </c>
      <c r="O7" s="100" t="n">
        <f aca="false">N11</f>
        <v>0</v>
      </c>
      <c r="P7" s="100" t="n">
        <f aca="false">O11</f>
        <v>0</v>
      </c>
      <c r="Q7" s="100" t="n">
        <f aca="false">P11</f>
        <v>0</v>
      </c>
      <c r="R7" s="100" t="n">
        <f aca="false">Q11</f>
        <v>0</v>
      </c>
      <c r="S7" s="100" t="n">
        <f aca="false">R11</f>
        <v>0</v>
      </c>
      <c r="T7" s="100" t="n">
        <f aca="false">S11</f>
        <v>0</v>
      </c>
      <c r="U7" s="100" t="n">
        <f aca="false">T11</f>
        <v>0</v>
      </c>
      <c r="V7" s="100" t="n">
        <f aca="false">U11</f>
        <v>0</v>
      </c>
      <c r="W7" s="100" t="n">
        <f aca="false">V11</f>
        <v>0</v>
      </c>
      <c r="X7" s="100" t="n">
        <f aca="false">W11</f>
        <v>0</v>
      </c>
      <c r="Y7" s="100" t="n">
        <f aca="false">X11</f>
        <v>0</v>
      </c>
      <c r="Z7" s="100" t="n">
        <f aca="false">Y11</f>
        <v>0</v>
      </c>
      <c r="AA7" s="100" t="n">
        <f aca="false">Z11</f>
        <v>0</v>
      </c>
      <c r="AB7" s="100" t="n">
        <f aca="false">AA11</f>
        <v>0</v>
      </c>
      <c r="AC7" s="100" t="n">
        <f aca="false">AB11</f>
        <v>0</v>
      </c>
      <c r="AD7" s="100" t="n">
        <f aca="false">AC11</f>
        <v>0</v>
      </c>
      <c r="AE7" s="100" t="n">
        <f aca="false">AD11</f>
        <v>0</v>
      </c>
      <c r="AF7" s="100" t="n">
        <f aca="false">AE11</f>
        <v>0</v>
      </c>
      <c r="AG7" s="100" t="n">
        <f aca="false">AF11</f>
        <v>0</v>
      </c>
      <c r="AH7" s="100" t="n">
        <f aca="false">AG11</f>
        <v>0</v>
      </c>
    </row>
    <row r="8" customFormat="false" ht="12.75" hidden="false" customHeight="false" outlineLevel="0" collapsed="false">
      <c r="A8" s="0" t="s">
        <v>558</v>
      </c>
      <c r="D8" s="100" t="n">
        <f aca="false">IF(D4&lt;0,-D4,0)</f>
        <v>0</v>
      </c>
      <c r="E8" s="100" t="n">
        <f aca="false">IF(E4&lt;0,-E4,0)</f>
        <v>0</v>
      </c>
      <c r="F8" s="100" t="n">
        <f aca="false">IF(F4&lt;0,-F4,0)</f>
        <v>0</v>
      </c>
      <c r="G8" s="100" t="n">
        <f aca="false">IF(G4&lt;0,-G4,0)</f>
        <v>0</v>
      </c>
      <c r="H8" s="100" t="n">
        <f aca="false">IF(H4&lt;0,-H4,0)</f>
        <v>0</v>
      </c>
      <c r="I8" s="100" t="n">
        <f aca="false">IF(I4&lt;0,-I4,0)</f>
        <v>0</v>
      </c>
      <c r="J8" s="100" t="n">
        <f aca="false">IF(J4&lt;0,-J4,0)</f>
        <v>0</v>
      </c>
      <c r="K8" s="100" t="n">
        <f aca="false">IF(K4&lt;0,-K4,0)</f>
        <v>0</v>
      </c>
      <c r="L8" s="100" t="n">
        <f aca="false">IF(L4&lt;0,-L4,0)</f>
        <v>0</v>
      </c>
      <c r="M8" s="100" t="n">
        <f aca="false">IF(M4&lt;0,-M4,0)</f>
        <v>0</v>
      </c>
      <c r="N8" s="100" t="n">
        <f aca="false">IF(N4&lt;0,-N4,0)</f>
        <v>0</v>
      </c>
      <c r="O8" s="100" t="n">
        <f aca="false">IF(O4&lt;0,-O4,0)</f>
        <v>0</v>
      </c>
      <c r="P8" s="100" t="n">
        <f aca="false">IF(P4&lt;0,-P4,0)</f>
        <v>0</v>
      </c>
      <c r="Q8" s="100" t="n">
        <f aca="false">IF(Q4&lt;0,-Q4,0)</f>
        <v>0</v>
      </c>
      <c r="R8" s="100" t="n">
        <f aca="false">IF(R4&lt;0,-R4,0)</f>
        <v>0</v>
      </c>
      <c r="S8" s="100" t="n">
        <f aca="false">IF(S4&lt;0,-S4,0)</f>
        <v>0</v>
      </c>
      <c r="T8" s="100" t="n">
        <f aca="false">IF(T4&lt;0,-T4,0)</f>
        <v>0</v>
      </c>
      <c r="U8" s="100" t="n">
        <f aca="false">IF(U4&lt;0,-U4,0)</f>
        <v>0</v>
      </c>
      <c r="V8" s="100" t="n">
        <f aca="false">IF(V4&lt;0,-V4,0)</f>
        <v>0</v>
      </c>
      <c r="W8" s="100" t="n">
        <f aca="false">IF(W4&lt;0,-W4,0)</f>
        <v>0</v>
      </c>
      <c r="X8" s="100" t="n">
        <f aca="false">IF(X4&lt;0,-X4,0)</f>
        <v>0</v>
      </c>
      <c r="Y8" s="100" t="n">
        <f aca="false">IF(Y4&lt;0,-Y4,0)</f>
        <v>0</v>
      </c>
      <c r="Z8" s="100" t="n">
        <f aca="false">IF(Z4&lt;0,-Z4,0)</f>
        <v>0</v>
      </c>
      <c r="AA8" s="100" t="n">
        <f aca="false">IF(AA4&lt;0,-AA4,0)</f>
        <v>0</v>
      </c>
      <c r="AB8" s="100" t="n">
        <f aca="false">IF(AB4&lt;0,-AB4,0)</f>
        <v>0</v>
      </c>
      <c r="AC8" s="100" t="n">
        <f aca="false">IF(AC4&lt;0,-AC4,0)</f>
        <v>0</v>
      </c>
      <c r="AD8" s="100" t="n">
        <f aca="false">IF(AD4&lt;0,-AD4,0)</f>
        <v>0</v>
      </c>
      <c r="AE8" s="100" t="n">
        <f aca="false">IF(AE4&lt;0,-AE4,0)</f>
        <v>0</v>
      </c>
      <c r="AF8" s="100" t="n">
        <f aca="false">IF(AF4&lt;0,-AF4,0)</f>
        <v>0</v>
      </c>
      <c r="AG8" s="100" t="n">
        <f aca="false">IF(AG4&lt;0,-AG4,0)</f>
        <v>0</v>
      </c>
      <c r="AH8" s="100" t="n">
        <f aca="false">IF(AH4&lt;0,-AH4,0)</f>
        <v>0</v>
      </c>
    </row>
    <row r="9" customFormat="false" ht="12.75" hidden="false" customHeight="false" outlineLevel="0" collapsed="false">
      <c r="A9" s="0" t="s">
        <v>559</v>
      </c>
      <c r="B9" s="750" t="n">
        <v>0.085</v>
      </c>
      <c r="D9" s="100" t="n">
        <f aca="false">D7*$B9</f>
        <v>0</v>
      </c>
      <c r="E9" s="100" t="n">
        <f aca="false">E7*$B9</f>
        <v>0</v>
      </c>
      <c r="F9" s="100" t="n">
        <f aca="false">F7*$B9</f>
        <v>0</v>
      </c>
      <c r="G9" s="100" t="n">
        <f aca="false">G7*$B9</f>
        <v>0</v>
      </c>
      <c r="H9" s="100" t="n">
        <f aca="false">H7*$B9</f>
        <v>0</v>
      </c>
      <c r="I9" s="100" t="n">
        <f aca="false">I7*$B9</f>
        <v>0</v>
      </c>
      <c r="J9" s="100" t="n">
        <f aca="false">J7*$B9</f>
        <v>0</v>
      </c>
      <c r="K9" s="100" t="n">
        <f aca="false">K7*$B9</f>
        <v>0</v>
      </c>
      <c r="L9" s="100" t="n">
        <f aca="false">L7*$B9</f>
        <v>0</v>
      </c>
      <c r="M9" s="100" t="n">
        <f aca="false">M7*$B9</f>
        <v>0</v>
      </c>
      <c r="N9" s="100" t="n">
        <f aca="false">N7*$B9</f>
        <v>0</v>
      </c>
      <c r="O9" s="100" t="n">
        <f aca="false">O7*$B9</f>
        <v>0</v>
      </c>
      <c r="P9" s="100" t="n">
        <f aca="false">P7*$B9</f>
        <v>0</v>
      </c>
      <c r="Q9" s="100" t="n">
        <f aca="false">Q7*$B9</f>
        <v>0</v>
      </c>
      <c r="R9" s="100" t="n">
        <f aca="false">R7*$B9</f>
        <v>0</v>
      </c>
      <c r="S9" s="100" t="n">
        <f aca="false">S7*$B9</f>
        <v>0</v>
      </c>
      <c r="T9" s="100" t="n">
        <f aca="false">T7*$B9</f>
        <v>0</v>
      </c>
      <c r="U9" s="100" t="n">
        <f aca="false">U7*$B9</f>
        <v>0</v>
      </c>
      <c r="V9" s="100" t="n">
        <f aca="false">V7*$B9</f>
        <v>0</v>
      </c>
      <c r="W9" s="100" t="n">
        <f aca="false">W7*$B9</f>
        <v>0</v>
      </c>
      <c r="X9" s="100" t="n">
        <f aca="false">X7*$B9</f>
        <v>0</v>
      </c>
      <c r="Y9" s="100" t="n">
        <f aca="false">Y7*$B9</f>
        <v>0</v>
      </c>
      <c r="Z9" s="100" t="n">
        <f aca="false">Z7*$B9</f>
        <v>0</v>
      </c>
      <c r="AA9" s="100" t="n">
        <f aca="false">AA7*$B9</f>
        <v>0</v>
      </c>
      <c r="AB9" s="100" t="n">
        <f aca="false">AB7*$B9</f>
        <v>0</v>
      </c>
      <c r="AC9" s="100" t="n">
        <f aca="false">AC7*$B9</f>
        <v>0</v>
      </c>
      <c r="AD9" s="100" t="n">
        <f aca="false">AD7*$B9</f>
        <v>0</v>
      </c>
      <c r="AE9" s="100" t="n">
        <f aca="false">AE7*$B9</f>
        <v>0</v>
      </c>
      <c r="AF9" s="100" t="n">
        <f aca="false">AF7*$B9</f>
        <v>0</v>
      </c>
      <c r="AG9" s="100" t="n">
        <f aca="false">AG7*$B9</f>
        <v>0</v>
      </c>
      <c r="AH9" s="100" t="n">
        <f aca="false">AH7*$B9</f>
        <v>0</v>
      </c>
    </row>
    <row r="10" customFormat="false" ht="12.75" hidden="false" customHeight="false" outlineLevel="0" collapsed="false">
      <c r="A10" s="0" t="s">
        <v>560</v>
      </c>
      <c r="D10" s="100" t="n">
        <f aca="false">IF(AND(D4&gt;0,SUM(D7:D8)&gt;0),MIN(SUM(D7:D9),D4),0)</f>
        <v>0</v>
      </c>
      <c r="E10" s="100" t="n">
        <f aca="false">IF(AND(E4&gt;0,SUM(E7:E8)&gt;0),MIN(SUM(E7:E9),E4),0)</f>
        <v>0</v>
      </c>
      <c r="F10" s="100" t="n">
        <f aca="false">IF(AND(F4&gt;0,SUM(F7:F8)&gt;0),MIN(SUM(F7:F9),F4),0)</f>
        <v>0</v>
      </c>
      <c r="G10" s="100" t="n">
        <f aca="false">IF(AND(G4&gt;0,SUM(G7:G8)&gt;0),MIN(SUM(G7:G9),G4),0)</f>
        <v>0</v>
      </c>
      <c r="H10" s="100" t="n">
        <f aca="false">IF(AND(H4&gt;0,SUM(H7:H8)&gt;0),MIN(SUM(H7:H9),H4),0)</f>
        <v>0</v>
      </c>
      <c r="I10" s="100" t="n">
        <f aca="false">IF(AND(I4&gt;0,SUM(I7:I8)&gt;0),MIN(SUM(I7:I9),I4),0)</f>
        <v>0</v>
      </c>
      <c r="J10" s="100" t="n">
        <f aca="false">IF(AND(J4&gt;0,SUM(J7:J8)&gt;0),MIN(SUM(J7:J9),J4),0)</f>
        <v>0</v>
      </c>
      <c r="K10" s="100" t="n">
        <f aca="false">IF(AND(K4&gt;0,SUM(K7:K8)&gt;0),MIN(SUM(K7:K9),K4),0)</f>
        <v>0</v>
      </c>
      <c r="L10" s="100" t="n">
        <f aca="false">IF(AND(L4&gt;0,SUM(L7:L8)&gt;0),MIN(SUM(L7:L9),L4),0)</f>
        <v>0</v>
      </c>
      <c r="M10" s="100" t="n">
        <f aca="false">IF(AND(M4&gt;0,SUM(M7:M8)&gt;0),MIN(SUM(M7:M9),M4),0)</f>
        <v>0</v>
      </c>
      <c r="N10" s="100" t="n">
        <f aca="false">IF(AND(N4&gt;0,SUM(N7:N8)&gt;0),MIN(SUM(N7:N9),N4),0)</f>
        <v>0</v>
      </c>
      <c r="O10" s="100" t="n">
        <f aca="false">IF(AND(O4&gt;0,SUM(O7:O8)&gt;0),MIN(SUM(O7:O9),O4),0)</f>
        <v>0</v>
      </c>
      <c r="P10" s="100" t="n">
        <f aca="false">IF(AND(P4&gt;0,SUM(P7:P8)&gt;0),MIN(SUM(P7:P9),P4),0)</f>
        <v>0</v>
      </c>
      <c r="Q10" s="100" t="n">
        <f aca="false">IF(AND(Q4&gt;0,SUM(Q7:Q8)&gt;0),MIN(SUM(Q7:Q9),Q4),0)</f>
        <v>0</v>
      </c>
      <c r="R10" s="100" t="n">
        <f aca="false">IF(AND(R4&gt;0,SUM(R7:R8)&gt;0),MIN(SUM(R7:R9),R4),0)</f>
        <v>0</v>
      </c>
      <c r="S10" s="100" t="n">
        <f aca="false">IF(AND(S4&gt;0,SUM(S7:S8)&gt;0),MIN(SUM(S7:S9),S4),0)</f>
        <v>0</v>
      </c>
      <c r="T10" s="100" t="n">
        <f aca="false">IF(AND(T4&gt;0,SUM(T7:T8)&gt;0),MIN(SUM(T7:T9),T4),0)</f>
        <v>0</v>
      </c>
      <c r="U10" s="100" t="n">
        <f aca="false">IF(AND(U4&gt;0,SUM(U7:U8)&gt;0),MIN(SUM(U7:U9),U4),0)</f>
        <v>0</v>
      </c>
      <c r="V10" s="100" t="n">
        <f aca="false">IF(AND(V4&gt;0,SUM(V7:V8)&gt;0),MIN(SUM(V7:V9),V4),0)</f>
        <v>0</v>
      </c>
      <c r="W10" s="100" t="n">
        <f aca="false">IF(AND(W4&gt;0,SUM(W7:W8)&gt;0),MIN(SUM(W7:W9),W4),0)</f>
        <v>0</v>
      </c>
      <c r="X10" s="100" t="n">
        <f aca="false">IF(AND(X4&gt;0,SUM(X7:X8)&gt;0),MIN(SUM(X7:X9),X4),0)</f>
        <v>0</v>
      </c>
      <c r="Y10" s="100" t="n">
        <f aca="false">IF(AND(Y4&gt;0,SUM(Y7:Y8)&gt;0),MIN(SUM(Y7:Y9),Y4),0)</f>
        <v>0</v>
      </c>
      <c r="Z10" s="100" t="n">
        <f aca="false">IF(AND(Z4&gt;0,SUM(Z7:Z8)&gt;0),MIN(SUM(Z7:Z9),Z4),0)</f>
        <v>0</v>
      </c>
      <c r="AA10" s="100" t="n">
        <f aca="false">IF(AND(AA4&gt;0,SUM(AA7:AA8)&gt;0),MIN(SUM(AA7:AA9),AA4),0)</f>
        <v>0</v>
      </c>
      <c r="AB10" s="100" t="n">
        <f aca="false">IF(AND(AB4&gt;0,SUM(AB7:AB8)&gt;0),MIN(SUM(AB7:AB9),AB4),0)</f>
        <v>0</v>
      </c>
      <c r="AC10" s="100" t="n">
        <f aca="false">IF(AND(AC4&gt;0,SUM(AC7:AC8)&gt;0),MIN(SUM(AC7:AC9),AC4),0)</f>
        <v>0</v>
      </c>
      <c r="AD10" s="100" t="n">
        <f aca="false">IF(AND(AD4&gt;0,SUM(AD7:AD8)&gt;0),MIN(SUM(AD7:AD9),AD4),0)</f>
        <v>0</v>
      </c>
      <c r="AE10" s="100" t="n">
        <f aca="false">IF(AND(AE4&gt;0,SUM(AE7:AE8)&gt;0),MIN(SUM(AE7:AE9),AE4),0)</f>
        <v>0</v>
      </c>
      <c r="AF10" s="100" t="n">
        <f aca="false">IF(AND(AF4&gt;0,SUM(AF7:AF8)&gt;0),MIN(SUM(AF7:AF9),AF4),0)</f>
        <v>0</v>
      </c>
      <c r="AG10" s="100" t="n">
        <f aca="false">IF(AND(AG4&gt;0,SUM(AG7:AG8)&gt;0),MIN(SUM(AG7:AG9),AG4),0)</f>
        <v>0</v>
      </c>
      <c r="AH10" s="100" t="n">
        <f aca="false">IF(AND(AH4&gt;0,SUM(AH7:AH8)&gt;0),MIN(SUM(AH7:AH9),AH4),0)</f>
        <v>0</v>
      </c>
    </row>
    <row r="11" customFormat="false" ht="12.75" hidden="false" customHeight="false" outlineLevel="0" collapsed="false">
      <c r="A11" s="0" t="s">
        <v>561</v>
      </c>
      <c r="D11" s="100" t="n">
        <f aca="false">SUM(D7:D9)-D10</f>
        <v>0</v>
      </c>
      <c r="E11" s="100" t="n">
        <f aca="false">SUM(E7:E9)-E10</f>
        <v>0</v>
      </c>
      <c r="F11" s="100" t="n">
        <f aca="false">SUM(F7:F9)-F10</f>
        <v>0</v>
      </c>
      <c r="G11" s="100" t="n">
        <f aca="false">SUM(G7:G9)-G10</f>
        <v>0</v>
      </c>
      <c r="H11" s="100" t="n">
        <f aca="false">SUM(H7:H9)-H10</f>
        <v>0</v>
      </c>
      <c r="I11" s="100" t="n">
        <f aca="false">SUM(I7:I9)-I10</f>
        <v>0</v>
      </c>
      <c r="J11" s="100" t="n">
        <f aca="false">SUM(J7:J9)-J10</f>
        <v>0</v>
      </c>
      <c r="K11" s="100" t="n">
        <f aca="false">SUM(K7:K9)-K10</f>
        <v>0</v>
      </c>
      <c r="L11" s="100" t="n">
        <f aca="false">SUM(L7:L9)-L10</f>
        <v>0</v>
      </c>
      <c r="M11" s="100" t="n">
        <f aca="false">SUM(M7:M9)-M10</f>
        <v>0</v>
      </c>
      <c r="N11" s="100" t="n">
        <f aca="false">SUM(N7:N9)-N10</f>
        <v>0</v>
      </c>
      <c r="O11" s="100" t="n">
        <f aca="false">SUM(O7:O9)-O10</f>
        <v>0</v>
      </c>
      <c r="P11" s="100" t="n">
        <f aca="false">SUM(P7:P9)-P10</f>
        <v>0</v>
      </c>
      <c r="Q11" s="100" t="n">
        <f aca="false">SUM(Q7:Q9)-Q10</f>
        <v>0</v>
      </c>
      <c r="R11" s="100" t="n">
        <f aca="false">SUM(R7:R9)-R10</f>
        <v>0</v>
      </c>
      <c r="S11" s="100" t="n">
        <f aca="false">SUM(S7:S9)-S10</f>
        <v>0</v>
      </c>
      <c r="T11" s="100" t="n">
        <f aca="false">SUM(T7:T9)-T10</f>
        <v>0</v>
      </c>
      <c r="U11" s="100" t="n">
        <f aca="false">SUM(U7:U9)-U10</f>
        <v>0</v>
      </c>
      <c r="V11" s="100" t="n">
        <f aca="false">SUM(V7:V9)-V10</f>
        <v>0</v>
      </c>
      <c r="W11" s="100" t="n">
        <f aca="false">SUM(W7:W9)-W10</f>
        <v>0</v>
      </c>
      <c r="X11" s="100" t="n">
        <f aca="false">SUM(X7:X9)-X10</f>
        <v>0</v>
      </c>
      <c r="Y11" s="100" t="n">
        <f aca="false">SUM(Y7:Y9)-Y10</f>
        <v>0</v>
      </c>
      <c r="Z11" s="100" t="n">
        <f aca="false">SUM(Z7:Z9)-Z10</f>
        <v>0</v>
      </c>
      <c r="AA11" s="100" t="n">
        <f aca="false">SUM(AA7:AA9)-AA10</f>
        <v>0</v>
      </c>
      <c r="AB11" s="100" t="n">
        <f aca="false">SUM(AB7:AB9)-AB10</f>
        <v>0</v>
      </c>
      <c r="AC11" s="100" t="n">
        <f aca="false">SUM(AC7:AC9)-AC10</f>
        <v>0</v>
      </c>
      <c r="AD11" s="100" t="n">
        <f aca="false">SUM(AD7:AD9)-AD10</f>
        <v>0</v>
      </c>
      <c r="AE11" s="100" t="n">
        <f aca="false">SUM(AE7:AE9)-AE10</f>
        <v>0</v>
      </c>
      <c r="AF11" s="100" t="n">
        <f aca="false">SUM(AF7:AF9)-AF10</f>
        <v>0</v>
      </c>
      <c r="AG11" s="100" t="n">
        <f aca="false">SUM(AG7:AG9)-AG10</f>
        <v>0</v>
      </c>
      <c r="AH11" s="100" t="n">
        <f aca="false">SUM(AH7:AH9)-AH10</f>
        <v>0</v>
      </c>
    </row>
    <row r="12" customFormat="false" ht="12.75" hidden="false" customHeight="false" outlineLevel="0" collapsed="false">
      <c r="A12" s="15"/>
      <c r="B12" s="15"/>
      <c r="C12" s="313"/>
      <c r="D12" s="313"/>
      <c r="E12" s="313"/>
      <c r="F12" s="313"/>
    </row>
    <row r="13" customFormat="false" ht="12.75" hidden="false" customHeight="false" outlineLevel="0" collapsed="false">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411"/>
  <sheetViews>
    <sheetView showFormulas="false" showGridLines="true" showRowColHeaders="true" showZeros="true" rightToLeft="false" tabSelected="false" showOutlineSymbols="true" defaultGridColor="true" view="normal" topLeftCell="A1" colorId="64" zoomScale="70" zoomScaleNormal="70" zoomScalePageLayoutView="100" workbookViewId="0">
      <selection pane="topLeft" activeCell="A1" activeCellId="0" sqref="A1:X92"/>
    </sheetView>
  </sheetViews>
  <sheetFormatPr defaultColWidth="8.70703125" defaultRowHeight="12.75" customHeight="true" zeroHeight="false" outlineLevelRow="0" outlineLevelCol="0"/>
  <cols>
    <col collapsed="false" customWidth="true" hidden="false" outlineLevel="0" max="1" min="1" style="0" width="6.13"/>
    <col collapsed="false" customWidth="true" hidden="false" outlineLevel="0" max="2" min="2" style="0" width="46.99"/>
    <col collapsed="false" customWidth="true" hidden="false" outlineLevel="0" max="3" min="3" style="0" width="10.85"/>
    <col collapsed="false" customWidth="true" hidden="false" outlineLevel="0" max="4" min="4" style="0" width="11.7"/>
    <col collapsed="false" customWidth="true" hidden="false" outlineLevel="0" max="36" min="5" style="0" width="14.41"/>
    <col collapsed="false" customWidth="false" hidden="false" outlineLevel="0" max="37" min="37" style="108" width="8.7"/>
  </cols>
  <sheetData>
    <row r="1" customFormat="false" ht="15.75" hidden="false" customHeight="false" outlineLevel="0" collapsed="false">
      <c r="A1" s="751"/>
      <c r="B1" s="2" t="str">
        <f aca="false">ExecSum!$E$4</f>
        <v>SMUD - Solano 34.50MW Project</v>
      </c>
      <c r="C1" s="2" t="s">
        <v>562</v>
      </c>
      <c r="D1" s="373"/>
      <c r="E1" s="4" t="n">
        <v>1</v>
      </c>
      <c r="F1" s="5" t="n">
        <v>2</v>
      </c>
      <c r="G1" s="5" t="n">
        <v>3</v>
      </c>
      <c r="H1" s="5" t="n">
        <v>4</v>
      </c>
      <c r="I1" s="5" t="n">
        <v>5</v>
      </c>
      <c r="J1" s="5" t="n">
        <v>6</v>
      </c>
      <c r="K1" s="5" t="n">
        <v>7</v>
      </c>
      <c r="L1" s="5" t="n">
        <v>8</v>
      </c>
      <c r="M1" s="5" t="n">
        <v>9</v>
      </c>
      <c r="N1" s="5" t="n">
        <v>10</v>
      </c>
      <c r="O1" s="5" t="n">
        <v>11</v>
      </c>
      <c r="P1" s="5" t="n">
        <v>12</v>
      </c>
      <c r="Q1" s="5" t="n">
        <v>13</v>
      </c>
      <c r="R1" s="5" t="n">
        <v>14</v>
      </c>
      <c r="S1" s="5" t="n">
        <v>15</v>
      </c>
      <c r="T1" s="5" t="n">
        <v>16</v>
      </c>
      <c r="U1" s="5" t="n">
        <v>17</v>
      </c>
      <c r="V1" s="5" t="n">
        <v>18</v>
      </c>
      <c r="W1" s="5" t="n">
        <v>19</v>
      </c>
      <c r="X1" s="5" t="n">
        <v>20</v>
      </c>
      <c r="Y1" s="5" t="n">
        <v>21</v>
      </c>
      <c r="Z1" s="5" t="n">
        <v>22</v>
      </c>
      <c r="AA1" s="5" t="n">
        <v>23</v>
      </c>
      <c r="AB1" s="5" t="n">
        <v>24</v>
      </c>
      <c r="AC1" s="5" t="n">
        <v>25</v>
      </c>
      <c r="AD1" s="5" t="n">
        <v>26</v>
      </c>
      <c r="AE1" s="5" t="n">
        <v>27</v>
      </c>
      <c r="AF1" s="5" t="n">
        <v>28</v>
      </c>
      <c r="AG1" s="5" t="n">
        <v>29</v>
      </c>
      <c r="AH1" s="6" t="n">
        <v>30</v>
      </c>
      <c r="AI1" s="6" t="n">
        <v>31</v>
      </c>
      <c r="AJ1" s="373"/>
      <c r="AK1" s="752"/>
      <c r="AL1" s="373"/>
      <c r="AM1" s="753"/>
      <c r="AN1" s="753"/>
      <c r="AO1" s="753"/>
      <c r="AP1" s="753"/>
    </row>
    <row r="2" customFormat="false" ht="14.25" hidden="false" customHeight="true" outlineLevel="0" collapsed="false">
      <c r="A2" s="751"/>
      <c r="B2" s="2" t="s">
        <v>563</v>
      </c>
      <c r="C2" s="2"/>
      <c r="D2" s="373"/>
      <c r="E2" s="7"/>
      <c r="F2" s="8"/>
      <c r="G2" s="8"/>
      <c r="H2" s="8"/>
      <c r="I2" s="8"/>
      <c r="J2" s="8"/>
      <c r="K2" s="8"/>
      <c r="L2" s="8"/>
      <c r="M2" s="8"/>
      <c r="N2" s="8"/>
      <c r="O2" s="8"/>
      <c r="P2" s="8"/>
      <c r="Q2" s="8"/>
      <c r="R2" s="8"/>
      <c r="S2" s="8"/>
      <c r="T2" s="8"/>
      <c r="U2" s="8"/>
      <c r="V2" s="8"/>
      <c r="W2" s="8"/>
      <c r="X2" s="8"/>
      <c r="Y2" s="8"/>
      <c r="Z2" s="8"/>
      <c r="AA2" s="8"/>
      <c r="AB2" s="8"/>
      <c r="AC2" s="8"/>
      <c r="AD2" s="8"/>
      <c r="AE2" s="8"/>
      <c r="AF2" s="8"/>
      <c r="AG2" s="8"/>
      <c r="AH2" s="9"/>
      <c r="AI2" s="9"/>
      <c r="AJ2" s="373"/>
      <c r="AK2" s="752"/>
      <c r="AL2" s="373"/>
      <c r="AM2" s="753"/>
      <c r="AN2" s="753"/>
      <c r="AO2" s="753"/>
      <c r="AP2" s="753"/>
    </row>
    <row r="4" customFormat="false" ht="12.75" hidden="false" customHeight="false" outlineLevel="0" collapsed="false">
      <c r="B4" s="313" t="s">
        <v>564</v>
      </c>
      <c r="C4" s="313"/>
      <c r="D4" s="754" t="n">
        <f aca="false">SUM(E4:AI4)</f>
        <v>43282.3892266452</v>
      </c>
      <c r="E4" s="313" t="n">
        <f aca="false">CashFlow!E30</f>
        <v>2230.40982781693</v>
      </c>
      <c r="F4" s="313" t="n">
        <f aca="false">CashFlow!F30</f>
        <v>2229.91223081693</v>
      </c>
      <c r="G4" s="313" t="n">
        <f aca="false">CashFlow!G30</f>
        <v>2228.76246222743</v>
      </c>
      <c r="H4" s="313" t="n">
        <f aca="false">CashFlow!H30</f>
        <v>2226.81324623775</v>
      </c>
      <c r="I4" s="313" t="n">
        <f aca="false">CashFlow!I30</f>
        <v>2224.19008860965</v>
      </c>
      <c r="J4" s="313" t="n">
        <f aca="false">CashFlow!J30</f>
        <v>2220.98031911034</v>
      </c>
      <c r="K4" s="313" t="n">
        <f aca="false">CashFlow!K30</f>
        <v>2208.06240881801</v>
      </c>
      <c r="L4" s="313" t="n">
        <f aca="false">CashFlow!L30</f>
        <v>2194.3884377525</v>
      </c>
      <c r="M4" s="313" t="n">
        <f aca="false">CashFlow!M30</f>
        <v>2179.95371613923</v>
      </c>
      <c r="N4" s="313" t="n">
        <f aca="false">CashFlow!N30</f>
        <v>2164.65689952843</v>
      </c>
      <c r="O4" s="313" t="n">
        <f aca="false">CashFlow!O30</f>
        <v>2193.429614228</v>
      </c>
      <c r="P4" s="313" t="n">
        <f aca="false">CashFlow!P30</f>
        <v>2175.92692923142</v>
      </c>
      <c r="Q4" s="313" t="n">
        <f aca="false">CashFlow!Q30</f>
        <v>2156.81730388257</v>
      </c>
      <c r="R4" s="313" t="n">
        <f aca="false">CashFlow!R30</f>
        <v>2136.01840457658</v>
      </c>
      <c r="S4" s="313" t="n">
        <f aca="false">CashFlow!S30</f>
        <v>2113.33440441968</v>
      </c>
      <c r="T4" s="313" t="n">
        <f aca="false">CashFlow!T30</f>
        <v>2088.76640361222</v>
      </c>
      <c r="U4" s="313" t="n">
        <f aca="false">CashFlow!U30</f>
        <v>2062.4529472529</v>
      </c>
      <c r="V4" s="313" t="n">
        <f aca="false">CashFlow!V30</f>
        <v>2112.33937895767</v>
      </c>
      <c r="W4" s="313" t="n">
        <f aca="false">CashFlow!W30</f>
        <v>2083.55049926652</v>
      </c>
      <c r="X4" s="313" t="n">
        <f aca="false">CashFlow!X30</f>
        <v>2051.62370416041</v>
      </c>
      <c r="Y4" s="313" t="n">
        <f aca="false">CashFlow!Y30</f>
        <v>0</v>
      </c>
      <c r="Z4" s="313" t="n">
        <f aca="false">CashFlow!Z30</f>
        <v>0</v>
      </c>
      <c r="AA4" s="313" t="n">
        <f aca="false">CashFlow!AA30</f>
        <v>0</v>
      </c>
      <c r="AB4" s="313" t="n">
        <f aca="false">CashFlow!AB30</f>
        <v>0</v>
      </c>
      <c r="AC4" s="313" t="n">
        <f aca="false">CashFlow!AC30</f>
        <v>0</v>
      </c>
      <c r="AD4" s="313" t="n">
        <f aca="false">CashFlow!AD30</f>
        <v>0</v>
      </c>
      <c r="AE4" s="313" t="n">
        <f aca="false">CashFlow!AE30</f>
        <v>0</v>
      </c>
      <c r="AF4" s="313" t="n">
        <f aca="false">CashFlow!AF30</f>
        <v>0</v>
      </c>
      <c r="AG4" s="313" t="n">
        <f aca="false">CashFlow!AG30</f>
        <v>0</v>
      </c>
      <c r="AH4" s="313" t="n">
        <f aca="false">CashFlow!AH30</f>
        <v>0</v>
      </c>
      <c r="AI4" s="313" t="n">
        <f aca="false">CashFlow!AI30</f>
        <v>0</v>
      </c>
    </row>
    <row r="5" customFormat="false" ht="12.75" hidden="false" customHeight="false" outlineLevel="0" collapsed="false">
      <c r="B5" s="313" t="s">
        <v>565</v>
      </c>
      <c r="C5" s="313"/>
      <c r="D5" s="754" t="n">
        <f aca="false">SUM(E5:AI5)</f>
        <v>43282.3892266452</v>
      </c>
      <c r="E5" s="313" t="n">
        <f aca="false">IF(CashFlow!E30&lt;0,0,(CashFlow!E30+(1-Assum!$H$23)*CashFlow!F30))</f>
        <v>2230.40982781693</v>
      </c>
      <c r="F5" s="313" t="n">
        <f aca="false">IF(CashFlow!F30&lt;0,0,(CashFlow!F30*Assum!$H$23+(1-Assum!$H$23)*CashFlow!G30))</f>
        <v>2229.91223081693</v>
      </c>
      <c r="G5" s="313" t="n">
        <f aca="false">IF(CashFlow!G30&lt;0,0,(CashFlow!G30*Assum!$H$23+(1-Assum!$H$23)*CashFlow!H30))</f>
        <v>2228.76246222743</v>
      </c>
      <c r="H5" s="313" t="n">
        <f aca="false">IF(CashFlow!H30&lt;0,0,(CashFlow!H30*Assum!$H$23+(1-Assum!$H$23)*CashFlow!I30))</f>
        <v>2226.81324623775</v>
      </c>
      <c r="I5" s="313" t="n">
        <f aca="false">IF(CashFlow!I30&lt;0,0,(CashFlow!I30*Assum!$H$23+(1-Assum!$H$23)*CashFlow!J30))</f>
        <v>2224.19008860965</v>
      </c>
      <c r="J5" s="313" t="n">
        <f aca="false">IF(CashFlow!J30&lt;0,0,(CashFlow!J30*Assum!$H$23+(1-Assum!$H$23)*CashFlow!K30))</f>
        <v>2220.98031911034</v>
      </c>
      <c r="K5" s="313" t="n">
        <f aca="false">IF(CashFlow!K30&lt;0,0,(CashFlow!K30*Assum!$H$23+(1-Assum!$H$23)*CashFlow!L30))</f>
        <v>2208.06240881801</v>
      </c>
      <c r="L5" s="313" t="n">
        <f aca="false">IF(CashFlow!L30&lt;0,0,(CashFlow!L30*Assum!$H$23+(1-Assum!$H$23)*CashFlow!M30))</f>
        <v>2194.3884377525</v>
      </c>
      <c r="M5" s="313" t="n">
        <f aca="false">IF(CashFlow!M30&lt;0,0,(CashFlow!M30*Assum!$H$23+(1-Assum!$H$23)*CashFlow!N30))</f>
        <v>2179.95371613923</v>
      </c>
      <c r="N5" s="313" t="n">
        <f aca="false">IF(CashFlow!N30&lt;0,0,(CashFlow!N30*Assum!$H$23+(1-Assum!$H$23)*CashFlow!O30))</f>
        <v>2164.65689952843</v>
      </c>
      <c r="O5" s="313" t="n">
        <f aca="false">IF(CashFlow!O30&lt;0,0,(CashFlow!O30*Assum!$H$23+(1-Assum!$H$23)*CashFlow!P30))</f>
        <v>2193.429614228</v>
      </c>
      <c r="P5" s="313" t="n">
        <f aca="false">IF(CashFlow!P30&lt;0,0,(CashFlow!P30*Assum!$H$23+(1-Assum!$H$23)*CashFlow!Q30))</f>
        <v>2175.92692923142</v>
      </c>
      <c r="Q5" s="313" t="n">
        <f aca="false">IF(CashFlow!Q30&lt;0,0,(CashFlow!Q30*Assum!$H$23+(1-Assum!$H$23)*CashFlow!R30))</f>
        <v>2156.81730388257</v>
      </c>
      <c r="R5" s="313" t="n">
        <f aca="false">IF(CashFlow!R30&lt;0,0,(CashFlow!R30*Assum!$H$23+(1-Assum!$H$23)*CashFlow!S30))</f>
        <v>2136.01840457658</v>
      </c>
      <c r="S5" s="313" t="n">
        <f aca="false">IF(CashFlow!S30&lt;0,0,(CashFlow!S30*Assum!$H$23+(1-Assum!$H$23)*CashFlow!T30))</f>
        <v>2113.33440441968</v>
      </c>
      <c r="T5" s="313" t="n">
        <f aca="false">IF(CashFlow!T30&lt;0,0,(CashFlow!T30*Assum!$H$23+(1-Assum!$H$23)*CashFlow!U30))</f>
        <v>2088.76640361222</v>
      </c>
      <c r="U5" s="313" t="n">
        <f aca="false">IF(CashFlow!U30&lt;0,0,(CashFlow!U30*Assum!$H$23+(1-Assum!$H$23)*CashFlow!V30))</f>
        <v>2062.4529472529</v>
      </c>
      <c r="V5" s="313" t="n">
        <f aca="false">IF(CashFlow!V30&lt;0,0,(CashFlow!V30*Assum!$H$23+(1-Assum!$H$23)*CashFlow!W30))</f>
        <v>2112.33937895767</v>
      </c>
      <c r="W5" s="313" t="n">
        <f aca="false">IF(CashFlow!W30&lt;0,0,(CashFlow!W30*Assum!$H$23+(1-Assum!$H$23)*CashFlow!X30))</f>
        <v>2083.55049926652</v>
      </c>
      <c r="X5" s="313" t="n">
        <f aca="false">IF(CashFlow!X30&lt;0,0,(CashFlow!X30*Assum!$H$23+(1-Assum!$H$23)*CashFlow!Y30))</f>
        <v>2051.62370416041</v>
      </c>
      <c r="Y5" s="313" t="n">
        <f aca="false">IF(CashFlow!Y30&lt;0,0,(CashFlow!Y30*Assum!$H$23+(1-Assum!$H$23)*CashFlow!Z30))</f>
        <v>0</v>
      </c>
      <c r="Z5" s="313" t="n">
        <f aca="false">IF(CashFlow!Z30&lt;0,0,(CashFlow!Z30*Assum!$H$23+(1-Assum!$H$23)*CashFlow!AA30))</f>
        <v>0</v>
      </c>
      <c r="AA5" s="313" t="n">
        <f aca="false">IF(CashFlow!AA30&lt;0,0,(CashFlow!AA30*Assum!$H$23+(1-Assum!$H$23)*CashFlow!AB30))</f>
        <v>0</v>
      </c>
      <c r="AB5" s="313" t="n">
        <f aca="false">IF(CashFlow!AB30&lt;0,0,(CashFlow!AB30*Assum!$H$23+(1-Assum!$H$23)*CashFlow!AC30))</f>
        <v>0</v>
      </c>
      <c r="AC5" s="313" t="n">
        <f aca="false">IF(CashFlow!AC30&lt;0,0,(CashFlow!AC30*Assum!$H$23+(1-Assum!$H$23)*CashFlow!AD30))</f>
        <v>0</v>
      </c>
      <c r="AD5" s="313" t="n">
        <f aca="false">IF(CashFlow!AD30&lt;0,0,(CashFlow!AD30*Assum!$H$23+(1-Assum!$H$23)*CashFlow!AE30))</f>
        <v>0</v>
      </c>
      <c r="AE5" s="313" t="n">
        <f aca="false">IF(CashFlow!AE30&lt;0,0,(CashFlow!AE30*Assum!$H$23+(1-Assum!$H$23)*CashFlow!AF30))</f>
        <v>0</v>
      </c>
      <c r="AF5" s="313" t="n">
        <f aca="false">IF(CashFlow!AF30&lt;0,0,(CashFlow!AF30*Assum!$H$23+(1-Assum!$H$23)*CashFlow!AG30))</f>
        <v>0</v>
      </c>
      <c r="AG5" s="313" t="n">
        <f aca="false">IF(CashFlow!AG30&lt;0,0,(CashFlow!AG30*Assum!$H$23+(1-Assum!$H$23)*CashFlow!AH30))</f>
        <v>0</v>
      </c>
      <c r="AH5" s="313" t="n">
        <f aca="false">IF(CashFlow!AH30&lt;0,0,(CashFlow!AH30*Assum!$H$23+(1-Assum!$H$23)*CashFlow!AI30))</f>
        <v>0</v>
      </c>
      <c r="AI5" s="313" t="n">
        <f aca="false">IF(CashFlow!AI30&lt;0,0,(CashFlow!AI30*Assum!$H$23+(1-Assum!$H$23)*CashFlow!AJ30))</f>
        <v>0</v>
      </c>
    </row>
    <row r="6" customFormat="false" ht="13.5" hidden="false" customHeight="false" outlineLevel="0" collapsed="false">
      <c r="D6" s="29"/>
    </row>
    <row r="7" customFormat="false" ht="13.5" hidden="false" customHeight="false" outlineLevel="0" collapsed="false">
      <c r="B7" s="368" t="s">
        <v>327</v>
      </c>
      <c r="D7" s="29" t="s">
        <v>566</v>
      </c>
    </row>
    <row r="8" customFormat="false" ht="12.75" hidden="false" customHeight="false" outlineLevel="0" collapsed="false">
      <c r="A8" s="751"/>
      <c r="B8" s="755" t="s">
        <v>567</v>
      </c>
      <c r="C8" s="752"/>
      <c r="D8" s="756" t="n">
        <f aca="false">Assum!E254</f>
        <v>1</v>
      </c>
      <c r="E8" s="755" t="n">
        <f aca="false">$D$8*E5</f>
        <v>2230.40982781693</v>
      </c>
      <c r="F8" s="755" t="n">
        <f aca="false">$D$8*F5</f>
        <v>2229.91223081693</v>
      </c>
      <c r="G8" s="755" t="n">
        <f aca="false">$D$8*G5</f>
        <v>2228.76246222743</v>
      </c>
      <c r="H8" s="755" t="n">
        <f aca="false">$D$8*H5</f>
        <v>2226.81324623775</v>
      </c>
      <c r="I8" s="755" t="n">
        <f aca="false">$D$8*I5</f>
        <v>2224.19008860965</v>
      </c>
      <c r="J8" s="755" t="n">
        <f aca="false">$D$8*J5</f>
        <v>2220.98031911034</v>
      </c>
      <c r="K8" s="755" t="n">
        <f aca="false">$D$8*K5</f>
        <v>2208.06240881801</v>
      </c>
      <c r="L8" s="755" t="n">
        <f aca="false">$D$8*L5</f>
        <v>2194.3884377525</v>
      </c>
      <c r="M8" s="755" t="n">
        <f aca="false">$D$8*M5</f>
        <v>2179.95371613923</v>
      </c>
      <c r="N8" s="755" t="n">
        <f aca="false">$D$8*N5</f>
        <v>2164.65689952843</v>
      </c>
      <c r="O8" s="755" t="n">
        <f aca="false">$D$8*O5</f>
        <v>2193.429614228</v>
      </c>
      <c r="P8" s="755" t="n">
        <f aca="false">$D$8*P5</f>
        <v>2175.92692923142</v>
      </c>
      <c r="Q8" s="755" t="n">
        <f aca="false">$D$8*Q5</f>
        <v>2156.81730388257</v>
      </c>
      <c r="R8" s="755" t="n">
        <f aca="false">$D$8*R5</f>
        <v>2136.01840457658</v>
      </c>
      <c r="S8" s="755" t="n">
        <f aca="false">$D$8*S5</f>
        <v>2113.33440441968</v>
      </c>
      <c r="T8" s="755" t="n">
        <f aca="false">$D$8*T5</f>
        <v>2088.76640361222</v>
      </c>
      <c r="U8" s="755" t="n">
        <f aca="false">$D$8*U5</f>
        <v>2062.4529472529</v>
      </c>
      <c r="V8" s="755" t="n">
        <f aca="false">$D$8*V5</f>
        <v>2112.33937895767</v>
      </c>
      <c r="W8" s="755" t="n">
        <f aca="false">$D$8*W5</f>
        <v>2083.55049926652</v>
      </c>
      <c r="X8" s="755" t="n">
        <f aca="false">$D$8*X5</f>
        <v>2051.62370416041</v>
      </c>
      <c r="Y8" s="755" t="n">
        <f aca="false">$D$8*Y5</f>
        <v>0</v>
      </c>
      <c r="Z8" s="755" t="n">
        <f aca="false">$D$8*Z5</f>
        <v>0</v>
      </c>
      <c r="AA8" s="755" t="n">
        <f aca="false">$D$8*AA5</f>
        <v>0</v>
      </c>
      <c r="AB8" s="755" t="n">
        <f aca="false">$D$8*AB5</f>
        <v>0</v>
      </c>
      <c r="AC8" s="755" t="n">
        <f aca="false">$D$8*AC5</f>
        <v>0</v>
      </c>
      <c r="AD8" s="755" t="n">
        <f aca="false">$D$8*AD5</f>
        <v>0</v>
      </c>
      <c r="AE8" s="755" t="n">
        <f aca="false">$D$8*AE5</f>
        <v>0</v>
      </c>
      <c r="AF8" s="755" t="n">
        <f aca="false">$D$8*AF5</f>
        <v>0</v>
      </c>
      <c r="AG8" s="755" t="n">
        <f aca="false">$D$8*AG5</f>
        <v>0</v>
      </c>
      <c r="AH8" s="755" t="n">
        <f aca="false">$D$8*AH5</f>
        <v>0</v>
      </c>
      <c r="AI8" s="755" t="n">
        <f aca="false">$D$8*AI5</f>
        <v>0</v>
      </c>
      <c r="AJ8" s="755"/>
      <c r="AK8" s="757"/>
      <c r="AL8" s="755"/>
      <c r="AM8" s="755"/>
      <c r="AN8" s="755"/>
      <c r="AO8" s="755"/>
      <c r="AP8" s="755"/>
    </row>
    <row r="9" customFormat="false" ht="12.75" hidden="false" customHeight="false" outlineLevel="0" collapsed="false">
      <c r="A9" s="751"/>
      <c r="B9" s="755"/>
      <c r="C9" s="755"/>
      <c r="D9" s="755"/>
      <c r="E9" s="755"/>
      <c r="F9" s="755"/>
      <c r="G9" s="755"/>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7"/>
      <c r="AL9" s="755"/>
      <c r="AM9" s="755"/>
      <c r="AN9" s="755"/>
      <c r="AO9" s="755"/>
      <c r="AP9" s="755"/>
    </row>
    <row r="10" customFormat="false" ht="12.75" hidden="false" customHeight="false" outlineLevel="0" collapsed="false">
      <c r="A10" s="751"/>
      <c r="B10" s="758"/>
      <c r="C10" s="758"/>
      <c r="D10" s="758"/>
      <c r="E10" s="759" t="n">
        <v>1</v>
      </c>
      <c r="F10" s="760" t="n">
        <v>2</v>
      </c>
      <c r="G10" s="760" t="n">
        <v>3</v>
      </c>
      <c r="H10" s="760" t="n">
        <v>4</v>
      </c>
      <c r="I10" s="760" t="n">
        <v>5</v>
      </c>
      <c r="J10" s="760" t="n">
        <v>6</v>
      </c>
      <c r="K10" s="760" t="n">
        <v>7</v>
      </c>
      <c r="L10" s="760" t="n">
        <v>8</v>
      </c>
      <c r="M10" s="760" t="n">
        <v>9</v>
      </c>
      <c r="N10" s="760" t="n">
        <v>10</v>
      </c>
      <c r="O10" s="760" t="n">
        <v>11</v>
      </c>
      <c r="P10" s="760" t="n">
        <v>12</v>
      </c>
      <c r="Q10" s="760" t="n">
        <v>13</v>
      </c>
      <c r="R10" s="760" t="n">
        <v>14</v>
      </c>
      <c r="S10" s="760" t="n">
        <v>15</v>
      </c>
      <c r="T10" s="760" t="n">
        <v>16</v>
      </c>
      <c r="U10" s="760" t="n">
        <v>17</v>
      </c>
      <c r="V10" s="760" t="n">
        <v>18</v>
      </c>
      <c r="W10" s="760" t="n">
        <v>19</v>
      </c>
      <c r="X10" s="760" t="n">
        <v>20</v>
      </c>
      <c r="Y10" s="760" t="n">
        <v>21</v>
      </c>
      <c r="Z10" s="760" t="n">
        <v>22</v>
      </c>
      <c r="AA10" s="760" t="n">
        <v>23</v>
      </c>
      <c r="AB10" s="760" t="n">
        <v>24</v>
      </c>
      <c r="AC10" s="760" t="n">
        <v>25</v>
      </c>
      <c r="AD10" s="760" t="n">
        <v>26</v>
      </c>
      <c r="AE10" s="760" t="n">
        <v>27</v>
      </c>
      <c r="AF10" s="760" t="n">
        <v>28</v>
      </c>
      <c r="AG10" s="760" t="n">
        <v>29</v>
      </c>
      <c r="AH10" s="760" t="n">
        <v>30</v>
      </c>
      <c r="AI10" s="761" t="n">
        <v>31</v>
      </c>
      <c r="AJ10" s="758"/>
      <c r="AK10" s="762"/>
      <c r="AL10" s="758"/>
      <c r="AM10" s="763"/>
      <c r="AN10" s="763"/>
      <c r="AO10" s="763"/>
      <c r="AP10" s="763"/>
      <c r="AQ10" s="764"/>
      <c r="AR10" s="764"/>
      <c r="AS10" s="764"/>
      <c r="AT10" s="764"/>
      <c r="AU10" s="764"/>
      <c r="AV10" s="764"/>
      <c r="AW10" s="764"/>
      <c r="AX10" s="764"/>
      <c r="AY10" s="764"/>
      <c r="AZ10" s="764"/>
      <c r="BA10" s="764"/>
      <c r="BB10" s="764"/>
      <c r="BC10" s="764"/>
      <c r="BD10" s="764"/>
      <c r="BE10" s="764"/>
      <c r="BF10" s="764"/>
      <c r="BG10" s="764"/>
      <c r="BH10" s="764"/>
      <c r="BI10" s="764"/>
      <c r="BJ10" s="764"/>
      <c r="BK10" s="764"/>
      <c r="BL10" s="764"/>
      <c r="BM10" s="764"/>
      <c r="BN10" s="764"/>
      <c r="BO10" s="764"/>
      <c r="BP10" s="764"/>
      <c r="BQ10" s="764"/>
      <c r="BR10" s="764"/>
      <c r="BS10" s="764"/>
      <c r="BT10" s="764"/>
      <c r="BU10" s="764"/>
      <c r="BV10" s="764"/>
      <c r="BW10" s="764"/>
      <c r="BX10" s="764"/>
      <c r="BY10" s="764"/>
      <c r="BZ10" s="764"/>
      <c r="CA10" s="764"/>
      <c r="CB10" s="764"/>
      <c r="CC10" s="764"/>
      <c r="CD10" s="764"/>
      <c r="CE10" s="764"/>
      <c r="CF10" s="764"/>
      <c r="CG10" s="764"/>
      <c r="CH10" s="764"/>
      <c r="CI10" s="764"/>
      <c r="CJ10" s="764"/>
      <c r="CK10" s="764"/>
      <c r="CL10" s="764"/>
      <c r="CM10" s="764"/>
      <c r="CN10" s="764"/>
      <c r="CO10" s="764"/>
      <c r="CP10" s="764"/>
      <c r="CQ10" s="764"/>
      <c r="CR10" s="764"/>
      <c r="CS10" s="764"/>
      <c r="CT10" s="764"/>
      <c r="CU10" s="764"/>
      <c r="CV10" s="764"/>
      <c r="CW10" s="764"/>
      <c r="CX10" s="764"/>
      <c r="CY10" s="764"/>
      <c r="CZ10" s="764"/>
      <c r="DA10" s="764"/>
      <c r="DB10" s="764"/>
      <c r="DC10" s="764"/>
      <c r="DD10" s="764"/>
      <c r="DE10" s="764"/>
      <c r="DF10" s="764"/>
      <c r="DG10" s="764"/>
      <c r="DH10" s="764"/>
      <c r="DI10" s="764"/>
      <c r="DJ10" s="764"/>
      <c r="DK10" s="764"/>
      <c r="DL10" s="764"/>
      <c r="DM10" s="764"/>
      <c r="DN10" s="764"/>
      <c r="DO10" s="764"/>
      <c r="DP10" s="764"/>
      <c r="DQ10" s="764"/>
      <c r="DR10" s="764"/>
      <c r="DS10" s="764"/>
      <c r="DT10" s="764"/>
      <c r="DU10" s="764"/>
      <c r="DV10" s="764"/>
      <c r="DW10" s="764"/>
      <c r="DX10" s="764"/>
      <c r="DY10" s="764"/>
      <c r="DZ10" s="764"/>
      <c r="EA10" s="764"/>
      <c r="EB10" s="764"/>
      <c r="EC10" s="764"/>
      <c r="ED10" s="764"/>
      <c r="EE10" s="764"/>
      <c r="EF10" s="764"/>
      <c r="EG10" s="764"/>
      <c r="EH10" s="764"/>
      <c r="EI10" s="764"/>
      <c r="EJ10" s="764"/>
      <c r="EK10" s="764"/>
      <c r="EL10" s="764"/>
      <c r="EM10" s="764"/>
      <c r="EN10" s="764"/>
      <c r="EO10" s="764"/>
      <c r="EP10" s="764"/>
      <c r="EQ10" s="764"/>
      <c r="ER10" s="764"/>
      <c r="ES10" s="764"/>
      <c r="ET10" s="764"/>
      <c r="EU10" s="764"/>
      <c r="EV10" s="764"/>
      <c r="EW10" s="764"/>
      <c r="EX10" s="764"/>
      <c r="EY10" s="764"/>
      <c r="EZ10" s="764"/>
      <c r="FA10" s="764"/>
      <c r="FB10" s="764"/>
      <c r="FC10" s="764"/>
      <c r="FD10" s="764"/>
      <c r="FE10" s="764"/>
      <c r="FF10" s="764"/>
      <c r="FG10" s="764"/>
      <c r="FH10" s="764"/>
      <c r="FI10" s="764"/>
      <c r="FJ10" s="764"/>
      <c r="FK10" s="764"/>
      <c r="FL10" s="764"/>
      <c r="FM10" s="764"/>
      <c r="FN10" s="764"/>
      <c r="FO10" s="764"/>
      <c r="FP10" s="764"/>
      <c r="FQ10" s="764"/>
      <c r="FR10" s="764"/>
      <c r="FS10" s="764"/>
      <c r="FT10" s="764"/>
      <c r="FU10" s="764"/>
      <c r="FV10" s="764"/>
      <c r="FW10" s="764"/>
      <c r="FX10" s="764"/>
      <c r="FY10" s="764"/>
      <c r="FZ10" s="764"/>
      <c r="GA10" s="764"/>
      <c r="GB10" s="764"/>
      <c r="GC10" s="764"/>
      <c r="GD10" s="764"/>
      <c r="GE10" s="764"/>
      <c r="GF10" s="764"/>
      <c r="GG10" s="764"/>
      <c r="GH10" s="764"/>
      <c r="GI10" s="764"/>
      <c r="GJ10" s="764"/>
      <c r="GK10" s="764"/>
      <c r="GL10" s="764"/>
      <c r="GM10" s="764"/>
      <c r="GN10" s="764"/>
      <c r="GO10" s="764"/>
      <c r="GP10" s="764"/>
      <c r="GQ10" s="764"/>
      <c r="GR10" s="764"/>
      <c r="GS10" s="764"/>
      <c r="GT10" s="764"/>
      <c r="GU10" s="764"/>
      <c r="GV10" s="764"/>
      <c r="GW10" s="764"/>
      <c r="GX10" s="764"/>
      <c r="GY10" s="764"/>
      <c r="GZ10" s="764"/>
      <c r="HA10" s="764"/>
      <c r="HB10" s="764"/>
      <c r="HC10" s="764"/>
      <c r="HD10" s="764"/>
      <c r="HE10" s="764"/>
      <c r="HF10" s="764"/>
      <c r="HG10" s="764"/>
      <c r="HH10" s="764"/>
      <c r="HI10" s="764"/>
      <c r="HJ10" s="764"/>
      <c r="HK10" s="764"/>
      <c r="HL10" s="764"/>
      <c r="HM10" s="764"/>
      <c r="HN10" s="764"/>
      <c r="HO10" s="764"/>
      <c r="HP10" s="764"/>
      <c r="HQ10" s="764"/>
      <c r="HR10" s="764"/>
      <c r="HS10" s="764"/>
      <c r="HT10" s="764"/>
      <c r="HU10" s="764"/>
      <c r="HV10" s="764"/>
      <c r="HW10" s="764"/>
      <c r="HX10" s="764"/>
      <c r="HY10" s="764"/>
      <c r="HZ10" s="764"/>
      <c r="IA10" s="764"/>
      <c r="IB10" s="764"/>
      <c r="IC10" s="764"/>
      <c r="ID10" s="764"/>
      <c r="IE10" s="764"/>
      <c r="IF10" s="764"/>
      <c r="IG10" s="764"/>
      <c r="IH10" s="764"/>
      <c r="II10" s="764"/>
      <c r="IJ10" s="764"/>
      <c r="IK10" s="764"/>
      <c r="IL10" s="764"/>
      <c r="IM10" s="764"/>
      <c r="IN10" s="764"/>
      <c r="IO10" s="764"/>
      <c r="IP10" s="764"/>
      <c r="IQ10" s="764"/>
      <c r="IR10" s="764"/>
      <c r="IS10" s="764"/>
      <c r="IT10" s="764"/>
      <c r="IU10" s="764"/>
      <c r="IV10" s="764"/>
      <c r="IW10" s="764"/>
    </row>
    <row r="11" customFormat="false" ht="12.75" hidden="false" customHeight="false" outlineLevel="0" collapsed="false">
      <c r="A11" s="751"/>
      <c r="B11" s="373" t="s">
        <v>568</v>
      </c>
      <c r="C11" s="373"/>
      <c r="D11" s="373"/>
      <c r="E11" s="765" t="n">
        <f aca="false">Assum!E245</f>
        <v>1.4</v>
      </c>
      <c r="F11" s="765" t="n">
        <f aca="false">Assum!F245</f>
        <v>1.4</v>
      </c>
      <c r="G11" s="765" t="n">
        <f aca="false">Assum!G245</f>
        <v>1.4</v>
      </c>
      <c r="H11" s="765" t="n">
        <f aca="false">Assum!H245</f>
        <v>1.4</v>
      </c>
      <c r="I11" s="765" t="n">
        <f aca="false">Assum!I245</f>
        <v>1.4</v>
      </c>
      <c r="J11" s="765" t="n">
        <f aca="false">Assum!J245</f>
        <v>1.4</v>
      </c>
      <c r="K11" s="765" t="n">
        <f aca="false">Assum!K245</f>
        <v>1.4</v>
      </c>
      <c r="L11" s="765" t="n">
        <f aca="false">Assum!L245</f>
        <v>1.4</v>
      </c>
      <c r="M11" s="765" t="n">
        <f aca="false">Assum!M245</f>
        <v>1.4</v>
      </c>
      <c r="N11" s="765" t="n">
        <f aca="false">Assum!N245</f>
        <v>1.4</v>
      </c>
      <c r="O11" s="765" t="n">
        <f aca="false">Assum!O245</f>
        <v>1.4</v>
      </c>
      <c r="P11" s="765" t="n">
        <f aca="false">Assum!P245</f>
        <v>1.4</v>
      </c>
      <c r="Q11" s="765" t="n">
        <f aca="false">Assum!Q245</f>
        <v>1.4</v>
      </c>
      <c r="R11" s="765" t="n">
        <f aca="false">Assum!R245</f>
        <v>1.4</v>
      </c>
      <c r="S11" s="765" t="n">
        <f aca="false">Assum!S245</f>
        <v>1.4</v>
      </c>
      <c r="T11" s="765" t="n">
        <f aca="false">Assum!T245</f>
        <v>1.4</v>
      </c>
      <c r="U11" s="765" t="n">
        <f aca="false">Assum!U245</f>
        <v>1.4</v>
      </c>
      <c r="V11" s="765" t="n">
        <f aca="false">Assum!V245</f>
        <v>1.4</v>
      </c>
      <c r="W11" s="765" t="n">
        <f aca="false">Assum!W245</f>
        <v>1.4</v>
      </c>
      <c r="X11" s="765" t="n">
        <f aca="false">Assum!X245</f>
        <v>1.4</v>
      </c>
      <c r="Y11" s="765" t="n">
        <f aca="false">Assum!Y245</f>
        <v>1.4</v>
      </c>
      <c r="Z11" s="765" t="n">
        <f aca="false">Assum!Z245</f>
        <v>1.4</v>
      </c>
      <c r="AA11" s="765" t="n">
        <f aca="false">Assum!AA245</f>
        <v>1.4</v>
      </c>
      <c r="AB11" s="765" t="n">
        <f aca="false">Assum!AB245</f>
        <v>1.4</v>
      </c>
      <c r="AC11" s="765" t="n">
        <f aca="false">Assum!AC245</f>
        <v>1.4</v>
      </c>
      <c r="AD11" s="765" t="n">
        <f aca="false">Assum!AD245</f>
        <v>1.4</v>
      </c>
      <c r="AE11" s="765" t="n">
        <f aca="false">Assum!AE245</f>
        <v>1.4</v>
      </c>
      <c r="AF11" s="765" t="n">
        <f aca="false">Assum!AF245</f>
        <v>1.4</v>
      </c>
      <c r="AG11" s="765" t="n">
        <f aca="false">Assum!AG245</f>
        <v>1.4</v>
      </c>
      <c r="AH11" s="765" t="n">
        <f aca="false">Assum!AH245</f>
        <v>1.4</v>
      </c>
      <c r="AI11" s="765" t="n">
        <f aca="false">Assum!AI245</f>
        <v>1.4</v>
      </c>
      <c r="AJ11" s="373"/>
      <c r="AK11" s="752"/>
      <c r="AL11" s="373"/>
      <c r="AM11" s="753"/>
      <c r="AN11" s="753"/>
      <c r="AO11" s="753"/>
      <c r="AP11" s="753"/>
    </row>
    <row r="12" customFormat="false" ht="12.75" hidden="false" customHeight="false" outlineLevel="0" collapsed="false">
      <c r="A12" s="751"/>
      <c r="B12" s="373" t="s">
        <v>569</v>
      </c>
      <c r="C12" s="766"/>
      <c r="D12" s="766"/>
      <c r="E12" s="765" t="n">
        <f aca="false">IF(E46=0," ",E8/E46)</f>
        <v>1.4</v>
      </c>
      <c r="F12" s="765" t="n">
        <f aca="false">IF(F46=0," ",F8/F46)</f>
        <v>1.4</v>
      </c>
      <c r="G12" s="765" t="n">
        <f aca="false">IF(G46=0," ",G8/G46)</f>
        <v>1.4</v>
      </c>
      <c r="H12" s="765" t="n">
        <f aca="false">IF(H46=0," ",H8/H46)</f>
        <v>1.4</v>
      </c>
      <c r="I12" s="765" t="n">
        <f aca="false">IF(I46=0," ",I8/I46)</f>
        <v>1.4</v>
      </c>
      <c r="J12" s="765" t="n">
        <f aca="false">IF(J46=0," ",J8/J46)</f>
        <v>1.4</v>
      </c>
      <c r="K12" s="765" t="n">
        <f aca="false">IF(K46=0," ",K8/K46)</f>
        <v>1.4</v>
      </c>
      <c r="L12" s="765" t="n">
        <f aca="false">IF(L46=0," ",L8/L46)</f>
        <v>1.4</v>
      </c>
      <c r="M12" s="765" t="n">
        <f aca="false">IF(M46=0," ",M8/M46)</f>
        <v>1.4</v>
      </c>
      <c r="N12" s="765" t="n">
        <f aca="false">IF(N46=0," ",N8/N46)</f>
        <v>1.4</v>
      </c>
      <c r="O12" s="765" t="n">
        <f aca="false">IF(O46=0," ",O8/O46)</f>
        <v>1.4</v>
      </c>
      <c r="P12" s="765" t="n">
        <f aca="false">IF(P46=0," ",P8/P46)</f>
        <v>1.4</v>
      </c>
      <c r="Q12" s="765" t="n">
        <f aca="false">IF(Q46=0," ",Q8/Q46)</f>
        <v>1.4</v>
      </c>
      <c r="R12" s="765" t="n">
        <f aca="false">IF(R46=0," ",R8/R46)</f>
        <v>1.4</v>
      </c>
      <c r="S12" s="765" t="n">
        <f aca="false">IF(S46=0," ",S8/S46)</f>
        <v>1.4</v>
      </c>
      <c r="T12" s="765" t="n">
        <f aca="false">IF(T46=0," ",T8/T46)</f>
        <v>1.4</v>
      </c>
      <c r="U12" s="765" t="n">
        <f aca="false">IF(U46=0," ",U8/U46)</f>
        <v>1.4810861714886</v>
      </c>
      <c r="V12" s="765" t="str">
        <f aca="false">IF(V46=0," ",V8/V46)</f>
        <v> </v>
      </c>
      <c r="W12" s="765" t="str">
        <f aca="false">IF(W46=0," ",W8/W46)</f>
        <v> </v>
      </c>
      <c r="X12" s="765" t="str">
        <f aca="false">IF(X46=0," ",X8/X46)</f>
        <v> </v>
      </c>
      <c r="Y12" s="765" t="str">
        <f aca="false">IF(Y46=0," ",Y8/Y46)</f>
        <v> </v>
      </c>
      <c r="Z12" s="765" t="str">
        <f aca="false">IF(Z46=0," ",Z8/Z46)</f>
        <v> </v>
      </c>
      <c r="AA12" s="765" t="str">
        <f aca="false">IF(AA46=0," ",AA8/AA46)</f>
        <v> </v>
      </c>
      <c r="AB12" s="765" t="str">
        <f aca="false">IF(AB46=0," ",AB8/AB46)</f>
        <v> </v>
      </c>
      <c r="AC12" s="765" t="str">
        <f aca="false">IF(AC46=0," ",AC8/AC46)</f>
        <v> </v>
      </c>
      <c r="AD12" s="765" t="str">
        <f aca="false">IF(AD46=0," ",AD8/AD46)</f>
        <v> </v>
      </c>
      <c r="AE12" s="765" t="str">
        <f aca="false">IF(AE46=0," ",AE8/AE46)</f>
        <v> </v>
      </c>
      <c r="AF12" s="765" t="str">
        <f aca="false">IF(AF46=0," ",AF8/AF46)</f>
        <v> </v>
      </c>
      <c r="AG12" s="765" t="str">
        <f aca="false">IF(AG46=0," ",AG8/AG46)</f>
        <v> </v>
      </c>
      <c r="AH12" s="765" t="str">
        <f aca="false">IF(AH46=0," ",AH8/AH46)</f>
        <v> </v>
      </c>
      <c r="AI12" s="765" t="str">
        <f aca="false">IF(AI46=0," ",AI8/AI46)</f>
        <v> </v>
      </c>
      <c r="AJ12" s="373"/>
      <c r="AK12" s="752"/>
      <c r="AL12" s="373"/>
      <c r="AM12" s="753"/>
      <c r="AN12" s="753"/>
      <c r="AO12" s="753"/>
      <c r="AP12" s="753"/>
    </row>
    <row r="13" customFormat="false" ht="12.75" hidden="false" customHeight="false" outlineLevel="0" collapsed="false">
      <c r="A13" s="751"/>
      <c r="F13" s="767"/>
      <c r="G13" s="755"/>
      <c r="H13" s="755"/>
      <c r="I13" s="755"/>
      <c r="J13" s="755"/>
      <c r="K13" s="755"/>
      <c r="L13" s="755"/>
      <c r="M13" s="755"/>
      <c r="N13" s="755"/>
      <c r="O13" s="755"/>
      <c r="P13" s="755"/>
      <c r="Q13" s="755"/>
      <c r="R13" s="755"/>
      <c r="S13" s="755"/>
      <c r="T13" s="755"/>
      <c r="U13" s="755"/>
      <c r="V13" s="755"/>
      <c r="W13" s="755"/>
      <c r="X13" s="755"/>
      <c r="Y13" s="755"/>
      <c r="Z13" s="755"/>
      <c r="AA13" s="755"/>
      <c r="AB13" s="755"/>
      <c r="AC13" s="755"/>
      <c r="AD13" s="755"/>
      <c r="AE13" s="755"/>
      <c r="AF13" s="755"/>
      <c r="AG13" s="755"/>
      <c r="AH13" s="755"/>
      <c r="AI13" s="755"/>
      <c r="AJ13" s="755"/>
      <c r="AK13" s="757"/>
      <c r="AL13" s="755"/>
      <c r="AM13" s="755"/>
      <c r="AN13" s="755"/>
      <c r="AO13" s="755"/>
      <c r="AP13" s="755"/>
    </row>
    <row r="14" customFormat="false" ht="12.75" hidden="false" customHeight="false" outlineLevel="0" collapsed="false">
      <c r="A14" s="751"/>
      <c r="B14" s="755" t="s">
        <v>559</v>
      </c>
      <c r="C14" s="755"/>
      <c r="D14" s="755"/>
      <c r="E14" s="768" t="n">
        <f aca="false">Assum!E249</f>
        <v>0.100196432444355</v>
      </c>
      <c r="F14" s="768" t="n">
        <f aca="false">Assum!F249</f>
        <v>0.100196432444354</v>
      </c>
      <c r="G14" s="768" t="n">
        <f aca="false">Assum!G249</f>
        <v>0.100196432444354</v>
      </c>
      <c r="H14" s="768" t="n">
        <f aca="false">Assum!H249</f>
        <v>0.100196432444354</v>
      </c>
      <c r="I14" s="768" t="n">
        <f aca="false">Assum!I249</f>
        <v>0.100196432444354</v>
      </c>
      <c r="J14" s="768" t="n">
        <f aca="false">Assum!J249</f>
        <v>0.100196432444354</v>
      </c>
      <c r="K14" s="768" t="n">
        <f aca="false">Assum!K249</f>
        <v>0.100196432444354</v>
      </c>
      <c r="L14" s="768" t="n">
        <f aca="false">Assum!L249</f>
        <v>0.100196432444354</v>
      </c>
      <c r="M14" s="768" t="n">
        <f aca="false">Assum!M249</f>
        <v>0.100196432444354</v>
      </c>
      <c r="N14" s="768" t="n">
        <f aca="false">Assum!N249</f>
        <v>0.100196432444354</v>
      </c>
      <c r="O14" s="768" t="n">
        <f aca="false">Assum!O249</f>
        <v>0.100196432444354</v>
      </c>
      <c r="P14" s="768" t="n">
        <f aca="false">Assum!P249</f>
        <v>0.100196432444354</v>
      </c>
      <c r="Q14" s="768" t="n">
        <f aca="false">Assum!Q249</f>
        <v>0.100196432444354</v>
      </c>
      <c r="R14" s="768" t="n">
        <f aca="false">Assum!R249</f>
        <v>0.100196432444354</v>
      </c>
      <c r="S14" s="768" t="n">
        <f aca="false">Assum!S249</f>
        <v>0.100196432444354</v>
      </c>
      <c r="T14" s="768" t="n">
        <f aca="false">Assum!T249</f>
        <v>0.100196432444354</v>
      </c>
      <c r="U14" s="768" t="n">
        <f aca="false">Assum!U249</f>
        <v>0.100196432444354</v>
      </c>
      <c r="V14" s="768" t="n">
        <f aca="false">Assum!V249</f>
        <v>0.100196432444354</v>
      </c>
      <c r="W14" s="768" t="n">
        <f aca="false">Assum!W249</f>
        <v>0.100196432444354</v>
      </c>
      <c r="X14" s="768" t="n">
        <f aca="false">Assum!X249</f>
        <v>0.100196432444354</v>
      </c>
      <c r="Y14" s="768" t="n">
        <f aca="false">Assum!Y249</f>
        <v>0.100196432444354</v>
      </c>
      <c r="Z14" s="768" t="n">
        <f aca="false">Assum!Z249</f>
        <v>0.100196432444354</v>
      </c>
      <c r="AA14" s="768" t="n">
        <f aca="false">Assum!AA249</f>
        <v>0.100196432444354</v>
      </c>
      <c r="AB14" s="768" t="n">
        <f aca="false">Assum!AB249</f>
        <v>0.100196432444354</v>
      </c>
      <c r="AC14" s="768" t="n">
        <f aca="false">Assum!AC249</f>
        <v>0.100196432444354</v>
      </c>
      <c r="AD14" s="768" t="n">
        <f aca="false">Assum!AD249</f>
        <v>0.100196432444354</v>
      </c>
      <c r="AE14" s="768" t="n">
        <f aca="false">Assum!AE249</f>
        <v>0.100196432444354</v>
      </c>
      <c r="AF14" s="768" t="n">
        <f aca="false">Assum!AF249</f>
        <v>0.100196432444354</v>
      </c>
      <c r="AG14" s="768" t="n">
        <f aca="false">Assum!AG249</f>
        <v>0.100196432444354</v>
      </c>
      <c r="AH14" s="768" t="n">
        <f aca="false">Assum!AH249</f>
        <v>0.100196432444354</v>
      </c>
      <c r="AI14" s="768" t="n">
        <f aca="false">Assum!AI249</f>
        <v>0.100196432444354</v>
      </c>
      <c r="AJ14" s="755"/>
      <c r="AK14" s="757"/>
      <c r="AL14" s="755"/>
      <c r="AM14" s="755"/>
      <c r="AN14" s="755"/>
      <c r="AO14" s="755"/>
      <c r="AP14" s="755"/>
    </row>
    <row r="15" customFormat="false" ht="12.75" hidden="false" customHeight="false" outlineLevel="0" collapsed="false">
      <c r="A15" s="751"/>
      <c r="B15" s="769" t="s">
        <v>570</v>
      </c>
      <c r="C15" s="769"/>
      <c r="D15" s="769"/>
      <c r="E15" s="770" t="n">
        <f aca="false">PV(E14,E$1,0,-1,0)</f>
        <v>0.908928597212642</v>
      </c>
      <c r="F15" s="770" t="n">
        <f aca="false">PV(F14,F$1,0,-1,0)</f>
        <v>0.826151194830941</v>
      </c>
      <c r="G15" s="770" t="n">
        <f aca="false">PV(G14,G$1,0,-1,0)</f>
        <v>0.750912446603235</v>
      </c>
      <c r="H15" s="770" t="n">
        <f aca="false">PV(H14,H$1,0,-1,0)</f>
        <v>0.682525796720591</v>
      </c>
      <c r="I15" s="770" t="n">
        <f aca="false">PV(I14,I$1,0,-1,0)</f>
        <v>0.620367214974687</v>
      </c>
      <c r="J15" s="770" t="n">
        <f aca="false">PV(J14,J$1,0,-1,0)</f>
        <v>0.563869502463656</v>
      </c>
      <c r="K15" s="770" t="n">
        <f aca="false">PV(K14,K$1,0,-1,0)</f>
        <v>0.512517115885281</v>
      </c>
      <c r="L15" s="770" t="n">
        <f aca="false">PV(L14,L$1,0,-1,0)</f>
        <v>0.465841463189077</v>
      </c>
      <c r="M15" s="770" t="n">
        <f aca="false">PV(M14,M$1,0,-1,0)</f>
        <v>0.423416627659932</v>
      </c>
      <c r="N15" s="770" t="n">
        <f aca="false">PV(N14,N$1,0,-1,0)</f>
        <v>0.38485548141545</v>
      </c>
      <c r="O15" s="770" t="n">
        <f aca="false">PV(O14,O$1,0,-1,0)</f>
        <v>0.349806152852541</v>
      </c>
      <c r="P15" s="770" t="n">
        <f aca="false">PV(P14,P$1,0,-1,0)</f>
        <v>0.317948815808611</v>
      </c>
      <c r="Q15" s="770" t="n">
        <f aca="false">PV(Q14,Q$1,0,-1,0)</f>
        <v>0.288992771138341</v>
      </c>
      <c r="R15" s="770" t="n">
        <f aca="false">PV(R14,R$1,0,-1,0)</f>
        <v>0.262673794075366</v>
      </c>
      <c r="S15" s="770" t="n">
        <f aca="false">PV(S14,S$1,0,-1,0)</f>
        <v>0.238751723173445</v>
      </c>
      <c r="T15" s="770" t="n">
        <f aca="false">PV(T14,T$1,0,-1,0)</f>
        <v>0.21700826882614</v>
      </c>
      <c r="U15" s="770" t="n">
        <f aca="false">PV(U14,U$1,0,-1,0)</f>
        <v>0.197245021367688</v>
      </c>
      <c r="V15" s="770" t="n">
        <f aca="false">PV(V14,V$1,0,-1,0)</f>
        <v>0.17928164057891</v>
      </c>
      <c r="W15" s="770" t="n">
        <f aca="false">PV(W14,W$1,0,-1,0)</f>
        <v>0.162954210077369</v>
      </c>
      <c r="X15" s="770" t="n">
        <f aca="false">PV(X14,X$1,0,-1,0)</f>
        <v>0.148113741575518</v>
      </c>
      <c r="Y15" s="770" t="n">
        <f aca="false">PV(Y14,Y$1,0,-1,0)</f>
        <v>0.134624815358151</v>
      </c>
      <c r="Z15" s="770" t="n">
        <f aca="false">PV(Z14,Z$1,0,-1,0)</f>
        <v>0.122364344573495</v>
      </c>
      <c r="AA15" s="770" t="n">
        <f aca="false">PV(AA14,AA$1,0,-1,0)</f>
        <v>0.111220452062031</v>
      </c>
      <c r="AB15" s="770" t="n">
        <f aca="false">PV(AB14,AB$1,0,-1,0)</f>
        <v>0.101091449474098</v>
      </c>
      <c r="AC15" s="770" t="n">
        <f aca="false">PV(AC14,AC$1,0,-1,0)</f>
        <v>0.0918849093606843</v>
      </c>
      <c r="AD15" s="770" t="n">
        <f aca="false">PV(AD14,AD$1,0,-1,0)</f>
        <v>0.0835168217702175</v>
      </c>
      <c r="AE15" s="770" t="n">
        <f aca="false">PV(AE14,AE$1,0,-1,0)</f>
        <v>0.075910827655262</v>
      </c>
      <c r="AF15" s="770" t="n">
        <f aca="false">PV(AF14,AF$1,0,-1,0)</f>
        <v>0.0689975220939479</v>
      </c>
      <c r="AG15" s="770" t="n">
        <f aca="false">PV(AG14,AG$1,0,-1,0)</f>
        <v>0.0627138209680003</v>
      </c>
      <c r="AH15" s="770" t="n">
        <f aca="false">PV(AH14,AH$1,0,-1,0)</f>
        <v>0.0570023853182893</v>
      </c>
      <c r="AI15" s="770" t="n">
        <f aca="false">PV(AI14,AI$1,0,-1,0)</f>
        <v>0.0518110981251272</v>
      </c>
      <c r="AJ15" s="769"/>
      <c r="AK15" s="771"/>
      <c r="AL15" s="769"/>
      <c r="AM15" s="772"/>
      <c r="AN15" s="772"/>
      <c r="AO15" s="772"/>
      <c r="AP15" s="772"/>
      <c r="AQ15" s="773"/>
      <c r="AR15" s="773"/>
      <c r="AS15" s="773"/>
      <c r="AT15" s="773"/>
      <c r="AU15" s="773"/>
      <c r="AV15" s="773"/>
      <c r="AW15" s="773"/>
      <c r="AX15" s="773"/>
      <c r="AY15" s="773"/>
      <c r="AZ15" s="773"/>
      <c r="BA15" s="773"/>
      <c r="BB15" s="773"/>
      <c r="BC15" s="773"/>
      <c r="BD15" s="773"/>
      <c r="BE15" s="773"/>
      <c r="BF15" s="773"/>
      <c r="BG15" s="773"/>
      <c r="BH15" s="773"/>
      <c r="BI15" s="773"/>
      <c r="BJ15" s="773"/>
      <c r="BK15" s="773"/>
      <c r="BL15" s="773"/>
      <c r="BM15" s="773"/>
      <c r="BN15" s="773"/>
      <c r="BO15" s="773"/>
      <c r="BP15" s="773"/>
      <c r="BQ15" s="773"/>
      <c r="BR15" s="773"/>
      <c r="BS15" s="773"/>
      <c r="BT15" s="773"/>
      <c r="BU15" s="773"/>
      <c r="BV15" s="773"/>
      <c r="BW15" s="773"/>
      <c r="BX15" s="773"/>
      <c r="BY15" s="773"/>
      <c r="BZ15" s="773"/>
      <c r="CA15" s="773"/>
      <c r="CB15" s="773"/>
      <c r="CC15" s="773"/>
      <c r="CD15" s="773"/>
      <c r="CE15" s="773"/>
      <c r="CF15" s="773"/>
      <c r="CG15" s="773"/>
      <c r="CH15" s="773"/>
      <c r="CI15" s="773"/>
      <c r="CJ15" s="773"/>
      <c r="CK15" s="773"/>
      <c r="CL15" s="773"/>
      <c r="CM15" s="773"/>
      <c r="CN15" s="773"/>
      <c r="CO15" s="773"/>
      <c r="CP15" s="773"/>
      <c r="CQ15" s="773"/>
      <c r="CR15" s="773"/>
      <c r="CS15" s="773"/>
      <c r="CT15" s="773"/>
      <c r="CU15" s="773"/>
      <c r="CV15" s="773"/>
      <c r="CW15" s="773"/>
      <c r="CX15" s="773"/>
      <c r="CY15" s="773"/>
      <c r="CZ15" s="773"/>
      <c r="DA15" s="773"/>
      <c r="DB15" s="773"/>
      <c r="DC15" s="773"/>
      <c r="DD15" s="773"/>
      <c r="DE15" s="773"/>
      <c r="DF15" s="773"/>
      <c r="DG15" s="773"/>
      <c r="DH15" s="773"/>
      <c r="DI15" s="773"/>
      <c r="DJ15" s="773"/>
      <c r="DK15" s="773"/>
      <c r="DL15" s="773"/>
      <c r="DM15" s="773"/>
      <c r="DN15" s="773"/>
      <c r="DO15" s="773"/>
      <c r="DP15" s="773"/>
      <c r="DQ15" s="773"/>
      <c r="DR15" s="773"/>
      <c r="DS15" s="773"/>
      <c r="DT15" s="773"/>
      <c r="DU15" s="773"/>
      <c r="DV15" s="773"/>
      <c r="DW15" s="773"/>
      <c r="DX15" s="773"/>
      <c r="DY15" s="773"/>
      <c r="DZ15" s="773"/>
      <c r="EA15" s="773"/>
      <c r="EB15" s="773"/>
      <c r="EC15" s="773"/>
      <c r="ED15" s="773"/>
      <c r="EE15" s="773"/>
      <c r="EF15" s="773"/>
      <c r="EG15" s="773"/>
      <c r="EH15" s="773"/>
      <c r="EI15" s="773"/>
      <c r="EJ15" s="773"/>
      <c r="EK15" s="773"/>
      <c r="EL15" s="773"/>
      <c r="EM15" s="773"/>
      <c r="EN15" s="773"/>
      <c r="EO15" s="773"/>
      <c r="EP15" s="773"/>
      <c r="EQ15" s="773"/>
      <c r="ER15" s="773"/>
      <c r="ES15" s="773"/>
      <c r="ET15" s="773"/>
      <c r="EU15" s="773"/>
      <c r="EV15" s="773"/>
      <c r="EW15" s="773"/>
      <c r="EX15" s="773"/>
      <c r="EY15" s="773"/>
      <c r="EZ15" s="773"/>
      <c r="FA15" s="773"/>
      <c r="FB15" s="773"/>
      <c r="FC15" s="773"/>
      <c r="FD15" s="773"/>
      <c r="FE15" s="773"/>
      <c r="FF15" s="773"/>
      <c r="FG15" s="773"/>
      <c r="FH15" s="773"/>
      <c r="FI15" s="773"/>
      <c r="FJ15" s="773"/>
      <c r="FK15" s="773"/>
      <c r="FL15" s="773"/>
      <c r="FM15" s="773"/>
      <c r="FN15" s="773"/>
      <c r="FO15" s="773"/>
      <c r="FP15" s="773"/>
      <c r="FQ15" s="773"/>
      <c r="FR15" s="773"/>
      <c r="FS15" s="773"/>
      <c r="FT15" s="773"/>
      <c r="FU15" s="773"/>
      <c r="FV15" s="773"/>
      <c r="FW15" s="773"/>
      <c r="FX15" s="773"/>
      <c r="FY15" s="773"/>
      <c r="FZ15" s="773"/>
      <c r="GA15" s="773"/>
      <c r="GB15" s="773"/>
      <c r="GC15" s="773"/>
      <c r="GD15" s="773"/>
      <c r="GE15" s="773"/>
      <c r="GF15" s="773"/>
      <c r="GG15" s="773"/>
      <c r="GH15" s="773"/>
      <c r="GI15" s="773"/>
      <c r="GJ15" s="773"/>
      <c r="GK15" s="773"/>
      <c r="GL15" s="773"/>
      <c r="GM15" s="773"/>
      <c r="GN15" s="773"/>
      <c r="GO15" s="773"/>
      <c r="GP15" s="773"/>
      <c r="GQ15" s="773"/>
      <c r="GR15" s="773"/>
      <c r="GS15" s="773"/>
      <c r="GT15" s="773"/>
      <c r="GU15" s="773"/>
      <c r="GV15" s="773"/>
      <c r="GW15" s="773"/>
      <c r="GX15" s="773"/>
      <c r="GY15" s="773"/>
      <c r="GZ15" s="773"/>
      <c r="HA15" s="773"/>
      <c r="HB15" s="773"/>
      <c r="HC15" s="773"/>
      <c r="HD15" s="773"/>
      <c r="HE15" s="773"/>
      <c r="HF15" s="773"/>
      <c r="HG15" s="773"/>
      <c r="HH15" s="773"/>
      <c r="HI15" s="773"/>
      <c r="HJ15" s="773"/>
      <c r="HK15" s="773"/>
      <c r="HL15" s="773"/>
      <c r="HM15" s="773"/>
      <c r="HN15" s="773"/>
      <c r="HO15" s="773"/>
      <c r="HP15" s="773"/>
      <c r="HQ15" s="773"/>
      <c r="HR15" s="773"/>
      <c r="HS15" s="773"/>
      <c r="HT15" s="773"/>
      <c r="HU15" s="773"/>
      <c r="HV15" s="773"/>
      <c r="HW15" s="773"/>
      <c r="HX15" s="773"/>
      <c r="HY15" s="773"/>
      <c r="HZ15" s="773"/>
      <c r="IA15" s="773"/>
      <c r="IB15" s="773"/>
      <c r="IC15" s="773"/>
      <c r="ID15" s="773"/>
      <c r="IE15" s="773"/>
      <c r="IF15" s="773"/>
      <c r="IG15" s="773"/>
      <c r="IH15" s="773"/>
      <c r="II15" s="773"/>
      <c r="IJ15" s="773"/>
      <c r="IK15" s="773"/>
      <c r="IL15" s="773"/>
      <c r="IM15" s="773"/>
      <c r="IN15" s="773"/>
      <c r="IO15" s="773"/>
      <c r="IP15" s="773"/>
      <c r="IQ15" s="773"/>
      <c r="IR15" s="773"/>
      <c r="IS15" s="773"/>
      <c r="IT15" s="773"/>
      <c r="IU15" s="773"/>
      <c r="IV15" s="773"/>
      <c r="IW15" s="773"/>
    </row>
    <row r="16" customFormat="false" ht="12.75" hidden="false" customHeight="false" outlineLevel="0" collapsed="false">
      <c r="A16" s="751"/>
      <c r="B16" s="773"/>
      <c r="C16" s="773"/>
      <c r="D16" s="769"/>
      <c r="E16" s="773"/>
      <c r="F16" s="774"/>
      <c r="G16" s="774"/>
      <c r="H16" s="774"/>
      <c r="I16" s="774"/>
      <c r="J16" s="774"/>
      <c r="K16" s="774"/>
      <c r="L16" s="774"/>
      <c r="M16" s="774"/>
      <c r="N16" s="774"/>
      <c r="O16" s="774"/>
      <c r="P16" s="774"/>
      <c r="Q16" s="774"/>
      <c r="R16" s="774"/>
      <c r="S16" s="774"/>
      <c r="T16" s="774"/>
      <c r="U16" s="774"/>
      <c r="V16" s="774"/>
      <c r="W16" s="774"/>
      <c r="X16" s="774"/>
      <c r="Y16" s="774"/>
      <c r="Z16" s="774"/>
      <c r="AA16" s="774"/>
      <c r="AB16" s="774"/>
      <c r="AC16" s="774"/>
      <c r="AD16" s="774"/>
      <c r="AE16" s="774"/>
      <c r="AF16" s="774"/>
      <c r="AG16" s="774"/>
      <c r="AH16" s="774"/>
      <c r="AI16" s="774"/>
      <c r="AJ16" s="769"/>
      <c r="AK16" s="771"/>
      <c r="AL16" s="769"/>
      <c r="AM16" s="772"/>
      <c r="AN16" s="772"/>
      <c r="AO16" s="772"/>
      <c r="AP16" s="772"/>
      <c r="AQ16" s="773"/>
      <c r="AR16" s="773"/>
      <c r="AS16" s="773"/>
      <c r="AT16" s="773"/>
      <c r="AU16" s="773"/>
      <c r="AV16" s="773"/>
      <c r="AW16" s="773"/>
      <c r="AX16" s="773"/>
      <c r="AY16" s="773"/>
      <c r="AZ16" s="773"/>
      <c r="BA16" s="773"/>
      <c r="BB16" s="773"/>
      <c r="BC16" s="773"/>
      <c r="BD16" s="773"/>
      <c r="BE16" s="773"/>
      <c r="BF16" s="773"/>
      <c r="BG16" s="773"/>
      <c r="BH16" s="773"/>
      <c r="BI16" s="773"/>
      <c r="BJ16" s="773"/>
      <c r="BK16" s="773"/>
      <c r="BL16" s="773"/>
      <c r="BM16" s="773"/>
      <c r="BN16" s="773"/>
      <c r="BO16" s="773"/>
      <c r="BP16" s="773"/>
      <c r="BQ16" s="773"/>
      <c r="BR16" s="773"/>
      <c r="BS16" s="773"/>
      <c r="BT16" s="773"/>
      <c r="BU16" s="773"/>
      <c r="BV16" s="773"/>
      <c r="BW16" s="773"/>
      <c r="BX16" s="773"/>
      <c r="BY16" s="773"/>
      <c r="BZ16" s="773"/>
      <c r="CA16" s="773"/>
      <c r="CB16" s="773"/>
      <c r="CC16" s="773"/>
      <c r="CD16" s="773"/>
      <c r="CE16" s="773"/>
      <c r="CF16" s="773"/>
      <c r="CG16" s="773"/>
      <c r="CH16" s="773"/>
      <c r="CI16" s="773"/>
      <c r="CJ16" s="773"/>
      <c r="CK16" s="773"/>
      <c r="CL16" s="773"/>
      <c r="CM16" s="773"/>
      <c r="CN16" s="773"/>
      <c r="CO16" s="773"/>
      <c r="CP16" s="773"/>
      <c r="CQ16" s="773"/>
      <c r="CR16" s="773"/>
      <c r="CS16" s="773"/>
      <c r="CT16" s="773"/>
      <c r="CU16" s="773"/>
      <c r="CV16" s="773"/>
      <c r="CW16" s="773"/>
      <c r="CX16" s="773"/>
      <c r="CY16" s="773"/>
      <c r="CZ16" s="773"/>
      <c r="DA16" s="773"/>
      <c r="DB16" s="773"/>
      <c r="DC16" s="773"/>
      <c r="DD16" s="773"/>
      <c r="DE16" s="773"/>
      <c r="DF16" s="773"/>
      <c r="DG16" s="773"/>
      <c r="DH16" s="773"/>
      <c r="DI16" s="773"/>
      <c r="DJ16" s="773"/>
      <c r="DK16" s="773"/>
      <c r="DL16" s="773"/>
      <c r="DM16" s="773"/>
      <c r="DN16" s="773"/>
      <c r="DO16" s="773"/>
      <c r="DP16" s="773"/>
      <c r="DQ16" s="773"/>
      <c r="DR16" s="773"/>
      <c r="DS16" s="773"/>
      <c r="DT16" s="773"/>
      <c r="DU16" s="773"/>
      <c r="DV16" s="773"/>
      <c r="DW16" s="773"/>
      <c r="DX16" s="773"/>
      <c r="DY16" s="773"/>
      <c r="DZ16" s="773"/>
      <c r="EA16" s="773"/>
      <c r="EB16" s="773"/>
      <c r="EC16" s="773"/>
      <c r="ED16" s="773"/>
      <c r="EE16" s="773"/>
      <c r="EF16" s="773"/>
      <c r="EG16" s="773"/>
      <c r="EH16" s="773"/>
      <c r="EI16" s="773"/>
      <c r="EJ16" s="773"/>
      <c r="EK16" s="773"/>
      <c r="EL16" s="773"/>
      <c r="EM16" s="773"/>
      <c r="EN16" s="773"/>
      <c r="EO16" s="773"/>
      <c r="EP16" s="773"/>
      <c r="EQ16" s="773"/>
      <c r="ER16" s="773"/>
      <c r="ES16" s="773"/>
      <c r="ET16" s="773"/>
      <c r="EU16" s="773"/>
      <c r="EV16" s="773"/>
      <c r="EW16" s="773"/>
      <c r="EX16" s="773"/>
      <c r="EY16" s="773"/>
      <c r="EZ16" s="773"/>
      <c r="FA16" s="773"/>
      <c r="FB16" s="773"/>
      <c r="FC16" s="773"/>
      <c r="FD16" s="773"/>
      <c r="FE16" s="773"/>
      <c r="FF16" s="773"/>
      <c r="FG16" s="773"/>
      <c r="FH16" s="773"/>
      <c r="FI16" s="773"/>
      <c r="FJ16" s="773"/>
      <c r="FK16" s="773"/>
      <c r="FL16" s="773"/>
      <c r="FM16" s="773"/>
      <c r="FN16" s="773"/>
      <c r="FO16" s="773"/>
      <c r="FP16" s="773"/>
      <c r="FQ16" s="773"/>
      <c r="FR16" s="773"/>
      <c r="FS16" s="773"/>
      <c r="FT16" s="773"/>
      <c r="FU16" s="773"/>
      <c r="FV16" s="773"/>
      <c r="FW16" s="773"/>
      <c r="FX16" s="773"/>
      <c r="FY16" s="773"/>
      <c r="FZ16" s="773"/>
      <c r="GA16" s="773"/>
      <c r="GB16" s="773"/>
      <c r="GC16" s="773"/>
      <c r="GD16" s="773"/>
      <c r="GE16" s="773"/>
      <c r="GF16" s="773"/>
      <c r="GG16" s="773"/>
      <c r="GH16" s="773"/>
      <c r="GI16" s="773"/>
      <c r="GJ16" s="773"/>
      <c r="GK16" s="773"/>
      <c r="GL16" s="773"/>
      <c r="GM16" s="773"/>
      <c r="GN16" s="773"/>
      <c r="GO16" s="773"/>
      <c r="GP16" s="773"/>
      <c r="GQ16" s="773"/>
      <c r="GR16" s="773"/>
      <c r="GS16" s="773"/>
      <c r="GT16" s="773"/>
      <c r="GU16" s="773"/>
      <c r="GV16" s="773"/>
      <c r="GW16" s="773"/>
      <c r="GX16" s="773"/>
      <c r="GY16" s="773"/>
      <c r="GZ16" s="773"/>
      <c r="HA16" s="773"/>
      <c r="HB16" s="773"/>
      <c r="HC16" s="773"/>
      <c r="HD16" s="773"/>
      <c r="HE16" s="773"/>
      <c r="HF16" s="773"/>
      <c r="HG16" s="773"/>
      <c r="HH16" s="773"/>
      <c r="HI16" s="773"/>
      <c r="HJ16" s="773"/>
      <c r="HK16" s="773"/>
      <c r="HL16" s="773"/>
      <c r="HM16" s="773"/>
      <c r="HN16" s="773"/>
      <c r="HO16" s="773"/>
      <c r="HP16" s="773"/>
      <c r="HQ16" s="773"/>
      <c r="HR16" s="773"/>
      <c r="HS16" s="773"/>
      <c r="HT16" s="773"/>
      <c r="HU16" s="773"/>
      <c r="HV16" s="773"/>
      <c r="HW16" s="773"/>
      <c r="HX16" s="773"/>
      <c r="HY16" s="773"/>
      <c r="HZ16" s="773"/>
      <c r="IA16" s="773"/>
      <c r="IB16" s="773"/>
      <c r="IC16" s="773"/>
      <c r="ID16" s="773"/>
      <c r="IE16" s="773"/>
      <c r="IF16" s="773"/>
      <c r="IG16" s="773"/>
      <c r="IH16" s="773"/>
      <c r="II16" s="773"/>
      <c r="IJ16" s="773"/>
      <c r="IK16" s="773"/>
      <c r="IL16" s="773"/>
      <c r="IM16" s="773"/>
      <c r="IN16" s="773"/>
      <c r="IO16" s="773"/>
      <c r="IP16" s="773"/>
      <c r="IQ16" s="773"/>
      <c r="IR16" s="773"/>
      <c r="IS16" s="773"/>
      <c r="IT16" s="773"/>
      <c r="IU16" s="773"/>
      <c r="IV16" s="773"/>
      <c r="IW16" s="773"/>
    </row>
    <row r="17" customFormat="false" ht="12.75" hidden="false" customHeight="false" outlineLevel="0" collapsed="false">
      <c r="A17" s="751"/>
      <c r="B17" s="775" t="s">
        <v>571</v>
      </c>
      <c r="C17" s="775"/>
      <c r="D17" s="313" t="e">
        <f aca="false">D8/D11</f>
        <v>#DIV/0!</v>
      </c>
      <c r="E17" s="313" t="n">
        <f aca="false">E8/E11</f>
        <v>1593.14987701209</v>
      </c>
      <c r="F17" s="313" t="n">
        <f aca="false">F8/F11</f>
        <v>1592.79445058352</v>
      </c>
      <c r="G17" s="313" t="n">
        <f aca="false">G8/G11</f>
        <v>1591.97318730531</v>
      </c>
      <c r="H17" s="313" t="n">
        <f aca="false">H8/H11</f>
        <v>1590.58089016982</v>
      </c>
      <c r="I17" s="313" t="n">
        <f aca="false">I8/I11</f>
        <v>1588.70720614975</v>
      </c>
      <c r="J17" s="313" t="n">
        <f aca="false">J8/J11</f>
        <v>1586.41451365024</v>
      </c>
      <c r="K17" s="313" t="n">
        <f aca="false">K8/K11</f>
        <v>1577.18743487</v>
      </c>
      <c r="L17" s="313" t="n">
        <f aca="false">L8/L11</f>
        <v>1567.42031268036</v>
      </c>
      <c r="M17" s="313" t="n">
        <f aca="false">M8/M11</f>
        <v>1557.10979724231</v>
      </c>
      <c r="N17" s="313" t="n">
        <f aca="false">N8/N11</f>
        <v>1546.18349966316</v>
      </c>
      <c r="O17" s="313" t="n">
        <f aca="false">O8/O11</f>
        <v>1566.73543873429</v>
      </c>
      <c r="P17" s="313" t="n">
        <f aca="false">P8/P11</f>
        <v>1554.23352087958</v>
      </c>
      <c r="Q17" s="313" t="n">
        <f aca="false">Q8/Q11</f>
        <v>1540.58378848755</v>
      </c>
      <c r="R17" s="313" t="n">
        <f aca="false">R8/R11</f>
        <v>1525.72743184041</v>
      </c>
      <c r="S17" s="313" t="n">
        <f aca="false">S8/S11</f>
        <v>1509.52457458548</v>
      </c>
      <c r="T17" s="313" t="n">
        <f aca="false">T8/T11</f>
        <v>1491.97600258015</v>
      </c>
      <c r="U17" s="313" t="n">
        <f aca="false">U8/U11</f>
        <v>1473.18067660921</v>
      </c>
      <c r="V17" s="313" t="n">
        <f aca="false">V8/V11</f>
        <v>1508.81384211262</v>
      </c>
      <c r="W17" s="313" t="n">
        <f aca="false">W8/W11</f>
        <v>1488.25035661895</v>
      </c>
      <c r="X17" s="313" t="n">
        <f aca="false">X8/X11</f>
        <v>1465.44550297172</v>
      </c>
      <c r="Y17" s="313" t="n">
        <f aca="false">Y8/Y11</f>
        <v>0</v>
      </c>
      <c r="Z17" s="313" t="n">
        <f aca="false">Z8/Z11</f>
        <v>0</v>
      </c>
      <c r="AA17" s="313" t="n">
        <f aca="false">AA8/AA11</f>
        <v>0</v>
      </c>
      <c r="AB17" s="313" t="n">
        <f aca="false">AB8/AB11</f>
        <v>0</v>
      </c>
      <c r="AC17" s="313" t="n">
        <f aca="false">AC8/AC11</f>
        <v>0</v>
      </c>
      <c r="AD17" s="313" t="n">
        <f aca="false">AD8/AD11</f>
        <v>0</v>
      </c>
      <c r="AE17" s="313" t="n">
        <f aca="false">AE8/AE11</f>
        <v>0</v>
      </c>
      <c r="AF17" s="313" t="n">
        <f aca="false">AF8/AF11</f>
        <v>0</v>
      </c>
      <c r="AG17" s="313" t="n">
        <f aca="false">AG8/AG11</f>
        <v>0</v>
      </c>
      <c r="AH17" s="313" t="n">
        <f aca="false">AH8/AH11</f>
        <v>0</v>
      </c>
      <c r="AI17" s="313" t="n">
        <f aca="false">AI8/AI11</f>
        <v>0</v>
      </c>
      <c r="AJ17" s="775"/>
      <c r="AK17" s="776"/>
      <c r="AL17" s="775"/>
      <c r="AM17" s="777"/>
      <c r="AN17" s="777"/>
      <c r="AO17" s="777"/>
      <c r="AP17" s="777"/>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c r="HY17" s="15"/>
      <c r="HZ17" s="15"/>
      <c r="IA17" s="15"/>
      <c r="IB17" s="15"/>
      <c r="IC17" s="15"/>
      <c r="ID17" s="15"/>
      <c r="IE17" s="15"/>
      <c r="IF17" s="15"/>
      <c r="IG17" s="15"/>
      <c r="IH17" s="15"/>
      <c r="II17" s="15"/>
      <c r="IJ17" s="15"/>
      <c r="IK17" s="15"/>
      <c r="IL17" s="15"/>
      <c r="IM17" s="15"/>
      <c r="IN17" s="15"/>
      <c r="IO17" s="15"/>
      <c r="IP17" s="15"/>
      <c r="IQ17" s="15"/>
      <c r="IR17" s="15"/>
      <c r="IS17" s="15"/>
      <c r="IT17" s="15"/>
      <c r="IU17" s="15"/>
      <c r="IV17" s="15"/>
      <c r="IW17" s="15"/>
    </row>
    <row r="18" customFormat="false" ht="12.75" hidden="false" customHeight="false" outlineLevel="0" collapsed="false">
      <c r="A18" s="751"/>
      <c r="B18" s="755" t="s">
        <v>572</v>
      </c>
      <c r="C18" s="755"/>
      <c r="D18" s="755" t="e">
        <f aca="false">IF(D1&lt;=$E$21,D8/D11,0)+IF(AND(D1=$E$21+1,Assum!$H$23&lt;1),(1-Assum!$H$23)*SrDebt!D8/SrDebt!D11,0)</f>
        <v>#DIV/0!</v>
      </c>
      <c r="E18" s="778" t="n">
        <f aca="false">IF(E$1&lt;=$E$21,E8/E11,0)</f>
        <v>1593.14987701209</v>
      </c>
      <c r="F18" s="778" t="n">
        <f aca="false">IF(F1&lt;=$E$21,F8/F11,0)</f>
        <v>1592.79445058352</v>
      </c>
      <c r="G18" s="778" t="n">
        <f aca="false">IF(G1&lt;=$E$21,G8/G11,0)</f>
        <v>1591.97318730531</v>
      </c>
      <c r="H18" s="778" t="n">
        <f aca="false">IF(H1&lt;=$E$21,H8/H11,0)</f>
        <v>1590.58089016982</v>
      </c>
      <c r="I18" s="778" t="n">
        <f aca="false">IF(I1&lt;=$E$21,I8/I11,0)</f>
        <v>1588.70720614975</v>
      </c>
      <c r="J18" s="778" t="n">
        <f aca="false">IF(J1&lt;=$E$21,J8/J11,0)</f>
        <v>1586.41451365024</v>
      </c>
      <c r="K18" s="778" t="n">
        <f aca="false">IF(K1&lt;=$E$21,K8/K11,0)</f>
        <v>1577.18743487</v>
      </c>
      <c r="L18" s="778" t="n">
        <f aca="false">IF(L1&lt;=$E$21,L8/L11,0)</f>
        <v>1567.42031268036</v>
      </c>
      <c r="M18" s="778" t="n">
        <f aca="false">IF(M1&lt;=$E$21,M8/M11,0)</f>
        <v>1557.10979724231</v>
      </c>
      <c r="N18" s="778" t="n">
        <f aca="false">IF(N1&lt;=$E$21,N8/N11,0)</f>
        <v>1546.18349966316</v>
      </c>
      <c r="O18" s="778" t="n">
        <f aca="false">IF(O1&lt;=$E$21,O8/O11,0)</f>
        <v>1566.73543873429</v>
      </c>
      <c r="P18" s="778" t="n">
        <f aca="false">IF(P1&lt;=$E$21,P8/P11,0)</f>
        <v>1554.23352087958</v>
      </c>
      <c r="Q18" s="778" t="n">
        <f aca="false">IF(Q1&lt;=$E$21,Q8/Q11,0)</f>
        <v>1540.58378848755</v>
      </c>
      <c r="R18" s="778" t="n">
        <f aca="false">IF(R1&lt;=$E$21,R8/R11,0)</f>
        <v>1525.72743184041</v>
      </c>
      <c r="S18" s="778" t="n">
        <f aca="false">IF(S1&lt;=$E$21,S8/S11,0)</f>
        <v>1509.52457458548</v>
      </c>
      <c r="T18" s="778" t="n">
        <f aca="false">IF(T1&lt;=$E$21,T8/T11,0)</f>
        <v>1491.97600258015</v>
      </c>
      <c r="U18" s="778" t="n">
        <f aca="false">IF(U1&lt;=$E$21,U8/U11,0)</f>
        <v>1473.18067660921</v>
      </c>
      <c r="V18" s="778" t="n">
        <f aca="false">IF(V1&lt;=$E$21,V8/V11,0)</f>
        <v>0</v>
      </c>
      <c r="W18" s="778" t="n">
        <f aca="false">IF(W1&lt;=$E$21,W8/W11,0)</f>
        <v>0</v>
      </c>
      <c r="X18" s="778" t="n">
        <f aca="false">IF(X1&lt;=$E$21,X8/X11,0)</f>
        <v>0</v>
      </c>
      <c r="Y18" s="778" t="n">
        <f aca="false">IF(Y1&lt;=$E$21,Y8/Y11,0)</f>
        <v>0</v>
      </c>
      <c r="Z18" s="778" t="n">
        <f aca="false">IF(Z1&lt;=$E$21,Z8/Z11,0)</f>
        <v>0</v>
      </c>
      <c r="AA18" s="778" t="n">
        <f aca="false">IF(AA1&lt;=$E$21,AA8/AA11,0)</f>
        <v>0</v>
      </c>
      <c r="AB18" s="778" t="n">
        <f aca="false">IF(AB1&lt;=$E$21,AB8/AB11,0)</f>
        <v>0</v>
      </c>
      <c r="AC18" s="778" t="n">
        <f aca="false">IF(AC1&lt;=$E$21,AC8/AC11,0)</f>
        <v>0</v>
      </c>
      <c r="AD18" s="778" t="n">
        <f aca="false">IF(AD1&lt;=$E$21,AD8/AD11,0)</f>
        <v>0</v>
      </c>
      <c r="AE18" s="778" t="n">
        <f aca="false">IF(AE1&lt;=$E$21,AE8/AE11,0)</f>
        <v>0</v>
      </c>
      <c r="AF18" s="778" t="n">
        <f aca="false">IF(AF1&lt;=$E$21,AF8/AF11,0)</f>
        <v>0</v>
      </c>
      <c r="AG18" s="778" t="n">
        <f aca="false">IF(AG1&lt;=$E$21,AG8/AG11,0)</f>
        <v>0</v>
      </c>
      <c r="AH18" s="778" t="n">
        <f aca="false">IF(AH1&lt;=$E$21,AH8/AH11,0)</f>
        <v>0</v>
      </c>
      <c r="AI18" s="778" t="n">
        <f aca="false">IF(AI1&lt;=$E$21,AI8/AI11,0)</f>
        <v>0</v>
      </c>
      <c r="AJ18" s="755"/>
      <c r="AK18" s="757"/>
      <c r="AL18" s="755"/>
      <c r="AM18" s="755"/>
      <c r="AN18" s="755"/>
      <c r="AO18" s="755"/>
      <c r="AP18" s="755"/>
    </row>
    <row r="19" customFormat="false" ht="12.75" hidden="false" customHeight="false" outlineLevel="0" collapsed="false">
      <c r="A19" s="751"/>
      <c r="B19" s="769" t="s">
        <v>573</v>
      </c>
      <c r="C19" s="769"/>
      <c r="D19" s="769"/>
      <c r="E19" s="779" t="n">
        <f aca="false">E18*E15</f>
        <v>1448.05948286209</v>
      </c>
      <c r="F19" s="779" t="n">
        <f aca="false">F18*F15</f>
        <v>1315.88903846967</v>
      </c>
      <c r="G19" s="779" t="n">
        <f aca="false">G18*G15</f>
        <v>1195.43248100618</v>
      </c>
      <c r="H19" s="779" t="n">
        <f aca="false">H18*H15</f>
        <v>1085.6124893117</v>
      </c>
      <c r="I19" s="779" t="n">
        <f aca="false">I18*I15</f>
        <v>985.581864889337</v>
      </c>
      <c r="J19" s="779" t="n">
        <f aca="false">J18*J15</f>
        <v>894.530762513084</v>
      </c>
      <c r="K19" s="779" t="n">
        <f aca="false">K18*K15</f>
        <v>808.335555330079</v>
      </c>
      <c r="L19" s="779" t="n">
        <f aca="false">L18*L15</f>
        <v>730.169371891298</v>
      </c>
      <c r="M19" s="779" t="n">
        <f aca="false">M18*M15</f>
        <v>659.30617924458</v>
      </c>
      <c r="N19" s="779" t="n">
        <f aca="false">N18*N15</f>
        <v>595.057195119491</v>
      </c>
      <c r="O19" s="779" t="n">
        <f aca="false">O18*O15</f>
        <v>548.053696361378</v>
      </c>
      <c r="P19" s="779" t="n">
        <f aca="false">P18*P15</f>
        <v>494.166707453711</v>
      </c>
      <c r="Q19" s="779" t="n">
        <f aca="false">Q18*Q15</f>
        <v>445.217578205822</v>
      </c>
      <c r="R19" s="779" t="n">
        <f aca="false">R18*R15</f>
        <v>400.768613246386</v>
      </c>
      <c r="S19" s="779" t="n">
        <f aca="false">S18*S15</f>
        <v>360.401593354946</v>
      </c>
      <c r="T19" s="779" t="n">
        <f aca="false">T18*T15</f>
        <v>323.771129450064</v>
      </c>
      <c r="U19" s="779" t="n">
        <f aca="false">U18*U15</f>
        <v>290.577554036248</v>
      </c>
      <c r="V19" s="779" t="n">
        <f aca="false">V18*V15</f>
        <v>0</v>
      </c>
      <c r="W19" s="779" t="n">
        <f aca="false">W18*W15</f>
        <v>0</v>
      </c>
      <c r="X19" s="779" t="n">
        <f aca="false">X18*X15</f>
        <v>0</v>
      </c>
      <c r="Y19" s="779" t="n">
        <f aca="false">Y18*Y15</f>
        <v>0</v>
      </c>
      <c r="Z19" s="779" t="n">
        <f aca="false">Z18*Z15</f>
        <v>0</v>
      </c>
      <c r="AA19" s="779" t="n">
        <f aca="false">AA18*AA15</f>
        <v>0</v>
      </c>
      <c r="AB19" s="779" t="n">
        <f aca="false">AB18*AB15</f>
        <v>0</v>
      </c>
      <c r="AC19" s="779" t="n">
        <f aca="false">AC18*AC15</f>
        <v>0</v>
      </c>
      <c r="AD19" s="779" t="n">
        <f aca="false">AD18*AD15</f>
        <v>0</v>
      </c>
      <c r="AE19" s="779" t="n">
        <f aca="false">AE18*AE15</f>
        <v>0</v>
      </c>
      <c r="AF19" s="779" t="n">
        <f aca="false">AF18*AF15</f>
        <v>0</v>
      </c>
      <c r="AG19" s="779" t="n">
        <f aca="false">AG18*AG15</f>
        <v>0</v>
      </c>
      <c r="AH19" s="779" t="n">
        <f aca="false">AH18*AH15</f>
        <v>0</v>
      </c>
      <c r="AI19" s="779" t="n">
        <f aca="false">AI18*AI15</f>
        <v>0</v>
      </c>
      <c r="AJ19" s="769"/>
      <c r="AK19" s="771"/>
      <c r="AL19" s="769"/>
      <c r="AM19" s="772"/>
      <c r="AN19" s="772"/>
      <c r="AO19" s="772"/>
      <c r="AP19" s="772"/>
      <c r="AQ19" s="773"/>
      <c r="AR19" s="773"/>
      <c r="AS19" s="773"/>
      <c r="AT19" s="773"/>
      <c r="AU19" s="773"/>
      <c r="AV19" s="773"/>
      <c r="AW19" s="773"/>
      <c r="AX19" s="773"/>
      <c r="AY19" s="773"/>
      <c r="AZ19" s="773"/>
      <c r="BA19" s="773"/>
      <c r="BB19" s="773"/>
      <c r="BC19" s="773"/>
      <c r="BD19" s="773"/>
      <c r="BE19" s="773"/>
      <c r="BF19" s="773"/>
      <c r="BG19" s="773"/>
      <c r="BH19" s="773"/>
      <c r="BI19" s="773"/>
      <c r="BJ19" s="773"/>
      <c r="BK19" s="773"/>
      <c r="BL19" s="773"/>
      <c r="BM19" s="773"/>
      <c r="BN19" s="773"/>
      <c r="BO19" s="773"/>
      <c r="BP19" s="773"/>
      <c r="BQ19" s="773"/>
      <c r="BR19" s="773"/>
      <c r="BS19" s="773"/>
      <c r="BT19" s="773"/>
      <c r="BU19" s="773"/>
      <c r="BV19" s="773"/>
      <c r="BW19" s="773"/>
      <c r="BX19" s="773"/>
      <c r="BY19" s="773"/>
      <c r="BZ19" s="773"/>
      <c r="CA19" s="773"/>
      <c r="CB19" s="773"/>
      <c r="CC19" s="773"/>
      <c r="CD19" s="773"/>
      <c r="CE19" s="773"/>
      <c r="CF19" s="773"/>
      <c r="CG19" s="773"/>
      <c r="CH19" s="773"/>
      <c r="CI19" s="773"/>
      <c r="CJ19" s="773"/>
      <c r="CK19" s="773"/>
      <c r="CL19" s="773"/>
      <c r="CM19" s="773"/>
      <c r="CN19" s="773"/>
      <c r="CO19" s="773"/>
      <c r="CP19" s="773"/>
      <c r="CQ19" s="773"/>
      <c r="CR19" s="773"/>
      <c r="CS19" s="773"/>
      <c r="CT19" s="773"/>
      <c r="CU19" s="773"/>
      <c r="CV19" s="773"/>
      <c r="CW19" s="773"/>
      <c r="CX19" s="773"/>
      <c r="CY19" s="773"/>
      <c r="CZ19" s="773"/>
      <c r="DA19" s="773"/>
      <c r="DB19" s="773"/>
      <c r="DC19" s="773"/>
      <c r="DD19" s="773"/>
      <c r="DE19" s="773"/>
      <c r="DF19" s="773"/>
      <c r="DG19" s="773"/>
      <c r="DH19" s="773"/>
      <c r="DI19" s="773"/>
      <c r="DJ19" s="773"/>
      <c r="DK19" s="773"/>
      <c r="DL19" s="773"/>
      <c r="DM19" s="773"/>
      <c r="DN19" s="773"/>
      <c r="DO19" s="773"/>
      <c r="DP19" s="773"/>
      <c r="DQ19" s="773"/>
      <c r="DR19" s="773"/>
      <c r="DS19" s="773"/>
      <c r="DT19" s="773"/>
      <c r="DU19" s="773"/>
      <c r="DV19" s="773"/>
      <c r="DW19" s="773"/>
      <c r="DX19" s="773"/>
      <c r="DY19" s="773"/>
      <c r="DZ19" s="773"/>
      <c r="EA19" s="773"/>
      <c r="EB19" s="773"/>
      <c r="EC19" s="773"/>
      <c r="ED19" s="773"/>
      <c r="EE19" s="773"/>
      <c r="EF19" s="773"/>
      <c r="EG19" s="773"/>
      <c r="EH19" s="773"/>
      <c r="EI19" s="773"/>
      <c r="EJ19" s="773"/>
      <c r="EK19" s="773"/>
      <c r="EL19" s="773"/>
      <c r="EM19" s="773"/>
      <c r="EN19" s="773"/>
      <c r="EO19" s="773"/>
      <c r="EP19" s="773"/>
      <c r="EQ19" s="773"/>
      <c r="ER19" s="773"/>
      <c r="ES19" s="773"/>
      <c r="ET19" s="773"/>
      <c r="EU19" s="773"/>
      <c r="EV19" s="773"/>
      <c r="EW19" s="773"/>
      <c r="EX19" s="773"/>
      <c r="EY19" s="773"/>
      <c r="EZ19" s="773"/>
      <c r="FA19" s="773"/>
      <c r="FB19" s="773"/>
      <c r="FC19" s="773"/>
      <c r="FD19" s="773"/>
      <c r="FE19" s="773"/>
      <c r="FF19" s="773"/>
      <c r="FG19" s="773"/>
      <c r="FH19" s="773"/>
      <c r="FI19" s="773"/>
      <c r="FJ19" s="773"/>
      <c r="FK19" s="773"/>
      <c r="FL19" s="773"/>
      <c r="FM19" s="773"/>
      <c r="FN19" s="773"/>
      <c r="FO19" s="773"/>
      <c r="FP19" s="773"/>
      <c r="FQ19" s="773"/>
      <c r="FR19" s="773"/>
      <c r="FS19" s="773"/>
      <c r="FT19" s="773"/>
      <c r="FU19" s="773"/>
      <c r="FV19" s="773"/>
      <c r="FW19" s="773"/>
      <c r="FX19" s="773"/>
      <c r="FY19" s="773"/>
      <c r="FZ19" s="773"/>
      <c r="GA19" s="773"/>
      <c r="GB19" s="773"/>
      <c r="GC19" s="773"/>
      <c r="GD19" s="773"/>
      <c r="GE19" s="773"/>
      <c r="GF19" s="773"/>
      <c r="GG19" s="773"/>
      <c r="GH19" s="773"/>
      <c r="GI19" s="773"/>
      <c r="GJ19" s="773"/>
      <c r="GK19" s="773"/>
      <c r="GL19" s="773"/>
      <c r="GM19" s="773"/>
      <c r="GN19" s="773"/>
      <c r="GO19" s="773"/>
      <c r="GP19" s="773"/>
      <c r="GQ19" s="773"/>
      <c r="GR19" s="773"/>
      <c r="GS19" s="773"/>
      <c r="GT19" s="773"/>
      <c r="GU19" s="773"/>
      <c r="GV19" s="773"/>
      <c r="GW19" s="773"/>
      <c r="GX19" s="773"/>
      <c r="GY19" s="773"/>
      <c r="GZ19" s="773"/>
      <c r="HA19" s="773"/>
      <c r="HB19" s="773"/>
      <c r="HC19" s="773"/>
      <c r="HD19" s="773"/>
      <c r="HE19" s="773"/>
      <c r="HF19" s="773"/>
      <c r="HG19" s="773"/>
      <c r="HH19" s="773"/>
      <c r="HI19" s="773"/>
      <c r="HJ19" s="773"/>
      <c r="HK19" s="773"/>
      <c r="HL19" s="773"/>
      <c r="HM19" s="773"/>
      <c r="HN19" s="773"/>
      <c r="HO19" s="773"/>
      <c r="HP19" s="773"/>
      <c r="HQ19" s="773"/>
      <c r="HR19" s="773"/>
      <c r="HS19" s="773"/>
      <c r="HT19" s="773"/>
      <c r="HU19" s="773"/>
      <c r="HV19" s="773"/>
      <c r="HW19" s="773"/>
      <c r="HX19" s="773"/>
      <c r="HY19" s="773"/>
      <c r="HZ19" s="773"/>
      <c r="IA19" s="773"/>
      <c r="IB19" s="773"/>
      <c r="IC19" s="773"/>
      <c r="ID19" s="773"/>
      <c r="IE19" s="773"/>
      <c r="IF19" s="773"/>
      <c r="IG19" s="773"/>
      <c r="IH19" s="773"/>
      <c r="II19" s="773"/>
      <c r="IJ19" s="773"/>
      <c r="IK19" s="773"/>
      <c r="IL19" s="773"/>
      <c r="IM19" s="773"/>
      <c r="IN19" s="773"/>
      <c r="IO19" s="773"/>
      <c r="IP19" s="773"/>
      <c r="IQ19" s="773"/>
      <c r="IR19" s="773"/>
      <c r="IS19" s="773"/>
      <c r="IT19" s="773"/>
      <c r="IU19" s="773"/>
      <c r="IV19" s="773"/>
      <c r="IW19" s="773"/>
    </row>
    <row r="20" customFormat="false" ht="12.75" hidden="false" customHeight="false" outlineLevel="0" collapsed="false">
      <c r="A20" s="751"/>
      <c r="B20" s="769" t="s">
        <v>574</v>
      </c>
      <c r="C20" s="769"/>
      <c r="D20" s="769"/>
      <c r="E20" s="779" t="n">
        <f aca="false">SUM(E19:AI19)+Assum!E239</f>
        <v>12580.9312927461</v>
      </c>
      <c r="F20" s="780"/>
      <c r="G20" s="773"/>
      <c r="H20" s="773"/>
      <c r="I20" s="780"/>
      <c r="J20" s="780"/>
      <c r="K20" s="780"/>
      <c r="L20" s="780"/>
      <c r="M20" s="780"/>
      <c r="N20" s="780"/>
      <c r="O20" s="780"/>
      <c r="P20" s="780"/>
      <c r="Q20" s="780"/>
      <c r="R20" s="780"/>
      <c r="S20" s="780"/>
      <c r="T20" s="780"/>
      <c r="U20" s="780"/>
      <c r="V20" s="780"/>
      <c r="W20" s="780"/>
      <c r="X20" s="780"/>
      <c r="Y20" s="780"/>
      <c r="Z20" s="780"/>
      <c r="AA20" s="780"/>
      <c r="AB20" s="780"/>
      <c r="AC20" s="780"/>
      <c r="AD20" s="780"/>
      <c r="AE20" s="780"/>
      <c r="AF20" s="780"/>
      <c r="AG20" s="780"/>
      <c r="AH20" s="780"/>
      <c r="AI20" s="780"/>
      <c r="AJ20" s="769"/>
      <c r="AK20" s="771"/>
      <c r="AL20" s="769"/>
      <c r="AM20" s="772"/>
      <c r="AN20" s="772"/>
      <c r="AO20" s="772"/>
      <c r="AP20" s="772"/>
      <c r="AQ20" s="773"/>
      <c r="AR20" s="773"/>
      <c r="AS20" s="773"/>
      <c r="AT20" s="773"/>
      <c r="AU20" s="773"/>
      <c r="AV20" s="773"/>
      <c r="AW20" s="773"/>
      <c r="AX20" s="773"/>
      <c r="AY20" s="773"/>
      <c r="AZ20" s="773"/>
      <c r="BA20" s="773"/>
      <c r="BB20" s="773"/>
      <c r="BC20" s="773"/>
      <c r="BD20" s="773"/>
      <c r="BE20" s="773"/>
      <c r="BF20" s="773"/>
      <c r="BG20" s="773"/>
      <c r="BH20" s="773"/>
      <c r="BI20" s="773"/>
      <c r="BJ20" s="773"/>
      <c r="BK20" s="773"/>
      <c r="BL20" s="773"/>
      <c r="BM20" s="773"/>
      <c r="BN20" s="773"/>
      <c r="BO20" s="773"/>
      <c r="BP20" s="773"/>
      <c r="BQ20" s="773"/>
      <c r="BR20" s="773"/>
      <c r="BS20" s="773"/>
      <c r="BT20" s="773"/>
      <c r="BU20" s="773"/>
      <c r="BV20" s="773"/>
      <c r="BW20" s="773"/>
      <c r="BX20" s="773"/>
      <c r="BY20" s="773"/>
      <c r="BZ20" s="773"/>
      <c r="CA20" s="773"/>
      <c r="CB20" s="773"/>
      <c r="CC20" s="773"/>
      <c r="CD20" s="773"/>
      <c r="CE20" s="773"/>
      <c r="CF20" s="773"/>
      <c r="CG20" s="773"/>
      <c r="CH20" s="773"/>
      <c r="CI20" s="773"/>
      <c r="CJ20" s="773"/>
      <c r="CK20" s="773"/>
      <c r="CL20" s="773"/>
      <c r="CM20" s="773"/>
      <c r="CN20" s="773"/>
      <c r="CO20" s="773"/>
      <c r="CP20" s="773"/>
      <c r="CQ20" s="773"/>
      <c r="CR20" s="773"/>
      <c r="CS20" s="773"/>
      <c r="CT20" s="773"/>
      <c r="CU20" s="773"/>
      <c r="CV20" s="773"/>
      <c r="CW20" s="773"/>
      <c r="CX20" s="773"/>
      <c r="CY20" s="773"/>
      <c r="CZ20" s="773"/>
      <c r="DA20" s="773"/>
      <c r="DB20" s="773"/>
      <c r="DC20" s="773"/>
      <c r="DD20" s="773"/>
      <c r="DE20" s="773"/>
      <c r="DF20" s="773"/>
      <c r="DG20" s="773"/>
      <c r="DH20" s="773"/>
      <c r="DI20" s="773"/>
      <c r="DJ20" s="773"/>
      <c r="DK20" s="773"/>
      <c r="DL20" s="773"/>
      <c r="DM20" s="773"/>
      <c r="DN20" s="773"/>
      <c r="DO20" s="773"/>
      <c r="DP20" s="773"/>
      <c r="DQ20" s="773"/>
      <c r="DR20" s="773"/>
      <c r="DS20" s="773"/>
      <c r="DT20" s="773"/>
      <c r="DU20" s="773"/>
      <c r="DV20" s="773"/>
      <c r="DW20" s="773"/>
      <c r="DX20" s="773"/>
      <c r="DY20" s="773"/>
      <c r="DZ20" s="773"/>
      <c r="EA20" s="773"/>
      <c r="EB20" s="773"/>
      <c r="EC20" s="773"/>
      <c r="ED20" s="773"/>
      <c r="EE20" s="773"/>
      <c r="EF20" s="773"/>
      <c r="EG20" s="773"/>
      <c r="EH20" s="773"/>
      <c r="EI20" s="773"/>
      <c r="EJ20" s="773"/>
      <c r="EK20" s="773"/>
      <c r="EL20" s="773"/>
      <c r="EM20" s="773"/>
      <c r="EN20" s="773"/>
      <c r="EO20" s="773"/>
      <c r="EP20" s="773"/>
      <c r="EQ20" s="773"/>
      <c r="ER20" s="773"/>
      <c r="ES20" s="773"/>
      <c r="ET20" s="773"/>
      <c r="EU20" s="773"/>
      <c r="EV20" s="773"/>
      <c r="EW20" s="773"/>
      <c r="EX20" s="773"/>
      <c r="EY20" s="773"/>
      <c r="EZ20" s="773"/>
      <c r="FA20" s="773"/>
      <c r="FB20" s="773"/>
      <c r="FC20" s="773"/>
      <c r="FD20" s="773"/>
      <c r="FE20" s="773"/>
      <c r="FF20" s="773"/>
      <c r="FG20" s="773"/>
      <c r="FH20" s="773"/>
      <c r="FI20" s="773"/>
      <c r="FJ20" s="773"/>
      <c r="FK20" s="773"/>
      <c r="FL20" s="773"/>
      <c r="FM20" s="773"/>
      <c r="FN20" s="773"/>
      <c r="FO20" s="773"/>
      <c r="FP20" s="773"/>
      <c r="FQ20" s="773"/>
      <c r="FR20" s="773"/>
      <c r="FS20" s="773"/>
      <c r="FT20" s="773"/>
      <c r="FU20" s="773"/>
      <c r="FV20" s="773"/>
      <c r="FW20" s="773"/>
      <c r="FX20" s="773"/>
      <c r="FY20" s="773"/>
      <c r="FZ20" s="773"/>
      <c r="GA20" s="773"/>
      <c r="GB20" s="773"/>
      <c r="GC20" s="773"/>
      <c r="GD20" s="773"/>
      <c r="GE20" s="773"/>
      <c r="GF20" s="773"/>
      <c r="GG20" s="773"/>
      <c r="GH20" s="773"/>
      <c r="GI20" s="773"/>
      <c r="GJ20" s="773"/>
      <c r="GK20" s="773"/>
      <c r="GL20" s="773"/>
      <c r="GM20" s="773"/>
      <c r="GN20" s="773"/>
      <c r="GO20" s="773"/>
      <c r="GP20" s="773"/>
      <c r="GQ20" s="773"/>
      <c r="GR20" s="773"/>
      <c r="GS20" s="773"/>
      <c r="GT20" s="773"/>
      <c r="GU20" s="773"/>
      <c r="GV20" s="773"/>
      <c r="GW20" s="773"/>
      <c r="GX20" s="773"/>
      <c r="GY20" s="773"/>
      <c r="GZ20" s="773"/>
      <c r="HA20" s="773"/>
      <c r="HB20" s="773"/>
      <c r="HC20" s="773"/>
      <c r="HD20" s="773"/>
      <c r="HE20" s="773"/>
      <c r="HF20" s="773"/>
      <c r="HG20" s="773"/>
      <c r="HH20" s="773"/>
      <c r="HI20" s="773"/>
      <c r="HJ20" s="773"/>
      <c r="HK20" s="773"/>
      <c r="HL20" s="773"/>
      <c r="HM20" s="773"/>
      <c r="HN20" s="773"/>
      <c r="HO20" s="773"/>
      <c r="HP20" s="773"/>
      <c r="HQ20" s="773"/>
      <c r="HR20" s="773"/>
      <c r="HS20" s="773"/>
      <c r="HT20" s="773"/>
      <c r="HU20" s="773"/>
      <c r="HV20" s="773"/>
      <c r="HW20" s="773"/>
      <c r="HX20" s="773"/>
      <c r="HY20" s="773"/>
      <c r="HZ20" s="773"/>
      <c r="IA20" s="773"/>
      <c r="IB20" s="773"/>
      <c r="IC20" s="773"/>
      <c r="ID20" s="773"/>
      <c r="IE20" s="773"/>
      <c r="IF20" s="773"/>
      <c r="IG20" s="773"/>
      <c r="IH20" s="773"/>
      <c r="II20" s="773"/>
      <c r="IJ20" s="773"/>
      <c r="IK20" s="773"/>
      <c r="IL20" s="773"/>
      <c r="IM20" s="773"/>
      <c r="IN20" s="773"/>
      <c r="IO20" s="773"/>
      <c r="IP20" s="773"/>
      <c r="IQ20" s="773"/>
      <c r="IR20" s="773"/>
      <c r="IS20" s="773"/>
      <c r="IT20" s="773"/>
      <c r="IU20" s="773"/>
      <c r="IV20" s="773"/>
      <c r="IW20" s="773"/>
    </row>
    <row r="21" customFormat="false" ht="12.75" hidden="false" customHeight="false" outlineLevel="0" collapsed="false">
      <c r="A21" s="751"/>
      <c r="B21" s="769" t="s">
        <v>575</v>
      </c>
      <c r="C21" s="769"/>
      <c r="D21" s="755"/>
      <c r="E21" s="780" t="n">
        <f aca="false">Assum!E238</f>
        <v>17</v>
      </c>
      <c r="F21" s="765"/>
      <c r="G21" s="781" t="n">
        <f aca="false">SUM(E40:AJ41)/2</f>
        <v>17</v>
      </c>
      <c r="H21" s="782" t="s">
        <v>576</v>
      </c>
      <c r="I21" s="765"/>
      <c r="J21" s="765"/>
      <c r="K21" s="765"/>
      <c r="L21" s="765"/>
      <c r="M21" s="765"/>
      <c r="N21" s="765"/>
      <c r="O21" s="765"/>
      <c r="P21" s="765"/>
      <c r="Q21" s="765"/>
      <c r="R21" s="765"/>
      <c r="S21" s="765"/>
      <c r="T21" s="765"/>
      <c r="U21" s="765"/>
      <c r="V21" s="765"/>
      <c r="W21" s="765"/>
      <c r="X21" s="765"/>
      <c r="Y21" s="765"/>
      <c r="Z21" s="765"/>
      <c r="AA21" s="765"/>
      <c r="AB21" s="765"/>
      <c r="AC21" s="765"/>
      <c r="AD21" s="765"/>
      <c r="AE21" s="765"/>
      <c r="AF21" s="765"/>
      <c r="AG21" s="765"/>
      <c r="AH21" s="765"/>
      <c r="AI21" s="765"/>
      <c r="AJ21" s="373"/>
      <c r="AK21" s="752"/>
      <c r="AL21" s="373"/>
      <c r="AM21" s="753"/>
      <c r="AN21" s="753"/>
      <c r="AO21" s="753"/>
      <c r="AP21" s="753"/>
    </row>
    <row r="22" customFormat="false" ht="12.75" hidden="false" customHeight="false" outlineLevel="0" collapsed="false">
      <c r="A22" s="783"/>
      <c r="B22" s="784" t="s">
        <v>571</v>
      </c>
      <c r="C22" s="783" t="s">
        <v>566</v>
      </c>
      <c r="D22" s="775"/>
      <c r="E22" s="785"/>
      <c r="F22" s="786"/>
      <c r="G22" s="787"/>
      <c r="H22" s="788"/>
      <c r="I22" s="786"/>
      <c r="J22" s="786"/>
      <c r="K22" s="786"/>
      <c r="L22" s="786"/>
      <c r="M22" s="786"/>
      <c r="N22" s="786"/>
      <c r="O22" s="786"/>
      <c r="P22" s="786"/>
      <c r="Q22" s="786"/>
      <c r="R22" s="786"/>
      <c r="S22" s="786"/>
      <c r="T22" s="786"/>
      <c r="U22" s="786"/>
      <c r="V22" s="786"/>
      <c r="W22" s="786"/>
      <c r="X22" s="786"/>
      <c r="Y22" s="786"/>
      <c r="Z22" s="786"/>
      <c r="AA22" s="786"/>
      <c r="AB22" s="786"/>
      <c r="AC22" s="786"/>
      <c r="AD22" s="786"/>
      <c r="AE22" s="786"/>
      <c r="AF22" s="786"/>
      <c r="AG22" s="786"/>
      <c r="AH22" s="786"/>
      <c r="AI22" s="786"/>
      <c r="AJ22" s="788"/>
      <c r="AK22" s="789"/>
      <c r="AL22" s="788"/>
      <c r="AM22" s="790"/>
      <c r="AN22" s="790"/>
      <c r="AO22" s="790"/>
      <c r="AP22" s="790"/>
      <c r="AQ22" s="317"/>
      <c r="AR22" s="317"/>
      <c r="AS22" s="317"/>
      <c r="AT22" s="317"/>
      <c r="AU22" s="317"/>
      <c r="AV22" s="317"/>
      <c r="AW22" s="317"/>
      <c r="AX22" s="317"/>
      <c r="AY22" s="317"/>
      <c r="AZ22" s="317"/>
      <c r="BA22" s="317"/>
      <c r="BB22" s="317"/>
      <c r="BC22" s="317"/>
      <c r="BD22" s="317"/>
      <c r="BE22" s="317"/>
      <c r="BF22" s="317"/>
      <c r="BG22" s="317"/>
      <c r="BH22" s="317"/>
      <c r="BI22" s="317"/>
      <c r="BJ22" s="317"/>
      <c r="BK22" s="317"/>
      <c r="BL22" s="317"/>
      <c r="BM22" s="317"/>
      <c r="BN22" s="317"/>
      <c r="BO22" s="317"/>
      <c r="BP22" s="317"/>
      <c r="BQ22" s="317"/>
      <c r="BR22" s="317"/>
      <c r="BS22" s="317"/>
      <c r="BT22" s="317"/>
      <c r="BU22" s="317"/>
      <c r="BV22" s="317"/>
      <c r="BW22" s="317"/>
      <c r="BX22" s="317"/>
      <c r="BY22" s="317"/>
      <c r="BZ22" s="317"/>
      <c r="CA22" s="317"/>
      <c r="CB22" s="317"/>
      <c r="CC22" s="317"/>
      <c r="CD22" s="317"/>
      <c r="CE22" s="317"/>
      <c r="CF22" s="317"/>
      <c r="CG22" s="317"/>
      <c r="CH22" s="317"/>
      <c r="CI22" s="317"/>
      <c r="CJ22" s="317"/>
      <c r="CK22" s="317"/>
      <c r="CL22" s="317"/>
      <c r="CM22" s="317"/>
      <c r="CN22" s="317"/>
      <c r="CO22" s="317"/>
      <c r="CP22" s="317"/>
      <c r="CQ22" s="317"/>
      <c r="CR22" s="317"/>
      <c r="CS22" s="317"/>
      <c r="CT22" s="317"/>
      <c r="CU22" s="317"/>
      <c r="CV22" s="317"/>
      <c r="CW22" s="317"/>
      <c r="CX22" s="317"/>
      <c r="CY22" s="317"/>
      <c r="CZ22" s="317"/>
      <c r="DA22" s="317"/>
      <c r="DB22" s="317"/>
      <c r="DC22" s="317"/>
      <c r="DD22" s="317"/>
      <c r="DE22" s="317"/>
      <c r="DF22" s="317"/>
      <c r="DG22" s="317"/>
      <c r="DH22" s="317"/>
      <c r="DI22" s="317"/>
      <c r="DJ22" s="317"/>
      <c r="DK22" s="317"/>
      <c r="DL22" s="317"/>
      <c r="DM22" s="317"/>
      <c r="DN22" s="317"/>
      <c r="DO22" s="317"/>
      <c r="DP22" s="317"/>
      <c r="DQ22" s="317"/>
      <c r="DR22" s="317"/>
      <c r="DS22" s="317"/>
      <c r="DT22" s="317"/>
      <c r="DU22" s="317"/>
      <c r="DV22" s="317"/>
      <c r="DW22" s="317"/>
      <c r="DX22" s="317"/>
      <c r="DY22" s="317"/>
      <c r="DZ22" s="317"/>
      <c r="EA22" s="317"/>
      <c r="EB22" s="317"/>
      <c r="EC22" s="317"/>
      <c r="ED22" s="317"/>
      <c r="EE22" s="317"/>
      <c r="EF22" s="317"/>
      <c r="EG22" s="317"/>
      <c r="EH22" s="317"/>
      <c r="EI22" s="317"/>
      <c r="EJ22" s="317"/>
      <c r="EK22" s="317"/>
      <c r="EL22" s="317"/>
      <c r="EM22" s="317"/>
      <c r="EN22" s="317"/>
      <c r="EO22" s="317"/>
      <c r="EP22" s="317"/>
      <c r="EQ22" s="317"/>
      <c r="ER22" s="317"/>
      <c r="ES22" s="317"/>
      <c r="ET22" s="317"/>
      <c r="EU22" s="317"/>
      <c r="EV22" s="317"/>
      <c r="EW22" s="317"/>
      <c r="EX22" s="317"/>
      <c r="EY22" s="317"/>
      <c r="EZ22" s="317"/>
      <c r="FA22" s="317"/>
      <c r="FB22" s="317"/>
      <c r="FC22" s="317"/>
      <c r="FD22" s="317"/>
      <c r="FE22" s="317"/>
      <c r="FF22" s="317"/>
      <c r="FG22" s="317"/>
      <c r="FH22" s="317"/>
      <c r="FI22" s="317"/>
      <c r="FJ22" s="317"/>
      <c r="FK22" s="317"/>
      <c r="FL22" s="317"/>
      <c r="FM22" s="317"/>
      <c r="FN22" s="317"/>
      <c r="FO22" s="317"/>
      <c r="FP22" s="317"/>
      <c r="FQ22" s="317"/>
      <c r="FR22" s="317"/>
      <c r="FS22" s="317"/>
      <c r="FT22" s="317"/>
      <c r="FU22" s="317"/>
      <c r="FV22" s="317"/>
      <c r="FW22" s="317"/>
      <c r="FX22" s="317"/>
      <c r="FY22" s="317"/>
      <c r="FZ22" s="317"/>
      <c r="GA22" s="317"/>
      <c r="GB22" s="317"/>
      <c r="GC22" s="317"/>
      <c r="GD22" s="317"/>
      <c r="GE22" s="317"/>
      <c r="GF22" s="317"/>
      <c r="GG22" s="317"/>
      <c r="GH22" s="317"/>
      <c r="GI22" s="317"/>
      <c r="GJ22" s="317"/>
      <c r="GK22" s="317"/>
      <c r="GL22" s="317"/>
      <c r="GM22" s="317"/>
      <c r="GN22" s="317"/>
      <c r="GO22" s="317"/>
      <c r="GP22" s="317"/>
      <c r="GQ22" s="317"/>
      <c r="GR22" s="317"/>
      <c r="GS22" s="317"/>
      <c r="GT22" s="317"/>
      <c r="GU22" s="317"/>
      <c r="GV22" s="317"/>
      <c r="GW22" s="317"/>
      <c r="GX22" s="317"/>
      <c r="GY22" s="317"/>
      <c r="GZ22" s="317"/>
      <c r="HA22" s="317"/>
      <c r="HB22" s="317"/>
      <c r="HC22" s="317"/>
      <c r="HD22" s="317"/>
      <c r="HE22" s="317"/>
      <c r="HF22" s="317"/>
      <c r="HG22" s="317"/>
      <c r="HH22" s="317"/>
      <c r="HI22" s="317"/>
      <c r="HJ22" s="317"/>
      <c r="HK22" s="317"/>
      <c r="HL22" s="317"/>
      <c r="HM22" s="317"/>
      <c r="HN22" s="317"/>
      <c r="HO22" s="317"/>
      <c r="HP22" s="317"/>
      <c r="HQ22" s="317"/>
      <c r="HR22" s="317"/>
      <c r="HS22" s="317"/>
      <c r="HT22" s="317"/>
      <c r="HU22" s="317"/>
      <c r="HV22" s="317"/>
      <c r="HW22" s="317"/>
      <c r="HX22" s="317"/>
      <c r="HY22" s="317"/>
      <c r="HZ22" s="317"/>
      <c r="IA22" s="317"/>
      <c r="IB22" s="317"/>
      <c r="IC22" s="317"/>
      <c r="ID22" s="317"/>
      <c r="IE22" s="317"/>
      <c r="IF22" s="317"/>
      <c r="IG22" s="317"/>
      <c r="IH22" s="317"/>
      <c r="II22" s="317"/>
      <c r="IJ22" s="317"/>
      <c r="IK22" s="317"/>
      <c r="IL22" s="317"/>
      <c r="IM22" s="317"/>
      <c r="IN22" s="317"/>
      <c r="IO22" s="317"/>
      <c r="IP22" s="317"/>
      <c r="IQ22" s="317"/>
      <c r="IR22" s="317"/>
      <c r="IS22" s="317"/>
      <c r="IT22" s="317"/>
      <c r="IU22" s="317"/>
      <c r="IV22" s="317"/>
      <c r="IW22" s="317"/>
    </row>
    <row r="23" customFormat="false" ht="12.75" hidden="false" customHeight="false" outlineLevel="0" collapsed="false">
      <c r="A23" s="783"/>
      <c r="B23" s="788" t="s">
        <v>577</v>
      </c>
      <c r="C23" s="617" t="n">
        <f aca="false">Assum!$E$243</f>
        <v>0.5</v>
      </c>
      <c r="D23" s="775"/>
      <c r="E23" s="130" t="n">
        <f aca="false">E17*$C$23</f>
        <v>796.574938506046</v>
      </c>
      <c r="F23" s="130" t="n">
        <f aca="false">F17*$C$23</f>
        <v>796.397225291761</v>
      </c>
      <c r="G23" s="130" t="n">
        <f aca="false">G17*$C$23</f>
        <v>795.986593652654</v>
      </c>
      <c r="H23" s="130" t="n">
        <f aca="false">H17*$C$23</f>
        <v>795.29044508491</v>
      </c>
      <c r="I23" s="130" t="n">
        <f aca="false">I17*$C$23</f>
        <v>794.353603074875</v>
      </c>
      <c r="J23" s="130" t="n">
        <f aca="false">J17*$C$23</f>
        <v>793.207256825121</v>
      </c>
      <c r="K23" s="130" t="n">
        <f aca="false">K17*$C$23</f>
        <v>788.593717435002</v>
      </c>
      <c r="L23" s="130" t="n">
        <f aca="false">L17*$C$23</f>
        <v>783.710156340178</v>
      </c>
      <c r="M23" s="130" t="n">
        <f aca="false">M17*$C$23</f>
        <v>778.554898621155</v>
      </c>
      <c r="N23" s="130" t="n">
        <f aca="false">N17*$C$23</f>
        <v>773.091749831581</v>
      </c>
      <c r="O23" s="130" t="n">
        <f aca="false">O17*$C$23</f>
        <v>783.367719367143</v>
      </c>
      <c r="P23" s="130" t="n">
        <f aca="false">P17*$C$23</f>
        <v>777.116760439792</v>
      </c>
      <c r="Q23" s="130" t="n">
        <f aca="false">Q17*$C$23</f>
        <v>770.291894243776</v>
      </c>
      <c r="R23" s="130" t="n">
        <f aca="false">R17*$C$23</f>
        <v>762.863715920207</v>
      </c>
      <c r="S23" s="130" t="n">
        <f aca="false">S17*$C$23</f>
        <v>754.762287292741</v>
      </c>
      <c r="T23" s="130" t="n">
        <f aca="false">T17*$C$23</f>
        <v>745.988001290077</v>
      </c>
      <c r="U23" s="130" t="n">
        <f aca="false">U17*$C$23</f>
        <v>736.590338304606</v>
      </c>
      <c r="V23" s="130" t="n">
        <f aca="false">V17*$C$23</f>
        <v>754.40692105631</v>
      </c>
      <c r="W23" s="130" t="n">
        <f aca="false">W17*$C$23</f>
        <v>744.125178309473</v>
      </c>
      <c r="X23" s="130" t="n">
        <f aca="false">X17*$C$23</f>
        <v>732.722751485861</v>
      </c>
      <c r="Y23" s="130" t="n">
        <f aca="false">Y17*$C$23</f>
        <v>0</v>
      </c>
      <c r="Z23" s="130" t="n">
        <f aca="false">Z17*$C$23</f>
        <v>0</v>
      </c>
      <c r="AA23" s="130" t="n">
        <f aca="false">AA17*$C$23</f>
        <v>0</v>
      </c>
      <c r="AB23" s="130" t="n">
        <f aca="false">AB17*$C$23</f>
        <v>0</v>
      </c>
      <c r="AC23" s="130" t="n">
        <f aca="false">AC17*$C$23</f>
        <v>0</v>
      </c>
      <c r="AD23" s="130" t="n">
        <f aca="false">AD17*$C$23</f>
        <v>0</v>
      </c>
      <c r="AE23" s="130" t="n">
        <f aca="false">AE17*$C$23</f>
        <v>0</v>
      </c>
      <c r="AF23" s="130" t="n">
        <f aca="false">AF17*$C$23</f>
        <v>0</v>
      </c>
      <c r="AG23" s="130" t="n">
        <f aca="false">AG17*$C$23</f>
        <v>0</v>
      </c>
      <c r="AH23" s="130" t="n">
        <f aca="false">AH17*$C$23</f>
        <v>0</v>
      </c>
      <c r="AI23" s="130" t="n">
        <f aca="false">AI17*$C$23</f>
        <v>0</v>
      </c>
      <c r="AJ23" s="788"/>
      <c r="AK23" s="789"/>
      <c r="AL23" s="788"/>
      <c r="AM23" s="790"/>
      <c r="AN23" s="790"/>
      <c r="AO23" s="790"/>
      <c r="AP23" s="790"/>
      <c r="AQ23" s="317"/>
      <c r="AR23" s="317"/>
      <c r="AS23" s="317"/>
      <c r="AT23" s="317"/>
      <c r="AU23" s="317"/>
      <c r="AV23" s="317"/>
      <c r="AW23" s="317"/>
      <c r="AX23" s="317"/>
      <c r="AY23" s="317"/>
      <c r="AZ23" s="317"/>
      <c r="BA23" s="317"/>
      <c r="BB23" s="317"/>
      <c r="BC23" s="317"/>
      <c r="BD23" s="317"/>
      <c r="BE23" s="317"/>
      <c r="BF23" s="317"/>
      <c r="BG23" s="317"/>
      <c r="BH23" s="317"/>
      <c r="BI23" s="317"/>
      <c r="BJ23" s="317"/>
      <c r="BK23" s="317"/>
      <c r="BL23" s="317"/>
      <c r="BM23" s="317"/>
      <c r="BN23" s="317"/>
      <c r="BO23" s="317"/>
      <c r="BP23" s="317"/>
      <c r="BQ23" s="317"/>
      <c r="BR23" s="317"/>
      <c r="BS23" s="317"/>
      <c r="BT23" s="317"/>
      <c r="BU23" s="317"/>
      <c r="BV23" s="317"/>
      <c r="BW23" s="317"/>
      <c r="BX23" s="317"/>
      <c r="BY23" s="317"/>
      <c r="BZ23" s="317"/>
      <c r="CA23" s="317"/>
      <c r="CB23" s="317"/>
      <c r="CC23" s="317"/>
      <c r="CD23" s="317"/>
      <c r="CE23" s="317"/>
      <c r="CF23" s="317"/>
      <c r="CG23" s="317"/>
      <c r="CH23" s="317"/>
      <c r="CI23" s="317"/>
      <c r="CJ23" s="317"/>
      <c r="CK23" s="317"/>
      <c r="CL23" s="317"/>
      <c r="CM23" s="317"/>
      <c r="CN23" s="317"/>
      <c r="CO23" s="317"/>
      <c r="CP23" s="317"/>
      <c r="CQ23" s="317"/>
      <c r="CR23" s="317"/>
      <c r="CS23" s="317"/>
      <c r="CT23" s="317"/>
      <c r="CU23" s="317"/>
      <c r="CV23" s="317"/>
      <c r="CW23" s="317"/>
      <c r="CX23" s="317"/>
      <c r="CY23" s="317"/>
      <c r="CZ23" s="317"/>
      <c r="DA23" s="317"/>
      <c r="DB23" s="317"/>
      <c r="DC23" s="317"/>
      <c r="DD23" s="317"/>
      <c r="DE23" s="317"/>
      <c r="DF23" s="317"/>
      <c r="DG23" s="317"/>
      <c r="DH23" s="317"/>
      <c r="DI23" s="317"/>
      <c r="DJ23" s="317"/>
      <c r="DK23" s="317"/>
      <c r="DL23" s="317"/>
      <c r="DM23" s="317"/>
      <c r="DN23" s="317"/>
      <c r="DO23" s="317"/>
      <c r="DP23" s="317"/>
      <c r="DQ23" s="317"/>
      <c r="DR23" s="317"/>
      <c r="DS23" s="317"/>
      <c r="DT23" s="317"/>
      <c r="DU23" s="317"/>
      <c r="DV23" s="317"/>
      <c r="DW23" s="317"/>
      <c r="DX23" s="317"/>
      <c r="DY23" s="317"/>
      <c r="DZ23" s="317"/>
      <c r="EA23" s="317"/>
      <c r="EB23" s="317"/>
      <c r="EC23" s="317"/>
      <c r="ED23" s="317"/>
      <c r="EE23" s="317"/>
      <c r="EF23" s="317"/>
      <c r="EG23" s="317"/>
      <c r="EH23" s="317"/>
      <c r="EI23" s="317"/>
      <c r="EJ23" s="317"/>
      <c r="EK23" s="317"/>
      <c r="EL23" s="317"/>
      <c r="EM23" s="317"/>
      <c r="EN23" s="317"/>
      <c r="EO23" s="317"/>
      <c r="EP23" s="317"/>
      <c r="EQ23" s="317"/>
      <c r="ER23" s="317"/>
      <c r="ES23" s="317"/>
      <c r="ET23" s="317"/>
      <c r="EU23" s="317"/>
      <c r="EV23" s="317"/>
      <c r="EW23" s="317"/>
      <c r="EX23" s="317"/>
      <c r="EY23" s="317"/>
      <c r="EZ23" s="317"/>
      <c r="FA23" s="317"/>
      <c r="FB23" s="317"/>
      <c r="FC23" s="317"/>
      <c r="FD23" s="317"/>
      <c r="FE23" s="317"/>
      <c r="FF23" s="317"/>
      <c r="FG23" s="317"/>
      <c r="FH23" s="317"/>
      <c r="FI23" s="317"/>
      <c r="FJ23" s="317"/>
      <c r="FK23" s="317"/>
      <c r="FL23" s="317"/>
      <c r="FM23" s="317"/>
      <c r="FN23" s="317"/>
      <c r="FO23" s="317"/>
      <c r="FP23" s="317"/>
      <c r="FQ23" s="317"/>
      <c r="FR23" s="317"/>
      <c r="FS23" s="317"/>
      <c r="FT23" s="317"/>
      <c r="FU23" s="317"/>
      <c r="FV23" s="317"/>
      <c r="FW23" s="317"/>
      <c r="FX23" s="317"/>
      <c r="FY23" s="317"/>
      <c r="FZ23" s="317"/>
      <c r="GA23" s="317"/>
      <c r="GB23" s="317"/>
      <c r="GC23" s="317"/>
      <c r="GD23" s="317"/>
      <c r="GE23" s="317"/>
      <c r="GF23" s="317"/>
      <c r="GG23" s="317"/>
      <c r="GH23" s="317"/>
      <c r="GI23" s="317"/>
      <c r="GJ23" s="317"/>
      <c r="GK23" s="317"/>
      <c r="GL23" s="317"/>
      <c r="GM23" s="317"/>
      <c r="GN23" s="317"/>
      <c r="GO23" s="317"/>
      <c r="GP23" s="317"/>
      <c r="GQ23" s="317"/>
      <c r="GR23" s="317"/>
      <c r="GS23" s="317"/>
      <c r="GT23" s="317"/>
      <c r="GU23" s="317"/>
      <c r="GV23" s="317"/>
      <c r="GW23" s="317"/>
      <c r="GX23" s="317"/>
      <c r="GY23" s="317"/>
      <c r="GZ23" s="317"/>
      <c r="HA23" s="317"/>
      <c r="HB23" s="317"/>
      <c r="HC23" s="317"/>
      <c r="HD23" s="317"/>
      <c r="HE23" s="317"/>
      <c r="HF23" s="317"/>
      <c r="HG23" s="317"/>
      <c r="HH23" s="317"/>
      <c r="HI23" s="317"/>
      <c r="HJ23" s="317"/>
      <c r="HK23" s="317"/>
      <c r="HL23" s="317"/>
      <c r="HM23" s="317"/>
      <c r="HN23" s="317"/>
      <c r="HO23" s="317"/>
      <c r="HP23" s="317"/>
      <c r="HQ23" s="317"/>
      <c r="HR23" s="317"/>
      <c r="HS23" s="317"/>
      <c r="HT23" s="317"/>
      <c r="HU23" s="317"/>
      <c r="HV23" s="317"/>
      <c r="HW23" s="317"/>
      <c r="HX23" s="317"/>
      <c r="HY23" s="317"/>
      <c r="HZ23" s="317"/>
      <c r="IA23" s="317"/>
      <c r="IB23" s="317"/>
      <c r="IC23" s="317"/>
      <c r="ID23" s="317"/>
      <c r="IE23" s="317"/>
      <c r="IF23" s="317"/>
      <c r="IG23" s="317"/>
      <c r="IH23" s="317"/>
      <c r="II23" s="317"/>
      <c r="IJ23" s="317"/>
      <c r="IK23" s="317"/>
      <c r="IL23" s="317"/>
      <c r="IM23" s="317"/>
      <c r="IN23" s="317"/>
      <c r="IO23" s="317"/>
      <c r="IP23" s="317"/>
      <c r="IQ23" s="317"/>
      <c r="IR23" s="317"/>
      <c r="IS23" s="317"/>
      <c r="IT23" s="317"/>
      <c r="IU23" s="317"/>
      <c r="IV23" s="317"/>
      <c r="IW23" s="317"/>
    </row>
    <row r="24" customFormat="false" ht="12.75" hidden="false" customHeight="false" outlineLevel="0" collapsed="false">
      <c r="A24" s="783"/>
      <c r="B24" s="788" t="s">
        <v>578</v>
      </c>
      <c r="C24" s="617" t="n">
        <f aca="false">1-C23</f>
        <v>0.5</v>
      </c>
      <c r="D24" s="775"/>
      <c r="E24" s="130" t="n">
        <f aca="false">E17*$C$24</f>
        <v>796.574938506046</v>
      </c>
      <c r="F24" s="130" t="n">
        <f aca="false">F17*$C$24</f>
        <v>796.397225291761</v>
      </c>
      <c r="G24" s="130" t="n">
        <f aca="false">G17*$C$24</f>
        <v>795.986593652654</v>
      </c>
      <c r="H24" s="130" t="n">
        <f aca="false">H17*$C$24</f>
        <v>795.29044508491</v>
      </c>
      <c r="I24" s="130" t="n">
        <f aca="false">I17*$C$24</f>
        <v>794.353603074875</v>
      </c>
      <c r="J24" s="130" t="n">
        <f aca="false">J17*$C$24</f>
        <v>793.207256825121</v>
      </c>
      <c r="K24" s="130" t="n">
        <f aca="false">K17*$C$24</f>
        <v>788.593717435002</v>
      </c>
      <c r="L24" s="130" t="n">
        <f aca="false">L17*$C$24</f>
        <v>783.710156340178</v>
      </c>
      <c r="M24" s="130" t="n">
        <f aca="false">M17*$C$24</f>
        <v>778.554898621155</v>
      </c>
      <c r="N24" s="130" t="n">
        <f aca="false">N17*$C$24</f>
        <v>773.091749831581</v>
      </c>
      <c r="O24" s="130" t="n">
        <f aca="false">O17*$C$24</f>
        <v>783.367719367143</v>
      </c>
      <c r="P24" s="130" t="n">
        <f aca="false">P17*$C$24</f>
        <v>777.116760439792</v>
      </c>
      <c r="Q24" s="130" t="n">
        <f aca="false">Q17*$C$24</f>
        <v>770.291894243776</v>
      </c>
      <c r="R24" s="130" t="n">
        <f aca="false">R17*$C$24</f>
        <v>762.863715920207</v>
      </c>
      <c r="S24" s="130" t="n">
        <f aca="false">S17*$C$24</f>
        <v>754.762287292741</v>
      </c>
      <c r="T24" s="130" t="n">
        <f aca="false">T17*$C$24</f>
        <v>745.988001290077</v>
      </c>
      <c r="U24" s="130" t="n">
        <f aca="false">U17*$C$24</f>
        <v>736.590338304606</v>
      </c>
      <c r="V24" s="130" t="n">
        <f aca="false">V17*$C$24</f>
        <v>754.40692105631</v>
      </c>
      <c r="W24" s="130" t="n">
        <f aca="false">W17*$C$24</f>
        <v>744.125178309473</v>
      </c>
      <c r="X24" s="130" t="n">
        <f aca="false">X17*$C$24</f>
        <v>732.722751485861</v>
      </c>
      <c r="Y24" s="130" t="n">
        <f aca="false">Y17*$C$24</f>
        <v>0</v>
      </c>
      <c r="Z24" s="130" t="n">
        <f aca="false">Z17*$C$24</f>
        <v>0</v>
      </c>
      <c r="AA24" s="130" t="n">
        <f aca="false">AA17*$C$24</f>
        <v>0</v>
      </c>
      <c r="AB24" s="130" t="n">
        <f aca="false">AB17*$C$24</f>
        <v>0</v>
      </c>
      <c r="AC24" s="130" t="n">
        <f aca="false">AC17*$C$24</f>
        <v>0</v>
      </c>
      <c r="AD24" s="130" t="n">
        <f aca="false">AD17*$C$24</f>
        <v>0</v>
      </c>
      <c r="AE24" s="130" t="n">
        <f aca="false">AE17*$C$24</f>
        <v>0</v>
      </c>
      <c r="AF24" s="130" t="n">
        <f aca="false">AF17*$C$24</f>
        <v>0</v>
      </c>
      <c r="AG24" s="130" t="n">
        <f aca="false">AG17*$C$24</f>
        <v>0</v>
      </c>
      <c r="AH24" s="130" t="n">
        <f aca="false">AH17*$C$24</f>
        <v>0</v>
      </c>
      <c r="AI24" s="130" t="n">
        <f aca="false">AI17*$C$24</f>
        <v>0</v>
      </c>
      <c r="AJ24" s="788"/>
      <c r="AK24" s="789"/>
      <c r="AL24" s="788"/>
      <c r="AM24" s="790"/>
      <c r="AN24" s="790"/>
      <c r="AO24" s="790"/>
      <c r="AP24" s="790"/>
      <c r="AQ24" s="317"/>
      <c r="AR24" s="317"/>
      <c r="AS24" s="317"/>
      <c r="AT24" s="317"/>
      <c r="AU24" s="317"/>
      <c r="AV24" s="317"/>
      <c r="AW24" s="317"/>
      <c r="AX24" s="317"/>
      <c r="AY24" s="317"/>
      <c r="AZ24" s="317"/>
      <c r="BA24" s="317"/>
      <c r="BB24" s="317"/>
      <c r="BC24" s="317"/>
      <c r="BD24" s="317"/>
      <c r="BE24" s="317"/>
      <c r="BF24" s="317"/>
      <c r="BG24" s="317"/>
      <c r="BH24" s="317"/>
      <c r="BI24" s="317"/>
      <c r="BJ24" s="317"/>
      <c r="BK24" s="317"/>
      <c r="BL24" s="317"/>
      <c r="BM24" s="317"/>
      <c r="BN24" s="317"/>
      <c r="BO24" s="317"/>
      <c r="BP24" s="317"/>
      <c r="BQ24" s="317"/>
      <c r="BR24" s="317"/>
      <c r="BS24" s="317"/>
      <c r="BT24" s="317"/>
      <c r="BU24" s="317"/>
      <c r="BV24" s="317"/>
      <c r="BW24" s="317"/>
      <c r="BX24" s="317"/>
      <c r="BY24" s="317"/>
      <c r="BZ24" s="317"/>
      <c r="CA24" s="317"/>
      <c r="CB24" s="317"/>
      <c r="CC24" s="317"/>
      <c r="CD24" s="317"/>
      <c r="CE24" s="317"/>
      <c r="CF24" s="317"/>
      <c r="CG24" s="317"/>
      <c r="CH24" s="317"/>
      <c r="CI24" s="317"/>
      <c r="CJ24" s="317"/>
      <c r="CK24" s="317"/>
      <c r="CL24" s="317"/>
      <c r="CM24" s="317"/>
      <c r="CN24" s="317"/>
      <c r="CO24" s="317"/>
      <c r="CP24" s="317"/>
      <c r="CQ24" s="317"/>
      <c r="CR24" s="317"/>
      <c r="CS24" s="317"/>
      <c r="CT24" s="317"/>
      <c r="CU24" s="317"/>
      <c r="CV24" s="317"/>
      <c r="CW24" s="317"/>
      <c r="CX24" s="317"/>
      <c r="CY24" s="317"/>
      <c r="CZ24" s="317"/>
      <c r="DA24" s="317"/>
      <c r="DB24" s="317"/>
      <c r="DC24" s="317"/>
      <c r="DD24" s="317"/>
      <c r="DE24" s="317"/>
      <c r="DF24" s="317"/>
      <c r="DG24" s="317"/>
      <c r="DH24" s="317"/>
      <c r="DI24" s="317"/>
      <c r="DJ24" s="317"/>
      <c r="DK24" s="317"/>
      <c r="DL24" s="317"/>
      <c r="DM24" s="317"/>
      <c r="DN24" s="317"/>
      <c r="DO24" s="317"/>
      <c r="DP24" s="317"/>
      <c r="DQ24" s="317"/>
      <c r="DR24" s="317"/>
      <c r="DS24" s="317"/>
      <c r="DT24" s="317"/>
      <c r="DU24" s="317"/>
      <c r="DV24" s="317"/>
      <c r="DW24" s="317"/>
      <c r="DX24" s="317"/>
      <c r="DY24" s="317"/>
      <c r="DZ24" s="317"/>
      <c r="EA24" s="317"/>
      <c r="EB24" s="317"/>
      <c r="EC24" s="317"/>
      <c r="ED24" s="317"/>
      <c r="EE24" s="317"/>
      <c r="EF24" s="317"/>
      <c r="EG24" s="317"/>
      <c r="EH24" s="317"/>
      <c r="EI24" s="317"/>
      <c r="EJ24" s="317"/>
      <c r="EK24" s="317"/>
      <c r="EL24" s="317"/>
      <c r="EM24" s="317"/>
      <c r="EN24" s="317"/>
      <c r="EO24" s="317"/>
      <c r="EP24" s="317"/>
      <c r="EQ24" s="317"/>
      <c r="ER24" s="317"/>
      <c r="ES24" s="317"/>
      <c r="ET24" s="317"/>
      <c r="EU24" s="317"/>
      <c r="EV24" s="317"/>
      <c r="EW24" s="317"/>
      <c r="EX24" s="317"/>
      <c r="EY24" s="317"/>
      <c r="EZ24" s="317"/>
      <c r="FA24" s="317"/>
      <c r="FB24" s="317"/>
      <c r="FC24" s="317"/>
      <c r="FD24" s="317"/>
      <c r="FE24" s="317"/>
      <c r="FF24" s="317"/>
      <c r="FG24" s="317"/>
      <c r="FH24" s="317"/>
      <c r="FI24" s="317"/>
      <c r="FJ24" s="317"/>
      <c r="FK24" s="317"/>
      <c r="FL24" s="317"/>
      <c r="FM24" s="317"/>
      <c r="FN24" s="317"/>
      <c r="FO24" s="317"/>
      <c r="FP24" s="317"/>
      <c r="FQ24" s="317"/>
      <c r="FR24" s="317"/>
      <c r="FS24" s="317"/>
      <c r="FT24" s="317"/>
      <c r="FU24" s="317"/>
      <c r="FV24" s="317"/>
      <c r="FW24" s="317"/>
      <c r="FX24" s="317"/>
      <c r="FY24" s="317"/>
      <c r="FZ24" s="317"/>
      <c r="GA24" s="317"/>
      <c r="GB24" s="317"/>
      <c r="GC24" s="317"/>
      <c r="GD24" s="317"/>
      <c r="GE24" s="317"/>
      <c r="GF24" s="317"/>
      <c r="GG24" s="317"/>
      <c r="GH24" s="317"/>
      <c r="GI24" s="317"/>
      <c r="GJ24" s="317"/>
      <c r="GK24" s="317"/>
      <c r="GL24" s="317"/>
      <c r="GM24" s="317"/>
      <c r="GN24" s="317"/>
      <c r="GO24" s="317"/>
      <c r="GP24" s="317"/>
      <c r="GQ24" s="317"/>
      <c r="GR24" s="317"/>
      <c r="GS24" s="317"/>
      <c r="GT24" s="317"/>
      <c r="GU24" s="317"/>
      <c r="GV24" s="317"/>
      <c r="GW24" s="317"/>
      <c r="GX24" s="317"/>
      <c r="GY24" s="317"/>
      <c r="GZ24" s="317"/>
      <c r="HA24" s="317"/>
      <c r="HB24" s="317"/>
      <c r="HC24" s="317"/>
      <c r="HD24" s="317"/>
      <c r="HE24" s="317"/>
      <c r="HF24" s="317"/>
      <c r="HG24" s="317"/>
      <c r="HH24" s="317"/>
      <c r="HI24" s="317"/>
      <c r="HJ24" s="317"/>
      <c r="HK24" s="317"/>
      <c r="HL24" s="317"/>
      <c r="HM24" s="317"/>
      <c r="HN24" s="317"/>
      <c r="HO24" s="317"/>
      <c r="HP24" s="317"/>
      <c r="HQ24" s="317"/>
      <c r="HR24" s="317"/>
      <c r="HS24" s="317"/>
      <c r="HT24" s="317"/>
      <c r="HU24" s="317"/>
      <c r="HV24" s="317"/>
      <c r="HW24" s="317"/>
      <c r="HX24" s="317"/>
      <c r="HY24" s="317"/>
      <c r="HZ24" s="317"/>
      <c r="IA24" s="317"/>
      <c r="IB24" s="317"/>
      <c r="IC24" s="317"/>
      <c r="ID24" s="317"/>
      <c r="IE24" s="317"/>
      <c r="IF24" s="317"/>
      <c r="IG24" s="317"/>
      <c r="IH24" s="317"/>
      <c r="II24" s="317"/>
      <c r="IJ24" s="317"/>
      <c r="IK24" s="317"/>
      <c r="IL24" s="317"/>
      <c r="IM24" s="317"/>
      <c r="IN24" s="317"/>
      <c r="IO24" s="317"/>
      <c r="IP24" s="317"/>
      <c r="IQ24" s="317"/>
      <c r="IR24" s="317"/>
      <c r="IS24" s="317"/>
      <c r="IT24" s="317"/>
      <c r="IU24" s="317"/>
      <c r="IV24" s="317"/>
      <c r="IW24" s="317"/>
    </row>
    <row r="25" customFormat="false" ht="13.5" hidden="false" customHeight="false" outlineLevel="0" collapsed="false">
      <c r="A25" s="751"/>
      <c r="B25" s="769"/>
      <c r="C25" s="769"/>
      <c r="D25" s="755"/>
      <c r="E25" s="780"/>
      <c r="F25" s="765"/>
      <c r="G25" s="765"/>
      <c r="H25" s="765"/>
      <c r="I25" s="765"/>
      <c r="J25" s="765"/>
      <c r="K25" s="765"/>
      <c r="L25" s="765"/>
      <c r="M25" s="765"/>
      <c r="N25" s="765"/>
      <c r="O25" s="765"/>
      <c r="P25" s="765"/>
      <c r="Q25" s="765"/>
      <c r="R25" s="765"/>
      <c r="S25" s="765"/>
      <c r="T25" s="765"/>
      <c r="U25" s="765"/>
      <c r="V25" s="765"/>
      <c r="W25" s="765"/>
      <c r="X25" s="765"/>
      <c r="Y25" s="765"/>
      <c r="Z25" s="765"/>
      <c r="AA25" s="765"/>
      <c r="AB25" s="765"/>
      <c r="AC25" s="765"/>
      <c r="AD25" s="765"/>
      <c r="AE25" s="765"/>
      <c r="AF25" s="765"/>
      <c r="AG25" s="765"/>
      <c r="AH25" s="765"/>
      <c r="AI25" s="765"/>
      <c r="AJ25" s="373"/>
      <c r="AK25" s="752"/>
      <c r="AL25" s="373"/>
      <c r="AM25" s="753"/>
      <c r="AN25" s="753"/>
      <c r="AO25" s="753"/>
      <c r="AP25" s="753"/>
    </row>
    <row r="26" customFormat="false" ht="12.75" hidden="false" customHeight="false" outlineLevel="0" collapsed="false">
      <c r="A26" s="751"/>
      <c r="B26" s="791"/>
      <c r="C26" s="792"/>
      <c r="D26" s="793" t="s">
        <v>579</v>
      </c>
      <c r="E26" s="792" t="n">
        <v>1</v>
      </c>
      <c r="F26" s="792" t="n">
        <v>2</v>
      </c>
      <c r="G26" s="792" t="n">
        <v>3</v>
      </c>
      <c r="H26" s="792" t="n">
        <v>4</v>
      </c>
      <c r="I26" s="792" t="n">
        <v>5</v>
      </c>
      <c r="J26" s="792" t="n">
        <v>6</v>
      </c>
      <c r="K26" s="792" t="n">
        <v>7</v>
      </c>
      <c r="L26" s="792" t="n">
        <v>8</v>
      </c>
      <c r="M26" s="792" t="n">
        <v>9</v>
      </c>
      <c r="N26" s="792" t="n">
        <v>10</v>
      </c>
      <c r="O26" s="792" t="n">
        <v>11</v>
      </c>
      <c r="P26" s="792" t="n">
        <v>12</v>
      </c>
      <c r="Q26" s="792" t="n">
        <v>13</v>
      </c>
      <c r="R26" s="792" t="n">
        <v>14</v>
      </c>
      <c r="S26" s="792" t="n">
        <v>15</v>
      </c>
      <c r="T26" s="792" t="n">
        <v>16</v>
      </c>
      <c r="U26" s="792" t="n">
        <v>17</v>
      </c>
      <c r="V26" s="792" t="n">
        <v>18</v>
      </c>
      <c r="W26" s="792" t="n">
        <v>19</v>
      </c>
      <c r="X26" s="792" t="n">
        <v>20</v>
      </c>
      <c r="Y26" s="792" t="n">
        <v>21</v>
      </c>
      <c r="Z26" s="792" t="n">
        <v>22</v>
      </c>
      <c r="AA26" s="792" t="n">
        <v>23</v>
      </c>
      <c r="AB26" s="792" t="n">
        <v>24</v>
      </c>
      <c r="AC26" s="792" t="n">
        <v>25</v>
      </c>
      <c r="AD26" s="792" t="n">
        <v>26</v>
      </c>
      <c r="AE26" s="792" t="n">
        <v>27</v>
      </c>
      <c r="AF26" s="792" t="n">
        <v>28</v>
      </c>
      <c r="AG26" s="792" t="n">
        <v>29</v>
      </c>
      <c r="AH26" s="792" t="n">
        <v>30</v>
      </c>
      <c r="AI26" s="792" t="n">
        <v>31</v>
      </c>
      <c r="AJ26" s="794"/>
      <c r="AK26" s="752"/>
      <c r="AL26" s="373"/>
      <c r="AM26" s="753"/>
      <c r="AN26" s="753"/>
      <c r="AO26" s="753"/>
      <c r="AP26" s="753"/>
    </row>
    <row r="27" customFormat="false" ht="12.75" hidden="false" customHeight="false" outlineLevel="0" collapsed="false">
      <c r="A27" s="751"/>
      <c r="B27" s="795" t="s">
        <v>580</v>
      </c>
      <c r="C27" s="796"/>
      <c r="D27" s="796"/>
      <c r="E27" s="797" t="n">
        <f aca="false">Assum!F24</f>
        <v>35795</v>
      </c>
      <c r="F27" s="797" t="n">
        <f aca="false">E39</f>
        <v>36158</v>
      </c>
      <c r="G27" s="797" t="n">
        <f aca="false">F39</f>
        <v>36523</v>
      </c>
      <c r="H27" s="797" t="n">
        <f aca="false">G39</f>
        <v>36889</v>
      </c>
      <c r="I27" s="797" t="n">
        <f aca="false">H39</f>
        <v>37254</v>
      </c>
      <c r="J27" s="797" t="n">
        <f aca="false">I39</f>
        <v>37619</v>
      </c>
      <c r="K27" s="797" t="n">
        <f aca="false">J39</f>
        <v>37984</v>
      </c>
      <c r="L27" s="797" t="n">
        <f aca="false">K39</f>
        <v>38350</v>
      </c>
      <c r="M27" s="797" t="n">
        <f aca="false">L39</f>
        <v>38715</v>
      </c>
      <c r="N27" s="797" t="n">
        <f aca="false">M39</f>
        <v>39080</v>
      </c>
      <c r="O27" s="797" t="n">
        <f aca="false">N39</f>
        <v>39445</v>
      </c>
      <c r="P27" s="797" t="n">
        <f aca="false">O39</f>
        <v>39811</v>
      </c>
      <c r="Q27" s="797" t="n">
        <f aca="false">P39</f>
        <v>40176</v>
      </c>
      <c r="R27" s="797" t="n">
        <f aca="false">Q39</f>
        <v>40541</v>
      </c>
      <c r="S27" s="797" t="n">
        <f aca="false">R39</f>
        <v>40906</v>
      </c>
      <c r="T27" s="797" t="n">
        <f aca="false">S39</f>
        <v>41272</v>
      </c>
      <c r="U27" s="797" t="n">
        <f aca="false">T39</f>
        <v>41637</v>
      </c>
      <c r="V27" s="797" t="n">
        <f aca="false">U39</f>
        <v>42002</v>
      </c>
      <c r="W27" s="797" t="n">
        <f aca="false">V39</f>
        <v>42367</v>
      </c>
      <c r="X27" s="797" t="n">
        <f aca="false">W39</f>
        <v>42733</v>
      </c>
      <c r="Y27" s="797" t="n">
        <f aca="false">X39</f>
        <v>43098</v>
      </c>
      <c r="Z27" s="797" t="n">
        <f aca="false">Y39</f>
        <v>43463</v>
      </c>
      <c r="AA27" s="797" t="n">
        <f aca="false">Z39</f>
        <v>43828</v>
      </c>
      <c r="AB27" s="797" t="n">
        <f aca="false">AA39</f>
        <v>44194</v>
      </c>
      <c r="AC27" s="797" t="n">
        <f aca="false">AB39</f>
        <v>44559</v>
      </c>
      <c r="AD27" s="797" t="n">
        <f aca="false">AC39</f>
        <v>44924</v>
      </c>
      <c r="AE27" s="797" t="n">
        <f aca="false">AD39</f>
        <v>45289</v>
      </c>
      <c r="AF27" s="797" t="n">
        <f aca="false">AE39</f>
        <v>45655</v>
      </c>
      <c r="AG27" s="797" t="n">
        <f aca="false">AF39</f>
        <v>46020</v>
      </c>
      <c r="AH27" s="797" t="n">
        <f aca="false">AG39</f>
        <v>46385</v>
      </c>
      <c r="AI27" s="797" t="n">
        <f aca="false">AH39</f>
        <v>46750</v>
      </c>
      <c r="AJ27" s="798" t="n">
        <f aca="false">AI39</f>
        <v>47116</v>
      </c>
    </row>
    <row r="28" customFormat="false" ht="12.75" hidden="false" customHeight="false" outlineLevel="0" collapsed="false">
      <c r="A28" s="751"/>
      <c r="B28" s="799" t="s">
        <v>581</v>
      </c>
      <c r="C28" s="800"/>
      <c r="D28" s="800"/>
      <c r="E28" s="801" t="n">
        <f aca="false">IF(Assum!$E$244=2,E33-E27,0)</f>
        <v>180</v>
      </c>
      <c r="F28" s="801" t="n">
        <f aca="false">IF(Assum!$E$244=2,F33-F27,0)</f>
        <v>182</v>
      </c>
      <c r="G28" s="801" t="n">
        <f aca="false">IF(Assum!$E$244=2,G33-G27,0)</f>
        <v>183</v>
      </c>
      <c r="H28" s="801" t="n">
        <f aca="false">IF(Assum!$E$244=2,H33-H27,0)</f>
        <v>182</v>
      </c>
      <c r="I28" s="801" t="n">
        <f aca="false">IF(Assum!$E$244=2,I33-I27,0)</f>
        <v>182</v>
      </c>
      <c r="J28" s="801" t="n">
        <f aca="false">IF(Assum!$E$244=2,J33-J27,0)</f>
        <v>182</v>
      </c>
      <c r="K28" s="801" t="n">
        <f aca="false">IF(Assum!$E$244=2,K33-K27,0)</f>
        <v>183</v>
      </c>
      <c r="L28" s="801" t="n">
        <f aca="false">IF(Assum!$E$244=2,L33-L27,0)</f>
        <v>182</v>
      </c>
      <c r="M28" s="801" t="n">
        <f aca="false">IF(Assum!$E$244=2,M33-M27,0)</f>
        <v>182</v>
      </c>
      <c r="N28" s="801" t="n">
        <f aca="false">IF(Assum!$E$244=2,N33-N27,0)</f>
        <v>182</v>
      </c>
      <c r="O28" s="801" t="n">
        <f aca="false">IF(Assum!$E$244=2,O33-O27,0)</f>
        <v>183</v>
      </c>
      <c r="P28" s="801" t="n">
        <f aca="false">IF(Assum!$E$244=2,P33-P27,0)</f>
        <v>182</v>
      </c>
      <c r="Q28" s="801" t="n">
        <f aca="false">IF(Assum!$E$244=2,Q33-Q27,0)</f>
        <v>182</v>
      </c>
      <c r="R28" s="801" t="n">
        <f aca="false">IF(Assum!$E$244=2,R33-R27,0)</f>
        <v>182</v>
      </c>
      <c r="S28" s="801" t="n">
        <f aca="false">IF(Assum!$E$244=2,S33-S27,0)</f>
        <v>183</v>
      </c>
      <c r="T28" s="801" t="n">
        <f aca="false">IF(Assum!$E$244=2,T33-T27,0)</f>
        <v>182</v>
      </c>
      <c r="U28" s="801" t="n">
        <f aca="false">IF(Assum!$E$244=2,U33-U27,0)</f>
        <v>182</v>
      </c>
      <c r="V28" s="801" t="n">
        <f aca="false">IF(Assum!$E$244=2,V33-V27,0)</f>
        <v>182</v>
      </c>
      <c r="W28" s="801" t="n">
        <f aca="false">IF(Assum!$E$244=2,W33-W27,0)</f>
        <v>183</v>
      </c>
      <c r="X28" s="801" t="n">
        <f aca="false">IF(Assum!$E$244=2,X33-X27,0)</f>
        <v>182</v>
      </c>
      <c r="Y28" s="801" t="n">
        <f aca="false">IF(Assum!$E$244=2,Y33-Y27,0)</f>
        <v>182</v>
      </c>
      <c r="Z28" s="801" t="n">
        <f aca="false">IF(Assum!$E$244=2,Z33-Z27,0)</f>
        <v>182</v>
      </c>
      <c r="AA28" s="801" t="n">
        <f aca="false">IF(Assum!$E$244=2,AA33-AA27,0)</f>
        <v>183</v>
      </c>
      <c r="AB28" s="801" t="n">
        <f aca="false">IF(Assum!$E$244=2,AB33-AB27,0)</f>
        <v>182</v>
      </c>
      <c r="AC28" s="801" t="n">
        <f aca="false">IF(Assum!$E$244=2,AC33-AC27,0)</f>
        <v>182</v>
      </c>
      <c r="AD28" s="801" t="n">
        <f aca="false">IF(Assum!$E$244=2,AD33-AD27,0)</f>
        <v>182</v>
      </c>
      <c r="AE28" s="801" t="n">
        <f aca="false">IF(Assum!$E$244=2,AE33-AE27,0)</f>
        <v>183</v>
      </c>
      <c r="AF28" s="801" t="n">
        <f aca="false">IF(Assum!$E$244=2,AF33-AF27,0)</f>
        <v>182</v>
      </c>
      <c r="AG28" s="801" t="n">
        <f aca="false">IF(Assum!$E$244=2,AG33-AG27,0)</f>
        <v>182</v>
      </c>
      <c r="AH28" s="801" t="n">
        <f aca="false">IF(Assum!$E$244=2,AH33-AH27,0)</f>
        <v>182</v>
      </c>
      <c r="AI28" s="801" t="n">
        <f aca="false">IF(Assum!$E$244=2,AI33-AI27,0)</f>
        <v>183</v>
      </c>
      <c r="AJ28" s="802"/>
    </row>
    <row r="29" customFormat="false" ht="12.75" hidden="false" customHeight="false" outlineLevel="0" collapsed="false">
      <c r="A29" s="751"/>
      <c r="B29" s="803" t="s">
        <v>582</v>
      </c>
      <c r="C29" s="757"/>
      <c r="D29" s="757"/>
      <c r="E29" s="757" t="n">
        <f aca="false">E20</f>
        <v>12580.9312927461</v>
      </c>
      <c r="F29" s="757" t="n">
        <f aca="false">E38</f>
        <v>12250.3807334591</v>
      </c>
      <c r="G29" s="757" t="n">
        <f aca="false">F38</f>
        <v>11893.121668321</v>
      </c>
      <c r="H29" s="757" t="n">
        <f aca="false">G38</f>
        <v>11502.968526409</v>
      </c>
      <c r="I29" s="757" t="n">
        <f aca="false">H38</f>
        <v>11070.1229115449</v>
      </c>
      <c r="J29" s="757" t="n">
        <f aca="false">I38</f>
        <v>10594.1100077067</v>
      </c>
      <c r="K29" s="757" t="n">
        <f aca="false">J38</f>
        <v>10070.8628412085</v>
      </c>
      <c r="L29" s="757" t="n">
        <f aca="false">K38</f>
        <v>9505.51781242627</v>
      </c>
      <c r="M29" s="757" t="n">
        <f aca="false">L38</f>
        <v>8888.35202394655</v>
      </c>
      <c r="N29" s="757" t="n">
        <f aca="false">M38</f>
        <v>8217.47035977989</v>
      </c>
      <c r="O29" s="757" t="n">
        <f aca="false">N38</f>
        <v>7487.90880521003</v>
      </c>
      <c r="P29" s="757" t="n">
        <f aca="false">O38</f>
        <v>6663.4651178596</v>
      </c>
      <c r="Q29" s="757" t="n">
        <f aca="false">P38</f>
        <v>5763.770819283</v>
      </c>
      <c r="R29" s="757" t="n">
        <f aca="false">Q38</f>
        <v>4784.35445277219</v>
      </c>
      <c r="S29" s="757" t="n">
        <f aca="false">R38</f>
        <v>3718.14887778441</v>
      </c>
      <c r="T29" s="757" t="n">
        <f aca="false">S38</f>
        <v>2558.58177798839</v>
      </c>
      <c r="U29" s="757" t="n">
        <f aca="false">T38</f>
        <v>1295.13273763893</v>
      </c>
      <c r="V29" s="757" t="n">
        <f aca="false">U38</f>
        <v>0</v>
      </c>
      <c r="W29" s="757" t="n">
        <f aca="false">V38</f>
        <v>0</v>
      </c>
      <c r="X29" s="757" t="n">
        <f aca="false">W38</f>
        <v>0</v>
      </c>
      <c r="Y29" s="757" t="n">
        <f aca="false">X38</f>
        <v>0</v>
      </c>
      <c r="Z29" s="757" t="n">
        <f aca="false">Y38</f>
        <v>0</v>
      </c>
      <c r="AA29" s="757" t="n">
        <f aca="false">Z38</f>
        <v>0</v>
      </c>
      <c r="AB29" s="757" t="n">
        <f aca="false">AA38</f>
        <v>0</v>
      </c>
      <c r="AC29" s="757" t="n">
        <f aca="false">AB38</f>
        <v>0</v>
      </c>
      <c r="AD29" s="757" t="n">
        <f aca="false">AC38</f>
        <v>0</v>
      </c>
      <c r="AE29" s="757" t="n">
        <f aca="false">AD38</f>
        <v>0</v>
      </c>
      <c r="AF29" s="757" t="n">
        <f aca="false">AE38</f>
        <v>0</v>
      </c>
      <c r="AG29" s="757" t="n">
        <f aca="false">AF38</f>
        <v>0</v>
      </c>
      <c r="AH29" s="757" t="n">
        <f aca="false">AG38</f>
        <v>0</v>
      </c>
      <c r="AI29" s="757" t="n">
        <f aca="false">AH38</f>
        <v>0</v>
      </c>
      <c r="AJ29" s="804"/>
      <c r="AK29" s="757"/>
      <c r="AL29" s="755"/>
      <c r="AM29" s="755"/>
      <c r="AN29" s="755"/>
      <c r="AO29" s="755"/>
      <c r="AP29" s="755"/>
    </row>
    <row r="30" customFormat="false" ht="12.75" hidden="false" customHeight="false" outlineLevel="0" collapsed="false">
      <c r="A30" s="751"/>
      <c r="B30" s="805" t="s">
        <v>559</v>
      </c>
      <c r="C30" s="806"/>
      <c r="D30" s="752"/>
      <c r="E30" s="752" t="n">
        <f aca="false">E29*E14*E28/Assum!$E$240</f>
        <v>630.282216180348</v>
      </c>
      <c r="F30" s="752" t="n">
        <f aca="false">F29*F14*F28/Assum!$E$240</f>
        <v>620.541358597593</v>
      </c>
      <c r="G30" s="752" t="n">
        <f aca="false">G29*G14*G28/Assum!$E$240</f>
        <v>605.754583911144</v>
      </c>
      <c r="H30" s="752" t="n">
        <f aca="false">H29*H14*H28/Assum!$E$240</f>
        <v>582.681295593303</v>
      </c>
      <c r="I30" s="752" t="n">
        <f aca="false">I29*I14*I28/Assum!$E$240</f>
        <v>560.755560242305</v>
      </c>
      <c r="J30" s="752" t="n">
        <f aca="false">J29*J14*J28/Assum!$E$240</f>
        <v>536.643191779261</v>
      </c>
      <c r="K30" s="752" t="n">
        <f aca="false">K29*K14*K28/Assum!$E$240</f>
        <v>512.941135232133</v>
      </c>
      <c r="L30" s="752" t="n">
        <f aca="false">L29*L14*L28/Assum!$E$240</f>
        <v>481.500703189252</v>
      </c>
      <c r="M30" s="752" t="n">
        <f aca="false">M29*M14*M28/Assum!$E$240</f>
        <v>450.238254682884</v>
      </c>
      <c r="N30" s="752" t="n">
        <f aca="false">N29*N14*N28/Assum!$E$240</f>
        <v>416.254835848958</v>
      </c>
      <c r="O30" s="752" t="n">
        <f aca="false">O29*O14*O28/Assum!$E$240</f>
        <v>381.383055614946</v>
      </c>
      <c r="P30" s="752" t="n">
        <f aca="false">P29*P14*P28/Assum!$E$240</f>
        <v>337.536913110838</v>
      </c>
      <c r="Q30" s="752" t="n">
        <f aca="false">Q29*Q14*Q28/Assum!$E$240</f>
        <v>291.963021612399</v>
      </c>
      <c r="R30" s="752" t="n">
        <f aca="false">R29*R14*R28/Assum!$E$240</f>
        <v>242.350819679168</v>
      </c>
      <c r="S30" s="752" t="n">
        <f aca="false">S29*S14*S28/Assum!$E$240</f>
        <v>189.377170199247</v>
      </c>
      <c r="T30" s="752" t="n">
        <f aca="false">T29*T14*T28/Assum!$E$240</f>
        <v>129.604609615072</v>
      </c>
      <c r="U30" s="752" t="n">
        <f aca="false">U29*U14*U28/Assum!$E$240</f>
        <v>65.6047714813962</v>
      </c>
      <c r="V30" s="752" t="n">
        <f aca="false">V29*V14*V28/Assum!$E$240</f>
        <v>0</v>
      </c>
      <c r="W30" s="752" t="n">
        <f aca="false">W29*W14*W28/Assum!$E$240</f>
        <v>0</v>
      </c>
      <c r="X30" s="752" t="n">
        <f aca="false">X29*X14*X28/Assum!$E$240</f>
        <v>0</v>
      </c>
      <c r="Y30" s="752" t="n">
        <f aca="false">Y29*Y14*Y28/Assum!$E$240</f>
        <v>0</v>
      </c>
      <c r="Z30" s="752" t="n">
        <f aca="false">Z29*Z14*Z28/Assum!$E$240</f>
        <v>0</v>
      </c>
      <c r="AA30" s="752" t="n">
        <f aca="false">AA29*AA14*AA28/Assum!$E$240</f>
        <v>0</v>
      </c>
      <c r="AB30" s="752" t="n">
        <f aca="false">AB29*AB14*AB28/Assum!$E$240</f>
        <v>0</v>
      </c>
      <c r="AC30" s="752" t="n">
        <f aca="false">AC29*AC14*AC28/Assum!$E$240</f>
        <v>0</v>
      </c>
      <c r="AD30" s="752" t="n">
        <f aca="false">AD29*AD14*AD28/Assum!$E$240</f>
        <v>0</v>
      </c>
      <c r="AE30" s="752" t="n">
        <f aca="false">AE29*AE14*AE28/Assum!$E$240</f>
        <v>0</v>
      </c>
      <c r="AF30" s="752" t="n">
        <f aca="false">AF29*AF14*AF28/Assum!$E$240</f>
        <v>0</v>
      </c>
      <c r="AG30" s="752" t="n">
        <f aca="false">AG29*AG14*AG28/Assum!$E$240</f>
        <v>0</v>
      </c>
      <c r="AH30" s="752" t="n">
        <f aca="false">AH29*AH14*AH28/Assum!$E$240</f>
        <v>0</v>
      </c>
      <c r="AI30" s="752" t="n">
        <f aca="false">AI29*AI14*AI28/Assum!$E$240</f>
        <v>0</v>
      </c>
      <c r="AJ30" s="807"/>
      <c r="AK30" s="752"/>
      <c r="AL30" s="373"/>
      <c r="AM30" s="753"/>
      <c r="AN30" s="753"/>
      <c r="AO30" s="753"/>
      <c r="AP30" s="753"/>
    </row>
    <row r="31" customFormat="false" ht="12.75" hidden="false" customHeight="false" outlineLevel="0" collapsed="false">
      <c r="A31" s="751"/>
      <c r="B31" s="805" t="s">
        <v>583</v>
      </c>
      <c r="C31" s="806"/>
      <c r="D31" s="752"/>
      <c r="E31" s="752" t="n">
        <f aca="false">MAX(0,IF(E23-E30&lt;E29,E23-E30,E29)*(Assum!$E$244-1))</f>
        <v>166.292722325698</v>
      </c>
      <c r="F31" s="752" t="n">
        <f aca="false">MAX(0,IF(F23-F30&lt;F29,F23-F30,F29)*(Assum!$E$244-1))</f>
        <v>175.855866694167</v>
      </c>
      <c r="G31" s="752" t="n">
        <f aca="false">MAX(0,IF(G23-G30&lt;G29,G23-G30,G29)*(Assum!$E$244-1))</f>
        <v>190.232009741509</v>
      </c>
      <c r="H31" s="752" t="n">
        <f aca="false">MAX(0,IF(H23-H30&lt;H29,H23-H30,H29)*(Assum!$E$244-1))</f>
        <v>212.609149491608</v>
      </c>
      <c r="I31" s="752" t="n">
        <f aca="false">MAX(0,IF(I23-I30&lt;I29,I23-I30,I29)*(Assum!$E$244-1))</f>
        <v>233.59804283257</v>
      </c>
      <c r="J31" s="752" t="n">
        <f aca="false">MAX(0,IF(J23-J30&lt;J29,J23-J30,J29)*(Assum!$E$244-1))</f>
        <v>256.56406504586</v>
      </c>
      <c r="K31" s="752" t="n">
        <f aca="false">MAX(0,IF(K23-K30&lt;K29,K23-K30,K29)*(Assum!$E$244-1))</f>
        <v>275.65258220287</v>
      </c>
      <c r="L31" s="752" t="n">
        <f aca="false">MAX(0,IF(L23-L30&lt;L29,L23-L30,L29)*(Assum!$E$244-1))</f>
        <v>302.209453150926</v>
      </c>
      <c r="M31" s="752" t="n">
        <f aca="false">MAX(0,IF(M23-M30&lt;M29,M23-M30,M29)*(Assum!$E$244-1))</f>
        <v>328.316643938271</v>
      </c>
      <c r="N31" s="752" t="n">
        <f aca="false">MAX(0,IF(N23-N30&lt;N29,N23-N30,N29)*(Assum!$E$244-1))</f>
        <v>356.836913982623</v>
      </c>
      <c r="O31" s="752" t="n">
        <f aca="false">MAX(0,IF(O23-O30&lt;O29,O23-O30,O29)*(Assum!$E$244-1))</f>
        <v>401.984663752197</v>
      </c>
      <c r="P31" s="752" t="n">
        <f aca="false">MAX(0,IF(P23-P30&lt;P29,P23-P30,P29)*(Assum!$E$244-1))</f>
        <v>439.579847328954</v>
      </c>
      <c r="Q31" s="752" t="n">
        <f aca="false">MAX(0,IF(Q23-Q30&lt;Q29,Q23-Q30,Q29)*(Assum!$E$244-1))</f>
        <v>478.328872631377</v>
      </c>
      <c r="R31" s="752" t="n">
        <f aca="false">MAX(0,IF(R23-R30&lt;R29,R23-R30,R29)*(Assum!$E$244-1))</f>
        <v>520.512896241039</v>
      </c>
      <c r="S31" s="752" t="n">
        <f aca="false">MAX(0,IF(S23-S30&lt;S29,S23-S30,S29)*(Assum!$E$244-1))</f>
        <v>565.385117093494</v>
      </c>
      <c r="T31" s="752" t="n">
        <f aca="false">MAX(0,IF(T23-T30&lt;T29,T23-T30,T29)*(Assum!$E$244-1))</f>
        <v>616.383391675006</v>
      </c>
      <c r="U31" s="752" t="n">
        <f aca="false">MAX(0,IF(U23-U30&lt;U29,U23-U30,U29)*(Assum!$E$244-1))</f>
        <v>670.98556682321</v>
      </c>
      <c r="V31" s="752" t="n">
        <f aca="false">MAX(0,IF(V23-V30&lt;V29,V23-V30,V29)*(Assum!$E$244-1))</f>
        <v>0</v>
      </c>
      <c r="W31" s="752" t="n">
        <f aca="false">MAX(0,IF(W23-W30&lt;W29,W23-W30,W29)*(Assum!$E$244-1))</f>
        <v>0</v>
      </c>
      <c r="X31" s="752" t="n">
        <f aca="false">MAX(0,IF(X23-X30&lt;X29,X23-X30,X29)*(Assum!$E$244-1))</f>
        <v>0</v>
      </c>
      <c r="Y31" s="752" t="n">
        <f aca="false">MAX(0,IF(Y23-Y30&lt;Y29,Y23-Y30,Y29)*(Assum!$E$244-1))</f>
        <v>0</v>
      </c>
      <c r="Z31" s="752" t="n">
        <f aca="false">MAX(0,IF(Z23-Z30&lt;Z29,Z23-Z30,Z29)*(Assum!$E$244-1))</f>
        <v>0</v>
      </c>
      <c r="AA31" s="752" t="n">
        <f aca="false">MAX(0,IF(AA23-AA30&lt;AA29,AA23-AA30,AA29)*(Assum!$E$244-1))</f>
        <v>0</v>
      </c>
      <c r="AB31" s="752" t="n">
        <f aca="false">MAX(0,IF(AB23-AB30&lt;AB29,AB23-AB30,AB29)*(Assum!$E$244-1))</f>
        <v>0</v>
      </c>
      <c r="AC31" s="752" t="n">
        <f aca="false">MAX(0,IF(AC23-AC30&lt;AC29,AC23-AC30,AC29)*(Assum!$E$244-1))</f>
        <v>0</v>
      </c>
      <c r="AD31" s="752" t="n">
        <f aca="false">MAX(0,IF(AD23-AD30&lt;AD29,AD23-AD30,AD29)*(Assum!$E$244-1))</f>
        <v>0</v>
      </c>
      <c r="AE31" s="752" t="n">
        <f aca="false">MAX(0,IF(AE23-AE30&lt;AE29,AE23-AE30,AE29)*(Assum!$E$244-1))</f>
        <v>0</v>
      </c>
      <c r="AF31" s="752" t="n">
        <f aca="false">MAX(0,IF(AF23-AF30&lt;AF29,AF23-AF30,AF29)*(Assum!$E$244-1))</f>
        <v>0</v>
      </c>
      <c r="AG31" s="752" t="n">
        <f aca="false">MAX(0,IF(AG23-AG30&lt;AG29,AG23-AG30,AG29)*(Assum!$E$244-1))</f>
        <v>0</v>
      </c>
      <c r="AH31" s="752" t="n">
        <f aca="false">MAX(0,IF(AH23-AH30&lt;AH29,AH23-AH30,AH29)*(Assum!$E$244-1))</f>
        <v>0</v>
      </c>
      <c r="AI31" s="752" t="n">
        <f aca="false">MAX(0,IF(AI23-AI30&lt;AI29,AI23-AI30,AI29)*(Assum!$E$244-1))</f>
        <v>0</v>
      </c>
      <c r="AJ31" s="807"/>
      <c r="AK31" s="752"/>
      <c r="AL31" s="373"/>
      <c r="AM31" s="753"/>
      <c r="AN31" s="753"/>
      <c r="AO31" s="753"/>
      <c r="AP31" s="753"/>
    </row>
    <row r="32" customFormat="false" ht="12.75" hidden="false" customHeight="false" outlineLevel="0" collapsed="false">
      <c r="A32" s="751"/>
      <c r="B32" s="803" t="s">
        <v>561</v>
      </c>
      <c r="C32" s="757"/>
      <c r="D32" s="757"/>
      <c r="E32" s="757" t="n">
        <f aca="false">E29-E31</f>
        <v>12414.6385704204</v>
      </c>
      <c r="F32" s="757" t="n">
        <f aca="false">F29-F31</f>
        <v>12074.5248667649</v>
      </c>
      <c r="G32" s="757" t="n">
        <f aca="false">G29-G31</f>
        <v>11702.8896585795</v>
      </c>
      <c r="H32" s="757" t="n">
        <f aca="false">H29-H31</f>
        <v>11290.3593769174</v>
      </c>
      <c r="I32" s="757" t="n">
        <f aca="false">I29-I31</f>
        <v>10836.5248687123</v>
      </c>
      <c r="J32" s="757" t="n">
        <f aca="false">J29-J31</f>
        <v>10337.5459426608</v>
      </c>
      <c r="K32" s="757" t="n">
        <f aca="false">K29-K31</f>
        <v>9795.21025900563</v>
      </c>
      <c r="L32" s="757" t="n">
        <f aca="false">L29-L31</f>
        <v>9203.30835927534</v>
      </c>
      <c r="M32" s="757" t="n">
        <f aca="false">M29-M31</f>
        <v>8560.03538000828</v>
      </c>
      <c r="N32" s="757" t="n">
        <f aca="false">N29-N31</f>
        <v>7860.63344579726</v>
      </c>
      <c r="O32" s="757" t="n">
        <f aca="false">O29-O31</f>
        <v>7085.92414145783</v>
      </c>
      <c r="P32" s="757" t="n">
        <f aca="false">P29-P31</f>
        <v>6223.88527053064</v>
      </c>
      <c r="Q32" s="757" t="n">
        <f aca="false">Q29-Q31</f>
        <v>5285.44194665163</v>
      </c>
      <c r="R32" s="757" t="n">
        <f aca="false">R29-R31</f>
        <v>4263.84155653115</v>
      </c>
      <c r="S32" s="757" t="n">
        <f aca="false">S29-S31</f>
        <v>3152.76376069092</v>
      </c>
      <c r="T32" s="757" t="n">
        <f aca="false">T29-T31</f>
        <v>1942.19838631339</v>
      </c>
      <c r="U32" s="757" t="n">
        <f aca="false">U29-U31</f>
        <v>624.147170815723</v>
      </c>
      <c r="V32" s="757" t="n">
        <f aca="false">V29-V31</f>
        <v>0</v>
      </c>
      <c r="W32" s="757" t="n">
        <f aca="false">W29-W31</f>
        <v>0</v>
      </c>
      <c r="X32" s="757" t="n">
        <f aca="false">X29-X31</f>
        <v>0</v>
      </c>
      <c r="Y32" s="757" t="n">
        <f aca="false">Y29-Y31</f>
        <v>0</v>
      </c>
      <c r="Z32" s="757" t="n">
        <f aca="false">Z29-Z31</f>
        <v>0</v>
      </c>
      <c r="AA32" s="757" t="n">
        <f aca="false">AA29-AA31</f>
        <v>0</v>
      </c>
      <c r="AB32" s="757" t="n">
        <f aca="false">AB29-AB31</f>
        <v>0</v>
      </c>
      <c r="AC32" s="757" t="n">
        <f aca="false">AC29-AC31</f>
        <v>0</v>
      </c>
      <c r="AD32" s="757" t="n">
        <f aca="false">AD29-AD31</f>
        <v>0</v>
      </c>
      <c r="AE32" s="757" t="n">
        <f aca="false">AE29-AE31</f>
        <v>0</v>
      </c>
      <c r="AF32" s="757" t="n">
        <f aca="false">AF29-AF31</f>
        <v>0</v>
      </c>
      <c r="AG32" s="757" t="n">
        <f aca="false">AG29-AG31</f>
        <v>0</v>
      </c>
      <c r="AH32" s="757" t="n">
        <f aca="false">AH29-AH31</f>
        <v>0</v>
      </c>
      <c r="AI32" s="757" t="n">
        <f aca="false">AI29-AI31</f>
        <v>0</v>
      </c>
      <c r="AJ32" s="804"/>
      <c r="AK32" s="757"/>
      <c r="AL32" s="755"/>
      <c r="AM32" s="755"/>
      <c r="AN32" s="755"/>
      <c r="AO32" s="755"/>
      <c r="AP32" s="755"/>
    </row>
    <row r="33" customFormat="false" ht="12.75" hidden="false" customHeight="false" outlineLevel="0" collapsed="false">
      <c r="A33" s="751"/>
      <c r="B33" s="795" t="s">
        <v>584</v>
      </c>
      <c r="C33" s="796"/>
      <c r="D33" s="796"/>
      <c r="E33" s="797" t="n">
        <f aca="false">Assum!E241</f>
        <v>35975</v>
      </c>
      <c r="F33" s="797" t="n">
        <f aca="false">EDATE(E33,12)</f>
        <v>36340</v>
      </c>
      <c r="G33" s="797" t="n">
        <f aca="false">EDATE(F33,12)</f>
        <v>36706</v>
      </c>
      <c r="H33" s="797" t="n">
        <f aca="false">EDATE(G33,12)</f>
        <v>37071</v>
      </c>
      <c r="I33" s="797" t="n">
        <f aca="false">EDATE(H33,12)</f>
        <v>37436</v>
      </c>
      <c r="J33" s="797" t="n">
        <f aca="false">EDATE(I33,12)</f>
        <v>37801</v>
      </c>
      <c r="K33" s="797" t="n">
        <f aca="false">EDATE(J33,12)</f>
        <v>38167</v>
      </c>
      <c r="L33" s="797" t="n">
        <f aca="false">EDATE(K33,12)</f>
        <v>38532</v>
      </c>
      <c r="M33" s="797" t="n">
        <f aca="false">EDATE(L33,12)</f>
        <v>38897</v>
      </c>
      <c r="N33" s="797" t="n">
        <f aca="false">EDATE(M33,12)</f>
        <v>39262</v>
      </c>
      <c r="O33" s="797" t="n">
        <f aca="false">EDATE(N33,12)</f>
        <v>39628</v>
      </c>
      <c r="P33" s="797" t="n">
        <f aca="false">EDATE(O33,12)</f>
        <v>39993</v>
      </c>
      <c r="Q33" s="797" t="n">
        <f aca="false">EDATE(P33,12)</f>
        <v>40358</v>
      </c>
      <c r="R33" s="797" t="n">
        <f aca="false">EDATE(Q33,12)</f>
        <v>40723</v>
      </c>
      <c r="S33" s="797" t="n">
        <f aca="false">EDATE(R33,12)</f>
        <v>41089</v>
      </c>
      <c r="T33" s="797" t="n">
        <f aca="false">EDATE(S33,12)</f>
        <v>41454</v>
      </c>
      <c r="U33" s="797" t="n">
        <f aca="false">EDATE(T33,12)</f>
        <v>41819</v>
      </c>
      <c r="V33" s="797" t="n">
        <f aca="false">EDATE(U33,12)</f>
        <v>42184</v>
      </c>
      <c r="W33" s="797" t="n">
        <f aca="false">EDATE(V33,12)</f>
        <v>42550</v>
      </c>
      <c r="X33" s="797" t="n">
        <f aca="false">EDATE(W33,12)</f>
        <v>42915</v>
      </c>
      <c r="Y33" s="797" t="n">
        <f aca="false">EDATE(X33,12)</f>
        <v>43280</v>
      </c>
      <c r="Z33" s="797" t="n">
        <f aca="false">EDATE(Y33,12)</f>
        <v>43645</v>
      </c>
      <c r="AA33" s="797" t="n">
        <f aca="false">EDATE(Z33,12)</f>
        <v>44011</v>
      </c>
      <c r="AB33" s="797" t="n">
        <f aca="false">EDATE(AA33,12)</f>
        <v>44376</v>
      </c>
      <c r="AC33" s="797" t="n">
        <f aca="false">EDATE(AB33,12)</f>
        <v>44741</v>
      </c>
      <c r="AD33" s="797" t="n">
        <f aca="false">EDATE(AC33,12)</f>
        <v>45106</v>
      </c>
      <c r="AE33" s="797" t="n">
        <f aca="false">EDATE(AD33,12)</f>
        <v>45472</v>
      </c>
      <c r="AF33" s="797" t="n">
        <f aca="false">EDATE(AE33,12)</f>
        <v>45837</v>
      </c>
      <c r="AG33" s="797" t="n">
        <f aca="false">EDATE(AF33,12)</f>
        <v>46202</v>
      </c>
      <c r="AH33" s="797" t="n">
        <f aca="false">EDATE(AG33,12)</f>
        <v>46567</v>
      </c>
      <c r="AI33" s="797" t="n">
        <f aca="false">EDATE(AH33,12)</f>
        <v>46933</v>
      </c>
      <c r="AJ33" s="798" t="n">
        <f aca="false">EDATE(AI33,12)</f>
        <v>47298</v>
      </c>
      <c r="AK33" s="752"/>
      <c r="AL33" s="373"/>
      <c r="AM33" s="753"/>
      <c r="AN33" s="753"/>
      <c r="AO33" s="753"/>
      <c r="AP33" s="753"/>
    </row>
    <row r="34" customFormat="false" ht="12.75" hidden="false" customHeight="false" outlineLevel="0" collapsed="false">
      <c r="A34" s="751"/>
      <c r="B34" s="799" t="s">
        <v>581</v>
      </c>
      <c r="C34" s="800"/>
      <c r="D34" s="801"/>
      <c r="E34" s="801" t="n">
        <f aca="false">IF(Assum!$E$244=2,E39-E33,E39-E27)</f>
        <v>183</v>
      </c>
      <c r="F34" s="801" t="n">
        <f aca="false">IF(Assum!$E$244=2,F39-F33,F39-F27)</f>
        <v>183</v>
      </c>
      <c r="G34" s="801" t="n">
        <f aca="false">IF(Assum!$E$244=2,G39-G33,G39-G27)</f>
        <v>183</v>
      </c>
      <c r="H34" s="801" t="n">
        <f aca="false">IF(Assum!$E$244=2,H39-H33,H39-H27)</f>
        <v>183</v>
      </c>
      <c r="I34" s="801" t="n">
        <f aca="false">IF(Assum!$E$244=2,I39-I33,I39-I27)</f>
        <v>183</v>
      </c>
      <c r="J34" s="801" t="n">
        <f aca="false">IF(Assum!$E$244=2,J39-J33,J39-J27)</f>
        <v>183</v>
      </c>
      <c r="K34" s="801" t="n">
        <f aca="false">IF(Assum!$E$244=2,K39-K33,K39-K27)</f>
        <v>183</v>
      </c>
      <c r="L34" s="801" t="n">
        <f aca="false">IF(Assum!$E$244=2,L39-L33,L39-L27)</f>
        <v>183</v>
      </c>
      <c r="M34" s="801" t="n">
        <f aca="false">IF(Assum!$E$244=2,M39-M33,M39-M27)</f>
        <v>183</v>
      </c>
      <c r="N34" s="801" t="n">
        <f aca="false">IF(Assum!$E$244=2,N39-N33,N39-N27)</f>
        <v>183</v>
      </c>
      <c r="O34" s="801" t="n">
        <f aca="false">IF(Assum!$E$244=2,O39-O33,O39-O27)</f>
        <v>183</v>
      </c>
      <c r="P34" s="801" t="n">
        <f aca="false">IF(Assum!$E$244=2,P39-P33,P39-P27)</f>
        <v>183</v>
      </c>
      <c r="Q34" s="801" t="n">
        <f aca="false">IF(Assum!$E$244=2,Q39-Q33,Q39-Q27)</f>
        <v>183</v>
      </c>
      <c r="R34" s="801" t="n">
        <f aca="false">IF(Assum!$E$244=2,R39-R33,R39-R27)</f>
        <v>183</v>
      </c>
      <c r="S34" s="801" t="n">
        <f aca="false">IF(Assum!$E$244=2,S39-S33,S39-S27)</f>
        <v>183</v>
      </c>
      <c r="T34" s="801" t="n">
        <f aca="false">IF(Assum!$E$244=2,T39-T33,T39-T27)</f>
        <v>183</v>
      </c>
      <c r="U34" s="801" t="n">
        <f aca="false">IF(Assum!$E$244=2,U39-U33,U39-U27)</f>
        <v>183</v>
      </c>
      <c r="V34" s="801" t="n">
        <f aca="false">IF(Assum!$E$244=2,V39-V33,V39-V27)</f>
        <v>183</v>
      </c>
      <c r="W34" s="801" t="n">
        <f aca="false">IF(Assum!$E$244=2,W39-W33,W39-W27)</f>
        <v>183</v>
      </c>
      <c r="X34" s="801" t="n">
        <f aca="false">IF(Assum!$E$244=2,X39-X33,X39-X27)</f>
        <v>183</v>
      </c>
      <c r="Y34" s="801" t="n">
        <f aca="false">IF(Assum!$E$244=2,Y39-Y33,Y39-Y27)</f>
        <v>183</v>
      </c>
      <c r="Z34" s="801" t="n">
        <f aca="false">IF(Assum!$E$244=2,Z39-Z33,Z39-Z27)</f>
        <v>183</v>
      </c>
      <c r="AA34" s="801" t="n">
        <f aca="false">IF(Assum!$E$244=2,AA39-AA33,AA39-AA27)</f>
        <v>183</v>
      </c>
      <c r="AB34" s="801" t="n">
        <f aca="false">IF(Assum!$E$244=2,AB39-AB33,AB39-AB27)</f>
        <v>183</v>
      </c>
      <c r="AC34" s="801" t="n">
        <f aca="false">IF(Assum!$E$244=2,AC39-AC33,AC39-AC27)</f>
        <v>183</v>
      </c>
      <c r="AD34" s="801" t="n">
        <f aca="false">IF(Assum!$E$244=2,AD39-AD33,AD39-AD27)</f>
        <v>183</v>
      </c>
      <c r="AE34" s="801" t="n">
        <f aca="false">IF(Assum!$E$244=2,AE39-AE33,AE39-AE27)</f>
        <v>183</v>
      </c>
      <c r="AF34" s="801" t="n">
        <f aca="false">IF(Assum!$E$244=2,AF39-AF33,AF39-AF27)</f>
        <v>183</v>
      </c>
      <c r="AG34" s="801" t="n">
        <f aca="false">IF(Assum!$E$244=2,AG39-AG33,AG39-AG27)</f>
        <v>183</v>
      </c>
      <c r="AH34" s="801" t="n">
        <f aca="false">IF(Assum!$E$244=2,AH39-AH33,AH39-AH27)</f>
        <v>183</v>
      </c>
      <c r="AI34" s="801" t="n">
        <f aca="false">IF(Assum!$E$244=2,AI39-AI33,AI39-AI27)</f>
        <v>183</v>
      </c>
      <c r="AJ34" s="802"/>
      <c r="AK34" s="752"/>
      <c r="AL34" s="373"/>
      <c r="AM34" s="753"/>
      <c r="AN34" s="753"/>
      <c r="AO34" s="753"/>
      <c r="AP34" s="753"/>
    </row>
    <row r="35" customFormat="false" ht="12.75" hidden="false" customHeight="false" outlineLevel="0" collapsed="false">
      <c r="A35" s="751"/>
      <c r="B35" s="803" t="s">
        <v>585</v>
      </c>
      <c r="C35" s="757"/>
      <c r="D35" s="757"/>
      <c r="E35" s="757" t="n">
        <f aca="false">E32</f>
        <v>12414.6385704204</v>
      </c>
      <c r="F35" s="757" t="n">
        <f aca="false">F32</f>
        <v>12074.5248667649</v>
      </c>
      <c r="G35" s="757" t="n">
        <f aca="false">G32</f>
        <v>11702.8896585795</v>
      </c>
      <c r="H35" s="757" t="n">
        <f aca="false">H32</f>
        <v>11290.3593769174</v>
      </c>
      <c r="I35" s="757" t="n">
        <f aca="false">I32</f>
        <v>10836.5248687123</v>
      </c>
      <c r="J35" s="757" t="n">
        <f aca="false">J32</f>
        <v>10337.5459426608</v>
      </c>
      <c r="K35" s="757" t="n">
        <f aca="false">K32</f>
        <v>9795.21025900563</v>
      </c>
      <c r="L35" s="757" t="n">
        <f aca="false">L32</f>
        <v>9203.30835927534</v>
      </c>
      <c r="M35" s="757" t="n">
        <f aca="false">M32</f>
        <v>8560.03538000828</v>
      </c>
      <c r="N35" s="757" t="n">
        <f aca="false">N32</f>
        <v>7860.63344579726</v>
      </c>
      <c r="O35" s="757" t="n">
        <f aca="false">O32</f>
        <v>7085.92414145783</v>
      </c>
      <c r="P35" s="757" t="n">
        <f aca="false">P32</f>
        <v>6223.88527053064</v>
      </c>
      <c r="Q35" s="757" t="n">
        <f aca="false">Q32</f>
        <v>5285.44194665163</v>
      </c>
      <c r="R35" s="757" t="n">
        <f aca="false">R32</f>
        <v>4263.84155653115</v>
      </c>
      <c r="S35" s="757" t="n">
        <f aca="false">S32</f>
        <v>3152.76376069092</v>
      </c>
      <c r="T35" s="757" t="n">
        <f aca="false">T32</f>
        <v>1942.19838631339</v>
      </c>
      <c r="U35" s="757" t="n">
        <f aca="false">U32</f>
        <v>624.147170815723</v>
      </c>
      <c r="V35" s="757" t="n">
        <f aca="false">V32</f>
        <v>0</v>
      </c>
      <c r="W35" s="757" t="n">
        <f aca="false">W32</f>
        <v>0</v>
      </c>
      <c r="X35" s="757" t="n">
        <f aca="false">X32</f>
        <v>0</v>
      </c>
      <c r="Y35" s="757" t="n">
        <f aca="false">Y32</f>
        <v>0</v>
      </c>
      <c r="Z35" s="757" t="n">
        <f aca="false">Z32</f>
        <v>0</v>
      </c>
      <c r="AA35" s="757" t="n">
        <f aca="false">AA32</f>
        <v>0</v>
      </c>
      <c r="AB35" s="757" t="n">
        <f aca="false">AB32</f>
        <v>0</v>
      </c>
      <c r="AC35" s="757" t="n">
        <f aca="false">AC32</f>
        <v>0</v>
      </c>
      <c r="AD35" s="757" t="n">
        <f aca="false">AD32</f>
        <v>0</v>
      </c>
      <c r="AE35" s="757" t="n">
        <f aca="false">AE32</f>
        <v>0</v>
      </c>
      <c r="AF35" s="757" t="n">
        <f aca="false">AF32</f>
        <v>0</v>
      </c>
      <c r="AG35" s="757" t="n">
        <f aca="false">AG32</f>
        <v>0</v>
      </c>
      <c r="AH35" s="757" t="n">
        <f aca="false">AH32</f>
        <v>0</v>
      </c>
      <c r="AI35" s="757" t="n">
        <f aca="false">AI32</f>
        <v>0</v>
      </c>
      <c r="AJ35" s="804"/>
      <c r="AK35" s="757"/>
      <c r="AL35" s="755"/>
      <c r="AM35" s="755"/>
      <c r="AN35" s="755"/>
      <c r="AO35" s="755"/>
      <c r="AP35" s="755"/>
    </row>
    <row r="36" customFormat="false" ht="12.75" hidden="false" customHeight="false" outlineLevel="0" collapsed="false">
      <c r="A36" s="751"/>
      <c r="B36" s="805" t="s">
        <v>559</v>
      </c>
      <c r="C36" s="806"/>
      <c r="D36" s="752"/>
      <c r="E36" s="752" t="n">
        <f aca="false">E35*E14*E34/Assum!$E$240</f>
        <v>632.317101544786</v>
      </c>
      <c r="F36" s="752" t="n">
        <f aca="false">F35*F14*F34/Assum!$E$240</f>
        <v>614.994026847833</v>
      </c>
      <c r="G36" s="752" t="n">
        <f aca="false">G35*G14*G34/Assum!$E$240</f>
        <v>596.065461482128</v>
      </c>
      <c r="H36" s="752" t="n">
        <f aca="false">H35*H14*H34/Assum!$E$240</f>
        <v>575.053979712408</v>
      </c>
      <c r="I36" s="752" t="n">
        <f aca="false">I35*I14*I34/Assum!$E$240</f>
        <v>551.938742069245</v>
      </c>
      <c r="J36" s="752" t="n">
        <f aca="false">J35*J14*J34/Assum!$E$240</f>
        <v>526.524155372814</v>
      </c>
      <c r="K36" s="752" t="n">
        <f aca="false">K35*K14*K34/Assum!$E$240</f>
        <v>498.901270855642</v>
      </c>
      <c r="L36" s="752" t="n">
        <f aca="false">L35*L14*L34/Assum!$E$240</f>
        <v>468.753821011387</v>
      </c>
      <c r="M36" s="752" t="n">
        <f aca="false">M35*M14*M34/Assum!$E$240</f>
        <v>435.989878392761</v>
      </c>
      <c r="N36" s="752" t="n">
        <f aca="false">N35*N14*N34/Assum!$E$240</f>
        <v>400.367109244343</v>
      </c>
      <c r="O36" s="752" t="n">
        <f aca="false">O35*O14*O34/Assum!$E$240</f>
        <v>360.908695768912</v>
      </c>
      <c r="P36" s="752" t="n">
        <f aca="false">P35*P14*P34/Assum!$E$240</f>
        <v>317.002309192153</v>
      </c>
      <c r="Q36" s="752" t="n">
        <f aca="false">Q35*Q14*Q34/Assum!$E$240</f>
        <v>269.204400364337</v>
      </c>
      <c r="R36" s="752" t="n">
        <f aca="false">R35*R14*R34/Assum!$E$240</f>
        <v>217.171037173472</v>
      </c>
      <c r="S36" s="752" t="n">
        <f aca="false">S35*S14*S34/Assum!$E$240</f>
        <v>160.580304590214</v>
      </c>
      <c r="T36" s="752" t="n">
        <f aca="false">T35*T14*T34/Assum!$E$240</f>
        <v>98.9223526156233</v>
      </c>
      <c r="U36" s="752" t="n">
        <f aca="false">U35*U14*U34/Assum!$E$240</f>
        <v>31.7898042499527</v>
      </c>
      <c r="V36" s="752" t="n">
        <f aca="false">V35*V14*V34/Assum!$E$240</f>
        <v>0</v>
      </c>
      <c r="W36" s="752" t="n">
        <f aca="false">W35*W14*W34/Assum!$E$240</f>
        <v>0</v>
      </c>
      <c r="X36" s="752" t="n">
        <f aca="false">X35*X14*X34/Assum!$E$240</f>
        <v>0</v>
      </c>
      <c r="Y36" s="752" t="n">
        <f aca="false">Y35*Y14*Y34/Assum!$E$240</f>
        <v>0</v>
      </c>
      <c r="Z36" s="752" t="n">
        <f aca="false">Z35*Z14*Z34/Assum!$E$240</f>
        <v>0</v>
      </c>
      <c r="AA36" s="752" t="n">
        <f aca="false">AA35*AA14*AA34/Assum!$E$240</f>
        <v>0</v>
      </c>
      <c r="AB36" s="752" t="n">
        <f aca="false">AB35*AB14*AB34/Assum!$E$240</f>
        <v>0</v>
      </c>
      <c r="AC36" s="752" t="n">
        <f aca="false">AC35*AC14*AC34/Assum!$E$240</f>
        <v>0</v>
      </c>
      <c r="AD36" s="752" t="n">
        <f aca="false">AD35*AD14*AD34/Assum!$E$240</f>
        <v>0</v>
      </c>
      <c r="AE36" s="752" t="n">
        <f aca="false">AE35*AE14*AE34/Assum!$E$240</f>
        <v>0</v>
      </c>
      <c r="AF36" s="752" t="n">
        <f aca="false">AF35*AF14*AF34/Assum!$E$240</f>
        <v>0</v>
      </c>
      <c r="AG36" s="752" t="n">
        <f aca="false">AG35*AG14*AG34/Assum!$E$240</f>
        <v>0</v>
      </c>
      <c r="AH36" s="752" t="n">
        <f aca="false">AH35*AH14*AH34/Assum!$E$240</f>
        <v>0</v>
      </c>
      <c r="AI36" s="752" t="n">
        <f aca="false">AI35*AI14*AI34/Assum!$E$240</f>
        <v>0</v>
      </c>
      <c r="AJ36" s="807"/>
      <c r="AK36" s="752"/>
      <c r="AL36" s="373"/>
      <c r="AM36" s="753"/>
      <c r="AN36" s="753"/>
      <c r="AO36" s="753"/>
      <c r="AP36" s="753"/>
    </row>
    <row r="37" customFormat="false" ht="12.75" hidden="false" customHeight="false" outlineLevel="0" collapsed="false">
      <c r="A37" s="751"/>
      <c r="B37" s="805" t="s">
        <v>583</v>
      </c>
      <c r="C37" s="806"/>
      <c r="D37" s="752"/>
      <c r="E37" s="752" t="n">
        <f aca="false">MAX(0,IF(E24-E36&lt;E35,E24-E36,E35))</f>
        <v>164.25783696126</v>
      </c>
      <c r="F37" s="752" t="n">
        <f aca="false">MAX(0,IF(F24-F36&lt;F35,F24-F36,F35))</f>
        <v>181.403198443928</v>
      </c>
      <c r="G37" s="752" t="n">
        <f aca="false">MAX(0,IF(G24-G36&lt;G35,G24-G36,G35))</f>
        <v>199.921132170526</v>
      </c>
      <c r="H37" s="752" t="n">
        <f aca="false">MAX(0,IF(H24-H36&lt;H35,H24-H36,H35))</f>
        <v>220.236465372503</v>
      </c>
      <c r="I37" s="752" t="n">
        <f aca="false">MAX(0,IF(I24-I36&lt;I35,I24-I36,I35))</f>
        <v>242.41486100563</v>
      </c>
      <c r="J37" s="752" t="n">
        <f aca="false">MAX(0,IF(J24-J36&lt;J35,J24-J36,J35))</f>
        <v>266.683101452307</v>
      </c>
      <c r="K37" s="752" t="n">
        <f aca="false">MAX(0,IF(K24-K36&lt;K35,K24-K36,K35))</f>
        <v>289.69244657936</v>
      </c>
      <c r="L37" s="752" t="n">
        <f aca="false">MAX(0,IF(L24-L36&lt;L35,L24-L36,L35))</f>
        <v>314.956335328791</v>
      </c>
      <c r="M37" s="752" t="n">
        <f aca="false">MAX(0,IF(M24-M36&lt;M35,M24-M36,M35))</f>
        <v>342.565020228394</v>
      </c>
      <c r="N37" s="752" t="n">
        <f aca="false">MAX(0,IF(N24-N36&lt;N35,N24-N36,N35))</f>
        <v>372.724640587238</v>
      </c>
      <c r="O37" s="752" t="n">
        <f aca="false">MAX(0,IF(O24-O36&lt;O35,O24-O36,O35))</f>
        <v>422.459023598231</v>
      </c>
      <c r="P37" s="752" t="n">
        <f aca="false">MAX(0,IF(P24-P36&lt;P35,P24-P36,P35))</f>
        <v>460.114451247639</v>
      </c>
      <c r="Q37" s="752" t="n">
        <f aca="false">MAX(0,IF(Q24-Q36&lt;Q35,Q24-Q36,Q35))</f>
        <v>501.087493879439</v>
      </c>
      <c r="R37" s="752" t="n">
        <f aca="false">MAX(0,IF(R24-R36&lt;R35,R24-R36,R35))</f>
        <v>545.692678746735</v>
      </c>
      <c r="S37" s="752" t="n">
        <f aca="false">MAX(0,IF(S24-S36&lt;S35,S24-S36,S35))</f>
        <v>594.181982702527</v>
      </c>
      <c r="T37" s="752" t="n">
        <f aca="false">MAX(0,IF(T24-T36&lt;T35,T24-T36,T35))</f>
        <v>647.065648674454</v>
      </c>
      <c r="U37" s="752" t="n">
        <f aca="false">MAX(0,IF(U24-U36&lt;U35,U24-U36,U35))</f>
        <v>624.147170815723</v>
      </c>
      <c r="V37" s="752" t="n">
        <f aca="false">MAX(0,IF(V24-V36&lt;V35,V24-V36,V35))</f>
        <v>0</v>
      </c>
      <c r="W37" s="752" t="n">
        <f aca="false">MAX(0,IF(W24-W36&lt;W35,W24-W36,W35))</f>
        <v>0</v>
      </c>
      <c r="X37" s="752" t="n">
        <f aca="false">MAX(0,IF(X24-X36&lt;X35,X24-X36,X35))</f>
        <v>0</v>
      </c>
      <c r="Y37" s="752" t="n">
        <f aca="false">MAX(0,IF(Y24-Y36&lt;Y35,Y24-Y36,Y35))</f>
        <v>0</v>
      </c>
      <c r="Z37" s="752" t="n">
        <f aca="false">MAX(0,IF(Z24-Z36&lt;Z35,Z24-Z36,Z35))</f>
        <v>0</v>
      </c>
      <c r="AA37" s="752" t="n">
        <f aca="false">MAX(0,IF(AA24-AA36&lt;AA35,AA24-AA36,AA35))</f>
        <v>0</v>
      </c>
      <c r="AB37" s="752" t="n">
        <f aca="false">MAX(0,IF(AB24-AB36&lt;AB35,AB24-AB36,AB35))</f>
        <v>0</v>
      </c>
      <c r="AC37" s="752" t="n">
        <f aca="false">MAX(0,IF(AC24-AC36&lt;AC35,AC24-AC36,AC35))</f>
        <v>0</v>
      </c>
      <c r="AD37" s="752" t="n">
        <f aca="false">MAX(0,IF(AD24-AD36&lt;AD35,AD24-AD36,AD35))</f>
        <v>0</v>
      </c>
      <c r="AE37" s="752" t="n">
        <f aca="false">MAX(0,IF(AE24-AE36&lt;AE35,AE24-AE36,AE35))</f>
        <v>0</v>
      </c>
      <c r="AF37" s="752" t="n">
        <f aca="false">MAX(0,IF(AF24-AF36&lt;AF35,AF24-AF36,AF35))</f>
        <v>0</v>
      </c>
      <c r="AG37" s="752" t="n">
        <f aca="false">MAX(0,IF(AG24-AG36&lt;AG35,AG24-AG36,AG35))</f>
        <v>0</v>
      </c>
      <c r="AH37" s="752" t="n">
        <f aca="false">MAX(0,IF(AH24-AH36&lt;AH35,AH24-AH36,AH35))</f>
        <v>0</v>
      </c>
      <c r="AI37" s="752" t="n">
        <f aca="false">MAX(0,IF(AI24-AI36&lt;AI35,AI24-AI36,AI35))</f>
        <v>0</v>
      </c>
      <c r="AJ37" s="752" t="n">
        <f aca="false">MAX(0,IF(AJ24-AJ36&lt;AJ35,AJ24-AJ36,AJ35))</f>
        <v>0</v>
      </c>
      <c r="AK37" s="752"/>
      <c r="AL37" s="373"/>
      <c r="AM37" s="753"/>
      <c r="AN37" s="753"/>
      <c r="AO37" s="753"/>
      <c r="AP37" s="753"/>
    </row>
    <row r="38" customFormat="false" ht="12.75" hidden="false" customHeight="false" outlineLevel="0" collapsed="false">
      <c r="A38" s="751"/>
      <c r="B38" s="803" t="s">
        <v>561</v>
      </c>
      <c r="C38" s="757"/>
      <c r="D38" s="757"/>
      <c r="E38" s="757" t="n">
        <f aca="false">E35-E37</f>
        <v>12250.3807334591</v>
      </c>
      <c r="F38" s="757" t="n">
        <f aca="false">F35-F37</f>
        <v>11893.121668321</v>
      </c>
      <c r="G38" s="757" t="n">
        <f aca="false">G35-G37</f>
        <v>11502.968526409</v>
      </c>
      <c r="H38" s="757" t="n">
        <f aca="false">H35-H37</f>
        <v>11070.1229115449</v>
      </c>
      <c r="I38" s="757" t="n">
        <f aca="false">I35-I37</f>
        <v>10594.1100077067</v>
      </c>
      <c r="J38" s="757" t="n">
        <f aca="false">J35-J37</f>
        <v>10070.8628412085</v>
      </c>
      <c r="K38" s="757" t="n">
        <f aca="false">K35-K37</f>
        <v>9505.51781242627</v>
      </c>
      <c r="L38" s="757" t="n">
        <f aca="false">L35-L37</f>
        <v>8888.35202394655</v>
      </c>
      <c r="M38" s="757" t="n">
        <f aca="false">M35-M37</f>
        <v>8217.47035977989</v>
      </c>
      <c r="N38" s="757" t="n">
        <f aca="false">N35-N37</f>
        <v>7487.90880521003</v>
      </c>
      <c r="O38" s="757" t="n">
        <f aca="false">O35-O37</f>
        <v>6663.4651178596</v>
      </c>
      <c r="P38" s="757" t="n">
        <f aca="false">P35-P37</f>
        <v>5763.770819283</v>
      </c>
      <c r="Q38" s="757" t="n">
        <f aca="false">Q35-Q37</f>
        <v>4784.35445277219</v>
      </c>
      <c r="R38" s="757" t="n">
        <f aca="false">R35-R37</f>
        <v>3718.14887778441</v>
      </c>
      <c r="S38" s="757" t="n">
        <f aca="false">S35-S37</f>
        <v>2558.58177798839</v>
      </c>
      <c r="T38" s="757" t="n">
        <f aca="false">T35-T37</f>
        <v>1295.13273763893</v>
      </c>
      <c r="U38" s="757" t="n">
        <f aca="false">U35-U37</f>
        <v>0</v>
      </c>
      <c r="V38" s="757" t="n">
        <f aca="false">V35-V37</f>
        <v>0</v>
      </c>
      <c r="W38" s="757" t="n">
        <f aca="false">W35-W37</f>
        <v>0</v>
      </c>
      <c r="X38" s="757" t="n">
        <f aca="false">X35-X37</f>
        <v>0</v>
      </c>
      <c r="Y38" s="757" t="n">
        <f aca="false">Y35-Y37</f>
        <v>0</v>
      </c>
      <c r="Z38" s="757" t="n">
        <f aca="false">Z35-Z37</f>
        <v>0</v>
      </c>
      <c r="AA38" s="757" t="n">
        <f aca="false">AA35-AA37</f>
        <v>0</v>
      </c>
      <c r="AB38" s="757" t="n">
        <f aca="false">AB35-AB37</f>
        <v>0</v>
      </c>
      <c r="AC38" s="757" t="n">
        <f aca="false">AC35-AC37</f>
        <v>0</v>
      </c>
      <c r="AD38" s="757" t="n">
        <f aca="false">AD35-AD37</f>
        <v>0</v>
      </c>
      <c r="AE38" s="757" t="n">
        <f aca="false">AE35-AE37</f>
        <v>0</v>
      </c>
      <c r="AF38" s="757" t="n">
        <f aca="false">AF35-AF37</f>
        <v>0</v>
      </c>
      <c r="AG38" s="757" t="n">
        <f aca="false">AG35-AG37</f>
        <v>0</v>
      </c>
      <c r="AH38" s="757" t="n">
        <f aca="false">AH35-AH37</f>
        <v>0</v>
      </c>
      <c r="AI38" s="757" t="n">
        <f aca="false">AI35-AI37</f>
        <v>0</v>
      </c>
      <c r="AJ38" s="804"/>
      <c r="AK38" s="757"/>
      <c r="AL38" s="755"/>
      <c r="AM38" s="755"/>
      <c r="AN38" s="755"/>
      <c r="AO38" s="755"/>
      <c r="AP38" s="755"/>
    </row>
    <row r="39" customFormat="false" ht="12.75" hidden="false" customHeight="false" outlineLevel="0" collapsed="false">
      <c r="A39" s="751"/>
      <c r="B39" s="795" t="s">
        <v>586</v>
      </c>
      <c r="C39" s="796"/>
      <c r="D39" s="796"/>
      <c r="E39" s="797" t="n">
        <f aca="false">Assum!E242</f>
        <v>36158</v>
      </c>
      <c r="F39" s="797" t="n">
        <f aca="false">EDATE(E39,12)</f>
        <v>36523</v>
      </c>
      <c r="G39" s="797" t="n">
        <f aca="false">EDATE(F39,12)</f>
        <v>36889</v>
      </c>
      <c r="H39" s="797" t="n">
        <f aca="false">EDATE(G39,12)</f>
        <v>37254</v>
      </c>
      <c r="I39" s="797" t="n">
        <f aca="false">EDATE(H39,12)</f>
        <v>37619</v>
      </c>
      <c r="J39" s="797" t="n">
        <f aca="false">EDATE(I39,12)</f>
        <v>37984</v>
      </c>
      <c r="K39" s="797" t="n">
        <f aca="false">EDATE(J39,12)</f>
        <v>38350</v>
      </c>
      <c r="L39" s="797" t="n">
        <f aca="false">EDATE(K39,12)</f>
        <v>38715</v>
      </c>
      <c r="M39" s="797" t="n">
        <f aca="false">EDATE(L39,12)</f>
        <v>39080</v>
      </c>
      <c r="N39" s="797" t="n">
        <f aca="false">EDATE(M39,12)</f>
        <v>39445</v>
      </c>
      <c r="O39" s="797" t="n">
        <f aca="false">EDATE(N39,12)</f>
        <v>39811</v>
      </c>
      <c r="P39" s="797" t="n">
        <f aca="false">EDATE(O39,12)</f>
        <v>40176</v>
      </c>
      <c r="Q39" s="797" t="n">
        <f aca="false">EDATE(P39,12)</f>
        <v>40541</v>
      </c>
      <c r="R39" s="797" t="n">
        <f aca="false">EDATE(Q39,12)</f>
        <v>40906</v>
      </c>
      <c r="S39" s="797" t="n">
        <f aca="false">EDATE(R39,12)</f>
        <v>41272</v>
      </c>
      <c r="T39" s="797" t="n">
        <f aca="false">EDATE(S39,12)</f>
        <v>41637</v>
      </c>
      <c r="U39" s="797" t="n">
        <f aca="false">EDATE(T39,12)</f>
        <v>42002</v>
      </c>
      <c r="V39" s="797" t="n">
        <f aca="false">EDATE(U39,12)</f>
        <v>42367</v>
      </c>
      <c r="W39" s="797" t="n">
        <f aca="false">EDATE(V39,12)</f>
        <v>42733</v>
      </c>
      <c r="X39" s="797" t="n">
        <f aca="false">EDATE(W39,12)</f>
        <v>43098</v>
      </c>
      <c r="Y39" s="797" t="n">
        <f aca="false">EDATE(X39,12)</f>
        <v>43463</v>
      </c>
      <c r="Z39" s="797" t="n">
        <f aca="false">EDATE(Y39,12)</f>
        <v>43828</v>
      </c>
      <c r="AA39" s="797" t="n">
        <f aca="false">EDATE(Z39,12)</f>
        <v>44194</v>
      </c>
      <c r="AB39" s="797" t="n">
        <f aca="false">EDATE(AA39,12)</f>
        <v>44559</v>
      </c>
      <c r="AC39" s="797" t="n">
        <f aca="false">EDATE(AB39,12)</f>
        <v>44924</v>
      </c>
      <c r="AD39" s="797" t="n">
        <f aca="false">EDATE(AC39,12)</f>
        <v>45289</v>
      </c>
      <c r="AE39" s="797" t="n">
        <f aca="false">EDATE(AD39,12)</f>
        <v>45655</v>
      </c>
      <c r="AF39" s="797" t="n">
        <f aca="false">EDATE(AE39,12)</f>
        <v>46020</v>
      </c>
      <c r="AG39" s="797" t="n">
        <f aca="false">EDATE(AF39,12)</f>
        <v>46385</v>
      </c>
      <c r="AH39" s="797" t="n">
        <f aca="false">EDATE(AG39,12)</f>
        <v>46750</v>
      </c>
      <c r="AI39" s="797" t="n">
        <f aca="false">EDATE(AH39,12)</f>
        <v>47116</v>
      </c>
      <c r="AJ39" s="798" t="n">
        <f aca="false">EDATE(AI39,12)</f>
        <v>47481</v>
      </c>
      <c r="AK39" s="808"/>
      <c r="AL39" s="374"/>
      <c r="AM39" s="809"/>
      <c r="AN39" s="809"/>
      <c r="AO39" s="809"/>
      <c r="AP39" s="809"/>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21"/>
      <c r="EB39" s="21"/>
      <c r="EC39" s="21"/>
      <c r="ED39" s="21"/>
      <c r="EE39" s="21"/>
      <c r="EF39" s="21"/>
      <c r="EG39" s="21"/>
      <c r="EH39" s="21"/>
      <c r="EI39" s="21"/>
      <c r="EJ39" s="21"/>
      <c r="EK39" s="21"/>
      <c r="EL39" s="21"/>
      <c r="EM39" s="21"/>
      <c r="EN39" s="21"/>
      <c r="EO39" s="21"/>
      <c r="EP39" s="21"/>
      <c r="EQ39" s="21"/>
      <c r="ER39" s="21"/>
      <c r="ES39" s="21"/>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21"/>
      <c r="HR39" s="21"/>
      <c r="HS39" s="21"/>
      <c r="HT39" s="21"/>
      <c r="HU39" s="21"/>
      <c r="HV39" s="21"/>
      <c r="HW39" s="21"/>
      <c r="HX39" s="21"/>
      <c r="HY39" s="21"/>
      <c r="HZ39" s="21"/>
      <c r="IA39" s="21"/>
      <c r="IB39" s="21"/>
      <c r="IC39" s="21"/>
      <c r="ID39" s="21"/>
      <c r="IE39" s="21"/>
      <c r="IF39" s="21"/>
      <c r="IG39" s="21"/>
      <c r="IH39" s="21"/>
      <c r="II39" s="21"/>
      <c r="IJ39" s="21"/>
      <c r="IK39" s="21"/>
      <c r="IL39" s="21"/>
      <c r="IM39" s="21"/>
      <c r="IN39" s="21"/>
      <c r="IO39" s="21"/>
      <c r="IP39" s="21"/>
      <c r="IQ39" s="21"/>
      <c r="IR39" s="21"/>
      <c r="IS39" s="21"/>
      <c r="IT39" s="21"/>
      <c r="IU39" s="21"/>
      <c r="IV39" s="21"/>
      <c r="IW39" s="21"/>
    </row>
    <row r="40" customFormat="false" ht="12.75" hidden="false" customHeight="false" outlineLevel="0" collapsed="false">
      <c r="A40" s="751"/>
      <c r="B40" s="810" t="s">
        <v>587</v>
      </c>
      <c r="C40" s="811"/>
      <c r="D40" s="811"/>
      <c r="E40" s="811" t="n">
        <f aca="false">IF(E29&gt;0.1,1,0)</f>
        <v>1</v>
      </c>
      <c r="F40" s="811" t="n">
        <f aca="false">IF(F29&gt;0.1,1,0)</f>
        <v>1</v>
      </c>
      <c r="G40" s="811" t="n">
        <f aca="false">IF(G29&gt;0.1,1,0)</f>
        <v>1</v>
      </c>
      <c r="H40" s="811" t="n">
        <f aca="false">IF(H29&gt;0.1,1,0)</f>
        <v>1</v>
      </c>
      <c r="I40" s="811" t="n">
        <f aca="false">IF(I29&gt;0.1,1,0)</f>
        <v>1</v>
      </c>
      <c r="J40" s="811" t="n">
        <f aca="false">IF(J29&gt;0.1,1,0)</f>
        <v>1</v>
      </c>
      <c r="K40" s="811" t="n">
        <f aca="false">IF(K29&gt;0.1,1,0)</f>
        <v>1</v>
      </c>
      <c r="L40" s="811" t="n">
        <f aca="false">IF(L29&gt;0.1,1,0)</f>
        <v>1</v>
      </c>
      <c r="M40" s="811" t="n">
        <f aca="false">IF(M29&gt;0.1,1,0)</f>
        <v>1</v>
      </c>
      <c r="N40" s="811" t="n">
        <f aca="false">IF(N29&gt;0.1,1,0)</f>
        <v>1</v>
      </c>
      <c r="O40" s="811" t="n">
        <f aca="false">IF(O29&gt;0.1,1,0)</f>
        <v>1</v>
      </c>
      <c r="P40" s="811" t="n">
        <f aca="false">IF(P29&gt;0.1,1,0)</f>
        <v>1</v>
      </c>
      <c r="Q40" s="811" t="n">
        <f aca="false">IF(Q29&gt;0.1,1,0)</f>
        <v>1</v>
      </c>
      <c r="R40" s="811" t="n">
        <f aca="false">IF(R29&gt;0.1,1,0)</f>
        <v>1</v>
      </c>
      <c r="S40" s="811" t="n">
        <f aca="false">IF(S29&gt;0.1,1,0)</f>
        <v>1</v>
      </c>
      <c r="T40" s="811" t="n">
        <f aca="false">IF(T29&gt;0.1,1,0)</f>
        <v>1</v>
      </c>
      <c r="U40" s="811" t="n">
        <f aca="false">IF(U29&gt;0.1,1,0)</f>
        <v>1</v>
      </c>
      <c r="V40" s="811" t="n">
        <f aca="false">IF(V29&gt;0.1,1,0)</f>
        <v>0</v>
      </c>
      <c r="W40" s="811" t="n">
        <f aca="false">IF(W29&gt;0.1,1,0)</f>
        <v>0</v>
      </c>
      <c r="X40" s="811" t="n">
        <f aca="false">IF(X29&gt;0.1,1,0)</f>
        <v>0</v>
      </c>
      <c r="Y40" s="811" t="n">
        <f aca="false">IF(Y29&gt;0.1,1,0)</f>
        <v>0</v>
      </c>
      <c r="Z40" s="811" t="n">
        <f aca="false">IF(Z29&gt;0.1,1,0)</f>
        <v>0</v>
      </c>
      <c r="AA40" s="811" t="n">
        <f aca="false">IF(AA29&gt;0.1,1,0)</f>
        <v>0</v>
      </c>
      <c r="AB40" s="811" t="n">
        <f aca="false">IF(AB29&gt;0.1,1,0)</f>
        <v>0</v>
      </c>
      <c r="AC40" s="811" t="n">
        <f aca="false">IF(AC29&gt;0.1,1,0)</f>
        <v>0</v>
      </c>
      <c r="AD40" s="811" t="n">
        <f aca="false">IF(AD29&gt;0.1,1,0)</f>
        <v>0</v>
      </c>
      <c r="AE40" s="811" t="n">
        <f aca="false">IF(AE29&gt;0.1,1,0)</f>
        <v>0</v>
      </c>
      <c r="AF40" s="811" t="n">
        <f aca="false">IF(AF29&gt;0.1,1,0)</f>
        <v>0</v>
      </c>
      <c r="AG40" s="811" t="n">
        <f aca="false">IF(AG29&gt;0.1,1,0)</f>
        <v>0</v>
      </c>
      <c r="AH40" s="811" t="n">
        <f aca="false">IF(AH29&gt;0.1,1,0)</f>
        <v>0</v>
      </c>
      <c r="AI40" s="811" t="n">
        <f aca="false">IF(AI29&gt;0.1,1,0)</f>
        <v>0</v>
      </c>
      <c r="AJ40" s="812"/>
      <c r="AK40" s="811"/>
      <c r="AL40" s="782"/>
      <c r="AM40" s="782"/>
      <c r="AN40" s="782"/>
      <c r="AO40" s="782"/>
      <c r="AP40" s="782"/>
    </row>
    <row r="41" customFormat="false" ht="12.75" hidden="false" customHeight="false" outlineLevel="0" collapsed="false">
      <c r="A41" s="751"/>
      <c r="B41" s="810" t="s">
        <v>588</v>
      </c>
      <c r="C41" s="811"/>
      <c r="D41" s="811"/>
      <c r="E41" s="811" t="n">
        <f aca="false">IF(E35&gt;0.1,1,0)</f>
        <v>1</v>
      </c>
      <c r="F41" s="811" t="n">
        <f aca="false">IF(F35&gt;0.1,1,0)</f>
        <v>1</v>
      </c>
      <c r="G41" s="811" t="n">
        <f aca="false">IF(G35&gt;0.1,1,0)</f>
        <v>1</v>
      </c>
      <c r="H41" s="811" t="n">
        <f aca="false">IF(H35&gt;0.1,1,0)</f>
        <v>1</v>
      </c>
      <c r="I41" s="811" t="n">
        <f aca="false">IF(I35&gt;0.1,1,0)</f>
        <v>1</v>
      </c>
      <c r="J41" s="811" t="n">
        <f aca="false">IF(J35&gt;0.1,1,0)</f>
        <v>1</v>
      </c>
      <c r="K41" s="811" t="n">
        <f aca="false">IF(K35&gt;0.1,1,0)</f>
        <v>1</v>
      </c>
      <c r="L41" s="811" t="n">
        <f aca="false">IF(L35&gt;0.1,1,0)</f>
        <v>1</v>
      </c>
      <c r="M41" s="811" t="n">
        <f aca="false">IF(M35&gt;0.1,1,0)</f>
        <v>1</v>
      </c>
      <c r="N41" s="811" t="n">
        <f aca="false">IF(N35&gt;0.1,1,0)</f>
        <v>1</v>
      </c>
      <c r="O41" s="811" t="n">
        <f aca="false">IF(O35&gt;0.1,1,0)</f>
        <v>1</v>
      </c>
      <c r="P41" s="811" t="n">
        <f aca="false">IF(P35&gt;0.1,1,0)</f>
        <v>1</v>
      </c>
      <c r="Q41" s="811" t="n">
        <f aca="false">IF(Q35&gt;0.1,1,0)</f>
        <v>1</v>
      </c>
      <c r="R41" s="811" t="n">
        <f aca="false">IF(R35&gt;0.1,1,0)</f>
        <v>1</v>
      </c>
      <c r="S41" s="811" t="n">
        <f aca="false">IF(S35&gt;0.1,1,0)</f>
        <v>1</v>
      </c>
      <c r="T41" s="811" t="n">
        <f aca="false">IF(T35&gt;0.1,1,0)</f>
        <v>1</v>
      </c>
      <c r="U41" s="811" t="n">
        <f aca="false">IF(U35&gt;0.1,1,0)</f>
        <v>1</v>
      </c>
      <c r="V41" s="811" t="n">
        <f aca="false">IF(V35&gt;0.1,1,0)</f>
        <v>0</v>
      </c>
      <c r="W41" s="811" t="n">
        <f aca="false">IF(W35&gt;0.1,1,0)</f>
        <v>0</v>
      </c>
      <c r="X41" s="811" t="n">
        <f aca="false">IF(X35&gt;0.1,1,0)</f>
        <v>0</v>
      </c>
      <c r="Y41" s="811" t="n">
        <f aca="false">IF(Y35&gt;0.1,1,0)</f>
        <v>0</v>
      </c>
      <c r="Z41" s="811" t="n">
        <f aca="false">IF(Z35&gt;0.1,1,0)</f>
        <v>0</v>
      </c>
      <c r="AA41" s="811" t="n">
        <f aca="false">IF(AA35&gt;0.1,1,0)</f>
        <v>0</v>
      </c>
      <c r="AB41" s="811" t="n">
        <f aca="false">IF(AB35&gt;0.1,1,0)</f>
        <v>0</v>
      </c>
      <c r="AC41" s="811" t="n">
        <f aca="false">IF(AC35&gt;0.1,1,0)</f>
        <v>0</v>
      </c>
      <c r="AD41" s="811" t="n">
        <f aca="false">IF(AD35&gt;0.1,1,0)</f>
        <v>0</v>
      </c>
      <c r="AE41" s="811" t="n">
        <f aca="false">IF(AE35&gt;0.1,1,0)</f>
        <v>0</v>
      </c>
      <c r="AF41" s="811" t="n">
        <f aca="false">IF(AF35&gt;0.1,1,0)</f>
        <v>0</v>
      </c>
      <c r="AG41" s="811" t="n">
        <f aca="false">IF(AG35&gt;0.1,1,0)</f>
        <v>0</v>
      </c>
      <c r="AH41" s="811" t="n">
        <f aca="false">IF(AH35&gt;0.1,1,0)</f>
        <v>0</v>
      </c>
      <c r="AI41" s="811" t="n">
        <f aca="false">IF(AI35&gt;0.1,1,0)</f>
        <v>0</v>
      </c>
      <c r="AJ41" s="812"/>
      <c r="AK41" s="811"/>
      <c r="AL41" s="782"/>
      <c r="AM41" s="782"/>
      <c r="AN41" s="782"/>
      <c r="AO41" s="782"/>
      <c r="AP41" s="782"/>
    </row>
    <row r="42" customFormat="false" ht="13.5" hidden="false" customHeight="false" outlineLevel="0" collapsed="false">
      <c r="A42" s="751"/>
      <c r="B42" s="810" t="s">
        <v>589</v>
      </c>
      <c r="C42" s="811"/>
      <c r="D42" s="811"/>
      <c r="E42" s="813" t="n">
        <f aca="false">SUM(E35:AI35)/E35</f>
        <v>10.6852786900458</v>
      </c>
      <c r="F42" s="811"/>
      <c r="G42" s="814"/>
      <c r="H42" s="811"/>
      <c r="I42" s="811"/>
      <c r="J42" s="811"/>
      <c r="K42" s="811"/>
      <c r="L42" s="811"/>
      <c r="M42" s="811"/>
      <c r="N42" s="811"/>
      <c r="O42" s="811"/>
      <c r="P42" s="811"/>
      <c r="Q42" s="811"/>
      <c r="R42" s="811"/>
      <c r="S42" s="811"/>
      <c r="T42" s="811"/>
      <c r="U42" s="811"/>
      <c r="V42" s="811"/>
      <c r="W42" s="811"/>
      <c r="X42" s="811"/>
      <c r="Y42" s="811"/>
      <c r="Z42" s="811"/>
      <c r="AA42" s="811"/>
      <c r="AB42" s="811"/>
      <c r="AC42" s="811"/>
      <c r="AD42" s="811"/>
      <c r="AE42" s="811"/>
      <c r="AF42" s="811"/>
      <c r="AG42" s="811"/>
      <c r="AH42" s="811"/>
      <c r="AI42" s="811"/>
      <c r="AJ42" s="812"/>
      <c r="AK42" s="811"/>
      <c r="AL42" s="782"/>
      <c r="AM42" s="782"/>
      <c r="AN42" s="782"/>
      <c r="AO42" s="782"/>
      <c r="AP42" s="782"/>
    </row>
    <row r="43" customFormat="false" ht="13.5" hidden="false" customHeight="false" outlineLevel="0" collapsed="false">
      <c r="A43" s="751"/>
      <c r="B43" s="815" t="s">
        <v>590</v>
      </c>
      <c r="C43" s="816"/>
      <c r="D43" s="816"/>
      <c r="E43" s="817"/>
      <c r="F43" s="817"/>
      <c r="G43" s="817"/>
      <c r="H43" s="817"/>
      <c r="I43" s="817"/>
      <c r="J43" s="817"/>
      <c r="K43" s="817"/>
      <c r="L43" s="817"/>
      <c r="M43" s="817"/>
      <c r="N43" s="817"/>
      <c r="O43" s="817"/>
      <c r="P43" s="817"/>
      <c r="Q43" s="817"/>
      <c r="R43" s="817"/>
      <c r="S43" s="817"/>
      <c r="T43" s="817"/>
      <c r="U43" s="817"/>
      <c r="V43" s="817"/>
      <c r="W43" s="817"/>
      <c r="X43" s="817"/>
      <c r="Y43" s="817"/>
      <c r="Z43" s="817"/>
      <c r="AA43" s="817"/>
      <c r="AB43" s="817"/>
      <c r="AC43" s="817"/>
      <c r="AD43" s="817"/>
      <c r="AE43" s="817"/>
      <c r="AF43" s="817"/>
      <c r="AG43" s="817"/>
      <c r="AH43" s="817"/>
      <c r="AI43" s="817"/>
      <c r="AJ43" s="818"/>
      <c r="AK43" s="808"/>
      <c r="AL43" s="374"/>
      <c r="AM43" s="809"/>
      <c r="AN43" s="809"/>
      <c r="AO43" s="809"/>
      <c r="AP43" s="809"/>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c r="HJ43" s="21"/>
      <c r="HK43" s="21"/>
      <c r="HL43" s="21"/>
      <c r="HM43" s="21"/>
      <c r="HN43" s="21"/>
      <c r="HO43" s="21"/>
      <c r="HP43" s="21"/>
      <c r="HQ43" s="21"/>
      <c r="HR43" s="21"/>
      <c r="HS43" s="21"/>
      <c r="HT43" s="21"/>
      <c r="HU43" s="21"/>
      <c r="HV43" s="21"/>
      <c r="HW43" s="21"/>
      <c r="HX43" s="21"/>
      <c r="HY43" s="21"/>
      <c r="HZ43" s="21"/>
      <c r="IA43" s="21"/>
      <c r="IB43" s="21"/>
      <c r="IC43" s="21"/>
      <c r="ID43" s="21"/>
      <c r="IE43" s="21"/>
      <c r="IF43" s="21"/>
      <c r="IG43" s="21"/>
      <c r="IH43" s="21"/>
      <c r="II43" s="21"/>
      <c r="IJ43" s="21"/>
      <c r="IK43" s="21"/>
      <c r="IL43" s="21"/>
      <c r="IM43" s="21"/>
      <c r="IN43" s="21"/>
      <c r="IO43" s="21"/>
      <c r="IP43" s="21"/>
      <c r="IQ43" s="21"/>
      <c r="IR43" s="21"/>
      <c r="IS43" s="21"/>
      <c r="IT43" s="21"/>
      <c r="IU43" s="21"/>
      <c r="IV43" s="21"/>
      <c r="IW43" s="21"/>
    </row>
    <row r="44" customFormat="false" ht="12.75" hidden="false" customHeight="false" outlineLevel="0" collapsed="false">
      <c r="A44" s="751"/>
      <c r="B44" s="819" t="s">
        <v>591</v>
      </c>
      <c r="C44" s="752" t="n">
        <f aca="false">SUM(E44:AI44)</f>
        <v>13791.8979470583</v>
      </c>
      <c r="D44" s="808"/>
      <c r="E44" s="808" t="n">
        <f aca="false">E30+E36</f>
        <v>1262.59931772513</v>
      </c>
      <c r="F44" s="808" t="n">
        <f aca="false">F30+F36</f>
        <v>1235.53538544543</v>
      </c>
      <c r="G44" s="808" t="n">
        <f aca="false">G30+G36</f>
        <v>1201.82004539327</v>
      </c>
      <c r="H44" s="808" t="n">
        <f aca="false">H30+H36</f>
        <v>1157.73527530571</v>
      </c>
      <c r="I44" s="808" t="n">
        <f aca="false">I30+I36</f>
        <v>1112.69430231155</v>
      </c>
      <c r="J44" s="808" t="n">
        <f aca="false">J30+J36</f>
        <v>1063.16734715207</v>
      </c>
      <c r="K44" s="808" t="n">
        <f aca="false">K30+K36</f>
        <v>1011.84240608777</v>
      </c>
      <c r="L44" s="808" t="n">
        <f aca="false">L30+L36</f>
        <v>950.254524200638</v>
      </c>
      <c r="M44" s="808" t="n">
        <f aca="false">M30+M36</f>
        <v>886.228133075645</v>
      </c>
      <c r="N44" s="808" t="n">
        <f aca="false">N30+N36</f>
        <v>816.621945093302</v>
      </c>
      <c r="O44" s="808" t="n">
        <f aca="false">O30+O36</f>
        <v>742.291751383858</v>
      </c>
      <c r="P44" s="808" t="n">
        <f aca="false">P30+P36</f>
        <v>654.53922230299</v>
      </c>
      <c r="Q44" s="808" t="n">
        <f aca="false">Q30+Q36</f>
        <v>561.167421976736</v>
      </c>
      <c r="R44" s="808" t="n">
        <f aca="false">R30+R36</f>
        <v>459.52185685264</v>
      </c>
      <c r="S44" s="808" t="n">
        <f aca="false">S30+S36</f>
        <v>349.957474789461</v>
      </c>
      <c r="T44" s="808" t="n">
        <f aca="false">T30+T36</f>
        <v>228.526962230695</v>
      </c>
      <c r="U44" s="808" t="n">
        <f aca="false">U30+U36</f>
        <v>97.394575731349</v>
      </c>
      <c r="V44" s="808" t="n">
        <f aca="false">V30+V36</f>
        <v>0</v>
      </c>
      <c r="W44" s="808" t="n">
        <f aca="false">W30+W36</f>
        <v>0</v>
      </c>
      <c r="X44" s="808" t="n">
        <f aca="false">X30+X36</f>
        <v>0</v>
      </c>
      <c r="Y44" s="808" t="n">
        <f aca="false">Y30+Y36</f>
        <v>0</v>
      </c>
      <c r="Z44" s="808" t="n">
        <f aca="false">Z30+Z36</f>
        <v>0</v>
      </c>
      <c r="AA44" s="808" t="n">
        <f aca="false">AA30+AA36</f>
        <v>0</v>
      </c>
      <c r="AB44" s="808" t="n">
        <f aca="false">AB30+AB36</f>
        <v>0</v>
      </c>
      <c r="AC44" s="808" t="n">
        <f aca="false">AC30+AC36</f>
        <v>0</v>
      </c>
      <c r="AD44" s="808" t="n">
        <f aca="false">AD30+AD36</f>
        <v>0</v>
      </c>
      <c r="AE44" s="808" t="n">
        <f aca="false">AE30+AE36</f>
        <v>0</v>
      </c>
      <c r="AF44" s="808" t="n">
        <f aca="false">AF30+AF36</f>
        <v>0</v>
      </c>
      <c r="AG44" s="808" t="n">
        <f aca="false">AG30+AG36</f>
        <v>0</v>
      </c>
      <c r="AH44" s="808" t="n">
        <f aca="false">AH30+AH36</f>
        <v>0</v>
      </c>
      <c r="AI44" s="808" t="n">
        <f aca="false">AI30+AI36</f>
        <v>0</v>
      </c>
      <c r="AJ44" s="820"/>
      <c r="AK44" s="808"/>
      <c r="AL44" s="374"/>
      <c r="AM44" s="809"/>
      <c r="AN44" s="809"/>
      <c r="AO44" s="809"/>
      <c r="AP44" s="809"/>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c r="HJ44" s="21"/>
      <c r="HK44" s="21"/>
      <c r="HL44" s="21"/>
      <c r="HM44" s="21"/>
      <c r="HN44" s="21"/>
      <c r="HO44" s="21"/>
      <c r="HP44" s="21"/>
      <c r="HQ44" s="21"/>
      <c r="HR44" s="21"/>
      <c r="HS44" s="21"/>
      <c r="HT44" s="21"/>
      <c r="HU44" s="21"/>
      <c r="HV44" s="21"/>
      <c r="HW44" s="21"/>
      <c r="HX44" s="21"/>
      <c r="HY44" s="21"/>
      <c r="HZ44" s="21"/>
      <c r="IA44" s="21"/>
      <c r="IB44" s="21"/>
      <c r="IC44" s="21"/>
      <c r="ID44" s="21"/>
      <c r="IE44" s="21"/>
      <c r="IF44" s="21"/>
      <c r="IG44" s="21"/>
      <c r="IH44" s="21"/>
      <c r="II44" s="21"/>
      <c r="IJ44" s="21"/>
      <c r="IK44" s="21"/>
      <c r="IL44" s="21"/>
      <c r="IM44" s="21"/>
      <c r="IN44" s="21"/>
      <c r="IO44" s="21"/>
      <c r="IP44" s="21"/>
      <c r="IQ44" s="21"/>
      <c r="IR44" s="21"/>
      <c r="IS44" s="21"/>
      <c r="IT44" s="21"/>
      <c r="IU44" s="21"/>
      <c r="IV44" s="21"/>
      <c r="IW44" s="21"/>
    </row>
    <row r="45" customFormat="false" ht="13.5" hidden="false" customHeight="false" outlineLevel="0" collapsed="false">
      <c r="A45" s="751"/>
      <c r="B45" s="821" t="s">
        <v>592</v>
      </c>
      <c r="C45" s="822" t="n">
        <f aca="false">SUM(E45:AI45)</f>
        <v>12580.9312927461</v>
      </c>
      <c r="D45" s="661"/>
      <c r="E45" s="822" t="n">
        <f aca="false">E31+E37</f>
        <v>330.550559286958</v>
      </c>
      <c r="F45" s="822" t="n">
        <f aca="false">F31+F37</f>
        <v>357.259065138095</v>
      </c>
      <c r="G45" s="822" t="n">
        <f aca="false">G31+G37</f>
        <v>390.153141912035</v>
      </c>
      <c r="H45" s="822" t="n">
        <f aca="false">H31+H37</f>
        <v>432.845614864111</v>
      </c>
      <c r="I45" s="822" t="n">
        <f aca="false">I31+I37</f>
        <v>476.0129038382</v>
      </c>
      <c r="J45" s="822" t="n">
        <f aca="false">J31+J37</f>
        <v>523.247166498167</v>
      </c>
      <c r="K45" s="822" t="n">
        <f aca="false">K31+K37</f>
        <v>565.34502878223</v>
      </c>
      <c r="L45" s="822" t="n">
        <f aca="false">L31+L37</f>
        <v>617.165788479718</v>
      </c>
      <c r="M45" s="822" t="n">
        <f aca="false">M31+M37</f>
        <v>670.881664166665</v>
      </c>
      <c r="N45" s="822" t="n">
        <f aca="false">N31+N37</f>
        <v>729.56155456986</v>
      </c>
      <c r="O45" s="822" t="n">
        <f aca="false">O31+O37</f>
        <v>824.443687350428</v>
      </c>
      <c r="P45" s="822" t="n">
        <f aca="false">P31+P37</f>
        <v>899.694298576593</v>
      </c>
      <c r="Q45" s="822" t="n">
        <f aca="false">Q31+Q37</f>
        <v>979.416366510816</v>
      </c>
      <c r="R45" s="822" t="n">
        <f aca="false">R31+R37</f>
        <v>1066.20557498777</v>
      </c>
      <c r="S45" s="822" t="n">
        <f aca="false">S31+S37</f>
        <v>1159.56709979602</v>
      </c>
      <c r="T45" s="822" t="n">
        <f aca="false">T31+T37</f>
        <v>1263.44904034946</v>
      </c>
      <c r="U45" s="822" t="n">
        <f aca="false">U31+U37</f>
        <v>1295.13273763893</v>
      </c>
      <c r="V45" s="822" t="n">
        <f aca="false">V31+V37</f>
        <v>0</v>
      </c>
      <c r="W45" s="822" t="n">
        <f aca="false">W31+W37</f>
        <v>0</v>
      </c>
      <c r="X45" s="822" t="n">
        <f aca="false">X31+X37</f>
        <v>0</v>
      </c>
      <c r="Y45" s="822" t="n">
        <f aca="false">Y31+Y37</f>
        <v>0</v>
      </c>
      <c r="Z45" s="822" t="n">
        <f aca="false">Z31+Z37</f>
        <v>0</v>
      </c>
      <c r="AA45" s="822" t="n">
        <f aca="false">AA31+AA37</f>
        <v>0</v>
      </c>
      <c r="AB45" s="822" t="n">
        <f aca="false">AB31+AB37</f>
        <v>0</v>
      </c>
      <c r="AC45" s="822" t="n">
        <f aca="false">AC31+AC37</f>
        <v>0</v>
      </c>
      <c r="AD45" s="822" t="n">
        <f aca="false">AD31+AD37</f>
        <v>0</v>
      </c>
      <c r="AE45" s="822" t="n">
        <f aca="false">AE31+AE37</f>
        <v>0</v>
      </c>
      <c r="AF45" s="822" t="n">
        <f aca="false">AF31+AF37</f>
        <v>0</v>
      </c>
      <c r="AG45" s="822" t="n">
        <f aca="false">AG31+AG37</f>
        <v>0</v>
      </c>
      <c r="AH45" s="822" t="n">
        <f aca="false">AH31+AH37</f>
        <v>0</v>
      </c>
      <c r="AI45" s="822" t="n">
        <f aca="false">AI31+AI37</f>
        <v>0</v>
      </c>
      <c r="AJ45" s="823"/>
      <c r="AK45" s="752"/>
      <c r="AL45" s="373"/>
      <c r="AM45" s="753"/>
      <c r="AN45" s="753"/>
      <c r="AO45" s="753"/>
      <c r="AP45" s="753"/>
    </row>
    <row r="46" customFormat="false" ht="13.5" hidden="false" customHeight="false" outlineLevel="0" collapsed="false">
      <c r="A46" s="751"/>
      <c r="B46" s="824" t="s">
        <v>593</v>
      </c>
      <c r="C46" s="825"/>
      <c r="D46" s="826"/>
      <c r="E46" s="825" t="n">
        <f aca="false">SUM(E44:E45)</f>
        <v>1593.14987701209</v>
      </c>
      <c r="F46" s="825" t="n">
        <f aca="false">SUM(F44:F45)</f>
        <v>1592.79445058352</v>
      </c>
      <c r="G46" s="825" t="n">
        <f aca="false">SUM(G44:G45)</f>
        <v>1591.97318730531</v>
      </c>
      <c r="H46" s="825" t="n">
        <f aca="false">SUM(H44:H45)</f>
        <v>1590.58089016982</v>
      </c>
      <c r="I46" s="825" t="n">
        <f aca="false">SUM(I44:I45)</f>
        <v>1588.70720614975</v>
      </c>
      <c r="J46" s="825" t="n">
        <f aca="false">SUM(J44:J45)</f>
        <v>1586.41451365024</v>
      </c>
      <c r="K46" s="825" t="n">
        <f aca="false">SUM(K44:K45)</f>
        <v>1577.18743487</v>
      </c>
      <c r="L46" s="825" t="n">
        <f aca="false">SUM(L44:L45)</f>
        <v>1567.42031268036</v>
      </c>
      <c r="M46" s="825" t="n">
        <f aca="false">SUM(M44:M45)</f>
        <v>1557.10979724231</v>
      </c>
      <c r="N46" s="825" t="n">
        <f aca="false">SUM(N44:N45)</f>
        <v>1546.18349966316</v>
      </c>
      <c r="O46" s="825" t="n">
        <f aca="false">SUM(O44:O45)</f>
        <v>1566.73543873429</v>
      </c>
      <c r="P46" s="825" t="n">
        <f aca="false">SUM(P44:P45)</f>
        <v>1554.23352087958</v>
      </c>
      <c r="Q46" s="825" t="n">
        <f aca="false">SUM(Q44:Q45)</f>
        <v>1540.58378848755</v>
      </c>
      <c r="R46" s="825" t="n">
        <f aca="false">SUM(R44:R45)</f>
        <v>1525.72743184041</v>
      </c>
      <c r="S46" s="825" t="n">
        <f aca="false">SUM(S44:S45)</f>
        <v>1509.52457458548</v>
      </c>
      <c r="T46" s="825" t="n">
        <f aca="false">SUM(T44:T45)</f>
        <v>1491.97600258015</v>
      </c>
      <c r="U46" s="825" t="n">
        <f aca="false">SUM(U44:U45)</f>
        <v>1392.52731337028</v>
      </c>
      <c r="V46" s="825" t="n">
        <f aca="false">SUM(V44:V45)</f>
        <v>0</v>
      </c>
      <c r="W46" s="825" t="n">
        <f aca="false">SUM(W44:W45)</f>
        <v>0</v>
      </c>
      <c r="X46" s="825" t="n">
        <f aca="false">SUM(X44:X45)</f>
        <v>0</v>
      </c>
      <c r="Y46" s="825" t="n">
        <f aca="false">SUM(Y44:Y45)</f>
        <v>0</v>
      </c>
      <c r="Z46" s="825" t="n">
        <f aca="false">SUM(Z44:Z45)</f>
        <v>0</v>
      </c>
      <c r="AA46" s="825" t="n">
        <f aca="false">SUM(AA44:AA45)</f>
        <v>0</v>
      </c>
      <c r="AB46" s="825" t="n">
        <f aca="false">SUM(AB44:AB45)</f>
        <v>0</v>
      </c>
      <c r="AC46" s="825" t="n">
        <f aca="false">SUM(AC44:AC45)</f>
        <v>0</v>
      </c>
      <c r="AD46" s="825" t="n">
        <f aca="false">SUM(AD44:AD45)</f>
        <v>0</v>
      </c>
      <c r="AE46" s="825" t="n">
        <f aca="false">SUM(AE44:AE45)</f>
        <v>0</v>
      </c>
      <c r="AF46" s="825" t="n">
        <f aca="false">SUM(AF44:AF45)</f>
        <v>0</v>
      </c>
      <c r="AG46" s="825" t="n">
        <f aca="false">SUM(AG44:AG45)</f>
        <v>0</v>
      </c>
      <c r="AH46" s="825" t="n">
        <f aca="false">SUM(AH44:AH45)</f>
        <v>0</v>
      </c>
      <c r="AI46" s="825" t="n">
        <f aca="false">SUM(AI44:AI45)</f>
        <v>0</v>
      </c>
      <c r="AJ46" s="827"/>
      <c r="AK46" s="757"/>
      <c r="AL46" s="755"/>
      <c r="AM46" s="755"/>
      <c r="AN46" s="755"/>
      <c r="AO46" s="755"/>
      <c r="AP46" s="755"/>
    </row>
    <row r="47" customFormat="false" ht="12.75" hidden="false" customHeight="false" outlineLevel="0" collapsed="false">
      <c r="A47" s="828"/>
      <c r="B47" s="757"/>
      <c r="C47" s="757"/>
      <c r="D47" s="829"/>
      <c r="E47" s="757"/>
      <c r="F47" s="757"/>
      <c r="G47" s="757"/>
      <c r="H47" s="757"/>
      <c r="I47" s="757"/>
      <c r="J47" s="757"/>
      <c r="K47" s="757"/>
      <c r="L47" s="757"/>
      <c r="M47" s="757"/>
      <c r="N47" s="757"/>
      <c r="O47" s="757"/>
      <c r="P47" s="757"/>
      <c r="Q47" s="757"/>
      <c r="R47" s="757"/>
      <c r="S47" s="757"/>
      <c r="T47" s="757"/>
      <c r="U47" s="757"/>
      <c r="V47" s="757"/>
      <c r="W47" s="757"/>
      <c r="X47" s="757"/>
      <c r="Y47" s="757"/>
      <c r="Z47" s="757"/>
      <c r="AA47" s="757"/>
      <c r="AB47" s="757"/>
      <c r="AC47" s="757"/>
      <c r="AD47" s="757"/>
      <c r="AE47" s="757"/>
      <c r="AF47" s="757"/>
      <c r="AG47" s="757"/>
      <c r="AH47" s="757"/>
      <c r="AI47" s="757"/>
      <c r="AJ47" s="757"/>
      <c r="AK47" s="757"/>
      <c r="AL47" s="755"/>
      <c r="AM47" s="755"/>
      <c r="AN47" s="755"/>
      <c r="AO47" s="755"/>
      <c r="AP47" s="755"/>
    </row>
    <row r="48" customFormat="false" ht="12.75" hidden="false" customHeight="false" outlineLevel="0" collapsed="false">
      <c r="A48" s="828"/>
      <c r="B48" s="782" t="s">
        <v>594</v>
      </c>
      <c r="C48" s="782"/>
      <c r="D48" s="830" t="n">
        <f aca="false">1-E48</f>
        <v>0</v>
      </c>
      <c r="E48" s="830" t="n">
        <f aca="false">IF(E28=0,0,IF(YEAR(E33)=YEAR(E108),1,ROUND(((E108-E27)/E28),2)))</f>
        <v>1</v>
      </c>
      <c r="F48" s="757"/>
      <c r="G48" s="757"/>
      <c r="H48" s="757"/>
      <c r="I48" s="757"/>
      <c r="J48" s="757"/>
      <c r="K48" s="757"/>
      <c r="L48" s="757"/>
      <c r="M48" s="757"/>
      <c r="N48" s="757"/>
      <c r="O48" s="757"/>
      <c r="P48" s="757"/>
      <c r="Q48" s="757"/>
      <c r="R48" s="757"/>
      <c r="S48" s="757"/>
      <c r="T48" s="757"/>
      <c r="U48" s="757"/>
      <c r="V48" s="757"/>
      <c r="W48" s="757"/>
      <c r="X48" s="757"/>
      <c r="Y48" s="757"/>
      <c r="Z48" s="757"/>
      <c r="AA48" s="757"/>
      <c r="AB48" s="757"/>
      <c r="AC48" s="757"/>
      <c r="AD48" s="757"/>
      <c r="AE48" s="757"/>
      <c r="AF48" s="757"/>
      <c r="AG48" s="757"/>
      <c r="AH48" s="757"/>
      <c r="AI48" s="757"/>
      <c r="AJ48" s="757"/>
      <c r="AK48" s="757"/>
      <c r="AL48" s="755"/>
      <c r="AM48" s="755"/>
      <c r="AN48" s="755"/>
      <c r="AO48" s="755"/>
      <c r="AP48" s="755"/>
    </row>
    <row r="49" customFormat="false" ht="12.75" hidden="false" customHeight="false" outlineLevel="0" collapsed="false">
      <c r="A49" s="828"/>
      <c r="B49" s="782"/>
      <c r="C49" s="782"/>
      <c r="D49" s="830" t="n">
        <f aca="false">1-E49</f>
        <v>0</v>
      </c>
      <c r="E49" s="830" t="n">
        <f aca="false">IF(Assum!$E$244=1,(1-(ABS(SrDebt!E108-SrDebt!E39)/SrDebt!E34)),IF(YEAR(E39)=YEAR(E108),1,IF(F108-F33&lt;0,0,ROUND(((E108-E33)/E34),2))))</f>
        <v>1</v>
      </c>
      <c r="F49" s="757"/>
      <c r="G49" s="757"/>
      <c r="H49" s="757"/>
      <c r="I49" s="757"/>
      <c r="J49" s="757"/>
      <c r="K49" s="757"/>
      <c r="L49" s="757"/>
      <c r="M49" s="757"/>
      <c r="N49" s="757"/>
      <c r="O49" s="757"/>
      <c r="P49" s="757"/>
      <c r="Q49" s="757"/>
      <c r="R49" s="757"/>
      <c r="S49" s="757"/>
      <c r="T49" s="757"/>
      <c r="U49" s="757"/>
      <c r="V49" s="757"/>
      <c r="W49" s="757"/>
      <c r="X49" s="757"/>
      <c r="Y49" s="757"/>
      <c r="Z49" s="757"/>
      <c r="AA49" s="757"/>
      <c r="AB49" s="757"/>
      <c r="AC49" s="757"/>
      <c r="AD49" s="757"/>
      <c r="AE49" s="757"/>
      <c r="AF49" s="757"/>
      <c r="AG49" s="757"/>
      <c r="AH49" s="757"/>
      <c r="AI49" s="757"/>
      <c r="AJ49" s="757"/>
      <c r="AK49" s="757"/>
      <c r="AL49" s="755"/>
      <c r="AM49" s="755"/>
      <c r="AN49" s="755"/>
      <c r="AO49" s="755"/>
      <c r="AP49" s="755"/>
    </row>
    <row r="50" customFormat="false" ht="12.75" hidden="false" customHeight="false" outlineLevel="0" collapsed="false">
      <c r="A50" s="828"/>
      <c r="B50" s="757"/>
      <c r="C50" s="757"/>
      <c r="D50" s="829"/>
      <c r="E50" s="757"/>
      <c r="F50" s="757"/>
      <c r="G50" s="757"/>
      <c r="H50" s="757"/>
      <c r="I50" s="757"/>
      <c r="J50" s="757"/>
      <c r="K50" s="757"/>
      <c r="L50" s="757"/>
      <c r="M50" s="757"/>
      <c r="N50" s="757"/>
      <c r="O50" s="757"/>
      <c r="P50" s="757"/>
      <c r="Q50" s="757"/>
      <c r="R50" s="757"/>
      <c r="S50" s="757"/>
      <c r="T50" s="757"/>
      <c r="U50" s="757"/>
      <c r="V50" s="757"/>
      <c r="W50" s="757"/>
      <c r="X50" s="757"/>
      <c r="Y50" s="757"/>
      <c r="Z50" s="757"/>
      <c r="AA50" s="757"/>
      <c r="AB50" s="757"/>
      <c r="AC50" s="757"/>
      <c r="AD50" s="757"/>
      <c r="AE50" s="757"/>
      <c r="AF50" s="757"/>
      <c r="AG50" s="757"/>
      <c r="AH50" s="757"/>
      <c r="AI50" s="757"/>
      <c r="AJ50" s="757"/>
      <c r="AK50" s="757"/>
      <c r="AL50" s="755"/>
      <c r="AM50" s="755"/>
      <c r="AN50" s="755"/>
      <c r="AO50" s="755"/>
      <c r="AP50" s="755"/>
    </row>
    <row r="51" customFormat="false" ht="13.5" hidden="false" customHeight="false" outlineLevel="0" collapsed="false">
      <c r="A51" s="828"/>
      <c r="B51" s="757"/>
      <c r="C51" s="757"/>
      <c r="D51" s="829"/>
      <c r="E51" s="757"/>
      <c r="F51" s="757"/>
      <c r="G51" s="757"/>
      <c r="H51" s="757"/>
      <c r="I51" s="757"/>
      <c r="J51" s="757"/>
      <c r="K51" s="757"/>
      <c r="L51" s="757"/>
      <c r="M51" s="757"/>
      <c r="N51" s="757"/>
      <c r="O51" s="757"/>
      <c r="P51" s="757"/>
      <c r="Q51" s="757"/>
      <c r="R51" s="757"/>
      <c r="S51" s="757"/>
      <c r="T51" s="757"/>
      <c r="U51" s="757"/>
      <c r="V51" s="757"/>
      <c r="W51" s="757"/>
      <c r="X51" s="757"/>
      <c r="Y51" s="757"/>
      <c r="Z51" s="757"/>
      <c r="AA51" s="757"/>
      <c r="AB51" s="757"/>
      <c r="AC51" s="757"/>
      <c r="AD51" s="757"/>
      <c r="AE51" s="757"/>
      <c r="AF51" s="757"/>
      <c r="AG51" s="757"/>
      <c r="AH51" s="757"/>
      <c r="AI51" s="757"/>
      <c r="AJ51" s="757"/>
      <c r="AK51" s="757"/>
      <c r="AL51" s="755"/>
      <c r="AM51" s="755"/>
      <c r="AN51" s="755"/>
      <c r="AO51" s="755"/>
      <c r="AP51" s="755"/>
    </row>
    <row r="52" customFormat="false" ht="13.5" hidden="false" customHeight="false" outlineLevel="0" collapsed="false">
      <c r="A52" s="831"/>
      <c r="B52" s="386" t="s">
        <v>328</v>
      </c>
      <c r="C52" s="613"/>
      <c r="D52" s="46" t="s">
        <v>566</v>
      </c>
      <c r="E52" s="832"/>
      <c r="F52" s="832"/>
      <c r="G52" s="832"/>
      <c r="H52" s="832"/>
      <c r="I52" s="832"/>
      <c r="J52" s="832"/>
      <c r="K52" s="832"/>
      <c r="L52" s="832"/>
      <c r="M52" s="832"/>
      <c r="N52" s="832"/>
      <c r="O52" s="832"/>
      <c r="P52" s="832"/>
      <c r="Q52" s="832"/>
      <c r="R52" s="832"/>
      <c r="S52" s="832"/>
      <c r="T52" s="832"/>
      <c r="U52" s="832"/>
      <c r="V52" s="832"/>
      <c r="W52" s="832"/>
      <c r="X52" s="832"/>
      <c r="Y52" s="832"/>
      <c r="Z52" s="832"/>
      <c r="AA52" s="832"/>
      <c r="AB52" s="832"/>
      <c r="AC52" s="832"/>
      <c r="AD52" s="832"/>
      <c r="AE52" s="832"/>
      <c r="AF52" s="832"/>
      <c r="AG52" s="832"/>
      <c r="AH52" s="832"/>
      <c r="AI52" s="832"/>
      <c r="AJ52" s="832"/>
      <c r="AK52" s="808"/>
      <c r="AL52" s="374"/>
      <c r="AM52" s="809"/>
      <c r="AN52" s="809"/>
      <c r="AO52" s="809"/>
      <c r="AP52" s="809"/>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c r="FL52" s="21"/>
      <c r="FM52" s="21"/>
      <c r="FN52" s="21"/>
      <c r="FO52" s="21"/>
      <c r="FP52" s="21"/>
      <c r="FQ52" s="21"/>
      <c r="FR52" s="21"/>
      <c r="FS52" s="21"/>
      <c r="FT52" s="21"/>
      <c r="FU52" s="21"/>
      <c r="FV52" s="21"/>
      <c r="FW52" s="21"/>
      <c r="FX52" s="21"/>
      <c r="FY52" s="21"/>
      <c r="FZ52" s="21"/>
      <c r="GA52" s="21"/>
      <c r="GB52" s="21"/>
      <c r="GC52" s="21"/>
      <c r="GD52" s="21"/>
      <c r="GE52" s="21"/>
      <c r="GF52" s="21"/>
      <c r="GG52" s="21"/>
      <c r="GH52" s="21"/>
      <c r="GI52" s="21"/>
      <c r="GJ52" s="21"/>
      <c r="GK52" s="21"/>
      <c r="GL52" s="21"/>
      <c r="GM52" s="21"/>
      <c r="GN52" s="21"/>
      <c r="GO52" s="21"/>
      <c r="GP52" s="21"/>
      <c r="GQ52" s="21"/>
      <c r="GR52" s="21"/>
      <c r="GS52" s="21"/>
      <c r="GT52" s="21"/>
      <c r="GU52" s="21"/>
      <c r="GV52" s="21"/>
      <c r="GW52" s="21"/>
      <c r="GX52" s="21"/>
      <c r="GY52" s="21"/>
      <c r="GZ52" s="21"/>
      <c r="HA52" s="21"/>
      <c r="HB52" s="21"/>
      <c r="HC52" s="21"/>
      <c r="HD52" s="21"/>
      <c r="HE52" s="21"/>
      <c r="HF52" s="21"/>
      <c r="HG52" s="21"/>
      <c r="HH52" s="21"/>
      <c r="HI52" s="21"/>
      <c r="HJ52" s="21"/>
      <c r="HK52" s="21"/>
      <c r="HL52" s="21"/>
      <c r="HM52" s="21"/>
      <c r="HN52" s="21"/>
      <c r="HO52" s="21"/>
      <c r="HP52" s="21"/>
      <c r="HQ52" s="21"/>
      <c r="HR52" s="21"/>
      <c r="HS52" s="21"/>
      <c r="HT52" s="21"/>
      <c r="HU52" s="21"/>
      <c r="HV52" s="21"/>
      <c r="HW52" s="21"/>
      <c r="HX52" s="21"/>
      <c r="HY52" s="21"/>
      <c r="HZ52" s="21"/>
      <c r="IA52" s="21"/>
      <c r="IB52" s="21"/>
      <c r="IC52" s="21"/>
      <c r="ID52" s="21"/>
      <c r="IE52" s="21"/>
      <c r="IF52" s="21"/>
      <c r="IG52" s="21"/>
      <c r="IH52" s="21"/>
      <c r="II52" s="21"/>
      <c r="IJ52" s="21"/>
      <c r="IK52" s="21"/>
      <c r="IL52" s="21"/>
      <c r="IM52" s="21"/>
      <c r="IN52" s="21"/>
      <c r="IO52" s="21"/>
      <c r="IP52" s="21"/>
      <c r="IQ52" s="21"/>
      <c r="IR52" s="21"/>
      <c r="IS52" s="21"/>
      <c r="IT52" s="21"/>
      <c r="IU52" s="21"/>
      <c r="IV52" s="21"/>
      <c r="IW52" s="21"/>
    </row>
    <row r="53" customFormat="false" ht="12.75" hidden="false" customHeight="false" outlineLevel="0" collapsed="false">
      <c r="A53" s="831"/>
      <c r="B53" s="833" t="s">
        <v>567</v>
      </c>
      <c r="C53" s="808"/>
      <c r="D53" s="756" t="n">
        <f aca="false">Assum!F254</f>
        <v>0</v>
      </c>
      <c r="E53" s="833" t="n">
        <f aca="false">IF($D$53=0,0,E5-E18*E11)</f>
        <v>0</v>
      </c>
      <c r="F53" s="833" t="n">
        <f aca="false">IF($D$53=0,0,F5-F18*F11)</f>
        <v>0</v>
      </c>
      <c r="G53" s="833" t="n">
        <f aca="false">IF($D$53=0,0,G5-G18*G11)</f>
        <v>0</v>
      </c>
      <c r="H53" s="833" t="n">
        <f aca="false">IF($D$53=0,0,H5-H18*H11)</f>
        <v>0</v>
      </c>
      <c r="I53" s="833" t="n">
        <f aca="false">IF($D$53=0,0,I5-I18*I11)</f>
        <v>0</v>
      </c>
      <c r="J53" s="833" t="n">
        <f aca="false">IF($D$53=0,0,J5-J18*J11)</f>
        <v>0</v>
      </c>
      <c r="K53" s="833" t="n">
        <f aca="false">IF($D$53=0,0,K5-K18*K11)</f>
        <v>0</v>
      </c>
      <c r="L53" s="833" t="n">
        <f aca="false">IF($D$53=0,0,L5-L18*L11)</f>
        <v>0</v>
      </c>
      <c r="M53" s="833" t="n">
        <f aca="false">IF($D$53=0,0,M5-M18*M11)</f>
        <v>0</v>
      </c>
      <c r="N53" s="833" t="n">
        <f aca="false">IF($D$53=0,0,N5-N18*N11)</f>
        <v>0</v>
      </c>
      <c r="O53" s="833" t="n">
        <f aca="false">IF($D$53=0,0,O5-O18*O11)</f>
        <v>0</v>
      </c>
      <c r="P53" s="833" t="n">
        <f aca="false">IF($D$53=0,0,P5-P18*P11)</f>
        <v>0</v>
      </c>
      <c r="Q53" s="833" t="n">
        <f aca="false">IF($D$53=0,0,Q5-Q18*Q11)</f>
        <v>0</v>
      </c>
      <c r="R53" s="833" t="n">
        <f aca="false">IF($D$53=0,0,R5-R18*R11)</f>
        <v>0</v>
      </c>
      <c r="S53" s="833" t="n">
        <f aca="false">IF($D$53=0,0,S5-S18*S11)</f>
        <v>0</v>
      </c>
      <c r="T53" s="833" t="n">
        <f aca="false">IF($D$53=0,0,T5-T18*T11)</f>
        <v>0</v>
      </c>
      <c r="U53" s="833" t="n">
        <f aca="false">IF($D$53=0,0,U5-U18*U11)</f>
        <v>0</v>
      </c>
      <c r="V53" s="833" t="n">
        <f aca="false">IF($D$53=0,0,V5-V18*V11)</f>
        <v>0</v>
      </c>
      <c r="W53" s="833" t="n">
        <f aca="false">IF($D$53=0,0,W5-W18*W11)</f>
        <v>0</v>
      </c>
      <c r="X53" s="833" t="n">
        <f aca="false">IF($D$53=0,0,X5-X18*X11)</f>
        <v>0</v>
      </c>
      <c r="Y53" s="833" t="n">
        <f aca="false">IF($D$53=0,0,Y5-Y18*Y11)</f>
        <v>0</v>
      </c>
      <c r="Z53" s="833" t="n">
        <f aca="false">IF($D$53=0,0,Z5-Z18*Z11)</f>
        <v>0</v>
      </c>
      <c r="AA53" s="833" t="n">
        <f aca="false">IF($D$53=0,0,AA5-AA18*AA11)</f>
        <v>0</v>
      </c>
      <c r="AB53" s="833" t="n">
        <f aca="false">IF($D$53=0,0,AB5-AB18*AB11)</f>
        <v>0</v>
      </c>
      <c r="AC53" s="833" t="n">
        <f aca="false">IF($D$53=0,0,AC5-AC18*AC11)</f>
        <v>0</v>
      </c>
      <c r="AD53" s="833" t="n">
        <f aca="false">IF($D$53=0,0,AD5-AD18*AD11)</f>
        <v>0</v>
      </c>
      <c r="AE53" s="833" t="n">
        <f aca="false">IF($D$53=0,0,AE5-AE18*AE11)</f>
        <v>0</v>
      </c>
      <c r="AF53" s="833" t="n">
        <f aca="false">IF($D$53=0,0,AF5-AF18*AF11)</f>
        <v>0</v>
      </c>
      <c r="AG53" s="833" t="n">
        <f aca="false">IF($D$53=0,0,AG5-AG18*AG11)</f>
        <v>0</v>
      </c>
      <c r="AH53" s="833" t="n">
        <f aca="false">IF($D$53=0,0,AH5-AH18*AH11)</f>
        <v>0</v>
      </c>
      <c r="AI53" s="833" t="n">
        <f aca="false">IF($D$53=0,0,AI5-AI18*AI11)</f>
        <v>0</v>
      </c>
      <c r="AJ53" s="833"/>
      <c r="AK53" s="834"/>
      <c r="AL53" s="833"/>
      <c r="AM53" s="833"/>
      <c r="AN53" s="833"/>
      <c r="AO53" s="833"/>
      <c r="AP53" s="833"/>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c r="EQ53" s="21"/>
      <c r="ER53" s="21"/>
      <c r="ES53" s="21"/>
      <c r="ET53" s="21"/>
      <c r="EU53" s="21"/>
      <c r="EV53" s="21"/>
      <c r="EW53" s="21"/>
      <c r="EX53" s="21"/>
      <c r="EY53" s="21"/>
      <c r="EZ53" s="21"/>
      <c r="FA53" s="21"/>
      <c r="FB53" s="21"/>
      <c r="FC53" s="21"/>
      <c r="FD53" s="21"/>
      <c r="FE53" s="21"/>
      <c r="FF53" s="21"/>
      <c r="FG53" s="21"/>
      <c r="FH53" s="21"/>
      <c r="FI53" s="21"/>
      <c r="FJ53" s="21"/>
      <c r="FK53" s="21"/>
      <c r="FL53" s="21"/>
      <c r="FM53" s="21"/>
      <c r="FN53" s="21"/>
      <c r="FO53" s="21"/>
      <c r="FP53" s="21"/>
      <c r="FQ53" s="21"/>
      <c r="FR53" s="21"/>
      <c r="FS53" s="21"/>
      <c r="FT53" s="21"/>
      <c r="FU53" s="21"/>
      <c r="FV53" s="21"/>
      <c r="FW53" s="21"/>
      <c r="FX53" s="21"/>
      <c r="FY53" s="21"/>
      <c r="FZ53" s="21"/>
      <c r="GA53" s="21"/>
      <c r="GB53" s="21"/>
      <c r="GC53" s="21"/>
      <c r="GD53" s="21"/>
      <c r="GE53" s="21"/>
      <c r="GF53" s="21"/>
      <c r="GG53" s="21"/>
      <c r="GH53" s="21"/>
      <c r="GI53" s="21"/>
      <c r="GJ53" s="21"/>
      <c r="GK53" s="21"/>
      <c r="GL53" s="21"/>
      <c r="GM53" s="21"/>
      <c r="GN53" s="21"/>
      <c r="GO53" s="21"/>
      <c r="GP53" s="21"/>
      <c r="GQ53" s="21"/>
      <c r="GR53" s="21"/>
      <c r="GS53" s="21"/>
      <c r="GT53" s="21"/>
      <c r="GU53" s="21"/>
      <c r="GV53" s="21"/>
      <c r="GW53" s="21"/>
      <c r="GX53" s="21"/>
      <c r="GY53" s="21"/>
      <c r="GZ53" s="21"/>
      <c r="HA53" s="21"/>
      <c r="HB53" s="21"/>
      <c r="HC53" s="21"/>
      <c r="HD53" s="21"/>
      <c r="HE53" s="21"/>
      <c r="HF53" s="21"/>
      <c r="HG53" s="21"/>
      <c r="HH53" s="21"/>
      <c r="HI53" s="21"/>
      <c r="HJ53" s="21"/>
      <c r="HK53" s="21"/>
      <c r="HL53" s="21"/>
      <c r="HM53" s="21"/>
      <c r="HN53" s="21"/>
      <c r="HO53" s="21"/>
      <c r="HP53" s="21"/>
      <c r="HQ53" s="21"/>
      <c r="HR53" s="21"/>
      <c r="HS53" s="21"/>
      <c r="HT53" s="21"/>
      <c r="HU53" s="21"/>
      <c r="HV53" s="21"/>
      <c r="HW53" s="21"/>
      <c r="HX53" s="21"/>
      <c r="HY53" s="21"/>
      <c r="HZ53" s="21"/>
      <c r="IA53" s="21"/>
      <c r="IB53" s="21"/>
      <c r="IC53" s="21"/>
      <c r="ID53" s="21"/>
      <c r="IE53" s="21"/>
      <c r="IF53" s="21"/>
      <c r="IG53" s="21"/>
      <c r="IH53" s="21"/>
      <c r="II53" s="21"/>
      <c r="IJ53" s="21"/>
      <c r="IK53" s="21"/>
      <c r="IL53" s="21"/>
      <c r="IM53" s="21"/>
      <c r="IN53" s="21"/>
      <c r="IO53" s="21"/>
      <c r="IP53" s="21"/>
      <c r="IQ53" s="21"/>
      <c r="IR53" s="21"/>
      <c r="IS53" s="21"/>
      <c r="IT53" s="21"/>
      <c r="IU53" s="21"/>
      <c r="IV53" s="21"/>
      <c r="IW53" s="21"/>
    </row>
    <row r="54" customFormat="false" ht="12.75" hidden="false" customHeight="false" outlineLevel="0" collapsed="false">
      <c r="A54" s="831"/>
      <c r="B54" s="833"/>
      <c r="C54" s="833"/>
      <c r="D54" s="833"/>
      <c r="E54" s="833"/>
      <c r="F54" s="833"/>
      <c r="G54" s="833"/>
      <c r="H54" s="833"/>
      <c r="I54" s="833"/>
      <c r="J54" s="833"/>
      <c r="K54" s="833"/>
      <c r="L54" s="833"/>
      <c r="M54" s="833"/>
      <c r="N54" s="833"/>
      <c r="O54" s="833"/>
      <c r="P54" s="833"/>
      <c r="Q54" s="833"/>
      <c r="R54" s="833"/>
      <c r="S54" s="833"/>
      <c r="T54" s="833"/>
      <c r="U54" s="833"/>
      <c r="V54" s="833"/>
      <c r="W54" s="833"/>
      <c r="X54" s="833"/>
      <c r="Y54" s="833"/>
      <c r="Z54" s="833"/>
      <c r="AA54" s="833"/>
      <c r="AB54" s="833"/>
      <c r="AC54" s="833"/>
      <c r="AD54" s="833"/>
      <c r="AE54" s="833"/>
      <c r="AF54" s="833"/>
      <c r="AG54" s="833"/>
      <c r="AH54" s="833"/>
      <c r="AI54" s="833"/>
      <c r="AJ54" s="833"/>
      <c r="AK54" s="834"/>
      <c r="AL54" s="833"/>
      <c r="AM54" s="833"/>
      <c r="AN54" s="833"/>
      <c r="AO54" s="833"/>
      <c r="AP54" s="833"/>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1"/>
      <c r="FR54" s="21"/>
      <c r="FS54" s="21"/>
      <c r="FT54" s="21"/>
      <c r="FU54" s="21"/>
      <c r="FV54" s="21"/>
      <c r="FW54" s="21"/>
      <c r="FX54" s="21"/>
      <c r="FY54" s="21"/>
      <c r="FZ54" s="21"/>
      <c r="GA54" s="21"/>
      <c r="GB54" s="21"/>
      <c r="GC54" s="21"/>
      <c r="GD54" s="21"/>
      <c r="GE54" s="21"/>
      <c r="GF54" s="21"/>
      <c r="GG54" s="21"/>
      <c r="GH54" s="21"/>
      <c r="GI54" s="21"/>
      <c r="GJ54" s="21"/>
      <c r="GK54" s="21"/>
      <c r="GL54" s="21"/>
      <c r="GM54" s="21"/>
      <c r="GN54" s="21"/>
      <c r="GO54" s="21"/>
      <c r="GP54" s="21"/>
      <c r="GQ54" s="21"/>
      <c r="GR54" s="21"/>
      <c r="GS54" s="21"/>
      <c r="GT54" s="21"/>
      <c r="GU54" s="21"/>
      <c r="GV54" s="21"/>
      <c r="GW54" s="21"/>
      <c r="GX54" s="21"/>
      <c r="GY54" s="21"/>
      <c r="GZ54" s="21"/>
      <c r="HA54" s="21"/>
      <c r="HB54" s="21"/>
      <c r="HC54" s="21"/>
      <c r="HD54" s="21"/>
      <c r="HE54" s="21"/>
      <c r="HF54" s="21"/>
      <c r="HG54" s="21"/>
      <c r="HH54" s="21"/>
      <c r="HI54" s="21"/>
      <c r="HJ54" s="21"/>
      <c r="HK54" s="21"/>
      <c r="HL54" s="21"/>
      <c r="HM54" s="21"/>
      <c r="HN54" s="21"/>
      <c r="HO54" s="21"/>
      <c r="HP54" s="21"/>
      <c r="HQ54" s="21"/>
      <c r="HR54" s="21"/>
      <c r="HS54" s="21"/>
      <c r="HT54" s="21"/>
      <c r="HU54" s="21"/>
      <c r="HV54" s="21"/>
      <c r="HW54" s="21"/>
      <c r="HX54" s="21"/>
      <c r="HY54" s="21"/>
      <c r="HZ54" s="21"/>
      <c r="IA54" s="21"/>
      <c r="IB54" s="21"/>
      <c r="IC54" s="21"/>
      <c r="ID54" s="21"/>
      <c r="IE54" s="21"/>
      <c r="IF54" s="21"/>
      <c r="IG54" s="21"/>
      <c r="IH54" s="21"/>
      <c r="II54" s="21"/>
      <c r="IJ54" s="21"/>
      <c r="IK54" s="21"/>
      <c r="IL54" s="21"/>
      <c r="IM54" s="21"/>
      <c r="IN54" s="21"/>
      <c r="IO54" s="21"/>
      <c r="IP54" s="21"/>
      <c r="IQ54" s="21"/>
      <c r="IR54" s="21"/>
      <c r="IS54" s="21"/>
      <c r="IT54" s="21"/>
      <c r="IU54" s="21"/>
      <c r="IV54" s="21"/>
      <c r="IW54" s="21"/>
    </row>
    <row r="55" customFormat="false" ht="12.75" hidden="false" customHeight="false" outlineLevel="0" collapsed="false">
      <c r="A55" s="831"/>
      <c r="B55" s="758"/>
      <c r="C55" s="758"/>
      <c r="D55" s="758"/>
      <c r="E55" s="759" t="n">
        <v>1</v>
      </c>
      <c r="F55" s="760" t="n">
        <v>2</v>
      </c>
      <c r="G55" s="760" t="n">
        <v>3</v>
      </c>
      <c r="H55" s="760" t="n">
        <v>4</v>
      </c>
      <c r="I55" s="760" t="n">
        <v>5</v>
      </c>
      <c r="J55" s="760" t="n">
        <v>6</v>
      </c>
      <c r="K55" s="760" t="n">
        <v>7</v>
      </c>
      <c r="L55" s="760" t="n">
        <v>8</v>
      </c>
      <c r="M55" s="760" t="n">
        <v>9</v>
      </c>
      <c r="N55" s="760" t="n">
        <v>10</v>
      </c>
      <c r="O55" s="760" t="n">
        <v>11</v>
      </c>
      <c r="P55" s="760" t="n">
        <v>12</v>
      </c>
      <c r="Q55" s="760" t="n">
        <v>13</v>
      </c>
      <c r="R55" s="760" t="n">
        <v>14</v>
      </c>
      <c r="S55" s="760" t="n">
        <v>15</v>
      </c>
      <c r="T55" s="760" t="n">
        <v>16</v>
      </c>
      <c r="U55" s="760" t="n">
        <v>17</v>
      </c>
      <c r="V55" s="760" t="n">
        <v>18</v>
      </c>
      <c r="W55" s="760" t="n">
        <v>19</v>
      </c>
      <c r="X55" s="760" t="n">
        <v>20</v>
      </c>
      <c r="Y55" s="760" t="n">
        <v>21</v>
      </c>
      <c r="Z55" s="760" t="n">
        <v>22</v>
      </c>
      <c r="AA55" s="760" t="n">
        <v>23</v>
      </c>
      <c r="AB55" s="760" t="n">
        <v>24</v>
      </c>
      <c r="AC55" s="760" t="n">
        <v>25</v>
      </c>
      <c r="AD55" s="760" t="n">
        <v>26</v>
      </c>
      <c r="AE55" s="760" t="n">
        <v>27</v>
      </c>
      <c r="AF55" s="760" t="n">
        <v>28</v>
      </c>
      <c r="AG55" s="760" t="n">
        <v>29</v>
      </c>
      <c r="AH55" s="760" t="n">
        <v>30</v>
      </c>
      <c r="AI55" s="761" t="n">
        <v>31</v>
      </c>
      <c r="AJ55" s="758"/>
      <c r="AK55" s="762"/>
      <c r="AL55" s="758"/>
      <c r="AM55" s="763"/>
      <c r="AN55" s="763"/>
      <c r="AO55" s="763"/>
      <c r="AP55" s="763"/>
      <c r="AQ55" s="764"/>
      <c r="AR55" s="764"/>
      <c r="AS55" s="764"/>
      <c r="AT55" s="764"/>
      <c r="AU55" s="764"/>
      <c r="AV55" s="764"/>
      <c r="AW55" s="764"/>
      <c r="AX55" s="764"/>
      <c r="AY55" s="764"/>
      <c r="AZ55" s="764"/>
      <c r="BA55" s="764"/>
      <c r="BB55" s="764"/>
      <c r="BC55" s="764"/>
      <c r="BD55" s="764"/>
      <c r="BE55" s="764"/>
      <c r="BF55" s="764"/>
      <c r="BG55" s="764"/>
      <c r="BH55" s="764"/>
      <c r="BI55" s="764"/>
      <c r="BJ55" s="764"/>
      <c r="BK55" s="764"/>
      <c r="BL55" s="764"/>
      <c r="BM55" s="764"/>
      <c r="BN55" s="764"/>
      <c r="BO55" s="764"/>
      <c r="BP55" s="764"/>
      <c r="BQ55" s="764"/>
      <c r="BR55" s="764"/>
      <c r="BS55" s="764"/>
      <c r="BT55" s="764"/>
      <c r="BU55" s="764"/>
      <c r="BV55" s="764"/>
      <c r="BW55" s="764"/>
      <c r="BX55" s="764"/>
      <c r="BY55" s="764"/>
      <c r="BZ55" s="764"/>
      <c r="CA55" s="764"/>
      <c r="CB55" s="764"/>
      <c r="CC55" s="764"/>
      <c r="CD55" s="764"/>
      <c r="CE55" s="764"/>
      <c r="CF55" s="764"/>
      <c r="CG55" s="764"/>
      <c r="CH55" s="764"/>
      <c r="CI55" s="764"/>
      <c r="CJ55" s="764"/>
      <c r="CK55" s="764"/>
      <c r="CL55" s="764"/>
      <c r="CM55" s="764"/>
      <c r="CN55" s="764"/>
      <c r="CO55" s="764"/>
      <c r="CP55" s="764"/>
      <c r="CQ55" s="764"/>
      <c r="CR55" s="764"/>
      <c r="CS55" s="764"/>
      <c r="CT55" s="764"/>
      <c r="CU55" s="764"/>
      <c r="CV55" s="764"/>
      <c r="CW55" s="764"/>
      <c r="CX55" s="764"/>
      <c r="CY55" s="764"/>
      <c r="CZ55" s="764"/>
      <c r="DA55" s="764"/>
      <c r="DB55" s="764"/>
      <c r="DC55" s="764"/>
      <c r="DD55" s="764"/>
      <c r="DE55" s="764"/>
      <c r="DF55" s="764"/>
      <c r="DG55" s="764"/>
      <c r="DH55" s="764"/>
      <c r="DI55" s="764"/>
      <c r="DJ55" s="764"/>
      <c r="DK55" s="764"/>
      <c r="DL55" s="764"/>
      <c r="DM55" s="764"/>
      <c r="DN55" s="764"/>
      <c r="DO55" s="764"/>
      <c r="DP55" s="764"/>
      <c r="DQ55" s="764"/>
      <c r="DR55" s="764"/>
      <c r="DS55" s="764"/>
      <c r="DT55" s="764"/>
      <c r="DU55" s="764"/>
      <c r="DV55" s="764"/>
      <c r="DW55" s="764"/>
      <c r="DX55" s="764"/>
      <c r="DY55" s="764"/>
      <c r="DZ55" s="764"/>
      <c r="EA55" s="764"/>
      <c r="EB55" s="764"/>
      <c r="EC55" s="764"/>
      <c r="ED55" s="764"/>
      <c r="EE55" s="764"/>
      <c r="EF55" s="764"/>
      <c r="EG55" s="764"/>
      <c r="EH55" s="764"/>
      <c r="EI55" s="764"/>
      <c r="EJ55" s="764"/>
      <c r="EK55" s="764"/>
      <c r="EL55" s="764"/>
      <c r="EM55" s="764"/>
      <c r="EN55" s="764"/>
      <c r="EO55" s="764"/>
      <c r="EP55" s="764"/>
      <c r="EQ55" s="764"/>
      <c r="ER55" s="764"/>
      <c r="ES55" s="764"/>
      <c r="ET55" s="764"/>
      <c r="EU55" s="764"/>
      <c r="EV55" s="764"/>
      <c r="EW55" s="764"/>
      <c r="EX55" s="764"/>
      <c r="EY55" s="764"/>
      <c r="EZ55" s="764"/>
      <c r="FA55" s="764"/>
      <c r="FB55" s="764"/>
      <c r="FC55" s="764"/>
      <c r="FD55" s="764"/>
      <c r="FE55" s="764"/>
      <c r="FF55" s="764"/>
      <c r="FG55" s="764"/>
      <c r="FH55" s="764"/>
      <c r="FI55" s="764"/>
      <c r="FJ55" s="764"/>
      <c r="FK55" s="764"/>
      <c r="FL55" s="764"/>
      <c r="FM55" s="764"/>
      <c r="FN55" s="764"/>
      <c r="FO55" s="764"/>
      <c r="FP55" s="764"/>
      <c r="FQ55" s="764"/>
      <c r="FR55" s="764"/>
      <c r="FS55" s="764"/>
      <c r="FT55" s="764"/>
      <c r="FU55" s="764"/>
      <c r="FV55" s="764"/>
      <c r="FW55" s="764"/>
      <c r="FX55" s="764"/>
      <c r="FY55" s="764"/>
      <c r="FZ55" s="764"/>
      <c r="GA55" s="764"/>
      <c r="GB55" s="764"/>
      <c r="GC55" s="764"/>
      <c r="GD55" s="764"/>
      <c r="GE55" s="764"/>
      <c r="GF55" s="764"/>
      <c r="GG55" s="764"/>
      <c r="GH55" s="764"/>
      <c r="GI55" s="764"/>
      <c r="GJ55" s="764"/>
      <c r="GK55" s="764"/>
      <c r="GL55" s="764"/>
      <c r="GM55" s="764"/>
      <c r="GN55" s="764"/>
      <c r="GO55" s="764"/>
      <c r="GP55" s="764"/>
      <c r="GQ55" s="764"/>
      <c r="GR55" s="764"/>
      <c r="GS55" s="764"/>
      <c r="GT55" s="764"/>
      <c r="GU55" s="764"/>
      <c r="GV55" s="764"/>
      <c r="GW55" s="764"/>
      <c r="GX55" s="764"/>
      <c r="GY55" s="764"/>
      <c r="GZ55" s="764"/>
      <c r="HA55" s="764"/>
      <c r="HB55" s="764"/>
      <c r="HC55" s="764"/>
      <c r="HD55" s="764"/>
      <c r="HE55" s="764"/>
      <c r="HF55" s="764"/>
      <c r="HG55" s="764"/>
      <c r="HH55" s="764"/>
      <c r="HI55" s="764"/>
      <c r="HJ55" s="764"/>
      <c r="HK55" s="764"/>
      <c r="HL55" s="764"/>
      <c r="HM55" s="764"/>
      <c r="HN55" s="764"/>
      <c r="HO55" s="764"/>
      <c r="HP55" s="764"/>
      <c r="HQ55" s="764"/>
      <c r="HR55" s="764"/>
      <c r="HS55" s="764"/>
      <c r="HT55" s="764"/>
      <c r="HU55" s="764"/>
      <c r="HV55" s="764"/>
      <c r="HW55" s="764"/>
      <c r="HX55" s="764"/>
      <c r="HY55" s="764"/>
      <c r="HZ55" s="764"/>
      <c r="IA55" s="764"/>
      <c r="IB55" s="764"/>
      <c r="IC55" s="764"/>
      <c r="ID55" s="764"/>
      <c r="IE55" s="764"/>
      <c r="IF55" s="764"/>
      <c r="IG55" s="764"/>
      <c r="IH55" s="764"/>
      <c r="II55" s="764"/>
      <c r="IJ55" s="764"/>
      <c r="IK55" s="764"/>
      <c r="IL55" s="764"/>
      <c r="IM55" s="764"/>
      <c r="IN55" s="764"/>
      <c r="IO55" s="764"/>
      <c r="IP55" s="764"/>
      <c r="IQ55" s="764"/>
      <c r="IR55" s="764"/>
      <c r="IS55" s="764"/>
      <c r="IT55" s="764"/>
      <c r="IU55" s="764"/>
      <c r="IV55" s="764"/>
      <c r="IW55" s="764"/>
    </row>
    <row r="56" customFormat="false" ht="12.75" hidden="false" customHeight="false" outlineLevel="0" collapsed="false">
      <c r="A56" s="831"/>
      <c r="B56" s="374" t="s">
        <v>568</v>
      </c>
      <c r="C56" s="374"/>
      <c r="D56" s="374"/>
      <c r="E56" s="835" t="n">
        <f aca="false">Assum!E264</f>
        <v>1.4</v>
      </c>
      <c r="F56" s="835" t="n">
        <f aca="false">Assum!F264</f>
        <v>1.4</v>
      </c>
      <c r="G56" s="835" t="n">
        <f aca="false">Assum!G264</f>
        <v>1.4</v>
      </c>
      <c r="H56" s="835" t="n">
        <f aca="false">Assum!H264</f>
        <v>1.4</v>
      </c>
      <c r="I56" s="835" t="n">
        <f aca="false">Assum!I264</f>
        <v>1.4</v>
      </c>
      <c r="J56" s="835" t="n">
        <f aca="false">Assum!J264</f>
        <v>1.4</v>
      </c>
      <c r="K56" s="835" t="n">
        <f aca="false">Assum!K264</f>
        <v>1.4</v>
      </c>
      <c r="L56" s="835" t="n">
        <f aca="false">Assum!L264</f>
        <v>1.4</v>
      </c>
      <c r="M56" s="835" t="n">
        <f aca="false">Assum!M264</f>
        <v>1.4</v>
      </c>
      <c r="N56" s="835" t="n">
        <f aca="false">Assum!N264</f>
        <v>1.4</v>
      </c>
      <c r="O56" s="835" t="n">
        <f aca="false">Assum!O264</f>
        <v>1.4</v>
      </c>
      <c r="P56" s="835" t="n">
        <f aca="false">Assum!P264</f>
        <v>1.4</v>
      </c>
      <c r="Q56" s="835" t="n">
        <f aca="false">Assum!Q264</f>
        <v>1.4</v>
      </c>
      <c r="R56" s="835" t="n">
        <f aca="false">Assum!R264</f>
        <v>1.4</v>
      </c>
      <c r="S56" s="835" t="n">
        <f aca="false">Assum!S264</f>
        <v>1.4</v>
      </c>
      <c r="T56" s="835" t="n">
        <f aca="false">Assum!T264</f>
        <v>1.4</v>
      </c>
      <c r="U56" s="835" t="n">
        <f aca="false">Assum!U264</f>
        <v>1.4</v>
      </c>
      <c r="V56" s="835" t="n">
        <f aca="false">Assum!V264</f>
        <v>1.4</v>
      </c>
      <c r="W56" s="835" t="n">
        <f aca="false">Assum!W264</f>
        <v>1.4</v>
      </c>
      <c r="X56" s="835" t="n">
        <f aca="false">Assum!X264</f>
        <v>1.4</v>
      </c>
      <c r="Y56" s="835" t="n">
        <f aca="false">Assum!Y264</f>
        <v>1.4</v>
      </c>
      <c r="Z56" s="835" t="n">
        <f aca="false">Assum!Z264</f>
        <v>1.4</v>
      </c>
      <c r="AA56" s="835" t="n">
        <f aca="false">Assum!AA264</f>
        <v>1.4</v>
      </c>
      <c r="AB56" s="835" t="n">
        <f aca="false">Assum!AB264</f>
        <v>1.4</v>
      </c>
      <c r="AC56" s="835" t="n">
        <f aca="false">Assum!AC264</f>
        <v>1.4</v>
      </c>
      <c r="AD56" s="835" t="n">
        <f aca="false">Assum!AD264</f>
        <v>1.4</v>
      </c>
      <c r="AE56" s="835" t="n">
        <f aca="false">Assum!AE264</f>
        <v>1.4</v>
      </c>
      <c r="AF56" s="835" t="n">
        <f aca="false">Assum!AF264</f>
        <v>1.4</v>
      </c>
      <c r="AG56" s="835" t="n">
        <f aca="false">Assum!AG264</f>
        <v>1.4</v>
      </c>
      <c r="AH56" s="835" t="n">
        <f aca="false">Assum!AH264</f>
        <v>1.4</v>
      </c>
      <c r="AI56" s="835" t="n">
        <f aca="false">Assum!AI264</f>
        <v>1.4</v>
      </c>
      <c r="AJ56" s="374"/>
      <c r="AK56" s="808"/>
      <c r="AL56" s="374"/>
      <c r="AM56" s="809"/>
      <c r="AN56" s="809"/>
      <c r="AO56" s="809"/>
      <c r="AP56" s="809"/>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c r="FM56" s="21"/>
      <c r="FN56" s="21"/>
      <c r="FO56" s="21"/>
      <c r="FP56" s="21"/>
      <c r="FQ56" s="21"/>
      <c r="FR56" s="21"/>
      <c r="FS56" s="21"/>
      <c r="FT56" s="21"/>
      <c r="FU56" s="21"/>
      <c r="FV56" s="21"/>
      <c r="FW56" s="21"/>
      <c r="FX56" s="21"/>
      <c r="FY56" s="21"/>
      <c r="FZ56" s="21"/>
      <c r="GA56" s="21"/>
      <c r="GB56" s="21"/>
      <c r="GC56" s="21"/>
      <c r="GD56" s="21"/>
      <c r="GE56" s="21"/>
      <c r="GF56" s="21"/>
      <c r="GG56" s="21"/>
      <c r="GH56" s="21"/>
      <c r="GI56" s="21"/>
      <c r="GJ56" s="21"/>
      <c r="GK56" s="21"/>
      <c r="GL56" s="21"/>
      <c r="GM56" s="21"/>
      <c r="GN56" s="21"/>
      <c r="GO56" s="21"/>
      <c r="GP56" s="21"/>
      <c r="GQ56" s="21"/>
      <c r="GR56" s="21"/>
      <c r="GS56" s="21"/>
      <c r="GT56" s="21"/>
      <c r="GU56" s="21"/>
      <c r="GV56" s="21"/>
      <c r="GW56" s="21"/>
      <c r="GX56" s="21"/>
      <c r="GY56" s="21"/>
      <c r="GZ56" s="21"/>
      <c r="HA56" s="21"/>
      <c r="HB56" s="21"/>
      <c r="HC56" s="21"/>
      <c r="HD56" s="21"/>
      <c r="HE56" s="21"/>
      <c r="HF56" s="21"/>
      <c r="HG56" s="21"/>
      <c r="HH56" s="21"/>
      <c r="HI56" s="21"/>
      <c r="HJ56" s="21"/>
      <c r="HK56" s="21"/>
      <c r="HL56" s="21"/>
      <c r="HM56" s="21"/>
      <c r="HN56" s="21"/>
      <c r="HO56" s="21"/>
      <c r="HP56" s="21"/>
      <c r="HQ56" s="21"/>
      <c r="HR56" s="21"/>
      <c r="HS56" s="21"/>
      <c r="HT56" s="21"/>
      <c r="HU56" s="21"/>
      <c r="HV56" s="21"/>
      <c r="HW56" s="21"/>
      <c r="HX56" s="21"/>
      <c r="HY56" s="21"/>
      <c r="HZ56" s="21"/>
      <c r="IA56" s="21"/>
      <c r="IB56" s="21"/>
      <c r="IC56" s="21"/>
      <c r="ID56" s="21"/>
      <c r="IE56" s="21"/>
      <c r="IF56" s="21"/>
      <c r="IG56" s="21"/>
      <c r="IH56" s="21"/>
      <c r="II56" s="21"/>
      <c r="IJ56" s="21"/>
      <c r="IK56" s="21"/>
      <c r="IL56" s="21"/>
      <c r="IM56" s="21"/>
      <c r="IN56" s="21"/>
      <c r="IO56" s="21"/>
      <c r="IP56" s="21"/>
      <c r="IQ56" s="21"/>
      <c r="IR56" s="21"/>
      <c r="IS56" s="21"/>
      <c r="IT56" s="21"/>
      <c r="IU56" s="21"/>
      <c r="IV56" s="21"/>
      <c r="IW56" s="21"/>
    </row>
    <row r="57" customFormat="false" ht="12.75" hidden="false" customHeight="false" outlineLevel="0" collapsed="false">
      <c r="A57" s="831"/>
      <c r="B57" s="374" t="s">
        <v>569</v>
      </c>
      <c r="C57" s="374"/>
      <c r="D57" s="374"/>
      <c r="E57" s="835" t="str">
        <f aca="false">IF(E91=0," ",E53/E91)</f>
        <v> </v>
      </c>
      <c r="F57" s="835" t="str">
        <f aca="false">IF(F91=0," ",F53/F91)</f>
        <v> </v>
      </c>
      <c r="G57" s="835" t="str">
        <f aca="false">IF(G91=0," ",G53/G91)</f>
        <v> </v>
      </c>
      <c r="H57" s="835" t="str">
        <f aca="false">IF(H91=0," ",H53/H91)</f>
        <v> </v>
      </c>
      <c r="I57" s="835" t="str">
        <f aca="false">IF(I91=0," ",I53/I91)</f>
        <v> </v>
      </c>
      <c r="J57" s="835" t="str">
        <f aca="false">IF(J91=0," ",J53/J91)</f>
        <v> </v>
      </c>
      <c r="K57" s="835" t="str">
        <f aca="false">IF(K91=0," ",K53/K91)</f>
        <v> </v>
      </c>
      <c r="L57" s="835" t="str">
        <f aca="false">IF(L91=0," ",L53/L91)</f>
        <v> </v>
      </c>
      <c r="M57" s="835" t="str">
        <f aca="false">IF(M91=0," ",M53/M91)</f>
        <v> </v>
      </c>
      <c r="N57" s="835" t="str">
        <f aca="false">IF(N91=0," ",N53/N91)</f>
        <v> </v>
      </c>
      <c r="O57" s="835" t="str">
        <f aca="false">IF(O91=0," ",O53/O91)</f>
        <v> </v>
      </c>
      <c r="P57" s="835" t="str">
        <f aca="false">IF(P91=0," ",P53/P91)</f>
        <v> </v>
      </c>
      <c r="Q57" s="835" t="str">
        <f aca="false">IF(Q91=0," ",Q53/Q91)</f>
        <v> </v>
      </c>
      <c r="R57" s="835" t="str">
        <f aca="false">IF(R91=0," ",R53/R91)</f>
        <v> </v>
      </c>
      <c r="S57" s="835" t="str">
        <f aca="false">IF(S91=0," ",S53/S91)</f>
        <v> </v>
      </c>
      <c r="T57" s="835" t="str">
        <f aca="false">IF(T91=0," ",T53/T91)</f>
        <v> </v>
      </c>
      <c r="U57" s="835" t="str">
        <f aca="false">IF(U91=0," ",U53/U91)</f>
        <v> </v>
      </c>
      <c r="V57" s="835" t="str">
        <f aca="false">IF(V91=0," ",V53/V91)</f>
        <v> </v>
      </c>
      <c r="W57" s="835" t="str">
        <f aca="false">IF(W91=0," ",W53/W91)</f>
        <v> </v>
      </c>
      <c r="X57" s="835" t="str">
        <f aca="false">IF(X91=0," ",X53/X91)</f>
        <v> </v>
      </c>
      <c r="Y57" s="835" t="str">
        <f aca="false">IF(Y91=0," ",Y53/Y91)</f>
        <v> </v>
      </c>
      <c r="Z57" s="835" t="str">
        <f aca="false">IF(Z91=0," ",Z53/Z91)</f>
        <v> </v>
      </c>
      <c r="AA57" s="835" t="str">
        <f aca="false">IF(AA91=0," ",AA53/AA91)</f>
        <v> </v>
      </c>
      <c r="AB57" s="835" t="str">
        <f aca="false">IF(AB91=0," ",AB53/AB91)</f>
        <v> </v>
      </c>
      <c r="AC57" s="835" t="str">
        <f aca="false">IF(AC91=0," ",AC53/AC91)</f>
        <v> </v>
      </c>
      <c r="AD57" s="835" t="str">
        <f aca="false">IF(AD91=0," ",AD53/AD91)</f>
        <v> </v>
      </c>
      <c r="AE57" s="835" t="str">
        <f aca="false">IF(AE91=0," ",AE53/AE91)</f>
        <v> </v>
      </c>
      <c r="AF57" s="835" t="str">
        <f aca="false">IF(AF91=0," ",AF53/AF91)</f>
        <v> </v>
      </c>
      <c r="AG57" s="835" t="str">
        <f aca="false">IF(AG91=0," ",AG53/AG91)</f>
        <v> </v>
      </c>
      <c r="AH57" s="835" t="str">
        <f aca="false">IF(AH91=0," ",AH53/AH91)</f>
        <v> </v>
      </c>
      <c r="AI57" s="835" t="str">
        <f aca="false">IF(AI91=0," ",AI53/AI91)</f>
        <v> </v>
      </c>
      <c r="AJ57" s="374"/>
      <c r="AK57" s="808"/>
      <c r="AL57" s="374"/>
      <c r="AM57" s="809"/>
      <c r="AN57" s="809"/>
      <c r="AO57" s="809"/>
      <c r="AP57" s="809"/>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c r="FL57" s="21"/>
      <c r="FM57" s="21"/>
      <c r="FN57" s="21"/>
      <c r="FO57" s="21"/>
      <c r="FP57" s="21"/>
      <c r="FQ57" s="21"/>
      <c r="FR57" s="21"/>
      <c r="FS57" s="21"/>
      <c r="FT57" s="21"/>
      <c r="FU57" s="21"/>
      <c r="FV57" s="21"/>
      <c r="FW57" s="21"/>
      <c r="FX57" s="21"/>
      <c r="FY57" s="21"/>
      <c r="FZ57" s="21"/>
      <c r="GA57" s="21"/>
      <c r="GB57" s="21"/>
      <c r="GC57" s="21"/>
      <c r="GD57" s="21"/>
      <c r="GE57" s="21"/>
      <c r="GF57" s="21"/>
      <c r="GG57" s="21"/>
      <c r="GH57" s="21"/>
      <c r="GI57" s="21"/>
      <c r="GJ57" s="21"/>
      <c r="GK57" s="21"/>
      <c r="GL57" s="21"/>
      <c r="GM57" s="21"/>
      <c r="GN57" s="21"/>
      <c r="GO57" s="21"/>
      <c r="GP57" s="21"/>
      <c r="GQ57" s="21"/>
      <c r="GR57" s="21"/>
      <c r="GS57" s="21"/>
      <c r="GT57" s="21"/>
      <c r="GU57" s="21"/>
      <c r="GV57" s="21"/>
      <c r="GW57" s="21"/>
      <c r="GX57" s="21"/>
      <c r="GY57" s="21"/>
      <c r="GZ57" s="21"/>
      <c r="HA57" s="21"/>
      <c r="HB57" s="21"/>
      <c r="HC57" s="21"/>
      <c r="HD57" s="21"/>
      <c r="HE57" s="21"/>
      <c r="HF57" s="21"/>
      <c r="HG57" s="21"/>
      <c r="HH57" s="21"/>
      <c r="HI57" s="21"/>
      <c r="HJ57" s="21"/>
      <c r="HK57" s="21"/>
      <c r="HL57" s="21"/>
      <c r="HM57" s="21"/>
      <c r="HN57" s="21"/>
      <c r="HO57" s="21"/>
      <c r="HP57" s="21"/>
      <c r="HQ57" s="21"/>
      <c r="HR57" s="21"/>
      <c r="HS57" s="21"/>
      <c r="HT57" s="21"/>
      <c r="HU57" s="21"/>
      <c r="HV57" s="21"/>
      <c r="HW57" s="21"/>
      <c r="HX57" s="21"/>
      <c r="HY57" s="21"/>
      <c r="HZ57" s="21"/>
      <c r="IA57" s="21"/>
      <c r="IB57" s="21"/>
      <c r="IC57" s="21"/>
      <c r="ID57" s="21"/>
      <c r="IE57" s="21"/>
      <c r="IF57" s="21"/>
      <c r="IG57" s="21"/>
      <c r="IH57" s="21"/>
      <c r="II57" s="21"/>
      <c r="IJ57" s="21"/>
      <c r="IK57" s="21"/>
      <c r="IL57" s="21"/>
      <c r="IM57" s="21"/>
      <c r="IN57" s="21"/>
      <c r="IO57" s="21"/>
      <c r="IP57" s="21"/>
      <c r="IQ57" s="21"/>
      <c r="IR57" s="21"/>
      <c r="IS57" s="21"/>
      <c r="IT57" s="21"/>
      <c r="IU57" s="21"/>
      <c r="IV57" s="21"/>
      <c r="IW57" s="21"/>
    </row>
    <row r="58" customFormat="false" ht="12.75" hidden="false" customHeight="false" outlineLevel="0" collapsed="false">
      <c r="A58" s="831"/>
      <c r="B58" s="21"/>
      <c r="C58" s="21"/>
      <c r="D58" s="21"/>
      <c r="E58" s="21"/>
      <c r="F58" s="836"/>
      <c r="G58" s="833"/>
      <c r="H58" s="833"/>
      <c r="I58" s="833"/>
      <c r="J58" s="833"/>
      <c r="K58" s="833"/>
      <c r="L58" s="833"/>
      <c r="M58" s="833"/>
      <c r="N58" s="833"/>
      <c r="O58" s="833"/>
      <c r="P58" s="833"/>
      <c r="Q58" s="833"/>
      <c r="R58" s="833"/>
      <c r="S58" s="833"/>
      <c r="T58" s="833"/>
      <c r="U58" s="833"/>
      <c r="V58" s="833"/>
      <c r="W58" s="833"/>
      <c r="X58" s="833"/>
      <c r="Y58" s="833"/>
      <c r="Z58" s="833"/>
      <c r="AA58" s="833"/>
      <c r="AB58" s="833"/>
      <c r="AC58" s="833"/>
      <c r="AD58" s="833"/>
      <c r="AE58" s="833"/>
      <c r="AF58" s="833"/>
      <c r="AG58" s="833"/>
      <c r="AH58" s="833"/>
      <c r="AI58" s="833"/>
      <c r="AJ58" s="833"/>
      <c r="AK58" s="834"/>
      <c r="AL58" s="833"/>
      <c r="AM58" s="833"/>
      <c r="AN58" s="833"/>
      <c r="AO58" s="833"/>
      <c r="AP58" s="833"/>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21"/>
      <c r="EB58" s="21"/>
      <c r="EC58" s="21"/>
      <c r="ED58" s="21"/>
      <c r="EE58" s="21"/>
      <c r="EF58" s="21"/>
      <c r="EG58" s="21"/>
      <c r="EH58" s="21"/>
      <c r="EI58" s="21"/>
      <c r="EJ58" s="21"/>
      <c r="EK58" s="21"/>
      <c r="EL58" s="21"/>
      <c r="EM58" s="21"/>
      <c r="EN58" s="21"/>
      <c r="EO58" s="21"/>
      <c r="EP58" s="21"/>
      <c r="EQ58" s="21"/>
      <c r="ER58" s="21"/>
      <c r="ES58" s="21"/>
      <c r="ET58" s="21"/>
      <c r="EU58" s="21"/>
      <c r="EV58" s="21"/>
      <c r="EW58" s="21"/>
      <c r="EX58" s="21"/>
      <c r="EY58" s="21"/>
      <c r="EZ58" s="21"/>
      <c r="FA58" s="21"/>
      <c r="FB58" s="21"/>
      <c r="FC58" s="21"/>
      <c r="FD58" s="21"/>
      <c r="FE58" s="21"/>
      <c r="FF58" s="21"/>
      <c r="FG58" s="21"/>
      <c r="FH58" s="21"/>
      <c r="FI58" s="21"/>
      <c r="FJ58" s="21"/>
      <c r="FK58" s="21"/>
      <c r="FL58" s="21"/>
      <c r="FM58" s="21"/>
      <c r="FN58" s="21"/>
      <c r="FO58" s="21"/>
      <c r="FP58" s="21"/>
      <c r="FQ58" s="21"/>
      <c r="FR58" s="21"/>
      <c r="FS58" s="21"/>
      <c r="FT58" s="21"/>
      <c r="FU58" s="21"/>
      <c r="FV58" s="21"/>
      <c r="FW58" s="21"/>
      <c r="FX58" s="21"/>
      <c r="FY58" s="21"/>
      <c r="FZ58" s="21"/>
      <c r="GA58" s="21"/>
      <c r="GB58" s="21"/>
      <c r="GC58" s="21"/>
      <c r="GD58" s="21"/>
      <c r="GE58" s="21"/>
      <c r="GF58" s="21"/>
      <c r="GG58" s="21"/>
      <c r="GH58" s="21"/>
      <c r="GI58" s="21"/>
      <c r="GJ58" s="21"/>
      <c r="GK58" s="21"/>
      <c r="GL58" s="21"/>
      <c r="GM58" s="21"/>
      <c r="GN58" s="21"/>
      <c r="GO58" s="21"/>
      <c r="GP58" s="21"/>
      <c r="GQ58" s="21"/>
      <c r="GR58" s="21"/>
      <c r="GS58" s="21"/>
      <c r="GT58" s="21"/>
      <c r="GU58" s="21"/>
      <c r="GV58" s="21"/>
      <c r="GW58" s="21"/>
      <c r="GX58" s="21"/>
      <c r="GY58" s="21"/>
      <c r="GZ58" s="21"/>
      <c r="HA58" s="21"/>
      <c r="HB58" s="21"/>
      <c r="HC58" s="21"/>
      <c r="HD58" s="21"/>
      <c r="HE58" s="21"/>
      <c r="HF58" s="21"/>
      <c r="HG58" s="21"/>
      <c r="HH58" s="21"/>
      <c r="HI58" s="21"/>
      <c r="HJ58" s="21"/>
      <c r="HK58" s="21"/>
      <c r="HL58" s="21"/>
      <c r="HM58" s="21"/>
      <c r="HN58" s="21"/>
      <c r="HO58" s="21"/>
      <c r="HP58" s="21"/>
      <c r="HQ58" s="21"/>
      <c r="HR58" s="21"/>
      <c r="HS58" s="21"/>
      <c r="HT58" s="21"/>
      <c r="HU58" s="21"/>
      <c r="HV58" s="21"/>
      <c r="HW58" s="21"/>
      <c r="HX58" s="21"/>
      <c r="HY58" s="21"/>
      <c r="HZ58" s="21"/>
      <c r="IA58" s="21"/>
      <c r="IB58" s="21"/>
      <c r="IC58" s="21"/>
      <c r="ID58" s="21"/>
      <c r="IE58" s="21"/>
      <c r="IF58" s="21"/>
      <c r="IG58" s="21"/>
      <c r="IH58" s="21"/>
      <c r="II58" s="21"/>
      <c r="IJ58" s="21"/>
      <c r="IK58" s="21"/>
      <c r="IL58" s="21"/>
      <c r="IM58" s="21"/>
      <c r="IN58" s="21"/>
      <c r="IO58" s="21"/>
      <c r="IP58" s="21"/>
      <c r="IQ58" s="21"/>
      <c r="IR58" s="21"/>
      <c r="IS58" s="21"/>
      <c r="IT58" s="21"/>
      <c r="IU58" s="21"/>
      <c r="IV58" s="21"/>
      <c r="IW58" s="21"/>
    </row>
    <row r="59" customFormat="false" ht="12.75" hidden="false" customHeight="false" outlineLevel="0" collapsed="false">
      <c r="A59" s="831"/>
      <c r="B59" s="833" t="s">
        <v>559</v>
      </c>
      <c r="C59" s="833"/>
      <c r="D59" s="833"/>
      <c r="E59" s="837" t="n">
        <f aca="false">Assum!E268</f>
        <v>0.07</v>
      </c>
      <c r="F59" s="837" t="n">
        <f aca="false">Assum!F268</f>
        <v>0.07</v>
      </c>
      <c r="G59" s="837" t="n">
        <f aca="false">Assum!G268</f>
        <v>0.07</v>
      </c>
      <c r="H59" s="837" t="n">
        <f aca="false">Assum!H268</f>
        <v>0.07</v>
      </c>
      <c r="I59" s="837" t="n">
        <f aca="false">Assum!I268</f>
        <v>0.07</v>
      </c>
      <c r="J59" s="837" t="n">
        <f aca="false">Assum!J268</f>
        <v>0.07</v>
      </c>
      <c r="K59" s="837" t="n">
        <f aca="false">Assum!K268</f>
        <v>0.07</v>
      </c>
      <c r="L59" s="837" t="n">
        <f aca="false">Assum!L268</f>
        <v>0.07</v>
      </c>
      <c r="M59" s="837" t="n">
        <f aca="false">Assum!M268</f>
        <v>0.07</v>
      </c>
      <c r="N59" s="837" t="n">
        <f aca="false">Assum!N268</f>
        <v>0.07</v>
      </c>
      <c r="O59" s="837" t="n">
        <f aca="false">Assum!O268</f>
        <v>0.07</v>
      </c>
      <c r="P59" s="837" t="n">
        <f aca="false">Assum!P268</f>
        <v>0.07</v>
      </c>
      <c r="Q59" s="837" t="n">
        <f aca="false">Assum!Q268</f>
        <v>0.07</v>
      </c>
      <c r="R59" s="837" t="n">
        <f aca="false">Assum!R268</f>
        <v>0.07</v>
      </c>
      <c r="S59" s="837" t="n">
        <f aca="false">Assum!S268</f>
        <v>0.07</v>
      </c>
      <c r="T59" s="837" t="n">
        <f aca="false">Assum!T268</f>
        <v>0.07</v>
      </c>
      <c r="U59" s="837" t="n">
        <f aca="false">Assum!U268</f>
        <v>0.07</v>
      </c>
      <c r="V59" s="837" t="n">
        <f aca="false">Assum!V268</f>
        <v>0.07</v>
      </c>
      <c r="W59" s="837" t="n">
        <f aca="false">Assum!W268</f>
        <v>0.07</v>
      </c>
      <c r="X59" s="837" t="n">
        <f aca="false">Assum!X268</f>
        <v>0.07</v>
      </c>
      <c r="Y59" s="837" t="n">
        <f aca="false">Assum!Y268</f>
        <v>0.07</v>
      </c>
      <c r="Z59" s="837" t="n">
        <f aca="false">Assum!Z268</f>
        <v>0.07</v>
      </c>
      <c r="AA59" s="837" t="n">
        <f aca="false">Assum!AA268</f>
        <v>0.07</v>
      </c>
      <c r="AB59" s="837" t="n">
        <f aca="false">Assum!AB268</f>
        <v>0.07</v>
      </c>
      <c r="AC59" s="837" t="n">
        <f aca="false">Assum!AC268</f>
        <v>0.07</v>
      </c>
      <c r="AD59" s="837" t="n">
        <f aca="false">Assum!AD268</f>
        <v>0.07</v>
      </c>
      <c r="AE59" s="837" t="n">
        <f aca="false">Assum!AE268</f>
        <v>0.07</v>
      </c>
      <c r="AF59" s="837" t="n">
        <f aca="false">Assum!AF268</f>
        <v>0.07</v>
      </c>
      <c r="AG59" s="837" t="n">
        <f aca="false">Assum!AG268</f>
        <v>0.07</v>
      </c>
      <c r="AH59" s="837" t="n">
        <f aca="false">Assum!AH268</f>
        <v>0.07</v>
      </c>
      <c r="AI59" s="837" t="n">
        <f aca="false">Assum!AI268</f>
        <v>0.07</v>
      </c>
      <c r="AJ59" s="833"/>
      <c r="AK59" s="834"/>
      <c r="AL59" s="833"/>
      <c r="AM59" s="833"/>
      <c r="AN59" s="833"/>
      <c r="AO59" s="833"/>
      <c r="AP59" s="833"/>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c r="FX59" s="21"/>
      <c r="FY59" s="21"/>
      <c r="FZ59" s="21"/>
      <c r="GA59" s="21"/>
      <c r="GB59" s="21"/>
      <c r="GC59" s="21"/>
      <c r="GD59" s="21"/>
      <c r="GE59" s="21"/>
      <c r="GF59" s="21"/>
      <c r="GG59" s="21"/>
      <c r="GH59" s="21"/>
      <c r="GI59" s="21"/>
      <c r="GJ59" s="21"/>
      <c r="GK59" s="21"/>
      <c r="GL59" s="21"/>
      <c r="GM59" s="21"/>
      <c r="GN59" s="21"/>
      <c r="GO59" s="21"/>
      <c r="GP59" s="21"/>
      <c r="GQ59" s="21"/>
      <c r="GR59" s="21"/>
      <c r="GS59" s="21"/>
      <c r="GT59" s="21"/>
      <c r="GU59" s="21"/>
      <c r="GV59" s="21"/>
      <c r="GW59" s="21"/>
      <c r="GX59" s="21"/>
      <c r="GY59" s="21"/>
      <c r="GZ59" s="21"/>
      <c r="HA59" s="21"/>
      <c r="HB59" s="21"/>
      <c r="HC59" s="21"/>
      <c r="HD59" s="21"/>
      <c r="HE59" s="21"/>
      <c r="HF59" s="21"/>
      <c r="HG59" s="21"/>
      <c r="HH59" s="21"/>
      <c r="HI59" s="21"/>
      <c r="HJ59" s="21"/>
      <c r="HK59" s="21"/>
      <c r="HL59" s="21"/>
      <c r="HM59" s="21"/>
      <c r="HN59" s="21"/>
      <c r="HO59" s="21"/>
      <c r="HP59" s="21"/>
      <c r="HQ59" s="21"/>
      <c r="HR59" s="21"/>
      <c r="HS59" s="21"/>
      <c r="HT59" s="21"/>
      <c r="HU59" s="21"/>
      <c r="HV59" s="21"/>
      <c r="HW59" s="21"/>
      <c r="HX59" s="21"/>
      <c r="HY59" s="21"/>
      <c r="HZ59" s="21"/>
      <c r="IA59" s="21"/>
      <c r="IB59" s="21"/>
      <c r="IC59" s="21"/>
      <c r="ID59" s="21"/>
      <c r="IE59" s="21"/>
      <c r="IF59" s="21"/>
      <c r="IG59" s="21"/>
      <c r="IH59" s="21"/>
      <c r="II59" s="21"/>
      <c r="IJ59" s="21"/>
      <c r="IK59" s="21"/>
      <c r="IL59" s="21"/>
      <c r="IM59" s="21"/>
      <c r="IN59" s="21"/>
      <c r="IO59" s="21"/>
      <c r="IP59" s="21"/>
      <c r="IQ59" s="21"/>
      <c r="IR59" s="21"/>
      <c r="IS59" s="21"/>
      <c r="IT59" s="21"/>
      <c r="IU59" s="21"/>
      <c r="IV59" s="21"/>
      <c r="IW59" s="21"/>
    </row>
    <row r="60" customFormat="false" ht="12.75" hidden="false" customHeight="false" outlineLevel="0" collapsed="false">
      <c r="A60" s="831"/>
      <c r="B60" s="758" t="s">
        <v>570</v>
      </c>
      <c r="C60" s="758"/>
      <c r="D60" s="758"/>
      <c r="E60" s="838" t="n">
        <f aca="false">PV(E59,E$1,0,-1,0)</f>
        <v>0.934579439252336</v>
      </c>
      <c r="F60" s="838" t="n">
        <f aca="false">PV(F59,F$1,0,-1,0)</f>
        <v>0.873438728273212</v>
      </c>
      <c r="G60" s="838" t="n">
        <f aca="false">PV(G59,G$1,0,-1,0)</f>
        <v>0.816297876890852</v>
      </c>
      <c r="H60" s="838" t="n">
        <f aca="false">PV(H59,H$1,0,-1,0)</f>
        <v>0.762895212047525</v>
      </c>
      <c r="I60" s="838" t="n">
        <f aca="false">PV(I59,I$1,0,-1,0)</f>
        <v>0.712986179483668</v>
      </c>
      <c r="J60" s="838" t="n">
        <f aca="false">PV(J59,J$1,0,-1,0)</f>
        <v>0.666342223816512</v>
      </c>
      <c r="K60" s="838" t="n">
        <f aca="false">PV(K59,K$1,0,-1,0)</f>
        <v>0.622749741884591</v>
      </c>
      <c r="L60" s="838" t="n">
        <f aca="false">PV(L59,L$1,0,-1,0)</f>
        <v>0.582009104565038</v>
      </c>
      <c r="M60" s="838" t="n">
        <f aca="false">PV(M59,M$1,0,-1,0)</f>
        <v>0.543933742584148</v>
      </c>
      <c r="N60" s="838" t="n">
        <f aca="false">PV(N59,N$1,0,-1,0)</f>
        <v>0.508349292134718</v>
      </c>
      <c r="O60" s="838" t="n">
        <f aca="false">PV(O59,O$1,0,-1,0)</f>
        <v>0.475092796387587</v>
      </c>
      <c r="P60" s="838" t="n">
        <f aca="false">PV(P59,P$1,0,-1,0)</f>
        <v>0.444011959240735</v>
      </c>
      <c r="Q60" s="838" t="n">
        <f aca="false">PV(Q59,Q$1,0,-1,0)</f>
        <v>0.414964447888537</v>
      </c>
      <c r="R60" s="838" t="n">
        <f aca="false">PV(R59,R$1,0,-1,0)</f>
        <v>0.387817241017325</v>
      </c>
      <c r="S60" s="838" t="n">
        <f aca="false">PV(S59,S$1,0,-1,0)</f>
        <v>0.362446019642359</v>
      </c>
      <c r="T60" s="838" t="n">
        <f aca="false">PV(T59,T$1,0,-1,0)</f>
        <v>0.338734597796598</v>
      </c>
      <c r="U60" s="838" t="n">
        <f aca="false">PV(U59,U$1,0,-1,0)</f>
        <v>0.31657439046411</v>
      </c>
      <c r="V60" s="838" t="n">
        <f aca="false">PV(V59,V$1,0,-1,0)</f>
        <v>0.295863916321598</v>
      </c>
      <c r="W60" s="838" t="n">
        <f aca="false">PV(W59,W$1,0,-1,0)</f>
        <v>0.276508333010839</v>
      </c>
      <c r="X60" s="838" t="n">
        <f aca="false">PV(X59,X$1,0,-1,0)</f>
        <v>0.258419002813868</v>
      </c>
      <c r="Y60" s="838" t="n">
        <f aca="false">PV(Y59,Y$1,0,-1,0)</f>
        <v>0.241513086741933</v>
      </c>
      <c r="Z60" s="838" t="n">
        <f aca="false">PV(Z59,Z$1,0,-1,0)</f>
        <v>0.225713165179377</v>
      </c>
      <c r="AA60" s="838" t="n">
        <f aca="false">PV(AA59,AA$1,0,-1,0)</f>
        <v>0.210946883345212</v>
      </c>
      <c r="AB60" s="838" t="n">
        <f aca="false">PV(AB59,AB$1,0,-1,0)</f>
        <v>0.197146619948796</v>
      </c>
      <c r="AC60" s="838" t="n">
        <f aca="false">PV(AC59,AC$1,0,-1,0)</f>
        <v>0.184249177522239</v>
      </c>
      <c r="AD60" s="838" t="n">
        <f aca="false">PV(AD59,AD$1,0,-1,0)</f>
        <v>0.172195493011439</v>
      </c>
      <c r="AE60" s="838" t="n">
        <f aca="false">PV(AE59,AE$1,0,-1,0)</f>
        <v>0.16093036730041</v>
      </c>
      <c r="AF60" s="838" t="n">
        <f aca="false">PV(AF59,AF$1,0,-1,0)</f>
        <v>0.15040221243029</v>
      </c>
      <c r="AG60" s="838" t="n">
        <f aca="false">PV(AG59,AG$1,0,-1,0)</f>
        <v>0.140562815355411</v>
      </c>
      <c r="AH60" s="838" t="n">
        <f aca="false">PV(AH59,AH$1,0,-1,0)</f>
        <v>0.13136711715459</v>
      </c>
      <c r="AI60" s="838" t="n">
        <f aca="false">PV(AI59,AI$1,0,-1,0)</f>
        <v>0.122773006686532</v>
      </c>
      <c r="AJ60" s="758"/>
      <c r="AK60" s="762"/>
      <c r="AL60" s="758"/>
      <c r="AM60" s="763"/>
      <c r="AN60" s="763"/>
      <c r="AO60" s="763"/>
      <c r="AP60" s="763"/>
      <c r="AQ60" s="764"/>
      <c r="AR60" s="764"/>
      <c r="AS60" s="764"/>
      <c r="AT60" s="764"/>
      <c r="AU60" s="764"/>
      <c r="AV60" s="764"/>
      <c r="AW60" s="764"/>
      <c r="AX60" s="764"/>
      <c r="AY60" s="764"/>
      <c r="AZ60" s="764"/>
      <c r="BA60" s="764"/>
      <c r="BB60" s="764"/>
      <c r="BC60" s="764"/>
      <c r="BD60" s="764"/>
      <c r="BE60" s="764"/>
      <c r="BF60" s="764"/>
      <c r="BG60" s="764"/>
      <c r="BH60" s="764"/>
      <c r="BI60" s="764"/>
      <c r="BJ60" s="764"/>
      <c r="BK60" s="764"/>
      <c r="BL60" s="764"/>
      <c r="BM60" s="764"/>
      <c r="BN60" s="764"/>
      <c r="BO60" s="764"/>
      <c r="BP60" s="764"/>
      <c r="BQ60" s="764"/>
      <c r="BR60" s="764"/>
      <c r="BS60" s="764"/>
      <c r="BT60" s="764"/>
      <c r="BU60" s="764"/>
      <c r="BV60" s="764"/>
      <c r="BW60" s="764"/>
      <c r="BX60" s="764"/>
      <c r="BY60" s="764"/>
      <c r="BZ60" s="764"/>
      <c r="CA60" s="764"/>
      <c r="CB60" s="764"/>
      <c r="CC60" s="764"/>
      <c r="CD60" s="764"/>
      <c r="CE60" s="764"/>
      <c r="CF60" s="764"/>
      <c r="CG60" s="764"/>
      <c r="CH60" s="764"/>
      <c r="CI60" s="764"/>
      <c r="CJ60" s="764"/>
      <c r="CK60" s="764"/>
      <c r="CL60" s="764"/>
      <c r="CM60" s="764"/>
      <c r="CN60" s="764"/>
      <c r="CO60" s="764"/>
      <c r="CP60" s="764"/>
      <c r="CQ60" s="764"/>
      <c r="CR60" s="764"/>
      <c r="CS60" s="764"/>
      <c r="CT60" s="764"/>
      <c r="CU60" s="764"/>
      <c r="CV60" s="764"/>
      <c r="CW60" s="764"/>
      <c r="CX60" s="764"/>
      <c r="CY60" s="764"/>
      <c r="CZ60" s="764"/>
      <c r="DA60" s="764"/>
      <c r="DB60" s="764"/>
      <c r="DC60" s="764"/>
      <c r="DD60" s="764"/>
      <c r="DE60" s="764"/>
      <c r="DF60" s="764"/>
      <c r="DG60" s="764"/>
      <c r="DH60" s="764"/>
      <c r="DI60" s="764"/>
      <c r="DJ60" s="764"/>
      <c r="DK60" s="764"/>
      <c r="DL60" s="764"/>
      <c r="DM60" s="764"/>
      <c r="DN60" s="764"/>
      <c r="DO60" s="764"/>
      <c r="DP60" s="764"/>
      <c r="DQ60" s="764"/>
      <c r="DR60" s="764"/>
      <c r="DS60" s="764"/>
      <c r="DT60" s="764"/>
      <c r="DU60" s="764"/>
      <c r="DV60" s="764"/>
      <c r="DW60" s="764"/>
      <c r="DX60" s="764"/>
      <c r="DY60" s="764"/>
      <c r="DZ60" s="764"/>
      <c r="EA60" s="764"/>
      <c r="EB60" s="764"/>
      <c r="EC60" s="764"/>
      <c r="ED60" s="764"/>
      <c r="EE60" s="764"/>
      <c r="EF60" s="764"/>
      <c r="EG60" s="764"/>
      <c r="EH60" s="764"/>
      <c r="EI60" s="764"/>
      <c r="EJ60" s="764"/>
      <c r="EK60" s="764"/>
      <c r="EL60" s="764"/>
      <c r="EM60" s="764"/>
      <c r="EN60" s="764"/>
      <c r="EO60" s="764"/>
      <c r="EP60" s="764"/>
      <c r="EQ60" s="764"/>
      <c r="ER60" s="764"/>
      <c r="ES60" s="764"/>
      <c r="ET60" s="764"/>
      <c r="EU60" s="764"/>
      <c r="EV60" s="764"/>
      <c r="EW60" s="764"/>
      <c r="EX60" s="764"/>
      <c r="EY60" s="764"/>
      <c r="EZ60" s="764"/>
      <c r="FA60" s="764"/>
      <c r="FB60" s="764"/>
      <c r="FC60" s="764"/>
      <c r="FD60" s="764"/>
      <c r="FE60" s="764"/>
      <c r="FF60" s="764"/>
      <c r="FG60" s="764"/>
      <c r="FH60" s="764"/>
      <c r="FI60" s="764"/>
      <c r="FJ60" s="764"/>
      <c r="FK60" s="764"/>
      <c r="FL60" s="764"/>
      <c r="FM60" s="764"/>
      <c r="FN60" s="764"/>
      <c r="FO60" s="764"/>
      <c r="FP60" s="764"/>
      <c r="FQ60" s="764"/>
      <c r="FR60" s="764"/>
      <c r="FS60" s="764"/>
      <c r="FT60" s="764"/>
      <c r="FU60" s="764"/>
      <c r="FV60" s="764"/>
      <c r="FW60" s="764"/>
      <c r="FX60" s="764"/>
      <c r="FY60" s="764"/>
      <c r="FZ60" s="764"/>
      <c r="GA60" s="764"/>
      <c r="GB60" s="764"/>
      <c r="GC60" s="764"/>
      <c r="GD60" s="764"/>
      <c r="GE60" s="764"/>
      <c r="GF60" s="764"/>
      <c r="GG60" s="764"/>
      <c r="GH60" s="764"/>
      <c r="GI60" s="764"/>
      <c r="GJ60" s="764"/>
      <c r="GK60" s="764"/>
      <c r="GL60" s="764"/>
      <c r="GM60" s="764"/>
      <c r="GN60" s="764"/>
      <c r="GO60" s="764"/>
      <c r="GP60" s="764"/>
      <c r="GQ60" s="764"/>
      <c r="GR60" s="764"/>
      <c r="GS60" s="764"/>
      <c r="GT60" s="764"/>
      <c r="GU60" s="764"/>
      <c r="GV60" s="764"/>
      <c r="GW60" s="764"/>
      <c r="GX60" s="764"/>
      <c r="GY60" s="764"/>
      <c r="GZ60" s="764"/>
      <c r="HA60" s="764"/>
      <c r="HB60" s="764"/>
      <c r="HC60" s="764"/>
      <c r="HD60" s="764"/>
      <c r="HE60" s="764"/>
      <c r="HF60" s="764"/>
      <c r="HG60" s="764"/>
      <c r="HH60" s="764"/>
      <c r="HI60" s="764"/>
      <c r="HJ60" s="764"/>
      <c r="HK60" s="764"/>
      <c r="HL60" s="764"/>
      <c r="HM60" s="764"/>
      <c r="HN60" s="764"/>
      <c r="HO60" s="764"/>
      <c r="HP60" s="764"/>
      <c r="HQ60" s="764"/>
      <c r="HR60" s="764"/>
      <c r="HS60" s="764"/>
      <c r="HT60" s="764"/>
      <c r="HU60" s="764"/>
      <c r="HV60" s="764"/>
      <c r="HW60" s="764"/>
      <c r="HX60" s="764"/>
      <c r="HY60" s="764"/>
      <c r="HZ60" s="764"/>
      <c r="IA60" s="764"/>
      <c r="IB60" s="764"/>
      <c r="IC60" s="764"/>
      <c r="ID60" s="764"/>
      <c r="IE60" s="764"/>
      <c r="IF60" s="764"/>
      <c r="IG60" s="764"/>
      <c r="IH60" s="764"/>
      <c r="II60" s="764"/>
      <c r="IJ60" s="764"/>
      <c r="IK60" s="764"/>
      <c r="IL60" s="764"/>
      <c r="IM60" s="764"/>
      <c r="IN60" s="764"/>
      <c r="IO60" s="764"/>
      <c r="IP60" s="764"/>
      <c r="IQ60" s="764"/>
      <c r="IR60" s="764"/>
      <c r="IS60" s="764"/>
      <c r="IT60" s="764"/>
      <c r="IU60" s="764"/>
      <c r="IV60" s="764"/>
      <c r="IW60" s="764"/>
    </row>
    <row r="61" customFormat="false" ht="12.75" hidden="false" customHeight="false" outlineLevel="0" collapsed="false">
      <c r="A61" s="831"/>
      <c r="B61" s="764"/>
      <c r="C61" s="764"/>
      <c r="D61" s="758"/>
      <c r="E61" s="764"/>
      <c r="F61" s="839"/>
      <c r="G61" s="839"/>
      <c r="H61" s="839"/>
      <c r="I61" s="839"/>
      <c r="J61" s="839"/>
      <c r="K61" s="839"/>
      <c r="L61" s="839"/>
      <c r="M61" s="839"/>
      <c r="N61" s="839"/>
      <c r="O61" s="839"/>
      <c r="P61" s="839"/>
      <c r="Q61" s="839"/>
      <c r="R61" s="839"/>
      <c r="S61" s="839"/>
      <c r="T61" s="839"/>
      <c r="U61" s="839"/>
      <c r="V61" s="839"/>
      <c r="W61" s="839"/>
      <c r="X61" s="839"/>
      <c r="Y61" s="839"/>
      <c r="Z61" s="839"/>
      <c r="AA61" s="839"/>
      <c r="AB61" s="839"/>
      <c r="AC61" s="839"/>
      <c r="AD61" s="839"/>
      <c r="AE61" s="839"/>
      <c r="AF61" s="839"/>
      <c r="AG61" s="839"/>
      <c r="AH61" s="839"/>
      <c r="AI61" s="839"/>
      <c r="AJ61" s="758"/>
      <c r="AK61" s="762"/>
      <c r="AL61" s="758"/>
      <c r="AM61" s="763"/>
      <c r="AN61" s="763"/>
      <c r="AO61" s="763"/>
      <c r="AP61" s="763"/>
      <c r="AQ61" s="764"/>
      <c r="AR61" s="764"/>
      <c r="AS61" s="764"/>
      <c r="AT61" s="764"/>
      <c r="AU61" s="764"/>
      <c r="AV61" s="764"/>
      <c r="AW61" s="764"/>
      <c r="AX61" s="764"/>
      <c r="AY61" s="764"/>
      <c r="AZ61" s="764"/>
      <c r="BA61" s="764"/>
      <c r="BB61" s="764"/>
      <c r="BC61" s="764"/>
      <c r="BD61" s="764"/>
      <c r="BE61" s="764"/>
      <c r="BF61" s="764"/>
      <c r="BG61" s="764"/>
      <c r="BH61" s="764"/>
      <c r="BI61" s="764"/>
      <c r="BJ61" s="764"/>
      <c r="BK61" s="764"/>
      <c r="BL61" s="764"/>
      <c r="BM61" s="764"/>
      <c r="BN61" s="764"/>
      <c r="BO61" s="764"/>
      <c r="BP61" s="764"/>
      <c r="BQ61" s="764"/>
      <c r="BR61" s="764"/>
      <c r="BS61" s="764"/>
      <c r="BT61" s="764"/>
      <c r="BU61" s="764"/>
      <c r="BV61" s="764"/>
      <c r="BW61" s="764"/>
      <c r="BX61" s="764"/>
      <c r="BY61" s="764"/>
      <c r="BZ61" s="764"/>
      <c r="CA61" s="764"/>
      <c r="CB61" s="764"/>
      <c r="CC61" s="764"/>
      <c r="CD61" s="764"/>
      <c r="CE61" s="764"/>
      <c r="CF61" s="764"/>
      <c r="CG61" s="764"/>
      <c r="CH61" s="764"/>
      <c r="CI61" s="764"/>
      <c r="CJ61" s="764"/>
      <c r="CK61" s="764"/>
      <c r="CL61" s="764"/>
      <c r="CM61" s="764"/>
      <c r="CN61" s="764"/>
      <c r="CO61" s="764"/>
      <c r="CP61" s="764"/>
      <c r="CQ61" s="764"/>
      <c r="CR61" s="764"/>
      <c r="CS61" s="764"/>
      <c r="CT61" s="764"/>
      <c r="CU61" s="764"/>
      <c r="CV61" s="764"/>
      <c r="CW61" s="764"/>
      <c r="CX61" s="764"/>
      <c r="CY61" s="764"/>
      <c r="CZ61" s="764"/>
      <c r="DA61" s="764"/>
      <c r="DB61" s="764"/>
      <c r="DC61" s="764"/>
      <c r="DD61" s="764"/>
      <c r="DE61" s="764"/>
      <c r="DF61" s="764"/>
      <c r="DG61" s="764"/>
      <c r="DH61" s="764"/>
      <c r="DI61" s="764"/>
      <c r="DJ61" s="764"/>
      <c r="DK61" s="764"/>
      <c r="DL61" s="764"/>
      <c r="DM61" s="764"/>
      <c r="DN61" s="764"/>
      <c r="DO61" s="764"/>
      <c r="DP61" s="764"/>
      <c r="DQ61" s="764"/>
      <c r="DR61" s="764"/>
      <c r="DS61" s="764"/>
      <c r="DT61" s="764"/>
      <c r="DU61" s="764"/>
      <c r="DV61" s="764"/>
      <c r="DW61" s="764"/>
      <c r="DX61" s="764"/>
      <c r="DY61" s="764"/>
      <c r="DZ61" s="764"/>
      <c r="EA61" s="764"/>
      <c r="EB61" s="764"/>
      <c r="EC61" s="764"/>
      <c r="ED61" s="764"/>
      <c r="EE61" s="764"/>
      <c r="EF61" s="764"/>
      <c r="EG61" s="764"/>
      <c r="EH61" s="764"/>
      <c r="EI61" s="764"/>
      <c r="EJ61" s="764"/>
      <c r="EK61" s="764"/>
      <c r="EL61" s="764"/>
      <c r="EM61" s="764"/>
      <c r="EN61" s="764"/>
      <c r="EO61" s="764"/>
      <c r="EP61" s="764"/>
      <c r="EQ61" s="764"/>
      <c r="ER61" s="764"/>
      <c r="ES61" s="764"/>
      <c r="ET61" s="764"/>
      <c r="EU61" s="764"/>
      <c r="EV61" s="764"/>
      <c r="EW61" s="764"/>
      <c r="EX61" s="764"/>
      <c r="EY61" s="764"/>
      <c r="EZ61" s="764"/>
      <c r="FA61" s="764"/>
      <c r="FB61" s="764"/>
      <c r="FC61" s="764"/>
      <c r="FD61" s="764"/>
      <c r="FE61" s="764"/>
      <c r="FF61" s="764"/>
      <c r="FG61" s="764"/>
      <c r="FH61" s="764"/>
      <c r="FI61" s="764"/>
      <c r="FJ61" s="764"/>
      <c r="FK61" s="764"/>
      <c r="FL61" s="764"/>
      <c r="FM61" s="764"/>
      <c r="FN61" s="764"/>
      <c r="FO61" s="764"/>
      <c r="FP61" s="764"/>
      <c r="FQ61" s="764"/>
      <c r="FR61" s="764"/>
      <c r="FS61" s="764"/>
      <c r="FT61" s="764"/>
      <c r="FU61" s="764"/>
      <c r="FV61" s="764"/>
      <c r="FW61" s="764"/>
      <c r="FX61" s="764"/>
      <c r="FY61" s="764"/>
      <c r="FZ61" s="764"/>
      <c r="GA61" s="764"/>
      <c r="GB61" s="764"/>
      <c r="GC61" s="764"/>
      <c r="GD61" s="764"/>
      <c r="GE61" s="764"/>
      <c r="GF61" s="764"/>
      <c r="GG61" s="764"/>
      <c r="GH61" s="764"/>
      <c r="GI61" s="764"/>
      <c r="GJ61" s="764"/>
      <c r="GK61" s="764"/>
      <c r="GL61" s="764"/>
      <c r="GM61" s="764"/>
      <c r="GN61" s="764"/>
      <c r="GO61" s="764"/>
      <c r="GP61" s="764"/>
      <c r="GQ61" s="764"/>
      <c r="GR61" s="764"/>
      <c r="GS61" s="764"/>
      <c r="GT61" s="764"/>
      <c r="GU61" s="764"/>
      <c r="GV61" s="764"/>
      <c r="GW61" s="764"/>
      <c r="GX61" s="764"/>
      <c r="GY61" s="764"/>
      <c r="GZ61" s="764"/>
      <c r="HA61" s="764"/>
      <c r="HB61" s="764"/>
      <c r="HC61" s="764"/>
      <c r="HD61" s="764"/>
      <c r="HE61" s="764"/>
      <c r="HF61" s="764"/>
      <c r="HG61" s="764"/>
      <c r="HH61" s="764"/>
      <c r="HI61" s="764"/>
      <c r="HJ61" s="764"/>
      <c r="HK61" s="764"/>
      <c r="HL61" s="764"/>
      <c r="HM61" s="764"/>
      <c r="HN61" s="764"/>
      <c r="HO61" s="764"/>
      <c r="HP61" s="764"/>
      <c r="HQ61" s="764"/>
      <c r="HR61" s="764"/>
      <c r="HS61" s="764"/>
      <c r="HT61" s="764"/>
      <c r="HU61" s="764"/>
      <c r="HV61" s="764"/>
      <c r="HW61" s="764"/>
      <c r="HX61" s="764"/>
      <c r="HY61" s="764"/>
      <c r="HZ61" s="764"/>
      <c r="IA61" s="764"/>
      <c r="IB61" s="764"/>
      <c r="IC61" s="764"/>
      <c r="ID61" s="764"/>
      <c r="IE61" s="764"/>
      <c r="IF61" s="764"/>
      <c r="IG61" s="764"/>
      <c r="IH61" s="764"/>
      <c r="II61" s="764"/>
      <c r="IJ61" s="764"/>
      <c r="IK61" s="764"/>
      <c r="IL61" s="764"/>
      <c r="IM61" s="764"/>
      <c r="IN61" s="764"/>
      <c r="IO61" s="764"/>
      <c r="IP61" s="764"/>
      <c r="IQ61" s="764"/>
      <c r="IR61" s="764"/>
      <c r="IS61" s="764"/>
      <c r="IT61" s="764"/>
      <c r="IU61" s="764"/>
      <c r="IV61" s="764"/>
      <c r="IW61" s="764"/>
    </row>
    <row r="62" customFormat="false" ht="12.75" hidden="false" customHeight="false" outlineLevel="0" collapsed="false">
      <c r="A62" s="831"/>
      <c r="B62" s="840" t="s">
        <v>571</v>
      </c>
      <c r="C62" s="840"/>
      <c r="D62" s="313" t="e">
        <f aca="false">D53/D56</f>
        <v>#DIV/0!</v>
      </c>
      <c r="E62" s="313" t="n">
        <f aca="false">E53/E56</f>
        <v>0</v>
      </c>
      <c r="F62" s="313" t="n">
        <f aca="false">F53/F56</f>
        <v>0</v>
      </c>
      <c r="G62" s="313" t="n">
        <f aca="false">G53/G56</f>
        <v>0</v>
      </c>
      <c r="H62" s="313" t="n">
        <f aca="false">H53/H56</f>
        <v>0</v>
      </c>
      <c r="I62" s="313" t="n">
        <f aca="false">I53/I56</f>
        <v>0</v>
      </c>
      <c r="J62" s="313" t="n">
        <f aca="false">J53/J56</f>
        <v>0</v>
      </c>
      <c r="K62" s="313" t="n">
        <f aca="false">K53/K56</f>
        <v>0</v>
      </c>
      <c r="L62" s="313" t="n">
        <f aca="false">L53/L56</f>
        <v>0</v>
      </c>
      <c r="M62" s="313" t="n">
        <f aca="false">M53/M56</f>
        <v>0</v>
      </c>
      <c r="N62" s="313" t="n">
        <f aca="false">N53/N56</f>
        <v>0</v>
      </c>
      <c r="O62" s="313" t="n">
        <f aca="false">O53/O56</f>
        <v>0</v>
      </c>
      <c r="P62" s="313" t="n">
        <f aca="false">P53/P56</f>
        <v>0</v>
      </c>
      <c r="Q62" s="313" t="n">
        <f aca="false">Q53/Q56</f>
        <v>0</v>
      </c>
      <c r="R62" s="313" t="n">
        <f aca="false">R53/R56</f>
        <v>0</v>
      </c>
      <c r="S62" s="313" t="n">
        <f aca="false">S53/S56</f>
        <v>0</v>
      </c>
      <c r="T62" s="313" t="n">
        <f aca="false">T53/T56</f>
        <v>0</v>
      </c>
      <c r="U62" s="313" t="n">
        <f aca="false">U53/U56</f>
        <v>0</v>
      </c>
      <c r="V62" s="313" t="n">
        <f aca="false">V53/V56</f>
        <v>0</v>
      </c>
      <c r="W62" s="313" t="n">
        <f aca="false">W53/W56</f>
        <v>0</v>
      </c>
      <c r="X62" s="313" t="n">
        <f aca="false">X53/X56</f>
        <v>0</v>
      </c>
      <c r="Y62" s="313" t="n">
        <f aca="false">Y53/Y56</f>
        <v>0</v>
      </c>
      <c r="Z62" s="313" t="n">
        <f aca="false">Z53/Z56</f>
        <v>0</v>
      </c>
      <c r="AA62" s="313" t="n">
        <f aca="false">AA53/AA56</f>
        <v>0</v>
      </c>
      <c r="AB62" s="313" t="n">
        <f aca="false">AB53/AB56</f>
        <v>0</v>
      </c>
      <c r="AC62" s="313" t="n">
        <f aca="false">AC53/AC56</f>
        <v>0</v>
      </c>
      <c r="AD62" s="313" t="n">
        <f aca="false">AD53/AD56</f>
        <v>0</v>
      </c>
      <c r="AE62" s="313" t="n">
        <f aca="false">AE53/AE56</f>
        <v>0</v>
      </c>
      <c r="AF62" s="313" t="n">
        <f aca="false">AF53/AF56</f>
        <v>0</v>
      </c>
      <c r="AG62" s="313" t="n">
        <f aca="false">AG53/AG56</f>
        <v>0</v>
      </c>
      <c r="AH62" s="313" t="n">
        <f aca="false">AH53/AH56</f>
        <v>0</v>
      </c>
      <c r="AI62" s="313" t="n">
        <f aca="false">AI53/AI56</f>
        <v>0</v>
      </c>
      <c r="AJ62" s="840"/>
      <c r="AK62" s="841"/>
      <c r="AL62" s="840"/>
      <c r="AM62" s="842"/>
      <c r="AN62" s="842"/>
      <c r="AO62" s="842"/>
      <c r="AP62" s="842"/>
      <c r="AQ62" s="88"/>
      <c r="AR62" s="88"/>
      <c r="AS62" s="88"/>
      <c r="AT62" s="88"/>
      <c r="AU62" s="88"/>
      <c r="AV62" s="88"/>
      <c r="AW62" s="88"/>
      <c r="AX62" s="88"/>
      <c r="AY62" s="88"/>
      <c r="AZ62" s="88"/>
      <c r="BA62" s="88"/>
      <c r="BB62" s="88"/>
      <c r="BC62" s="88"/>
      <c r="BD62" s="88"/>
      <c r="BE62" s="88"/>
      <c r="BF62" s="88"/>
      <c r="BG62" s="88"/>
      <c r="BH62" s="88"/>
      <c r="BI62" s="88"/>
      <c r="BJ62" s="88"/>
      <c r="BK62" s="88"/>
      <c r="BL62" s="88"/>
      <c r="BM62" s="88"/>
      <c r="BN62" s="88"/>
      <c r="BO62" s="88"/>
      <c r="BP62" s="88"/>
      <c r="BQ62" s="88"/>
      <c r="BR62" s="88"/>
      <c r="BS62" s="88"/>
      <c r="BT62" s="88"/>
      <c r="BU62" s="88"/>
      <c r="BV62" s="88"/>
      <c r="BW62" s="88"/>
      <c r="BX62" s="88"/>
      <c r="BY62" s="88"/>
      <c r="BZ62" s="88"/>
      <c r="CA62" s="88"/>
      <c r="CB62" s="88"/>
      <c r="CC62" s="88"/>
      <c r="CD62" s="88"/>
      <c r="CE62" s="88"/>
      <c r="CF62" s="88"/>
      <c r="CG62" s="88"/>
      <c r="CH62" s="88"/>
      <c r="CI62" s="88"/>
      <c r="CJ62" s="88"/>
      <c r="CK62" s="88"/>
      <c r="CL62" s="88"/>
      <c r="CM62" s="88"/>
      <c r="CN62" s="88"/>
      <c r="CO62" s="88"/>
      <c r="CP62" s="88"/>
      <c r="CQ62" s="88"/>
      <c r="CR62" s="88"/>
      <c r="CS62" s="88"/>
      <c r="CT62" s="88"/>
      <c r="CU62" s="88"/>
      <c r="CV62" s="88"/>
      <c r="CW62" s="88"/>
      <c r="CX62" s="88"/>
      <c r="CY62" s="88"/>
      <c r="CZ62" s="88"/>
      <c r="DA62" s="88"/>
      <c r="DB62" s="88"/>
      <c r="DC62" s="88"/>
      <c r="DD62" s="88"/>
      <c r="DE62" s="88"/>
      <c r="DF62" s="88"/>
      <c r="DG62" s="88"/>
      <c r="DH62" s="88"/>
      <c r="DI62" s="88"/>
      <c r="DJ62" s="88"/>
      <c r="DK62" s="88"/>
      <c r="DL62" s="88"/>
      <c r="DM62" s="88"/>
      <c r="DN62" s="88"/>
      <c r="DO62" s="88"/>
      <c r="DP62" s="88"/>
      <c r="DQ62" s="88"/>
      <c r="DR62" s="88"/>
      <c r="DS62" s="88"/>
      <c r="DT62" s="88"/>
      <c r="DU62" s="88"/>
      <c r="DV62" s="88"/>
      <c r="DW62" s="88"/>
      <c r="DX62" s="88"/>
      <c r="DY62" s="88"/>
      <c r="DZ62" s="88"/>
      <c r="EA62" s="88"/>
      <c r="EB62" s="88"/>
      <c r="EC62" s="88"/>
      <c r="ED62" s="88"/>
      <c r="EE62" s="88"/>
      <c r="EF62" s="88"/>
      <c r="EG62" s="88"/>
      <c r="EH62" s="88"/>
      <c r="EI62" s="88"/>
      <c r="EJ62" s="88"/>
      <c r="EK62" s="88"/>
      <c r="EL62" s="88"/>
      <c r="EM62" s="88"/>
      <c r="EN62" s="88"/>
      <c r="EO62" s="88"/>
      <c r="EP62" s="88"/>
      <c r="EQ62" s="88"/>
      <c r="ER62" s="88"/>
      <c r="ES62" s="88"/>
      <c r="ET62" s="88"/>
      <c r="EU62" s="88"/>
      <c r="EV62" s="88"/>
      <c r="EW62" s="88"/>
      <c r="EX62" s="88"/>
      <c r="EY62" s="88"/>
      <c r="EZ62" s="88"/>
      <c r="FA62" s="88"/>
      <c r="FB62" s="88"/>
      <c r="FC62" s="88"/>
      <c r="FD62" s="88"/>
      <c r="FE62" s="88"/>
      <c r="FF62" s="88"/>
      <c r="FG62" s="88"/>
      <c r="FH62" s="88"/>
      <c r="FI62" s="88"/>
      <c r="FJ62" s="88"/>
      <c r="FK62" s="88"/>
      <c r="FL62" s="88"/>
      <c r="FM62" s="88"/>
      <c r="FN62" s="88"/>
      <c r="FO62" s="88"/>
      <c r="FP62" s="88"/>
      <c r="FQ62" s="88"/>
      <c r="FR62" s="88"/>
      <c r="FS62" s="88"/>
      <c r="FT62" s="88"/>
      <c r="FU62" s="88"/>
      <c r="FV62" s="88"/>
      <c r="FW62" s="88"/>
      <c r="FX62" s="88"/>
      <c r="FY62" s="88"/>
      <c r="FZ62" s="88"/>
      <c r="GA62" s="88"/>
      <c r="GB62" s="88"/>
      <c r="GC62" s="88"/>
      <c r="GD62" s="88"/>
      <c r="GE62" s="88"/>
      <c r="GF62" s="88"/>
      <c r="GG62" s="88"/>
      <c r="GH62" s="88"/>
      <c r="GI62" s="88"/>
      <c r="GJ62" s="88"/>
      <c r="GK62" s="88"/>
      <c r="GL62" s="88"/>
      <c r="GM62" s="88"/>
      <c r="GN62" s="88"/>
      <c r="GO62" s="88"/>
      <c r="GP62" s="88"/>
      <c r="GQ62" s="88"/>
      <c r="GR62" s="88"/>
      <c r="GS62" s="88"/>
      <c r="GT62" s="88"/>
      <c r="GU62" s="88"/>
      <c r="GV62" s="88"/>
      <c r="GW62" s="88"/>
      <c r="GX62" s="88"/>
      <c r="GY62" s="88"/>
      <c r="GZ62" s="88"/>
      <c r="HA62" s="88"/>
      <c r="HB62" s="88"/>
      <c r="HC62" s="88"/>
      <c r="HD62" s="88"/>
      <c r="HE62" s="88"/>
      <c r="HF62" s="88"/>
      <c r="HG62" s="88"/>
      <c r="HH62" s="88"/>
      <c r="HI62" s="88"/>
      <c r="HJ62" s="88"/>
      <c r="HK62" s="88"/>
      <c r="HL62" s="88"/>
      <c r="HM62" s="88"/>
      <c r="HN62" s="88"/>
      <c r="HO62" s="88"/>
      <c r="HP62" s="88"/>
      <c r="HQ62" s="88"/>
      <c r="HR62" s="88"/>
      <c r="HS62" s="88"/>
      <c r="HT62" s="88"/>
      <c r="HU62" s="88"/>
      <c r="HV62" s="88"/>
      <c r="HW62" s="88"/>
      <c r="HX62" s="88"/>
      <c r="HY62" s="88"/>
      <c r="HZ62" s="88"/>
      <c r="IA62" s="88"/>
      <c r="IB62" s="88"/>
      <c r="IC62" s="88"/>
      <c r="ID62" s="88"/>
      <c r="IE62" s="88"/>
      <c r="IF62" s="88"/>
      <c r="IG62" s="88"/>
      <c r="IH62" s="88"/>
      <c r="II62" s="88"/>
      <c r="IJ62" s="88"/>
      <c r="IK62" s="88"/>
      <c r="IL62" s="88"/>
      <c r="IM62" s="88"/>
      <c r="IN62" s="88"/>
      <c r="IO62" s="88"/>
      <c r="IP62" s="88"/>
      <c r="IQ62" s="88"/>
      <c r="IR62" s="88"/>
      <c r="IS62" s="88"/>
      <c r="IT62" s="88"/>
      <c r="IU62" s="88"/>
      <c r="IV62" s="88"/>
      <c r="IW62" s="88"/>
    </row>
    <row r="63" customFormat="false" ht="12.75" hidden="false" customHeight="false" outlineLevel="0" collapsed="false">
      <c r="A63" s="831"/>
      <c r="B63" s="833" t="s">
        <v>572</v>
      </c>
      <c r="C63" s="833"/>
      <c r="D63" s="778" t="e">
        <f aca="false">IF(D$1&lt;=$E$66,D53/D56,0)</f>
        <v>#DIV/0!</v>
      </c>
      <c r="E63" s="778" t="n">
        <f aca="false">IF(E$1&lt;=$E$66,E53/E56,0)</f>
        <v>0</v>
      </c>
      <c r="F63" s="778" t="n">
        <f aca="false">IF(F$1&lt;=$E$66,F53/F56,0)</f>
        <v>0</v>
      </c>
      <c r="G63" s="778" t="n">
        <f aca="false">IF(G$1&lt;=$E$66,G53/G56,0)</f>
        <v>0</v>
      </c>
      <c r="H63" s="778" t="n">
        <f aca="false">IF(H$1&lt;=$E$66,H53/H56,0)</f>
        <v>0</v>
      </c>
      <c r="I63" s="778" t="n">
        <f aca="false">IF(I$1&lt;=$E$66,I53/I56,0)</f>
        <v>0</v>
      </c>
      <c r="J63" s="778" t="n">
        <f aca="false">IF(J$1&lt;=$E$66,J53/J56,0)</f>
        <v>0</v>
      </c>
      <c r="K63" s="778" t="n">
        <f aca="false">IF(K$1&lt;=$E$66,K53/K56,0)</f>
        <v>0</v>
      </c>
      <c r="L63" s="778" t="n">
        <f aca="false">IF(L$1&lt;=$E$66,L53/L56,0)</f>
        <v>0</v>
      </c>
      <c r="M63" s="778" t="n">
        <f aca="false">IF(M$1&lt;=$E$66,M53/M56,0)</f>
        <v>0</v>
      </c>
      <c r="N63" s="778" t="n">
        <f aca="false">IF(N$1&lt;=$E$66,N53/N56,0)</f>
        <v>0</v>
      </c>
      <c r="O63" s="778" t="n">
        <f aca="false">IF(O$1&lt;=$E$66,O53/O56,0)</f>
        <v>0</v>
      </c>
      <c r="P63" s="778" t="n">
        <f aca="false">IF(P$1&lt;=$E$66,P53/P56,0)</f>
        <v>0</v>
      </c>
      <c r="Q63" s="778" t="n">
        <f aca="false">IF(Q$1&lt;=$E$66,Q53/Q56,0)</f>
        <v>0</v>
      </c>
      <c r="R63" s="778" t="n">
        <f aca="false">IF(R$1&lt;=$E$66,R53/R56,0)</f>
        <v>0</v>
      </c>
      <c r="S63" s="778" t="n">
        <f aca="false">IF(S$1&lt;=$E$66,S53/S56,0)</f>
        <v>0</v>
      </c>
      <c r="T63" s="778" t="n">
        <f aca="false">IF(T$1&lt;=$E$66,T53/T56,0)</f>
        <v>0</v>
      </c>
      <c r="U63" s="778" t="n">
        <f aca="false">IF(U$1&lt;=$E$66,U53/U56,0)</f>
        <v>0</v>
      </c>
      <c r="V63" s="778" t="n">
        <f aca="false">IF(V$1&lt;=$E$66,V53/V56,0)</f>
        <v>0</v>
      </c>
      <c r="W63" s="778" t="n">
        <f aca="false">IF(W$1&lt;=$E$66,W53/W56,0)</f>
        <v>0</v>
      </c>
      <c r="X63" s="778" t="n">
        <f aca="false">IF(X$1&lt;=$E$66,X53/X56,0)</f>
        <v>0</v>
      </c>
      <c r="Y63" s="778" t="n">
        <f aca="false">IF(Y$1&lt;=$E$66,Y53/Y56,0)</f>
        <v>0</v>
      </c>
      <c r="Z63" s="778" t="n">
        <f aca="false">IF(Z$1&lt;=$E$66,Z53/Z56,0)</f>
        <v>0</v>
      </c>
      <c r="AA63" s="778" t="n">
        <f aca="false">IF(AA$1&lt;=$E$66,AA53/AA56,0)</f>
        <v>0</v>
      </c>
      <c r="AB63" s="778" t="n">
        <f aca="false">IF(AB$1&lt;=$E$66,AB53/AB56,0)</f>
        <v>0</v>
      </c>
      <c r="AC63" s="778" t="n">
        <f aca="false">IF(AC$1&lt;=$E$66,AC53/AC56,0)</f>
        <v>0</v>
      </c>
      <c r="AD63" s="778" t="n">
        <f aca="false">IF(AD$1&lt;=$E$66,AD53/AD56,0)</f>
        <v>0</v>
      </c>
      <c r="AE63" s="778" t="n">
        <f aca="false">IF(AE$1&lt;=$E$66,AE53/AE56,0)</f>
        <v>0</v>
      </c>
      <c r="AF63" s="778" t="n">
        <f aca="false">IF(AF$1&lt;=$E$66,AF53/AF56,0)</f>
        <v>0</v>
      </c>
      <c r="AG63" s="778" t="n">
        <f aca="false">IF(AG$1&lt;=$E$66,AG53/AG56,0)</f>
        <v>0</v>
      </c>
      <c r="AH63" s="778" t="n">
        <f aca="false">IF(AH$1&lt;=$E$66,AH53/AH56,0)</f>
        <v>0</v>
      </c>
      <c r="AI63" s="778" t="n">
        <f aca="false">IF(AI$1&lt;=$E$66,AI53/AI56,0)</f>
        <v>0</v>
      </c>
      <c r="AJ63" s="833"/>
      <c r="AK63" s="834"/>
      <c r="AL63" s="833"/>
      <c r="AM63" s="833"/>
      <c r="AN63" s="833"/>
      <c r="AO63" s="833"/>
      <c r="AP63" s="833"/>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c r="FM63" s="21"/>
      <c r="FN63" s="21"/>
      <c r="FO63" s="21"/>
      <c r="FP63" s="21"/>
      <c r="FQ63" s="21"/>
      <c r="FR63" s="21"/>
      <c r="FS63" s="21"/>
      <c r="FT63" s="21"/>
      <c r="FU63" s="21"/>
      <c r="FV63" s="21"/>
      <c r="FW63" s="21"/>
      <c r="FX63" s="21"/>
      <c r="FY63" s="21"/>
      <c r="FZ63" s="21"/>
      <c r="GA63" s="21"/>
      <c r="GB63" s="21"/>
      <c r="GC63" s="21"/>
      <c r="GD63" s="21"/>
      <c r="GE63" s="21"/>
      <c r="GF63" s="21"/>
      <c r="GG63" s="21"/>
      <c r="GH63" s="21"/>
      <c r="GI63" s="21"/>
      <c r="GJ63" s="21"/>
      <c r="GK63" s="21"/>
      <c r="GL63" s="21"/>
      <c r="GM63" s="21"/>
      <c r="GN63" s="21"/>
      <c r="GO63" s="21"/>
      <c r="GP63" s="21"/>
      <c r="GQ63" s="21"/>
      <c r="GR63" s="21"/>
      <c r="GS63" s="21"/>
      <c r="GT63" s="21"/>
      <c r="GU63" s="21"/>
      <c r="GV63" s="21"/>
      <c r="GW63" s="21"/>
      <c r="GX63" s="21"/>
      <c r="GY63" s="21"/>
      <c r="GZ63" s="21"/>
      <c r="HA63" s="21"/>
      <c r="HB63" s="21"/>
      <c r="HC63" s="21"/>
      <c r="HD63" s="21"/>
      <c r="HE63" s="21"/>
      <c r="HF63" s="21"/>
      <c r="HG63" s="21"/>
      <c r="HH63" s="21"/>
      <c r="HI63" s="21"/>
      <c r="HJ63" s="21"/>
      <c r="HK63" s="21"/>
      <c r="HL63" s="21"/>
      <c r="HM63" s="21"/>
      <c r="HN63" s="21"/>
      <c r="HO63" s="21"/>
      <c r="HP63" s="21"/>
      <c r="HQ63" s="21"/>
      <c r="HR63" s="21"/>
      <c r="HS63" s="21"/>
      <c r="HT63" s="21"/>
      <c r="HU63" s="21"/>
      <c r="HV63" s="21"/>
      <c r="HW63" s="21"/>
      <c r="HX63" s="21"/>
      <c r="HY63" s="21"/>
      <c r="HZ63" s="21"/>
      <c r="IA63" s="21"/>
      <c r="IB63" s="21"/>
      <c r="IC63" s="21"/>
      <c r="ID63" s="21"/>
      <c r="IE63" s="21"/>
      <c r="IF63" s="21"/>
      <c r="IG63" s="21"/>
      <c r="IH63" s="21"/>
      <c r="II63" s="21"/>
      <c r="IJ63" s="21"/>
      <c r="IK63" s="21"/>
      <c r="IL63" s="21"/>
      <c r="IM63" s="21"/>
      <c r="IN63" s="21"/>
      <c r="IO63" s="21"/>
      <c r="IP63" s="21"/>
      <c r="IQ63" s="21"/>
      <c r="IR63" s="21"/>
      <c r="IS63" s="21"/>
      <c r="IT63" s="21"/>
      <c r="IU63" s="21"/>
      <c r="IV63" s="21"/>
      <c r="IW63" s="21"/>
    </row>
    <row r="64" customFormat="false" ht="12.75" hidden="false" customHeight="false" outlineLevel="0" collapsed="false">
      <c r="A64" s="831"/>
      <c r="B64" s="758" t="s">
        <v>573</v>
      </c>
      <c r="C64" s="758"/>
      <c r="D64" s="758"/>
      <c r="E64" s="843" t="n">
        <f aca="false">E60*E63</f>
        <v>0</v>
      </c>
      <c r="F64" s="843" t="n">
        <f aca="false">F60*F63</f>
        <v>0</v>
      </c>
      <c r="G64" s="843" t="n">
        <f aca="false">G60*G63</f>
        <v>0</v>
      </c>
      <c r="H64" s="843" t="n">
        <f aca="false">H60*H63</f>
        <v>0</v>
      </c>
      <c r="I64" s="843" t="n">
        <f aca="false">I60*I63</f>
        <v>0</v>
      </c>
      <c r="J64" s="843" t="n">
        <f aca="false">J60*J63</f>
        <v>0</v>
      </c>
      <c r="K64" s="843" t="n">
        <f aca="false">K60*K63</f>
        <v>0</v>
      </c>
      <c r="L64" s="843" t="n">
        <f aca="false">L60*L63</f>
        <v>0</v>
      </c>
      <c r="M64" s="843" t="n">
        <f aca="false">M60*M63</f>
        <v>0</v>
      </c>
      <c r="N64" s="843" t="n">
        <f aca="false">N60*N63</f>
        <v>0</v>
      </c>
      <c r="O64" s="843" t="n">
        <f aca="false">O60*O63</f>
        <v>0</v>
      </c>
      <c r="P64" s="843" t="n">
        <f aca="false">P60*P63</f>
        <v>0</v>
      </c>
      <c r="Q64" s="843" t="n">
        <f aca="false">Q60*Q63</f>
        <v>0</v>
      </c>
      <c r="R64" s="843" t="n">
        <f aca="false">R60*R63</f>
        <v>0</v>
      </c>
      <c r="S64" s="843" t="n">
        <f aca="false">S60*S63</f>
        <v>0</v>
      </c>
      <c r="T64" s="843" t="n">
        <f aca="false">T60*T63</f>
        <v>0</v>
      </c>
      <c r="U64" s="843" t="n">
        <f aca="false">U60*U63</f>
        <v>0</v>
      </c>
      <c r="V64" s="843" t="n">
        <f aca="false">V60*V63</f>
        <v>0</v>
      </c>
      <c r="W64" s="843" t="n">
        <f aca="false">W60*W63</f>
        <v>0</v>
      </c>
      <c r="X64" s="843" t="n">
        <f aca="false">X60*X63</f>
        <v>0</v>
      </c>
      <c r="Y64" s="843" t="n">
        <f aca="false">Y60*Y63</f>
        <v>0</v>
      </c>
      <c r="Z64" s="843" t="n">
        <f aca="false">Z60*Z63</f>
        <v>0</v>
      </c>
      <c r="AA64" s="843" t="n">
        <f aca="false">AA60*AA63</f>
        <v>0</v>
      </c>
      <c r="AB64" s="843" t="n">
        <f aca="false">AB60*AB63</f>
        <v>0</v>
      </c>
      <c r="AC64" s="843" t="n">
        <f aca="false">AC60*AC63</f>
        <v>0</v>
      </c>
      <c r="AD64" s="843" t="n">
        <f aca="false">AD60*AD63</f>
        <v>0</v>
      </c>
      <c r="AE64" s="843" t="n">
        <f aca="false">AE60*AE63</f>
        <v>0</v>
      </c>
      <c r="AF64" s="843" t="n">
        <f aca="false">AF60*AF63</f>
        <v>0</v>
      </c>
      <c r="AG64" s="843" t="n">
        <f aca="false">AG60*AG63</f>
        <v>0</v>
      </c>
      <c r="AH64" s="843" t="n">
        <f aca="false">AH60*AH63</f>
        <v>0</v>
      </c>
      <c r="AI64" s="843" t="n">
        <f aca="false">AI60*AI63</f>
        <v>0</v>
      </c>
      <c r="AJ64" s="758"/>
      <c r="AK64" s="762"/>
      <c r="AL64" s="758"/>
      <c r="AM64" s="763"/>
      <c r="AN64" s="763"/>
      <c r="AO64" s="763"/>
      <c r="AP64" s="763"/>
      <c r="AQ64" s="764"/>
      <c r="AR64" s="764"/>
      <c r="AS64" s="764"/>
      <c r="AT64" s="764"/>
      <c r="AU64" s="764"/>
      <c r="AV64" s="764"/>
      <c r="AW64" s="764"/>
      <c r="AX64" s="764"/>
      <c r="AY64" s="764"/>
      <c r="AZ64" s="764"/>
      <c r="BA64" s="764"/>
      <c r="BB64" s="764"/>
      <c r="BC64" s="764"/>
      <c r="BD64" s="764"/>
      <c r="BE64" s="764"/>
      <c r="BF64" s="764"/>
      <c r="BG64" s="764"/>
      <c r="BH64" s="764"/>
      <c r="BI64" s="764"/>
      <c r="BJ64" s="764"/>
      <c r="BK64" s="764"/>
      <c r="BL64" s="764"/>
      <c r="BM64" s="764"/>
      <c r="BN64" s="764"/>
      <c r="BO64" s="764"/>
      <c r="BP64" s="764"/>
      <c r="BQ64" s="764"/>
      <c r="BR64" s="764"/>
      <c r="BS64" s="764"/>
      <c r="BT64" s="764"/>
      <c r="BU64" s="764"/>
      <c r="BV64" s="764"/>
      <c r="BW64" s="764"/>
      <c r="BX64" s="764"/>
      <c r="BY64" s="764"/>
      <c r="BZ64" s="764"/>
      <c r="CA64" s="764"/>
      <c r="CB64" s="764"/>
      <c r="CC64" s="764"/>
      <c r="CD64" s="764"/>
      <c r="CE64" s="764"/>
      <c r="CF64" s="764"/>
      <c r="CG64" s="764"/>
      <c r="CH64" s="764"/>
      <c r="CI64" s="764"/>
      <c r="CJ64" s="764"/>
      <c r="CK64" s="764"/>
      <c r="CL64" s="764"/>
      <c r="CM64" s="764"/>
      <c r="CN64" s="764"/>
      <c r="CO64" s="764"/>
      <c r="CP64" s="764"/>
      <c r="CQ64" s="764"/>
      <c r="CR64" s="764"/>
      <c r="CS64" s="764"/>
      <c r="CT64" s="764"/>
      <c r="CU64" s="764"/>
      <c r="CV64" s="764"/>
      <c r="CW64" s="764"/>
      <c r="CX64" s="764"/>
      <c r="CY64" s="764"/>
      <c r="CZ64" s="764"/>
      <c r="DA64" s="764"/>
      <c r="DB64" s="764"/>
      <c r="DC64" s="764"/>
      <c r="DD64" s="764"/>
      <c r="DE64" s="764"/>
      <c r="DF64" s="764"/>
      <c r="DG64" s="764"/>
      <c r="DH64" s="764"/>
      <c r="DI64" s="764"/>
      <c r="DJ64" s="764"/>
      <c r="DK64" s="764"/>
      <c r="DL64" s="764"/>
      <c r="DM64" s="764"/>
      <c r="DN64" s="764"/>
      <c r="DO64" s="764"/>
      <c r="DP64" s="764"/>
      <c r="DQ64" s="764"/>
      <c r="DR64" s="764"/>
      <c r="DS64" s="764"/>
      <c r="DT64" s="764"/>
      <c r="DU64" s="764"/>
      <c r="DV64" s="764"/>
      <c r="DW64" s="764"/>
      <c r="DX64" s="764"/>
      <c r="DY64" s="764"/>
      <c r="DZ64" s="764"/>
      <c r="EA64" s="764"/>
      <c r="EB64" s="764"/>
      <c r="EC64" s="764"/>
      <c r="ED64" s="764"/>
      <c r="EE64" s="764"/>
      <c r="EF64" s="764"/>
      <c r="EG64" s="764"/>
      <c r="EH64" s="764"/>
      <c r="EI64" s="764"/>
      <c r="EJ64" s="764"/>
      <c r="EK64" s="764"/>
      <c r="EL64" s="764"/>
      <c r="EM64" s="764"/>
      <c r="EN64" s="764"/>
      <c r="EO64" s="764"/>
      <c r="EP64" s="764"/>
      <c r="EQ64" s="764"/>
      <c r="ER64" s="764"/>
      <c r="ES64" s="764"/>
      <c r="ET64" s="764"/>
      <c r="EU64" s="764"/>
      <c r="EV64" s="764"/>
      <c r="EW64" s="764"/>
      <c r="EX64" s="764"/>
      <c r="EY64" s="764"/>
      <c r="EZ64" s="764"/>
      <c r="FA64" s="764"/>
      <c r="FB64" s="764"/>
      <c r="FC64" s="764"/>
      <c r="FD64" s="764"/>
      <c r="FE64" s="764"/>
      <c r="FF64" s="764"/>
      <c r="FG64" s="764"/>
      <c r="FH64" s="764"/>
      <c r="FI64" s="764"/>
      <c r="FJ64" s="764"/>
      <c r="FK64" s="764"/>
      <c r="FL64" s="764"/>
      <c r="FM64" s="764"/>
      <c r="FN64" s="764"/>
      <c r="FO64" s="764"/>
      <c r="FP64" s="764"/>
      <c r="FQ64" s="764"/>
      <c r="FR64" s="764"/>
      <c r="FS64" s="764"/>
      <c r="FT64" s="764"/>
      <c r="FU64" s="764"/>
      <c r="FV64" s="764"/>
      <c r="FW64" s="764"/>
      <c r="FX64" s="764"/>
      <c r="FY64" s="764"/>
      <c r="FZ64" s="764"/>
      <c r="GA64" s="764"/>
      <c r="GB64" s="764"/>
      <c r="GC64" s="764"/>
      <c r="GD64" s="764"/>
      <c r="GE64" s="764"/>
      <c r="GF64" s="764"/>
      <c r="GG64" s="764"/>
      <c r="GH64" s="764"/>
      <c r="GI64" s="764"/>
      <c r="GJ64" s="764"/>
      <c r="GK64" s="764"/>
      <c r="GL64" s="764"/>
      <c r="GM64" s="764"/>
      <c r="GN64" s="764"/>
      <c r="GO64" s="764"/>
      <c r="GP64" s="764"/>
      <c r="GQ64" s="764"/>
      <c r="GR64" s="764"/>
      <c r="GS64" s="764"/>
      <c r="GT64" s="764"/>
      <c r="GU64" s="764"/>
      <c r="GV64" s="764"/>
      <c r="GW64" s="764"/>
      <c r="GX64" s="764"/>
      <c r="GY64" s="764"/>
      <c r="GZ64" s="764"/>
      <c r="HA64" s="764"/>
      <c r="HB64" s="764"/>
      <c r="HC64" s="764"/>
      <c r="HD64" s="764"/>
      <c r="HE64" s="764"/>
      <c r="HF64" s="764"/>
      <c r="HG64" s="764"/>
      <c r="HH64" s="764"/>
      <c r="HI64" s="764"/>
      <c r="HJ64" s="764"/>
      <c r="HK64" s="764"/>
      <c r="HL64" s="764"/>
      <c r="HM64" s="764"/>
      <c r="HN64" s="764"/>
      <c r="HO64" s="764"/>
      <c r="HP64" s="764"/>
      <c r="HQ64" s="764"/>
      <c r="HR64" s="764"/>
      <c r="HS64" s="764"/>
      <c r="HT64" s="764"/>
      <c r="HU64" s="764"/>
      <c r="HV64" s="764"/>
      <c r="HW64" s="764"/>
      <c r="HX64" s="764"/>
      <c r="HY64" s="764"/>
      <c r="HZ64" s="764"/>
      <c r="IA64" s="764"/>
      <c r="IB64" s="764"/>
      <c r="IC64" s="764"/>
      <c r="ID64" s="764"/>
      <c r="IE64" s="764"/>
      <c r="IF64" s="764"/>
      <c r="IG64" s="764"/>
      <c r="IH64" s="764"/>
      <c r="II64" s="764"/>
      <c r="IJ64" s="764"/>
      <c r="IK64" s="764"/>
      <c r="IL64" s="764"/>
      <c r="IM64" s="764"/>
      <c r="IN64" s="764"/>
      <c r="IO64" s="764"/>
      <c r="IP64" s="764"/>
      <c r="IQ64" s="764"/>
      <c r="IR64" s="764"/>
      <c r="IS64" s="764"/>
      <c r="IT64" s="764"/>
      <c r="IU64" s="764"/>
      <c r="IV64" s="764"/>
      <c r="IW64" s="764"/>
    </row>
    <row r="65" customFormat="false" ht="12.75" hidden="false" customHeight="false" outlineLevel="0" collapsed="false">
      <c r="A65" s="831"/>
      <c r="B65" s="758" t="s">
        <v>574</v>
      </c>
      <c r="C65" s="758"/>
      <c r="D65" s="758"/>
      <c r="E65" s="843" t="n">
        <f aca="false">SUM(E64:AI64)+Assum!E258</f>
        <v>0</v>
      </c>
      <c r="F65" s="844"/>
      <c r="G65" s="764"/>
      <c r="H65" s="764"/>
      <c r="I65" s="844"/>
      <c r="J65" s="844"/>
      <c r="K65" s="844"/>
      <c r="L65" s="844"/>
      <c r="M65" s="844"/>
      <c r="N65" s="844"/>
      <c r="O65" s="844"/>
      <c r="P65" s="844"/>
      <c r="Q65" s="844"/>
      <c r="R65" s="844"/>
      <c r="S65" s="844"/>
      <c r="T65" s="844"/>
      <c r="U65" s="844"/>
      <c r="V65" s="844"/>
      <c r="W65" s="844"/>
      <c r="X65" s="844"/>
      <c r="Y65" s="844"/>
      <c r="Z65" s="844"/>
      <c r="AA65" s="844"/>
      <c r="AB65" s="844"/>
      <c r="AC65" s="844"/>
      <c r="AD65" s="844"/>
      <c r="AE65" s="844"/>
      <c r="AF65" s="844"/>
      <c r="AG65" s="844"/>
      <c r="AH65" s="844"/>
      <c r="AI65" s="844"/>
      <c r="AJ65" s="758"/>
      <c r="AK65" s="762"/>
      <c r="AL65" s="758"/>
      <c r="AM65" s="763"/>
      <c r="AN65" s="763"/>
      <c r="AO65" s="763"/>
      <c r="AP65" s="763"/>
      <c r="AQ65" s="764"/>
      <c r="AR65" s="764"/>
      <c r="AS65" s="764"/>
      <c r="AT65" s="764"/>
      <c r="AU65" s="764"/>
      <c r="AV65" s="764"/>
      <c r="AW65" s="764"/>
      <c r="AX65" s="764"/>
      <c r="AY65" s="764"/>
      <c r="AZ65" s="764"/>
      <c r="BA65" s="764"/>
      <c r="BB65" s="764"/>
      <c r="BC65" s="764"/>
      <c r="BD65" s="764"/>
      <c r="BE65" s="764"/>
      <c r="BF65" s="764"/>
      <c r="BG65" s="764"/>
      <c r="BH65" s="764"/>
      <c r="BI65" s="764"/>
      <c r="BJ65" s="764"/>
      <c r="BK65" s="764"/>
      <c r="BL65" s="764"/>
      <c r="BM65" s="764"/>
      <c r="BN65" s="764"/>
      <c r="BO65" s="764"/>
      <c r="BP65" s="764"/>
      <c r="BQ65" s="764"/>
      <c r="BR65" s="764"/>
      <c r="BS65" s="764"/>
      <c r="BT65" s="764"/>
      <c r="BU65" s="764"/>
      <c r="BV65" s="764"/>
      <c r="BW65" s="764"/>
      <c r="BX65" s="764"/>
      <c r="BY65" s="764"/>
      <c r="BZ65" s="764"/>
      <c r="CA65" s="764"/>
      <c r="CB65" s="764"/>
      <c r="CC65" s="764"/>
      <c r="CD65" s="764"/>
      <c r="CE65" s="764"/>
      <c r="CF65" s="764"/>
      <c r="CG65" s="764"/>
      <c r="CH65" s="764"/>
      <c r="CI65" s="764"/>
      <c r="CJ65" s="764"/>
      <c r="CK65" s="764"/>
      <c r="CL65" s="764"/>
      <c r="CM65" s="764"/>
      <c r="CN65" s="764"/>
      <c r="CO65" s="764"/>
      <c r="CP65" s="764"/>
      <c r="CQ65" s="764"/>
      <c r="CR65" s="764"/>
      <c r="CS65" s="764"/>
      <c r="CT65" s="764"/>
      <c r="CU65" s="764"/>
      <c r="CV65" s="764"/>
      <c r="CW65" s="764"/>
      <c r="CX65" s="764"/>
      <c r="CY65" s="764"/>
      <c r="CZ65" s="764"/>
      <c r="DA65" s="764"/>
      <c r="DB65" s="764"/>
      <c r="DC65" s="764"/>
      <c r="DD65" s="764"/>
      <c r="DE65" s="764"/>
      <c r="DF65" s="764"/>
      <c r="DG65" s="764"/>
      <c r="DH65" s="764"/>
      <c r="DI65" s="764"/>
      <c r="DJ65" s="764"/>
      <c r="DK65" s="764"/>
      <c r="DL65" s="764"/>
      <c r="DM65" s="764"/>
      <c r="DN65" s="764"/>
      <c r="DO65" s="764"/>
      <c r="DP65" s="764"/>
      <c r="DQ65" s="764"/>
      <c r="DR65" s="764"/>
      <c r="DS65" s="764"/>
      <c r="DT65" s="764"/>
      <c r="DU65" s="764"/>
      <c r="DV65" s="764"/>
      <c r="DW65" s="764"/>
      <c r="DX65" s="764"/>
      <c r="DY65" s="764"/>
      <c r="DZ65" s="764"/>
      <c r="EA65" s="764"/>
      <c r="EB65" s="764"/>
      <c r="EC65" s="764"/>
      <c r="ED65" s="764"/>
      <c r="EE65" s="764"/>
      <c r="EF65" s="764"/>
      <c r="EG65" s="764"/>
      <c r="EH65" s="764"/>
      <c r="EI65" s="764"/>
      <c r="EJ65" s="764"/>
      <c r="EK65" s="764"/>
      <c r="EL65" s="764"/>
      <c r="EM65" s="764"/>
      <c r="EN65" s="764"/>
      <c r="EO65" s="764"/>
      <c r="EP65" s="764"/>
      <c r="EQ65" s="764"/>
      <c r="ER65" s="764"/>
      <c r="ES65" s="764"/>
      <c r="ET65" s="764"/>
      <c r="EU65" s="764"/>
      <c r="EV65" s="764"/>
      <c r="EW65" s="764"/>
      <c r="EX65" s="764"/>
      <c r="EY65" s="764"/>
      <c r="EZ65" s="764"/>
      <c r="FA65" s="764"/>
      <c r="FB65" s="764"/>
      <c r="FC65" s="764"/>
      <c r="FD65" s="764"/>
      <c r="FE65" s="764"/>
      <c r="FF65" s="764"/>
      <c r="FG65" s="764"/>
      <c r="FH65" s="764"/>
      <c r="FI65" s="764"/>
      <c r="FJ65" s="764"/>
      <c r="FK65" s="764"/>
      <c r="FL65" s="764"/>
      <c r="FM65" s="764"/>
      <c r="FN65" s="764"/>
      <c r="FO65" s="764"/>
      <c r="FP65" s="764"/>
      <c r="FQ65" s="764"/>
      <c r="FR65" s="764"/>
      <c r="FS65" s="764"/>
      <c r="FT65" s="764"/>
      <c r="FU65" s="764"/>
      <c r="FV65" s="764"/>
      <c r="FW65" s="764"/>
      <c r="FX65" s="764"/>
      <c r="FY65" s="764"/>
      <c r="FZ65" s="764"/>
      <c r="GA65" s="764"/>
      <c r="GB65" s="764"/>
      <c r="GC65" s="764"/>
      <c r="GD65" s="764"/>
      <c r="GE65" s="764"/>
      <c r="GF65" s="764"/>
      <c r="GG65" s="764"/>
      <c r="GH65" s="764"/>
      <c r="GI65" s="764"/>
      <c r="GJ65" s="764"/>
      <c r="GK65" s="764"/>
      <c r="GL65" s="764"/>
      <c r="GM65" s="764"/>
      <c r="GN65" s="764"/>
      <c r="GO65" s="764"/>
      <c r="GP65" s="764"/>
      <c r="GQ65" s="764"/>
      <c r="GR65" s="764"/>
      <c r="GS65" s="764"/>
      <c r="GT65" s="764"/>
      <c r="GU65" s="764"/>
      <c r="GV65" s="764"/>
      <c r="GW65" s="764"/>
      <c r="GX65" s="764"/>
      <c r="GY65" s="764"/>
      <c r="GZ65" s="764"/>
      <c r="HA65" s="764"/>
      <c r="HB65" s="764"/>
      <c r="HC65" s="764"/>
      <c r="HD65" s="764"/>
      <c r="HE65" s="764"/>
      <c r="HF65" s="764"/>
      <c r="HG65" s="764"/>
      <c r="HH65" s="764"/>
      <c r="HI65" s="764"/>
      <c r="HJ65" s="764"/>
      <c r="HK65" s="764"/>
      <c r="HL65" s="764"/>
      <c r="HM65" s="764"/>
      <c r="HN65" s="764"/>
      <c r="HO65" s="764"/>
      <c r="HP65" s="764"/>
      <c r="HQ65" s="764"/>
      <c r="HR65" s="764"/>
      <c r="HS65" s="764"/>
      <c r="HT65" s="764"/>
      <c r="HU65" s="764"/>
      <c r="HV65" s="764"/>
      <c r="HW65" s="764"/>
      <c r="HX65" s="764"/>
      <c r="HY65" s="764"/>
      <c r="HZ65" s="764"/>
      <c r="IA65" s="764"/>
      <c r="IB65" s="764"/>
      <c r="IC65" s="764"/>
      <c r="ID65" s="764"/>
      <c r="IE65" s="764"/>
      <c r="IF65" s="764"/>
      <c r="IG65" s="764"/>
      <c r="IH65" s="764"/>
      <c r="II65" s="764"/>
      <c r="IJ65" s="764"/>
      <c r="IK65" s="764"/>
      <c r="IL65" s="764"/>
      <c r="IM65" s="764"/>
      <c r="IN65" s="764"/>
      <c r="IO65" s="764"/>
      <c r="IP65" s="764"/>
      <c r="IQ65" s="764"/>
      <c r="IR65" s="764"/>
      <c r="IS65" s="764"/>
      <c r="IT65" s="764"/>
      <c r="IU65" s="764"/>
      <c r="IV65" s="764"/>
      <c r="IW65" s="764"/>
    </row>
    <row r="66" customFormat="false" ht="12.75" hidden="false" customHeight="false" outlineLevel="0" collapsed="false">
      <c r="A66" s="831"/>
      <c r="B66" s="758" t="s">
        <v>575</v>
      </c>
      <c r="C66" s="758"/>
      <c r="D66" s="833"/>
      <c r="E66" s="844" t="n">
        <f aca="false">Assum!E257</f>
        <v>18</v>
      </c>
      <c r="F66" s="835"/>
      <c r="G66" s="845" t="n">
        <f aca="false">SUM(E85:AI86)/2</f>
        <v>0</v>
      </c>
      <c r="H66" s="846" t="s">
        <v>576</v>
      </c>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374"/>
      <c r="AK66" s="808"/>
      <c r="AL66" s="374"/>
      <c r="AM66" s="809"/>
      <c r="AN66" s="809"/>
      <c r="AO66" s="809"/>
      <c r="AP66" s="809"/>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c r="FL66" s="21"/>
      <c r="FM66" s="21"/>
      <c r="FN66" s="21"/>
      <c r="FO66" s="21"/>
      <c r="FP66" s="21"/>
      <c r="FQ66" s="21"/>
      <c r="FR66" s="21"/>
      <c r="FS66" s="21"/>
      <c r="FT66" s="21"/>
      <c r="FU66" s="21"/>
      <c r="FV66" s="21"/>
      <c r="FW66" s="21"/>
      <c r="FX66" s="21"/>
      <c r="FY66" s="21"/>
      <c r="FZ66" s="21"/>
      <c r="GA66" s="21"/>
      <c r="GB66" s="21"/>
      <c r="GC66" s="21"/>
      <c r="GD66" s="21"/>
      <c r="GE66" s="21"/>
      <c r="GF66" s="21"/>
      <c r="GG66" s="21"/>
      <c r="GH66" s="21"/>
      <c r="GI66" s="21"/>
      <c r="GJ66" s="21"/>
      <c r="GK66" s="21"/>
      <c r="GL66" s="21"/>
      <c r="GM66" s="21"/>
      <c r="GN66" s="21"/>
      <c r="GO66" s="21"/>
      <c r="GP66" s="21"/>
      <c r="GQ66" s="21"/>
      <c r="GR66" s="21"/>
      <c r="GS66" s="21"/>
      <c r="GT66" s="21"/>
      <c r="GU66" s="21"/>
      <c r="GV66" s="21"/>
      <c r="GW66" s="21"/>
      <c r="GX66" s="21"/>
      <c r="GY66" s="21"/>
      <c r="GZ66" s="21"/>
      <c r="HA66" s="21"/>
      <c r="HB66" s="21"/>
      <c r="HC66" s="21"/>
      <c r="HD66" s="21"/>
      <c r="HE66" s="21"/>
      <c r="HF66" s="21"/>
      <c r="HG66" s="21"/>
      <c r="HH66" s="21"/>
      <c r="HI66" s="21"/>
      <c r="HJ66" s="21"/>
      <c r="HK66" s="21"/>
      <c r="HL66" s="21"/>
      <c r="HM66" s="21"/>
      <c r="HN66" s="21"/>
      <c r="HO66" s="21"/>
      <c r="HP66" s="21"/>
      <c r="HQ66" s="21"/>
      <c r="HR66" s="21"/>
      <c r="HS66" s="21"/>
      <c r="HT66" s="21"/>
      <c r="HU66" s="21"/>
      <c r="HV66" s="21"/>
      <c r="HW66" s="21"/>
      <c r="HX66" s="21"/>
      <c r="HY66" s="21"/>
      <c r="HZ66" s="21"/>
      <c r="IA66" s="21"/>
      <c r="IB66" s="21"/>
      <c r="IC66" s="21"/>
      <c r="ID66" s="21"/>
      <c r="IE66" s="21"/>
      <c r="IF66" s="21"/>
      <c r="IG66" s="21"/>
      <c r="IH66" s="21"/>
      <c r="II66" s="21"/>
      <c r="IJ66" s="21"/>
      <c r="IK66" s="21"/>
      <c r="IL66" s="21"/>
      <c r="IM66" s="21"/>
      <c r="IN66" s="21"/>
      <c r="IO66" s="21"/>
      <c r="IP66" s="21"/>
      <c r="IQ66" s="21"/>
      <c r="IR66" s="21"/>
      <c r="IS66" s="21"/>
      <c r="IT66" s="21"/>
      <c r="IU66" s="21"/>
      <c r="IV66" s="21"/>
      <c r="IW66" s="21"/>
    </row>
    <row r="67" customFormat="false" ht="12.75" hidden="false" customHeight="false" outlineLevel="0" collapsed="false">
      <c r="A67" s="783"/>
      <c r="B67" s="784" t="s">
        <v>571</v>
      </c>
      <c r="C67" s="783" t="s">
        <v>566</v>
      </c>
      <c r="D67" s="775"/>
      <c r="E67" s="785"/>
      <c r="F67" s="786"/>
      <c r="G67" s="787"/>
      <c r="H67" s="788"/>
      <c r="I67" s="786"/>
      <c r="J67" s="786"/>
      <c r="K67" s="786"/>
      <c r="L67" s="786"/>
      <c r="M67" s="786"/>
      <c r="N67" s="786"/>
      <c r="O67" s="786"/>
      <c r="P67" s="786"/>
      <c r="Q67" s="786"/>
      <c r="R67" s="786"/>
      <c r="S67" s="786"/>
      <c r="T67" s="786"/>
      <c r="U67" s="786"/>
      <c r="V67" s="786"/>
      <c r="W67" s="786"/>
      <c r="X67" s="786"/>
      <c r="Y67" s="786"/>
      <c r="Z67" s="786"/>
      <c r="AA67" s="786"/>
      <c r="AB67" s="786"/>
      <c r="AC67" s="786"/>
      <c r="AD67" s="786"/>
      <c r="AE67" s="786"/>
      <c r="AF67" s="786"/>
      <c r="AG67" s="786"/>
      <c r="AH67" s="786"/>
      <c r="AI67" s="786"/>
      <c r="AJ67" s="788"/>
      <c r="AK67" s="789"/>
      <c r="AL67" s="788"/>
      <c r="AM67" s="790"/>
      <c r="AN67" s="790"/>
      <c r="AO67" s="790"/>
      <c r="AP67" s="790"/>
      <c r="AQ67" s="317"/>
      <c r="AR67" s="317"/>
      <c r="AS67" s="317"/>
      <c r="AT67" s="317"/>
      <c r="AU67" s="317"/>
      <c r="AV67" s="317"/>
      <c r="AW67" s="317"/>
      <c r="AX67" s="317"/>
      <c r="AY67" s="317"/>
      <c r="AZ67" s="317"/>
      <c r="BA67" s="317"/>
      <c r="BB67" s="317"/>
      <c r="BC67" s="317"/>
      <c r="BD67" s="317"/>
      <c r="BE67" s="317"/>
      <c r="BF67" s="317"/>
      <c r="BG67" s="317"/>
      <c r="BH67" s="317"/>
      <c r="BI67" s="317"/>
      <c r="BJ67" s="317"/>
      <c r="BK67" s="317"/>
      <c r="BL67" s="317"/>
      <c r="BM67" s="317"/>
      <c r="BN67" s="317"/>
      <c r="BO67" s="317"/>
      <c r="BP67" s="317"/>
      <c r="BQ67" s="317"/>
      <c r="BR67" s="317"/>
      <c r="BS67" s="317"/>
      <c r="BT67" s="317"/>
      <c r="BU67" s="317"/>
      <c r="BV67" s="317"/>
      <c r="BW67" s="317"/>
      <c r="BX67" s="317"/>
      <c r="BY67" s="317"/>
      <c r="BZ67" s="317"/>
      <c r="CA67" s="317"/>
      <c r="CB67" s="317"/>
      <c r="CC67" s="317"/>
      <c r="CD67" s="317"/>
      <c r="CE67" s="317"/>
      <c r="CF67" s="317"/>
      <c r="CG67" s="317"/>
      <c r="CH67" s="317"/>
      <c r="CI67" s="317"/>
      <c r="CJ67" s="317"/>
      <c r="CK67" s="317"/>
      <c r="CL67" s="317"/>
      <c r="CM67" s="317"/>
      <c r="CN67" s="317"/>
      <c r="CO67" s="317"/>
      <c r="CP67" s="317"/>
      <c r="CQ67" s="317"/>
      <c r="CR67" s="317"/>
      <c r="CS67" s="317"/>
      <c r="CT67" s="317"/>
      <c r="CU67" s="317"/>
      <c r="CV67" s="317"/>
      <c r="CW67" s="317"/>
      <c r="CX67" s="317"/>
      <c r="CY67" s="317"/>
      <c r="CZ67" s="317"/>
      <c r="DA67" s="317"/>
      <c r="DB67" s="317"/>
      <c r="DC67" s="317"/>
      <c r="DD67" s="317"/>
      <c r="DE67" s="317"/>
      <c r="DF67" s="317"/>
      <c r="DG67" s="317"/>
      <c r="DH67" s="317"/>
      <c r="DI67" s="317"/>
      <c r="DJ67" s="317"/>
      <c r="DK67" s="317"/>
      <c r="DL67" s="317"/>
      <c r="DM67" s="317"/>
      <c r="DN67" s="317"/>
      <c r="DO67" s="317"/>
      <c r="DP67" s="317"/>
      <c r="DQ67" s="317"/>
      <c r="DR67" s="317"/>
      <c r="DS67" s="317"/>
      <c r="DT67" s="317"/>
      <c r="DU67" s="317"/>
      <c r="DV67" s="317"/>
      <c r="DW67" s="317"/>
      <c r="DX67" s="317"/>
      <c r="DY67" s="317"/>
      <c r="DZ67" s="317"/>
      <c r="EA67" s="317"/>
      <c r="EB67" s="317"/>
      <c r="EC67" s="317"/>
      <c r="ED67" s="317"/>
      <c r="EE67" s="317"/>
      <c r="EF67" s="317"/>
      <c r="EG67" s="317"/>
      <c r="EH67" s="317"/>
      <c r="EI67" s="317"/>
      <c r="EJ67" s="317"/>
      <c r="EK67" s="317"/>
      <c r="EL67" s="317"/>
      <c r="EM67" s="317"/>
      <c r="EN67" s="317"/>
      <c r="EO67" s="317"/>
      <c r="EP67" s="317"/>
      <c r="EQ67" s="317"/>
      <c r="ER67" s="317"/>
      <c r="ES67" s="317"/>
      <c r="ET67" s="317"/>
      <c r="EU67" s="317"/>
      <c r="EV67" s="317"/>
      <c r="EW67" s="317"/>
      <c r="EX67" s="317"/>
      <c r="EY67" s="317"/>
      <c r="EZ67" s="317"/>
      <c r="FA67" s="317"/>
      <c r="FB67" s="317"/>
      <c r="FC67" s="317"/>
      <c r="FD67" s="317"/>
      <c r="FE67" s="317"/>
      <c r="FF67" s="317"/>
      <c r="FG67" s="317"/>
      <c r="FH67" s="317"/>
      <c r="FI67" s="317"/>
      <c r="FJ67" s="317"/>
      <c r="FK67" s="317"/>
      <c r="FL67" s="317"/>
      <c r="FM67" s="317"/>
      <c r="FN67" s="317"/>
      <c r="FO67" s="317"/>
      <c r="FP67" s="317"/>
      <c r="FQ67" s="317"/>
      <c r="FR67" s="317"/>
      <c r="FS67" s="317"/>
      <c r="FT67" s="317"/>
      <c r="FU67" s="317"/>
      <c r="FV67" s="317"/>
      <c r="FW67" s="317"/>
      <c r="FX67" s="317"/>
      <c r="FY67" s="317"/>
      <c r="FZ67" s="317"/>
      <c r="GA67" s="317"/>
      <c r="GB67" s="317"/>
      <c r="GC67" s="317"/>
      <c r="GD67" s="317"/>
      <c r="GE67" s="317"/>
      <c r="GF67" s="317"/>
      <c r="GG67" s="317"/>
      <c r="GH67" s="317"/>
      <c r="GI67" s="317"/>
      <c r="GJ67" s="317"/>
      <c r="GK67" s="317"/>
      <c r="GL67" s="317"/>
      <c r="GM67" s="317"/>
      <c r="GN67" s="317"/>
      <c r="GO67" s="317"/>
      <c r="GP67" s="317"/>
      <c r="GQ67" s="317"/>
      <c r="GR67" s="317"/>
      <c r="GS67" s="317"/>
      <c r="GT67" s="317"/>
      <c r="GU67" s="317"/>
      <c r="GV67" s="317"/>
      <c r="GW67" s="317"/>
      <c r="GX67" s="317"/>
      <c r="GY67" s="317"/>
      <c r="GZ67" s="317"/>
      <c r="HA67" s="317"/>
      <c r="HB67" s="317"/>
      <c r="HC67" s="317"/>
      <c r="HD67" s="317"/>
      <c r="HE67" s="317"/>
      <c r="HF67" s="317"/>
      <c r="HG67" s="317"/>
      <c r="HH67" s="317"/>
      <c r="HI67" s="317"/>
      <c r="HJ67" s="317"/>
      <c r="HK67" s="317"/>
      <c r="HL67" s="317"/>
      <c r="HM67" s="317"/>
      <c r="HN67" s="317"/>
      <c r="HO67" s="317"/>
      <c r="HP67" s="317"/>
      <c r="HQ67" s="317"/>
      <c r="HR67" s="317"/>
      <c r="HS67" s="317"/>
      <c r="HT67" s="317"/>
      <c r="HU67" s="317"/>
      <c r="HV67" s="317"/>
      <c r="HW67" s="317"/>
      <c r="HX67" s="317"/>
      <c r="HY67" s="317"/>
      <c r="HZ67" s="317"/>
      <c r="IA67" s="317"/>
      <c r="IB67" s="317"/>
      <c r="IC67" s="317"/>
      <c r="ID67" s="317"/>
      <c r="IE67" s="317"/>
      <c r="IF67" s="317"/>
      <c r="IG67" s="317"/>
      <c r="IH67" s="317"/>
      <c r="II67" s="317"/>
      <c r="IJ67" s="317"/>
      <c r="IK67" s="317"/>
      <c r="IL67" s="317"/>
      <c r="IM67" s="317"/>
      <c r="IN67" s="317"/>
      <c r="IO67" s="317"/>
      <c r="IP67" s="317"/>
      <c r="IQ67" s="317"/>
      <c r="IR67" s="317"/>
      <c r="IS67" s="317"/>
      <c r="IT67" s="317"/>
      <c r="IU67" s="317"/>
      <c r="IV67" s="317"/>
      <c r="IW67" s="317"/>
    </row>
    <row r="68" customFormat="false" ht="12.75" hidden="false" customHeight="false" outlineLevel="0" collapsed="false">
      <c r="A68" s="783"/>
      <c r="B68" s="788" t="s">
        <v>577</v>
      </c>
      <c r="C68" s="617" t="n">
        <f aca="false">Assum!$E$262</f>
        <v>0.5</v>
      </c>
      <c r="D68" s="775"/>
      <c r="E68" s="130" t="n">
        <f aca="false">E62*$C$23</f>
        <v>0</v>
      </c>
      <c r="F68" s="130" t="n">
        <f aca="false">F62*$C$23</f>
        <v>0</v>
      </c>
      <c r="G68" s="130" t="n">
        <f aca="false">G62*$C$23</f>
        <v>0</v>
      </c>
      <c r="H68" s="130" t="n">
        <f aca="false">H62*$C$23</f>
        <v>0</v>
      </c>
      <c r="I68" s="130" t="n">
        <f aca="false">I62*$C$23</f>
        <v>0</v>
      </c>
      <c r="J68" s="130" t="n">
        <f aca="false">J62*$C$23</f>
        <v>0</v>
      </c>
      <c r="K68" s="130" t="n">
        <f aca="false">K62*$C$23</f>
        <v>0</v>
      </c>
      <c r="L68" s="130" t="n">
        <f aca="false">L62*$C$23</f>
        <v>0</v>
      </c>
      <c r="M68" s="130" t="n">
        <f aca="false">M62*$C$23</f>
        <v>0</v>
      </c>
      <c r="N68" s="130" t="n">
        <f aca="false">N62*$C$23</f>
        <v>0</v>
      </c>
      <c r="O68" s="130" t="n">
        <f aca="false">O62*$C$23</f>
        <v>0</v>
      </c>
      <c r="P68" s="130" t="n">
        <f aca="false">P62*$C$23</f>
        <v>0</v>
      </c>
      <c r="Q68" s="130" t="n">
        <f aca="false">Q62*$C$23</f>
        <v>0</v>
      </c>
      <c r="R68" s="130" t="n">
        <f aca="false">R62*$C$23</f>
        <v>0</v>
      </c>
      <c r="S68" s="130" t="n">
        <f aca="false">S62*$C$23</f>
        <v>0</v>
      </c>
      <c r="T68" s="130" t="n">
        <f aca="false">T62*$C$23</f>
        <v>0</v>
      </c>
      <c r="U68" s="130" t="n">
        <f aca="false">U62*$C$23</f>
        <v>0</v>
      </c>
      <c r="V68" s="130" t="n">
        <f aca="false">V62*$C$23</f>
        <v>0</v>
      </c>
      <c r="W68" s="130" t="n">
        <f aca="false">W62*$C$23</f>
        <v>0</v>
      </c>
      <c r="X68" s="130" t="n">
        <f aca="false">X62*$C$23</f>
        <v>0</v>
      </c>
      <c r="Y68" s="130" t="n">
        <f aca="false">Y62*$C$23</f>
        <v>0</v>
      </c>
      <c r="Z68" s="130" t="n">
        <f aca="false">Z62*$C$23</f>
        <v>0</v>
      </c>
      <c r="AA68" s="130" t="n">
        <f aca="false">AA62*$C$23</f>
        <v>0</v>
      </c>
      <c r="AB68" s="130" t="n">
        <f aca="false">AB62*$C$23</f>
        <v>0</v>
      </c>
      <c r="AC68" s="130" t="n">
        <f aca="false">AC62*$C$23</f>
        <v>0</v>
      </c>
      <c r="AD68" s="130" t="n">
        <f aca="false">AD62*$C$23</f>
        <v>0</v>
      </c>
      <c r="AE68" s="130" t="n">
        <f aca="false">AE62*$C$23</f>
        <v>0</v>
      </c>
      <c r="AF68" s="130" t="n">
        <f aca="false">AF62*$C$23</f>
        <v>0</v>
      </c>
      <c r="AG68" s="130" t="n">
        <f aca="false">AG62*$C$23</f>
        <v>0</v>
      </c>
      <c r="AH68" s="130" t="n">
        <f aca="false">AH62*$C$23</f>
        <v>0</v>
      </c>
      <c r="AI68" s="130" t="n">
        <f aca="false">AI62*$C$23</f>
        <v>0</v>
      </c>
      <c r="AJ68" s="788"/>
      <c r="AK68" s="789"/>
      <c r="AL68" s="788"/>
      <c r="AM68" s="790"/>
      <c r="AN68" s="790"/>
      <c r="AO68" s="790"/>
      <c r="AP68" s="790"/>
      <c r="AQ68" s="317"/>
      <c r="AR68" s="317"/>
      <c r="AS68" s="317"/>
      <c r="AT68" s="317"/>
      <c r="AU68" s="317"/>
      <c r="AV68" s="317"/>
      <c r="AW68" s="317"/>
      <c r="AX68" s="317"/>
      <c r="AY68" s="317"/>
      <c r="AZ68" s="317"/>
      <c r="BA68" s="317"/>
      <c r="BB68" s="317"/>
      <c r="BC68" s="317"/>
      <c r="BD68" s="317"/>
      <c r="BE68" s="317"/>
      <c r="BF68" s="317"/>
      <c r="BG68" s="317"/>
      <c r="BH68" s="317"/>
      <c r="BI68" s="317"/>
      <c r="BJ68" s="317"/>
      <c r="BK68" s="317"/>
      <c r="BL68" s="317"/>
      <c r="BM68" s="317"/>
      <c r="BN68" s="317"/>
      <c r="BO68" s="317"/>
      <c r="BP68" s="317"/>
      <c r="BQ68" s="317"/>
      <c r="BR68" s="317"/>
      <c r="BS68" s="317"/>
      <c r="BT68" s="317"/>
      <c r="BU68" s="317"/>
      <c r="BV68" s="317"/>
      <c r="BW68" s="317"/>
      <c r="BX68" s="317"/>
      <c r="BY68" s="317"/>
      <c r="BZ68" s="317"/>
      <c r="CA68" s="317"/>
      <c r="CB68" s="317"/>
      <c r="CC68" s="317"/>
      <c r="CD68" s="317"/>
      <c r="CE68" s="317"/>
      <c r="CF68" s="317"/>
      <c r="CG68" s="317"/>
      <c r="CH68" s="317"/>
      <c r="CI68" s="317"/>
      <c r="CJ68" s="317"/>
      <c r="CK68" s="317"/>
      <c r="CL68" s="317"/>
      <c r="CM68" s="317"/>
      <c r="CN68" s="317"/>
      <c r="CO68" s="317"/>
      <c r="CP68" s="317"/>
      <c r="CQ68" s="317"/>
      <c r="CR68" s="317"/>
      <c r="CS68" s="317"/>
      <c r="CT68" s="317"/>
      <c r="CU68" s="317"/>
      <c r="CV68" s="317"/>
      <c r="CW68" s="317"/>
      <c r="CX68" s="317"/>
      <c r="CY68" s="317"/>
      <c r="CZ68" s="317"/>
      <c r="DA68" s="317"/>
      <c r="DB68" s="317"/>
      <c r="DC68" s="317"/>
      <c r="DD68" s="317"/>
      <c r="DE68" s="317"/>
      <c r="DF68" s="317"/>
      <c r="DG68" s="317"/>
      <c r="DH68" s="317"/>
      <c r="DI68" s="317"/>
      <c r="DJ68" s="317"/>
      <c r="DK68" s="317"/>
      <c r="DL68" s="317"/>
      <c r="DM68" s="317"/>
      <c r="DN68" s="317"/>
      <c r="DO68" s="317"/>
      <c r="DP68" s="317"/>
      <c r="DQ68" s="317"/>
      <c r="DR68" s="317"/>
      <c r="DS68" s="317"/>
      <c r="DT68" s="317"/>
      <c r="DU68" s="317"/>
      <c r="DV68" s="317"/>
      <c r="DW68" s="317"/>
      <c r="DX68" s="317"/>
      <c r="DY68" s="317"/>
      <c r="DZ68" s="317"/>
      <c r="EA68" s="317"/>
      <c r="EB68" s="317"/>
      <c r="EC68" s="317"/>
      <c r="ED68" s="317"/>
      <c r="EE68" s="317"/>
      <c r="EF68" s="317"/>
      <c r="EG68" s="317"/>
      <c r="EH68" s="317"/>
      <c r="EI68" s="317"/>
      <c r="EJ68" s="317"/>
      <c r="EK68" s="317"/>
      <c r="EL68" s="317"/>
      <c r="EM68" s="317"/>
      <c r="EN68" s="317"/>
      <c r="EO68" s="317"/>
      <c r="EP68" s="317"/>
      <c r="EQ68" s="317"/>
      <c r="ER68" s="317"/>
      <c r="ES68" s="317"/>
      <c r="ET68" s="317"/>
      <c r="EU68" s="317"/>
      <c r="EV68" s="317"/>
      <c r="EW68" s="317"/>
      <c r="EX68" s="317"/>
      <c r="EY68" s="317"/>
      <c r="EZ68" s="317"/>
      <c r="FA68" s="317"/>
      <c r="FB68" s="317"/>
      <c r="FC68" s="317"/>
      <c r="FD68" s="317"/>
      <c r="FE68" s="317"/>
      <c r="FF68" s="317"/>
      <c r="FG68" s="317"/>
      <c r="FH68" s="317"/>
      <c r="FI68" s="317"/>
      <c r="FJ68" s="317"/>
      <c r="FK68" s="317"/>
      <c r="FL68" s="317"/>
      <c r="FM68" s="317"/>
      <c r="FN68" s="317"/>
      <c r="FO68" s="317"/>
      <c r="FP68" s="317"/>
      <c r="FQ68" s="317"/>
      <c r="FR68" s="317"/>
      <c r="FS68" s="317"/>
      <c r="FT68" s="317"/>
      <c r="FU68" s="317"/>
      <c r="FV68" s="317"/>
      <c r="FW68" s="317"/>
      <c r="FX68" s="317"/>
      <c r="FY68" s="317"/>
      <c r="FZ68" s="317"/>
      <c r="GA68" s="317"/>
      <c r="GB68" s="317"/>
      <c r="GC68" s="317"/>
      <c r="GD68" s="317"/>
      <c r="GE68" s="317"/>
      <c r="GF68" s="317"/>
      <c r="GG68" s="317"/>
      <c r="GH68" s="317"/>
      <c r="GI68" s="317"/>
      <c r="GJ68" s="317"/>
      <c r="GK68" s="317"/>
      <c r="GL68" s="317"/>
      <c r="GM68" s="317"/>
      <c r="GN68" s="317"/>
      <c r="GO68" s="317"/>
      <c r="GP68" s="317"/>
      <c r="GQ68" s="317"/>
      <c r="GR68" s="317"/>
      <c r="GS68" s="317"/>
      <c r="GT68" s="317"/>
      <c r="GU68" s="317"/>
      <c r="GV68" s="317"/>
      <c r="GW68" s="317"/>
      <c r="GX68" s="317"/>
      <c r="GY68" s="317"/>
      <c r="GZ68" s="317"/>
      <c r="HA68" s="317"/>
      <c r="HB68" s="317"/>
      <c r="HC68" s="317"/>
      <c r="HD68" s="317"/>
      <c r="HE68" s="317"/>
      <c r="HF68" s="317"/>
      <c r="HG68" s="317"/>
      <c r="HH68" s="317"/>
      <c r="HI68" s="317"/>
      <c r="HJ68" s="317"/>
      <c r="HK68" s="317"/>
      <c r="HL68" s="317"/>
      <c r="HM68" s="317"/>
      <c r="HN68" s="317"/>
      <c r="HO68" s="317"/>
      <c r="HP68" s="317"/>
      <c r="HQ68" s="317"/>
      <c r="HR68" s="317"/>
      <c r="HS68" s="317"/>
      <c r="HT68" s="317"/>
      <c r="HU68" s="317"/>
      <c r="HV68" s="317"/>
      <c r="HW68" s="317"/>
      <c r="HX68" s="317"/>
      <c r="HY68" s="317"/>
      <c r="HZ68" s="317"/>
      <c r="IA68" s="317"/>
      <c r="IB68" s="317"/>
      <c r="IC68" s="317"/>
      <c r="ID68" s="317"/>
      <c r="IE68" s="317"/>
      <c r="IF68" s="317"/>
      <c r="IG68" s="317"/>
      <c r="IH68" s="317"/>
      <c r="II68" s="317"/>
      <c r="IJ68" s="317"/>
      <c r="IK68" s="317"/>
      <c r="IL68" s="317"/>
      <c r="IM68" s="317"/>
      <c r="IN68" s="317"/>
      <c r="IO68" s="317"/>
      <c r="IP68" s="317"/>
      <c r="IQ68" s="317"/>
      <c r="IR68" s="317"/>
      <c r="IS68" s="317"/>
      <c r="IT68" s="317"/>
      <c r="IU68" s="317"/>
      <c r="IV68" s="317"/>
      <c r="IW68" s="317"/>
    </row>
    <row r="69" customFormat="false" ht="12.75" hidden="false" customHeight="false" outlineLevel="0" collapsed="false">
      <c r="A69" s="783"/>
      <c r="B69" s="788" t="s">
        <v>578</v>
      </c>
      <c r="C69" s="617" t="n">
        <f aca="false">1-C68</f>
        <v>0.5</v>
      </c>
      <c r="D69" s="775"/>
      <c r="E69" s="130" t="n">
        <f aca="false">E62*$C$24</f>
        <v>0</v>
      </c>
      <c r="F69" s="130" t="n">
        <f aca="false">F62*$C$24</f>
        <v>0</v>
      </c>
      <c r="G69" s="130" t="n">
        <f aca="false">G62*$C$24</f>
        <v>0</v>
      </c>
      <c r="H69" s="130" t="n">
        <f aca="false">H62*$C$24</f>
        <v>0</v>
      </c>
      <c r="I69" s="130" t="n">
        <f aca="false">I62*$C$24</f>
        <v>0</v>
      </c>
      <c r="J69" s="130" t="n">
        <f aca="false">J62*$C$24</f>
        <v>0</v>
      </c>
      <c r="K69" s="130" t="n">
        <f aca="false">K62*$C$24</f>
        <v>0</v>
      </c>
      <c r="L69" s="130" t="n">
        <f aca="false">L62*$C$24</f>
        <v>0</v>
      </c>
      <c r="M69" s="130" t="n">
        <f aca="false">M62*$C$24</f>
        <v>0</v>
      </c>
      <c r="N69" s="130" t="n">
        <f aca="false">N62*$C$24</f>
        <v>0</v>
      </c>
      <c r="O69" s="130" t="n">
        <f aca="false">O62*$C$24</f>
        <v>0</v>
      </c>
      <c r="P69" s="130" t="n">
        <f aca="false">P62*$C$24</f>
        <v>0</v>
      </c>
      <c r="Q69" s="130" t="n">
        <f aca="false">Q62*$C$24</f>
        <v>0</v>
      </c>
      <c r="R69" s="130" t="n">
        <f aca="false">R62*$C$24</f>
        <v>0</v>
      </c>
      <c r="S69" s="130" t="n">
        <f aca="false">S62*$C$24</f>
        <v>0</v>
      </c>
      <c r="T69" s="130" t="n">
        <f aca="false">T62*$C$24</f>
        <v>0</v>
      </c>
      <c r="U69" s="130" t="n">
        <f aca="false">U62*$C$24</f>
        <v>0</v>
      </c>
      <c r="V69" s="130" t="n">
        <f aca="false">V62*$C$24</f>
        <v>0</v>
      </c>
      <c r="W69" s="130" t="n">
        <f aca="false">W62*$C$24</f>
        <v>0</v>
      </c>
      <c r="X69" s="130" t="n">
        <f aca="false">X62*$C$24</f>
        <v>0</v>
      </c>
      <c r="Y69" s="130" t="n">
        <f aca="false">Y62*$C$24</f>
        <v>0</v>
      </c>
      <c r="Z69" s="130" t="n">
        <f aca="false">Z62*$C$24</f>
        <v>0</v>
      </c>
      <c r="AA69" s="130" t="n">
        <f aca="false">AA62*$C$24</f>
        <v>0</v>
      </c>
      <c r="AB69" s="130" t="n">
        <f aca="false">AB62*$C$24</f>
        <v>0</v>
      </c>
      <c r="AC69" s="130" t="n">
        <f aca="false">AC62*$C$24</f>
        <v>0</v>
      </c>
      <c r="AD69" s="130" t="n">
        <f aca="false">AD62*$C$24</f>
        <v>0</v>
      </c>
      <c r="AE69" s="130" t="n">
        <f aca="false">AE62*$C$24</f>
        <v>0</v>
      </c>
      <c r="AF69" s="130" t="n">
        <f aca="false">AF62*$C$24</f>
        <v>0</v>
      </c>
      <c r="AG69" s="130" t="n">
        <f aca="false">AG62*$C$24</f>
        <v>0</v>
      </c>
      <c r="AH69" s="130" t="n">
        <f aca="false">AH62*$C$24</f>
        <v>0</v>
      </c>
      <c r="AI69" s="130" t="n">
        <f aca="false">AI62*$C$24</f>
        <v>0</v>
      </c>
      <c r="AJ69" s="788"/>
      <c r="AK69" s="789"/>
      <c r="AL69" s="788"/>
      <c r="AM69" s="790"/>
      <c r="AN69" s="790"/>
      <c r="AO69" s="790"/>
      <c r="AP69" s="790"/>
      <c r="AQ69" s="317"/>
      <c r="AR69" s="317"/>
      <c r="AS69" s="317"/>
      <c r="AT69" s="317"/>
      <c r="AU69" s="317"/>
      <c r="AV69" s="317"/>
      <c r="AW69" s="317"/>
      <c r="AX69" s="317"/>
      <c r="AY69" s="317"/>
      <c r="AZ69" s="317"/>
      <c r="BA69" s="317"/>
      <c r="BB69" s="317"/>
      <c r="BC69" s="317"/>
      <c r="BD69" s="317"/>
      <c r="BE69" s="317"/>
      <c r="BF69" s="317"/>
      <c r="BG69" s="317"/>
      <c r="BH69" s="317"/>
      <c r="BI69" s="317"/>
      <c r="BJ69" s="317"/>
      <c r="BK69" s="317"/>
      <c r="BL69" s="317"/>
      <c r="BM69" s="317"/>
      <c r="BN69" s="317"/>
      <c r="BO69" s="317"/>
      <c r="BP69" s="317"/>
      <c r="BQ69" s="317"/>
      <c r="BR69" s="317"/>
      <c r="BS69" s="317"/>
      <c r="BT69" s="317"/>
      <c r="BU69" s="317"/>
      <c r="BV69" s="317"/>
      <c r="BW69" s="317"/>
      <c r="BX69" s="317"/>
      <c r="BY69" s="317"/>
      <c r="BZ69" s="317"/>
      <c r="CA69" s="317"/>
      <c r="CB69" s="317"/>
      <c r="CC69" s="317"/>
      <c r="CD69" s="317"/>
      <c r="CE69" s="317"/>
      <c r="CF69" s="317"/>
      <c r="CG69" s="317"/>
      <c r="CH69" s="317"/>
      <c r="CI69" s="317"/>
      <c r="CJ69" s="317"/>
      <c r="CK69" s="317"/>
      <c r="CL69" s="317"/>
      <c r="CM69" s="317"/>
      <c r="CN69" s="317"/>
      <c r="CO69" s="317"/>
      <c r="CP69" s="317"/>
      <c r="CQ69" s="317"/>
      <c r="CR69" s="317"/>
      <c r="CS69" s="317"/>
      <c r="CT69" s="317"/>
      <c r="CU69" s="317"/>
      <c r="CV69" s="317"/>
      <c r="CW69" s="317"/>
      <c r="CX69" s="317"/>
      <c r="CY69" s="317"/>
      <c r="CZ69" s="317"/>
      <c r="DA69" s="317"/>
      <c r="DB69" s="317"/>
      <c r="DC69" s="317"/>
      <c r="DD69" s="317"/>
      <c r="DE69" s="317"/>
      <c r="DF69" s="317"/>
      <c r="DG69" s="317"/>
      <c r="DH69" s="317"/>
      <c r="DI69" s="317"/>
      <c r="DJ69" s="317"/>
      <c r="DK69" s="317"/>
      <c r="DL69" s="317"/>
      <c r="DM69" s="317"/>
      <c r="DN69" s="317"/>
      <c r="DO69" s="317"/>
      <c r="DP69" s="317"/>
      <c r="DQ69" s="317"/>
      <c r="DR69" s="317"/>
      <c r="DS69" s="317"/>
      <c r="DT69" s="317"/>
      <c r="DU69" s="317"/>
      <c r="DV69" s="317"/>
      <c r="DW69" s="317"/>
      <c r="DX69" s="317"/>
      <c r="DY69" s="317"/>
      <c r="DZ69" s="317"/>
      <c r="EA69" s="317"/>
      <c r="EB69" s="317"/>
      <c r="EC69" s="317"/>
      <c r="ED69" s="317"/>
      <c r="EE69" s="317"/>
      <c r="EF69" s="317"/>
      <c r="EG69" s="317"/>
      <c r="EH69" s="317"/>
      <c r="EI69" s="317"/>
      <c r="EJ69" s="317"/>
      <c r="EK69" s="317"/>
      <c r="EL69" s="317"/>
      <c r="EM69" s="317"/>
      <c r="EN69" s="317"/>
      <c r="EO69" s="317"/>
      <c r="EP69" s="317"/>
      <c r="EQ69" s="317"/>
      <c r="ER69" s="317"/>
      <c r="ES69" s="317"/>
      <c r="ET69" s="317"/>
      <c r="EU69" s="317"/>
      <c r="EV69" s="317"/>
      <c r="EW69" s="317"/>
      <c r="EX69" s="317"/>
      <c r="EY69" s="317"/>
      <c r="EZ69" s="317"/>
      <c r="FA69" s="317"/>
      <c r="FB69" s="317"/>
      <c r="FC69" s="317"/>
      <c r="FD69" s="317"/>
      <c r="FE69" s="317"/>
      <c r="FF69" s="317"/>
      <c r="FG69" s="317"/>
      <c r="FH69" s="317"/>
      <c r="FI69" s="317"/>
      <c r="FJ69" s="317"/>
      <c r="FK69" s="317"/>
      <c r="FL69" s="317"/>
      <c r="FM69" s="317"/>
      <c r="FN69" s="317"/>
      <c r="FO69" s="317"/>
      <c r="FP69" s="317"/>
      <c r="FQ69" s="317"/>
      <c r="FR69" s="317"/>
      <c r="FS69" s="317"/>
      <c r="FT69" s="317"/>
      <c r="FU69" s="317"/>
      <c r="FV69" s="317"/>
      <c r="FW69" s="317"/>
      <c r="FX69" s="317"/>
      <c r="FY69" s="317"/>
      <c r="FZ69" s="317"/>
      <c r="GA69" s="317"/>
      <c r="GB69" s="317"/>
      <c r="GC69" s="317"/>
      <c r="GD69" s="317"/>
      <c r="GE69" s="317"/>
      <c r="GF69" s="317"/>
      <c r="GG69" s="317"/>
      <c r="GH69" s="317"/>
      <c r="GI69" s="317"/>
      <c r="GJ69" s="317"/>
      <c r="GK69" s="317"/>
      <c r="GL69" s="317"/>
      <c r="GM69" s="317"/>
      <c r="GN69" s="317"/>
      <c r="GO69" s="317"/>
      <c r="GP69" s="317"/>
      <c r="GQ69" s="317"/>
      <c r="GR69" s="317"/>
      <c r="GS69" s="317"/>
      <c r="GT69" s="317"/>
      <c r="GU69" s="317"/>
      <c r="GV69" s="317"/>
      <c r="GW69" s="317"/>
      <c r="GX69" s="317"/>
      <c r="GY69" s="317"/>
      <c r="GZ69" s="317"/>
      <c r="HA69" s="317"/>
      <c r="HB69" s="317"/>
      <c r="HC69" s="317"/>
      <c r="HD69" s="317"/>
      <c r="HE69" s="317"/>
      <c r="HF69" s="317"/>
      <c r="HG69" s="317"/>
      <c r="HH69" s="317"/>
      <c r="HI69" s="317"/>
      <c r="HJ69" s="317"/>
      <c r="HK69" s="317"/>
      <c r="HL69" s="317"/>
      <c r="HM69" s="317"/>
      <c r="HN69" s="317"/>
      <c r="HO69" s="317"/>
      <c r="HP69" s="317"/>
      <c r="HQ69" s="317"/>
      <c r="HR69" s="317"/>
      <c r="HS69" s="317"/>
      <c r="HT69" s="317"/>
      <c r="HU69" s="317"/>
      <c r="HV69" s="317"/>
      <c r="HW69" s="317"/>
      <c r="HX69" s="317"/>
      <c r="HY69" s="317"/>
      <c r="HZ69" s="317"/>
      <c r="IA69" s="317"/>
      <c r="IB69" s="317"/>
      <c r="IC69" s="317"/>
      <c r="ID69" s="317"/>
      <c r="IE69" s="317"/>
      <c r="IF69" s="317"/>
      <c r="IG69" s="317"/>
      <c r="IH69" s="317"/>
      <c r="II69" s="317"/>
      <c r="IJ69" s="317"/>
      <c r="IK69" s="317"/>
      <c r="IL69" s="317"/>
      <c r="IM69" s="317"/>
      <c r="IN69" s="317"/>
      <c r="IO69" s="317"/>
      <c r="IP69" s="317"/>
      <c r="IQ69" s="317"/>
      <c r="IR69" s="317"/>
      <c r="IS69" s="317"/>
      <c r="IT69" s="317"/>
      <c r="IU69" s="317"/>
      <c r="IV69" s="317"/>
      <c r="IW69" s="317"/>
    </row>
    <row r="70" customFormat="false" ht="13.5" hidden="false" customHeight="false" outlineLevel="0" collapsed="false">
      <c r="A70" s="847"/>
      <c r="B70" s="613"/>
      <c r="C70" s="613"/>
      <c r="D70" s="613"/>
      <c r="E70" s="832"/>
      <c r="F70" s="832"/>
      <c r="G70" s="832"/>
      <c r="H70" s="832"/>
      <c r="I70" s="832"/>
      <c r="J70" s="832"/>
      <c r="K70" s="832"/>
      <c r="L70" s="832"/>
      <c r="M70" s="832"/>
      <c r="N70" s="832"/>
      <c r="O70" s="832"/>
      <c r="P70" s="832"/>
      <c r="Q70" s="832"/>
      <c r="R70" s="832"/>
      <c r="S70" s="832"/>
      <c r="T70" s="832"/>
      <c r="U70" s="832"/>
      <c r="V70" s="832"/>
      <c r="W70" s="832"/>
      <c r="X70" s="832"/>
      <c r="Y70" s="832"/>
      <c r="Z70" s="832"/>
      <c r="AA70" s="832"/>
      <c r="AB70" s="832"/>
      <c r="AC70" s="832"/>
      <c r="AD70" s="832"/>
      <c r="AE70" s="832"/>
      <c r="AF70" s="832"/>
      <c r="AG70" s="832"/>
      <c r="AH70" s="832"/>
      <c r="AI70" s="832"/>
      <c r="AJ70" s="832"/>
      <c r="AK70" s="808"/>
      <c r="AL70" s="374"/>
      <c r="AM70" s="809"/>
      <c r="AN70" s="809"/>
      <c r="AO70" s="809"/>
      <c r="AP70" s="809"/>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1"/>
      <c r="FH70" s="21"/>
      <c r="FI70" s="21"/>
      <c r="FJ70" s="21"/>
      <c r="FK70" s="21"/>
      <c r="FL70" s="21"/>
      <c r="FM70" s="21"/>
      <c r="FN70" s="21"/>
      <c r="FO70" s="21"/>
      <c r="FP70" s="21"/>
      <c r="FQ70" s="21"/>
      <c r="FR70" s="21"/>
      <c r="FS70" s="21"/>
      <c r="FT70" s="21"/>
      <c r="FU70" s="21"/>
      <c r="FV70" s="21"/>
      <c r="FW70" s="21"/>
      <c r="FX70" s="21"/>
      <c r="FY70" s="21"/>
      <c r="FZ70" s="21"/>
      <c r="GA70" s="21"/>
      <c r="GB70" s="21"/>
      <c r="GC70" s="21"/>
      <c r="GD70" s="21"/>
      <c r="GE70" s="21"/>
      <c r="GF70" s="21"/>
      <c r="GG70" s="21"/>
      <c r="GH70" s="21"/>
      <c r="GI70" s="21"/>
      <c r="GJ70" s="21"/>
      <c r="GK70" s="21"/>
      <c r="GL70" s="21"/>
      <c r="GM70" s="21"/>
      <c r="GN70" s="21"/>
      <c r="GO70" s="21"/>
      <c r="GP70" s="21"/>
      <c r="GQ70" s="21"/>
      <c r="GR70" s="21"/>
      <c r="GS70" s="21"/>
      <c r="GT70" s="21"/>
      <c r="GU70" s="21"/>
      <c r="GV70" s="21"/>
      <c r="GW70" s="21"/>
      <c r="GX70" s="21"/>
      <c r="GY70" s="21"/>
      <c r="GZ70" s="21"/>
      <c r="HA70" s="21"/>
      <c r="HB70" s="21"/>
      <c r="HC70" s="21"/>
      <c r="HD70" s="21"/>
      <c r="HE70" s="21"/>
      <c r="HF70" s="21"/>
      <c r="HG70" s="21"/>
      <c r="HH70" s="21"/>
      <c r="HI70" s="21"/>
      <c r="HJ70" s="21"/>
      <c r="HK70" s="21"/>
      <c r="HL70" s="21"/>
      <c r="HM70" s="21"/>
      <c r="HN70" s="21"/>
      <c r="HO70" s="21"/>
      <c r="HP70" s="21"/>
      <c r="HQ70" s="21"/>
      <c r="HR70" s="21"/>
      <c r="HS70" s="21"/>
      <c r="HT70" s="21"/>
      <c r="HU70" s="21"/>
      <c r="HV70" s="21"/>
      <c r="HW70" s="21"/>
      <c r="HX70" s="21"/>
      <c r="HY70" s="21"/>
      <c r="HZ70" s="21"/>
      <c r="IA70" s="21"/>
      <c r="IB70" s="21"/>
      <c r="IC70" s="21"/>
      <c r="ID70" s="21"/>
      <c r="IE70" s="21"/>
      <c r="IF70" s="21"/>
      <c r="IG70" s="21"/>
      <c r="IH70" s="21"/>
      <c r="II70" s="21"/>
      <c r="IJ70" s="21"/>
      <c r="IK70" s="21"/>
      <c r="IL70" s="21"/>
      <c r="IM70" s="21"/>
      <c r="IN70" s="21"/>
      <c r="IO70" s="21"/>
      <c r="IP70" s="21"/>
      <c r="IQ70" s="21"/>
      <c r="IR70" s="21"/>
      <c r="IS70" s="21"/>
      <c r="IT70" s="21"/>
      <c r="IU70" s="21"/>
      <c r="IV70" s="21"/>
      <c r="IW70" s="21"/>
    </row>
    <row r="71" customFormat="false" ht="12.75" hidden="false" customHeight="false" outlineLevel="0" collapsed="false">
      <c r="A71" s="751"/>
      <c r="B71" s="848"/>
      <c r="C71" s="849"/>
      <c r="D71" s="850" t="s">
        <v>579</v>
      </c>
      <c r="E71" s="849" t="n">
        <v>1</v>
      </c>
      <c r="F71" s="849" t="n">
        <v>2</v>
      </c>
      <c r="G71" s="849" t="n">
        <v>3</v>
      </c>
      <c r="H71" s="849" t="n">
        <v>4</v>
      </c>
      <c r="I71" s="849" t="n">
        <v>5</v>
      </c>
      <c r="J71" s="849" t="n">
        <v>6</v>
      </c>
      <c r="K71" s="849" t="n">
        <v>7</v>
      </c>
      <c r="L71" s="849" t="n">
        <v>8</v>
      </c>
      <c r="M71" s="849" t="n">
        <v>9</v>
      </c>
      <c r="N71" s="849" t="n">
        <v>10</v>
      </c>
      <c r="O71" s="849" t="n">
        <v>11</v>
      </c>
      <c r="P71" s="849" t="n">
        <v>12</v>
      </c>
      <c r="Q71" s="849" t="n">
        <v>13</v>
      </c>
      <c r="R71" s="849" t="n">
        <v>14</v>
      </c>
      <c r="S71" s="849" t="n">
        <v>15</v>
      </c>
      <c r="T71" s="849" t="n">
        <v>16</v>
      </c>
      <c r="U71" s="849" t="n">
        <v>17</v>
      </c>
      <c r="V71" s="849" t="n">
        <v>18</v>
      </c>
      <c r="W71" s="849" t="n">
        <v>19</v>
      </c>
      <c r="X71" s="849" t="n">
        <v>20</v>
      </c>
      <c r="Y71" s="849" t="n">
        <v>21</v>
      </c>
      <c r="Z71" s="849" t="n">
        <v>22</v>
      </c>
      <c r="AA71" s="849" t="n">
        <v>23</v>
      </c>
      <c r="AB71" s="849" t="n">
        <v>24</v>
      </c>
      <c r="AC71" s="849" t="n">
        <v>25</v>
      </c>
      <c r="AD71" s="849" t="n">
        <v>26</v>
      </c>
      <c r="AE71" s="849" t="n">
        <v>27</v>
      </c>
      <c r="AF71" s="849" t="n">
        <v>28</v>
      </c>
      <c r="AG71" s="849" t="n">
        <v>29</v>
      </c>
      <c r="AH71" s="849" t="n">
        <v>30</v>
      </c>
      <c r="AI71" s="849" t="n">
        <v>31</v>
      </c>
      <c r="AJ71" s="851"/>
      <c r="AK71" s="752"/>
      <c r="AL71" s="373"/>
      <c r="AM71" s="753"/>
      <c r="AN71" s="753"/>
      <c r="AO71" s="753"/>
      <c r="AP71" s="753"/>
    </row>
    <row r="72" customFormat="false" ht="12.75" hidden="false" customHeight="false" outlineLevel="0" collapsed="false">
      <c r="A72" s="751"/>
      <c r="B72" s="852" t="s">
        <v>580</v>
      </c>
      <c r="C72" s="853"/>
      <c r="D72" s="853"/>
      <c r="E72" s="854" t="n">
        <f aca="false">Assum!F24</f>
        <v>35795</v>
      </c>
      <c r="F72" s="854" t="n">
        <f aca="false">E84</f>
        <v>36158</v>
      </c>
      <c r="G72" s="854" t="n">
        <f aca="false">F84</f>
        <v>36523</v>
      </c>
      <c r="H72" s="854" t="n">
        <f aca="false">G84</f>
        <v>36889</v>
      </c>
      <c r="I72" s="854" t="n">
        <f aca="false">H84</f>
        <v>37254</v>
      </c>
      <c r="J72" s="854" t="n">
        <f aca="false">I84</f>
        <v>37619</v>
      </c>
      <c r="K72" s="854" t="n">
        <f aca="false">J84</f>
        <v>37984</v>
      </c>
      <c r="L72" s="854" t="n">
        <f aca="false">K84</f>
        <v>38350</v>
      </c>
      <c r="M72" s="854" t="n">
        <f aca="false">L84</f>
        <v>38715</v>
      </c>
      <c r="N72" s="854" t="n">
        <f aca="false">M84</f>
        <v>39080</v>
      </c>
      <c r="O72" s="854" t="n">
        <f aca="false">N84</f>
        <v>39445</v>
      </c>
      <c r="P72" s="854" t="n">
        <f aca="false">O84</f>
        <v>39811</v>
      </c>
      <c r="Q72" s="854" t="n">
        <f aca="false">P84</f>
        <v>40176</v>
      </c>
      <c r="R72" s="854" t="n">
        <f aca="false">Q84</f>
        <v>40541</v>
      </c>
      <c r="S72" s="854" t="n">
        <f aca="false">R84</f>
        <v>40906</v>
      </c>
      <c r="T72" s="854" t="n">
        <f aca="false">S84</f>
        <v>41272</v>
      </c>
      <c r="U72" s="854" t="n">
        <f aca="false">T84</f>
        <v>41637</v>
      </c>
      <c r="V72" s="854" t="n">
        <f aca="false">U84</f>
        <v>42002</v>
      </c>
      <c r="W72" s="854" t="n">
        <f aca="false">V84</f>
        <v>42367</v>
      </c>
      <c r="X72" s="854" t="n">
        <f aca="false">W84</f>
        <v>42733</v>
      </c>
      <c r="Y72" s="854" t="n">
        <f aca="false">X84</f>
        <v>43098</v>
      </c>
      <c r="Z72" s="854" t="n">
        <f aca="false">Y84</f>
        <v>43463</v>
      </c>
      <c r="AA72" s="854" t="n">
        <f aca="false">Z84</f>
        <v>43828</v>
      </c>
      <c r="AB72" s="854" t="n">
        <f aca="false">AA84</f>
        <v>44194</v>
      </c>
      <c r="AC72" s="854" t="n">
        <f aca="false">AB84</f>
        <v>44559</v>
      </c>
      <c r="AD72" s="854" t="n">
        <f aca="false">AC84</f>
        <v>44924</v>
      </c>
      <c r="AE72" s="854" t="n">
        <f aca="false">AD84</f>
        <v>45289</v>
      </c>
      <c r="AF72" s="854" t="n">
        <f aca="false">AE84</f>
        <v>45655</v>
      </c>
      <c r="AG72" s="854" t="n">
        <f aca="false">AF84</f>
        <v>46020</v>
      </c>
      <c r="AH72" s="854" t="n">
        <f aca="false">AG84</f>
        <v>46385</v>
      </c>
      <c r="AI72" s="854" t="n">
        <f aca="false">AH84</f>
        <v>46750</v>
      </c>
      <c r="AJ72" s="855" t="n">
        <f aca="false">AI84</f>
        <v>47116</v>
      </c>
    </row>
    <row r="73" customFormat="false" ht="12.75" hidden="false" customHeight="false" outlineLevel="0" collapsed="false">
      <c r="A73" s="751"/>
      <c r="B73" s="856" t="s">
        <v>581</v>
      </c>
      <c r="C73" s="857"/>
      <c r="D73" s="857"/>
      <c r="E73" s="858" t="n">
        <f aca="false">IF(Assum!$E$244=2,E78-E72,0)</f>
        <v>180</v>
      </c>
      <c r="F73" s="858" t="n">
        <f aca="false">IF(Assum!$E$244=2,F78-F72,0)</f>
        <v>182</v>
      </c>
      <c r="G73" s="858" t="n">
        <f aca="false">IF(Assum!$E$244=2,G78-G72,0)</f>
        <v>183</v>
      </c>
      <c r="H73" s="858" t="n">
        <f aca="false">IF(Assum!$E$244=2,H78-H72,0)</f>
        <v>182</v>
      </c>
      <c r="I73" s="858" t="n">
        <f aca="false">IF(Assum!$E$244=2,I78-I72,0)</f>
        <v>182</v>
      </c>
      <c r="J73" s="858" t="n">
        <f aca="false">IF(Assum!$E$244=2,J78-J72,0)</f>
        <v>182</v>
      </c>
      <c r="K73" s="858" t="n">
        <f aca="false">IF(Assum!$E$244=2,K78-K72,0)</f>
        <v>183</v>
      </c>
      <c r="L73" s="858" t="n">
        <f aca="false">IF(Assum!$E$244=2,L78-L72,0)</f>
        <v>182</v>
      </c>
      <c r="M73" s="858" t="n">
        <f aca="false">IF(Assum!$E$244=2,M78-M72,0)</f>
        <v>182</v>
      </c>
      <c r="N73" s="858" t="n">
        <f aca="false">IF(Assum!$E$244=2,N78-N72,0)</f>
        <v>182</v>
      </c>
      <c r="O73" s="858" t="n">
        <f aca="false">IF(Assum!$E$244=2,O78-O72,0)</f>
        <v>183</v>
      </c>
      <c r="P73" s="858" t="n">
        <f aca="false">IF(Assum!$E$244=2,P78-P72,0)</f>
        <v>182</v>
      </c>
      <c r="Q73" s="858" t="n">
        <f aca="false">IF(Assum!$E$244=2,Q78-Q72,0)</f>
        <v>182</v>
      </c>
      <c r="R73" s="858" t="n">
        <f aca="false">IF(Assum!$E$244=2,R78-R72,0)</f>
        <v>182</v>
      </c>
      <c r="S73" s="858" t="n">
        <f aca="false">IF(Assum!$E$244=2,S78-S72,0)</f>
        <v>183</v>
      </c>
      <c r="T73" s="858" t="n">
        <f aca="false">IF(Assum!$E$244=2,T78-T72,0)</f>
        <v>182</v>
      </c>
      <c r="U73" s="858" t="n">
        <f aca="false">IF(Assum!$E$244=2,U78-U72,0)</f>
        <v>182</v>
      </c>
      <c r="V73" s="858" t="n">
        <f aca="false">IF(Assum!$E$244=2,V78-V72,0)</f>
        <v>182</v>
      </c>
      <c r="W73" s="858" t="n">
        <f aca="false">IF(Assum!$E$244=2,W78-W72,0)</f>
        <v>183</v>
      </c>
      <c r="X73" s="858" t="n">
        <f aca="false">IF(Assum!$E$244=2,X78-X72,0)</f>
        <v>182</v>
      </c>
      <c r="Y73" s="858" t="n">
        <f aca="false">IF(Assum!$E$244=2,Y78-Y72,0)</f>
        <v>182</v>
      </c>
      <c r="Z73" s="858" t="n">
        <f aca="false">IF(Assum!$E$244=2,Z78-Z72,0)</f>
        <v>182</v>
      </c>
      <c r="AA73" s="858" t="n">
        <f aca="false">IF(Assum!$E$244=2,AA78-AA72,0)</f>
        <v>183</v>
      </c>
      <c r="AB73" s="858" t="n">
        <f aca="false">IF(Assum!$E$244=2,AB78-AB72,0)</f>
        <v>182</v>
      </c>
      <c r="AC73" s="858" t="n">
        <f aca="false">IF(Assum!$E$244=2,AC78-AC72,0)</f>
        <v>182</v>
      </c>
      <c r="AD73" s="858" t="n">
        <f aca="false">IF(Assum!$E$244=2,AD78-AD72,0)</f>
        <v>182</v>
      </c>
      <c r="AE73" s="858" t="n">
        <f aca="false">IF(Assum!$E$244=2,AE78-AE72,0)</f>
        <v>183</v>
      </c>
      <c r="AF73" s="858" t="n">
        <f aca="false">IF(Assum!$E$244=2,AF78-AF72,0)</f>
        <v>182</v>
      </c>
      <c r="AG73" s="858" t="n">
        <f aca="false">IF(Assum!$E$244=2,AG78-AG72,0)</f>
        <v>182</v>
      </c>
      <c r="AH73" s="858" t="n">
        <f aca="false">IF(Assum!$E$244=2,AH78-AH72,0)</f>
        <v>182</v>
      </c>
      <c r="AI73" s="858" t="n">
        <f aca="false">IF(Assum!$E$244=2,AI78-AI72,0)</f>
        <v>183</v>
      </c>
      <c r="AJ73" s="859"/>
    </row>
    <row r="74" customFormat="false" ht="12.75" hidden="false" customHeight="false" outlineLevel="0" collapsed="false">
      <c r="A74" s="751"/>
      <c r="B74" s="860" t="s">
        <v>582</v>
      </c>
      <c r="C74" s="841"/>
      <c r="D74" s="841"/>
      <c r="E74" s="841" t="n">
        <f aca="false">E65</f>
        <v>0</v>
      </c>
      <c r="F74" s="841" t="n">
        <f aca="false">E83</f>
        <v>0</v>
      </c>
      <c r="G74" s="841" t="n">
        <f aca="false">F83</f>
        <v>0</v>
      </c>
      <c r="H74" s="841" t="n">
        <f aca="false">G83</f>
        <v>0</v>
      </c>
      <c r="I74" s="841" t="n">
        <f aca="false">H83</f>
        <v>0</v>
      </c>
      <c r="J74" s="841" t="n">
        <f aca="false">I83</f>
        <v>0</v>
      </c>
      <c r="K74" s="841" t="n">
        <f aca="false">J83</f>
        <v>0</v>
      </c>
      <c r="L74" s="841" t="n">
        <f aca="false">K83</f>
        <v>0</v>
      </c>
      <c r="M74" s="841" t="n">
        <f aca="false">L83</f>
        <v>0</v>
      </c>
      <c r="N74" s="841" t="n">
        <f aca="false">M83</f>
        <v>0</v>
      </c>
      <c r="O74" s="841" t="n">
        <f aca="false">N83</f>
        <v>0</v>
      </c>
      <c r="P74" s="841" t="n">
        <f aca="false">O83</f>
        <v>0</v>
      </c>
      <c r="Q74" s="841" t="n">
        <f aca="false">P83</f>
        <v>0</v>
      </c>
      <c r="R74" s="841" t="n">
        <f aca="false">Q83</f>
        <v>0</v>
      </c>
      <c r="S74" s="841" t="n">
        <f aca="false">R83</f>
        <v>0</v>
      </c>
      <c r="T74" s="841" t="n">
        <f aca="false">S83</f>
        <v>0</v>
      </c>
      <c r="U74" s="841" t="n">
        <f aca="false">T83</f>
        <v>0</v>
      </c>
      <c r="V74" s="841" t="n">
        <f aca="false">U83</f>
        <v>0</v>
      </c>
      <c r="W74" s="841" t="n">
        <f aca="false">V83</f>
        <v>0</v>
      </c>
      <c r="X74" s="841" t="n">
        <f aca="false">W83</f>
        <v>0</v>
      </c>
      <c r="Y74" s="841" t="n">
        <f aca="false">X83</f>
        <v>0</v>
      </c>
      <c r="Z74" s="841" t="n">
        <f aca="false">Y83</f>
        <v>0</v>
      </c>
      <c r="AA74" s="841" t="n">
        <f aca="false">Z83</f>
        <v>0</v>
      </c>
      <c r="AB74" s="841" t="n">
        <f aca="false">AA83</f>
        <v>0</v>
      </c>
      <c r="AC74" s="841" t="n">
        <f aca="false">AB83</f>
        <v>0</v>
      </c>
      <c r="AD74" s="841" t="n">
        <f aca="false">AC83</f>
        <v>0</v>
      </c>
      <c r="AE74" s="841" t="n">
        <f aca="false">AD83</f>
        <v>0</v>
      </c>
      <c r="AF74" s="841" t="n">
        <f aca="false">AE83</f>
        <v>0</v>
      </c>
      <c r="AG74" s="841" t="n">
        <f aca="false">AF83</f>
        <v>0</v>
      </c>
      <c r="AH74" s="841" t="n">
        <f aca="false">AG83</f>
        <v>0</v>
      </c>
      <c r="AI74" s="841" t="n">
        <f aca="false">AH83</f>
        <v>0</v>
      </c>
      <c r="AJ74" s="861"/>
      <c r="AK74" s="757"/>
      <c r="AL74" s="755"/>
      <c r="AM74" s="755"/>
      <c r="AN74" s="755"/>
      <c r="AO74" s="755"/>
      <c r="AP74" s="755"/>
    </row>
    <row r="75" customFormat="false" ht="12.75" hidden="false" customHeight="false" outlineLevel="0" collapsed="false">
      <c r="A75" s="751"/>
      <c r="B75" s="862" t="s">
        <v>559</v>
      </c>
      <c r="C75" s="863"/>
      <c r="D75" s="789"/>
      <c r="E75" s="789" t="n">
        <f aca="false">E74*E59*E73/Assum!$E$259</f>
        <v>0</v>
      </c>
      <c r="F75" s="789" t="n">
        <f aca="false">F74*F59*F73/Assum!$E$259</f>
        <v>0</v>
      </c>
      <c r="G75" s="789" t="n">
        <f aca="false">G74*G59*G73/Assum!$E$259</f>
        <v>0</v>
      </c>
      <c r="H75" s="789" t="n">
        <f aca="false">H74*H59*H73/Assum!$E$259</f>
        <v>0</v>
      </c>
      <c r="I75" s="789" t="n">
        <f aca="false">I74*I59*I73/Assum!$E$259</f>
        <v>0</v>
      </c>
      <c r="J75" s="789" t="n">
        <f aca="false">J74*J59*J73/Assum!$E$259</f>
        <v>0</v>
      </c>
      <c r="K75" s="789" t="n">
        <f aca="false">K74*K59*K73/Assum!$E$259</f>
        <v>0</v>
      </c>
      <c r="L75" s="789" t="n">
        <f aca="false">L74*L59*L73/Assum!$E$259</f>
        <v>0</v>
      </c>
      <c r="M75" s="789" t="n">
        <f aca="false">M74*M59*M73/Assum!$E$259</f>
        <v>0</v>
      </c>
      <c r="N75" s="789" t="n">
        <f aca="false">N74*N59*N73/Assum!$E$259</f>
        <v>0</v>
      </c>
      <c r="O75" s="789" t="n">
        <f aca="false">O74*O59*O73/Assum!$E$259</f>
        <v>0</v>
      </c>
      <c r="P75" s="789" t="n">
        <f aca="false">P74*P59*P73/Assum!$E$259</f>
        <v>0</v>
      </c>
      <c r="Q75" s="789" t="n">
        <f aca="false">Q74*Q59*Q73/Assum!$E$259</f>
        <v>0</v>
      </c>
      <c r="R75" s="789" t="n">
        <f aca="false">R74*R59*R73/Assum!$E$259</f>
        <v>0</v>
      </c>
      <c r="S75" s="789" t="n">
        <f aca="false">S74*S59*S73/Assum!$E$259</f>
        <v>0</v>
      </c>
      <c r="T75" s="789" t="n">
        <f aca="false">T74*T59*T73/Assum!$E$259</f>
        <v>0</v>
      </c>
      <c r="U75" s="789" t="n">
        <f aca="false">U74*U59*U73/Assum!$E$259</f>
        <v>0</v>
      </c>
      <c r="V75" s="789" t="n">
        <f aca="false">V74*V59*V73/Assum!$E$259</f>
        <v>0</v>
      </c>
      <c r="W75" s="789" t="n">
        <f aca="false">W74*W59*W73/Assum!$E$259</f>
        <v>0</v>
      </c>
      <c r="X75" s="789" t="n">
        <f aca="false">X74*X59*X73/Assum!$E$259</f>
        <v>0</v>
      </c>
      <c r="Y75" s="789" t="n">
        <f aca="false">Y74*Y59*Y73/Assum!$E$259</f>
        <v>0</v>
      </c>
      <c r="Z75" s="789" t="n">
        <f aca="false">Z74*Z59*Z73/Assum!$E$259</f>
        <v>0</v>
      </c>
      <c r="AA75" s="789" t="n">
        <f aca="false">AA74*AA59*AA73/Assum!$E$259</f>
        <v>0</v>
      </c>
      <c r="AB75" s="789" t="n">
        <f aca="false">AB74*AB59*AB73/Assum!$E$259</f>
        <v>0</v>
      </c>
      <c r="AC75" s="789" t="n">
        <f aca="false">AC74*AC59*AC73/Assum!$E$259</f>
        <v>0</v>
      </c>
      <c r="AD75" s="789" t="n">
        <f aca="false">AD74*AD59*AD73/Assum!$E$259</f>
        <v>0</v>
      </c>
      <c r="AE75" s="789" t="n">
        <f aca="false">AE74*AE59*AE73/Assum!$E$259</f>
        <v>0</v>
      </c>
      <c r="AF75" s="789" t="n">
        <f aca="false">AF74*AF59*AF73/Assum!$E$259</f>
        <v>0</v>
      </c>
      <c r="AG75" s="789" t="n">
        <f aca="false">AG74*AG59*AG73/Assum!$E$259</f>
        <v>0</v>
      </c>
      <c r="AH75" s="789" t="n">
        <f aca="false">AH74*AH59*AH73/Assum!$E$259</f>
        <v>0</v>
      </c>
      <c r="AI75" s="789" t="n">
        <f aca="false">AI74*AI59*AI73/Assum!$E$259</f>
        <v>0</v>
      </c>
      <c r="AJ75" s="864"/>
      <c r="AK75" s="752"/>
      <c r="AL75" s="373"/>
      <c r="AM75" s="753"/>
      <c r="AN75" s="753"/>
      <c r="AO75" s="753"/>
      <c r="AP75" s="753"/>
    </row>
    <row r="76" customFormat="false" ht="12.75" hidden="false" customHeight="false" outlineLevel="0" collapsed="false">
      <c r="A76" s="751"/>
      <c r="B76" s="862" t="s">
        <v>583</v>
      </c>
      <c r="C76" s="863"/>
      <c r="D76" s="789"/>
      <c r="E76" s="752" t="n">
        <f aca="false">MAX(0,IF(E68-E75&lt;E74,E68-E75,E74)*(Assum!$E$244-1))</f>
        <v>0</v>
      </c>
      <c r="F76" s="752" t="n">
        <f aca="false">MAX(0,IF(F68-F75&lt;F74,F68-F75,F74)*(Assum!$E$244-1))</f>
        <v>0</v>
      </c>
      <c r="G76" s="752" t="n">
        <f aca="false">MAX(0,IF(G68-G75&lt;G74,G68-G75,G74)*(Assum!$E$244-1))</f>
        <v>0</v>
      </c>
      <c r="H76" s="752" t="n">
        <f aca="false">MAX(0,IF(H68-H75&lt;H74,H68-H75,H74)*(Assum!$E$244-1))</f>
        <v>0</v>
      </c>
      <c r="I76" s="752" t="n">
        <f aca="false">MAX(0,IF(I68-I75&lt;I74,I68-I75,I74)*(Assum!$E$244-1))</f>
        <v>0</v>
      </c>
      <c r="J76" s="752" t="n">
        <f aca="false">MAX(0,IF(J68-J75&lt;J74,J68-J75,J74)*(Assum!$E$244-1))</f>
        <v>0</v>
      </c>
      <c r="K76" s="752" t="n">
        <f aca="false">MAX(0,IF(K68-K75&lt;K74,K68-K75,K74)*(Assum!$E$244-1))</f>
        <v>0</v>
      </c>
      <c r="L76" s="752" t="n">
        <f aca="false">MAX(0,IF(L68-L75&lt;L74,L68-L75,L74)*(Assum!$E$244-1))</f>
        <v>0</v>
      </c>
      <c r="M76" s="752" t="n">
        <f aca="false">MAX(0,IF(M68-M75&lt;M74,M68-M75,M74)*(Assum!$E$244-1))</f>
        <v>0</v>
      </c>
      <c r="N76" s="752" t="n">
        <f aca="false">MAX(0,IF(N68-N75&lt;N74,N68-N75,N74)*(Assum!$E$244-1))</f>
        <v>0</v>
      </c>
      <c r="O76" s="752" t="n">
        <f aca="false">MAX(0,IF(O68-O75&lt;O74,O68-O75,O74)*(Assum!$E$244-1))</f>
        <v>0</v>
      </c>
      <c r="P76" s="752" t="n">
        <f aca="false">MAX(0,IF(P68-P75&lt;P74,P68-P75,P74)*(Assum!$E$244-1))</f>
        <v>0</v>
      </c>
      <c r="Q76" s="752" t="n">
        <f aca="false">MAX(0,IF(Q68-Q75&lt;Q74,Q68-Q75,Q74)*(Assum!$E$244-1))</f>
        <v>0</v>
      </c>
      <c r="R76" s="752" t="n">
        <f aca="false">MAX(0,IF(R68-R75&lt;R74,R68-R75,R74)*(Assum!$E$244-1))</f>
        <v>0</v>
      </c>
      <c r="S76" s="752" t="n">
        <f aca="false">MAX(0,IF(S68-S75&lt;S74,S68-S75,S74)*(Assum!$E$244-1))</f>
        <v>0</v>
      </c>
      <c r="T76" s="752" t="n">
        <f aca="false">MAX(0,IF(T68-T75&lt;T74,T68-T75,T74)*(Assum!$E$244-1))</f>
        <v>0</v>
      </c>
      <c r="U76" s="752" t="n">
        <f aca="false">MAX(0,IF(U68-U75&lt;U74,U68-U75,U74)*(Assum!$E$244-1))</f>
        <v>0</v>
      </c>
      <c r="V76" s="752" t="n">
        <f aca="false">MAX(0,IF(V68-V75&lt;V74,V68-V75,V74)*(Assum!$E$244-1))</f>
        <v>0</v>
      </c>
      <c r="W76" s="752" t="n">
        <f aca="false">MAX(0,IF(W68-W75&lt;W74,W68-W75,W74)*(Assum!$E$244-1))</f>
        <v>0</v>
      </c>
      <c r="X76" s="752" t="n">
        <f aca="false">MAX(0,IF(X68-X75&lt;X74,X68-X75,X74)*(Assum!$E$244-1))</f>
        <v>0</v>
      </c>
      <c r="Y76" s="752" t="n">
        <f aca="false">MAX(0,IF(Y68-Y75&lt;Y74,Y68-Y75,Y74)*(Assum!$E$244-1))</f>
        <v>0</v>
      </c>
      <c r="Z76" s="752" t="n">
        <f aca="false">MAX(0,IF(Z68-Z75&lt;Z74,Z68-Z75,Z74)*(Assum!$E$244-1))</f>
        <v>0</v>
      </c>
      <c r="AA76" s="752" t="n">
        <f aca="false">MAX(0,IF(AA68-AA75&lt;AA74,AA68-AA75,AA74)*(Assum!$E$244-1))</f>
        <v>0</v>
      </c>
      <c r="AB76" s="752" t="n">
        <f aca="false">MAX(0,IF(AB68-AB75&lt;AB74,AB68-AB75,AB74)*(Assum!$E$244-1))</f>
        <v>0</v>
      </c>
      <c r="AC76" s="752" t="n">
        <f aca="false">MAX(0,IF(AC68-AC75&lt;AC74,AC68-AC75,AC74)*(Assum!$E$244-1))</f>
        <v>0</v>
      </c>
      <c r="AD76" s="752" t="n">
        <f aca="false">MAX(0,IF(AD68-AD75&lt;AD74,AD68-AD75,AD74)*(Assum!$E$244-1))</f>
        <v>0</v>
      </c>
      <c r="AE76" s="752" t="n">
        <f aca="false">MAX(0,IF(AE68-AE75&lt;AE74,AE68-AE75,AE74)*(Assum!$E$244-1))</f>
        <v>0</v>
      </c>
      <c r="AF76" s="752" t="n">
        <f aca="false">MAX(0,IF(AF68-AF75&lt;AF74,AF68-AF75,AF74)*(Assum!$E$244-1))</f>
        <v>0</v>
      </c>
      <c r="AG76" s="752" t="n">
        <f aca="false">MAX(0,IF(AG68-AG75&lt;AG74,AG68-AG75,AG74)*(Assum!$E$244-1))</f>
        <v>0</v>
      </c>
      <c r="AH76" s="752" t="n">
        <f aca="false">MAX(0,IF(AH68-AH75&lt;AH74,AH68-AH75,AH74)*(Assum!$E$244-1))</f>
        <v>0</v>
      </c>
      <c r="AI76" s="752" t="n">
        <f aca="false">MAX(0,IF(AI68-AI75&lt;AI74,AI68-AI75,AI74)*(Assum!$E$244-1))</f>
        <v>0</v>
      </c>
      <c r="AJ76" s="864"/>
      <c r="AK76" s="752"/>
      <c r="AL76" s="373"/>
      <c r="AM76" s="753"/>
      <c r="AN76" s="753"/>
      <c r="AO76" s="753"/>
      <c r="AP76" s="753"/>
    </row>
    <row r="77" customFormat="false" ht="12.75" hidden="false" customHeight="false" outlineLevel="0" collapsed="false">
      <c r="A77" s="751"/>
      <c r="B77" s="865" t="s">
        <v>561</v>
      </c>
      <c r="C77" s="776"/>
      <c r="D77" s="776"/>
      <c r="E77" s="776" t="n">
        <f aca="false">E74-E76</f>
        <v>0</v>
      </c>
      <c r="F77" s="776" t="n">
        <f aca="false">F74-F76</f>
        <v>0</v>
      </c>
      <c r="G77" s="776" t="n">
        <f aca="false">G74-G76</f>
        <v>0</v>
      </c>
      <c r="H77" s="776" t="n">
        <f aca="false">H74-H76</f>
        <v>0</v>
      </c>
      <c r="I77" s="776" t="n">
        <f aca="false">I74-I76</f>
        <v>0</v>
      </c>
      <c r="J77" s="776" t="n">
        <f aca="false">J74-J76</f>
        <v>0</v>
      </c>
      <c r="K77" s="776" t="n">
        <f aca="false">K74-K76</f>
        <v>0</v>
      </c>
      <c r="L77" s="776" t="n">
        <f aca="false">L74-L76</f>
        <v>0</v>
      </c>
      <c r="M77" s="776" t="n">
        <f aca="false">M74-M76</f>
        <v>0</v>
      </c>
      <c r="N77" s="776" t="n">
        <f aca="false">N74-N76</f>
        <v>0</v>
      </c>
      <c r="O77" s="776" t="n">
        <f aca="false">O74-O76</f>
        <v>0</v>
      </c>
      <c r="P77" s="776" t="n">
        <f aca="false">P74-P76</f>
        <v>0</v>
      </c>
      <c r="Q77" s="776" t="n">
        <f aca="false">Q74-Q76</f>
        <v>0</v>
      </c>
      <c r="R77" s="776" t="n">
        <f aca="false">R74-R76</f>
        <v>0</v>
      </c>
      <c r="S77" s="776" t="n">
        <f aca="false">S74-S76</f>
        <v>0</v>
      </c>
      <c r="T77" s="776" t="n">
        <f aca="false">T74-T76</f>
        <v>0</v>
      </c>
      <c r="U77" s="776" t="n">
        <f aca="false">U74-U76</f>
        <v>0</v>
      </c>
      <c r="V77" s="776" t="n">
        <f aca="false">V74-V76</f>
        <v>0</v>
      </c>
      <c r="W77" s="776" t="n">
        <f aca="false">W74-W76</f>
        <v>0</v>
      </c>
      <c r="X77" s="776" t="n">
        <f aca="false">X74-X76</f>
        <v>0</v>
      </c>
      <c r="Y77" s="776" t="n">
        <f aca="false">Y74-Y76</f>
        <v>0</v>
      </c>
      <c r="Z77" s="776" t="n">
        <f aca="false">Z74-Z76</f>
        <v>0</v>
      </c>
      <c r="AA77" s="776" t="n">
        <f aca="false">AA74-AA76</f>
        <v>0</v>
      </c>
      <c r="AB77" s="776" t="n">
        <f aca="false">AB74-AB76</f>
        <v>0</v>
      </c>
      <c r="AC77" s="776" t="n">
        <f aca="false">AC74-AC76</f>
        <v>0</v>
      </c>
      <c r="AD77" s="776" t="n">
        <f aca="false">AD74-AD76</f>
        <v>0</v>
      </c>
      <c r="AE77" s="776" t="n">
        <f aca="false">AE74-AE76</f>
        <v>0</v>
      </c>
      <c r="AF77" s="776" t="n">
        <f aca="false">AF74-AF76</f>
        <v>0</v>
      </c>
      <c r="AG77" s="776" t="n">
        <f aca="false">AG74-AG76</f>
        <v>0</v>
      </c>
      <c r="AH77" s="776" t="n">
        <f aca="false">AH74-AH76</f>
        <v>0</v>
      </c>
      <c r="AI77" s="776" t="n">
        <f aca="false">AI74-AI76</f>
        <v>0</v>
      </c>
      <c r="AJ77" s="866"/>
      <c r="AK77" s="757"/>
      <c r="AL77" s="755"/>
      <c r="AM77" s="755"/>
      <c r="AN77" s="755"/>
      <c r="AO77" s="755"/>
      <c r="AP77" s="755"/>
    </row>
    <row r="78" customFormat="false" ht="12.75" hidden="false" customHeight="false" outlineLevel="0" collapsed="false">
      <c r="A78" s="751"/>
      <c r="B78" s="852" t="s">
        <v>584</v>
      </c>
      <c r="C78" s="853"/>
      <c r="D78" s="853"/>
      <c r="E78" s="854" t="n">
        <f aca="false">Assum!E260</f>
        <v>35975</v>
      </c>
      <c r="F78" s="854" t="n">
        <f aca="false">EDATE(E78,12)</f>
        <v>36340</v>
      </c>
      <c r="G78" s="854" t="n">
        <f aca="false">EDATE(F78,12)</f>
        <v>36706</v>
      </c>
      <c r="H78" s="854" t="n">
        <f aca="false">EDATE(G78,12)</f>
        <v>37071</v>
      </c>
      <c r="I78" s="854" t="n">
        <f aca="false">EDATE(H78,12)</f>
        <v>37436</v>
      </c>
      <c r="J78" s="854" t="n">
        <f aca="false">EDATE(I78,12)</f>
        <v>37801</v>
      </c>
      <c r="K78" s="854" t="n">
        <f aca="false">EDATE(J78,12)</f>
        <v>38167</v>
      </c>
      <c r="L78" s="854" t="n">
        <f aca="false">EDATE(K78,12)</f>
        <v>38532</v>
      </c>
      <c r="M78" s="854" t="n">
        <f aca="false">EDATE(L78,12)</f>
        <v>38897</v>
      </c>
      <c r="N78" s="854" t="n">
        <f aca="false">EDATE(M78,12)</f>
        <v>39262</v>
      </c>
      <c r="O78" s="854" t="n">
        <f aca="false">EDATE(N78,12)</f>
        <v>39628</v>
      </c>
      <c r="P78" s="854" t="n">
        <f aca="false">EDATE(O78,12)</f>
        <v>39993</v>
      </c>
      <c r="Q78" s="854" t="n">
        <f aca="false">EDATE(P78,12)</f>
        <v>40358</v>
      </c>
      <c r="R78" s="854" t="n">
        <f aca="false">EDATE(Q78,12)</f>
        <v>40723</v>
      </c>
      <c r="S78" s="854" t="n">
        <f aca="false">EDATE(R78,12)</f>
        <v>41089</v>
      </c>
      <c r="T78" s="854" t="n">
        <f aca="false">EDATE(S78,12)</f>
        <v>41454</v>
      </c>
      <c r="U78" s="854" t="n">
        <f aca="false">EDATE(T78,12)</f>
        <v>41819</v>
      </c>
      <c r="V78" s="854" t="n">
        <f aca="false">EDATE(U78,12)</f>
        <v>42184</v>
      </c>
      <c r="W78" s="854" t="n">
        <f aca="false">EDATE(V78,12)</f>
        <v>42550</v>
      </c>
      <c r="X78" s="854" t="n">
        <f aca="false">EDATE(W78,12)</f>
        <v>42915</v>
      </c>
      <c r="Y78" s="854" t="n">
        <f aca="false">EDATE(X78,12)</f>
        <v>43280</v>
      </c>
      <c r="Z78" s="854" t="n">
        <f aca="false">EDATE(Y78,12)</f>
        <v>43645</v>
      </c>
      <c r="AA78" s="854" t="n">
        <f aca="false">EDATE(Z78,12)</f>
        <v>44011</v>
      </c>
      <c r="AB78" s="854" t="n">
        <f aca="false">EDATE(AA78,12)</f>
        <v>44376</v>
      </c>
      <c r="AC78" s="854" t="n">
        <f aca="false">EDATE(AB78,12)</f>
        <v>44741</v>
      </c>
      <c r="AD78" s="854" t="n">
        <f aca="false">EDATE(AC78,12)</f>
        <v>45106</v>
      </c>
      <c r="AE78" s="854" t="n">
        <f aca="false">EDATE(AD78,12)</f>
        <v>45472</v>
      </c>
      <c r="AF78" s="854" t="n">
        <f aca="false">EDATE(AE78,12)</f>
        <v>45837</v>
      </c>
      <c r="AG78" s="854" t="n">
        <f aca="false">EDATE(AF78,12)</f>
        <v>46202</v>
      </c>
      <c r="AH78" s="854" t="n">
        <f aca="false">EDATE(AG78,12)</f>
        <v>46567</v>
      </c>
      <c r="AI78" s="854" t="n">
        <f aca="false">EDATE(AH78,12)</f>
        <v>46933</v>
      </c>
      <c r="AJ78" s="855" t="n">
        <f aca="false">EDATE(AI78,12)</f>
        <v>47298</v>
      </c>
      <c r="AK78" s="752"/>
      <c r="AL78" s="373"/>
      <c r="AM78" s="753"/>
      <c r="AN78" s="753"/>
      <c r="AO78" s="753"/>
      <c r="AP78" s="753"/>
    </row>
    <row r="79" customFormat="false" ht="12.75" hidden="false" customHeight="false" outlineLevel="0" collapsed="false">
      <c r="A79" s="751"/>
      <c r="B79" s="856" t="s">
        <v>581</v>
      </c>
      <c r="C79" s="857"/>
      <c r="D79" s="858"/>
      <c r="E79" s="858" t="n">
        <f aca="false">IF(Assum!$E$244=2,E84-E78,E84-E72)</f>
        <v>183</v>
      </c>
      <c r="F79" s="858" t="n">
        <f aca="false">IF(Assum!$E$244=2,F84-F78,F84-F72)</f>
        <v>183</v>
      </c>
      <c r="G79" s="858" t="n">
        <f aca="false">IF(Assum!$E$244=2,G84-G78,G84-G72)</f>
        <v>183</v>
      </c>
      <c r="H79" s="858" t="n">
        <f aca="false">IF(Assum!$E$244=2,H84-H78,H84-H72)</f>
        <v>183</v>
      </c>
      <c r="I79" s="858" t="n">
        <f aca="false">IF(Assum!$E$244=2,I84-I78,I84-I72)</f>
        <v>183</v>
      </c>
      <c r="J79" s="858" t="n">
        <f aca="false">IF(Assum!$E$244=2,J84-J78,J84-J72)</f>
        <v>183</v>
      </c>
      <c r="K79" s="858" t="n">
        <f aca="false">IF(Assum!$E$244=2,K84-K78,K84-K72)</f>
        <v>183</v>
      </c>
      <c r="L79" s="858" t="n">
        <f aca="false">IF(Assum!$E$244=2,L84-L78,L84-L72)</f>
        <v>183</v>
      </c>
      <c r="M79" s="858" t="n">
        <f aca="false">IF(Assum!$E$244=2,M84-M78,M84-M72)</f>
        <v>183</v>
      </c>
      <c r="N79" s="858" t="n">
        <f aca="false">IF(Assum!$E$244=2,N84-N78,N84-N72)</f>
        <v>183</v>
      </c>
      <c r="O79" s="858" t="n">
        <f aca="false">IF(Assum!$E$244=2,O84-O78,O84-O72)</f>
        <v>183</v>
      </c>
      <c r="P79" s="858" t="n">
        <f aca="false">IF(Assum!$E$244=2,P84-P78,P84-P72)</f>
        <v>183</v>
      </c>
      <c r="Q79" s="858" t="n">
        <f aca="false">IF(Assum!$E$244=2,Q84-Q78,Q84-Q72)</f>
        <v>183</v>
      </c>
      <c r="R79" s="858" t="n">
        <f aca="false">IF(Assum!$E$244=2,R84-R78,R84-R72)</f>
        <v>183</v>
      </c>
      <c r="S79" s="858" t="n">
        <f aca="false">IF(Assum!$E$244=2,S84-S78,S84-S72)</f>
        <v>183</v>
      </c>
      <c r="T79" s="858" t="n">
        <f aca="false">IF(Assum!$E$244=2,T84-T78,T84-T72)</f>
        <v>183</v>
      </c>
      <c r="U79" s="858" t="n">
        <f aca="false">IF(Assum!$E$244=2,U84-U78,U84-U72)</f>
        <v>183</v>
      </c>
      <c r="V79" s="858" t="n">
        <f aca="false">IF(Assum!$E$244=2,V84-V78,V84-V72)</f>
        <v>183</v>
      </c>
      <c r="W79" s="858" t="n">
        <f aca="false">IF(Assum!$E$244=2,W84-W78,W84-W72)</f>
        <v>183</v>
      </c>
      <c r="X79" s="858" t="n">
        <f aca="false">IF(Assum!$E$244=2,X84-X78,X84-X72)</f>
        <v>183</v>
      </c>
      <c r="Y79" s="858" t="n">
        <f aca="false">IF(Assum!$E$244=2,Y84-Y78,Y84-Y72)</f>
        <v>183</v>
      </c>
      <c r="Z79" s="858" t="n">
        <f aca="false">IF(Assum!$E$244=2,Z84-Z78,Z84-Z72)</f>
        <v>183</v>
      </c>
      <c r="AA79" s="858" t="n">
        <f aca="false">IF(Assum!$E$244=2,AA84-AA78,AA84-AA72)</f>
        <v>183</v>
      </c>
      <c r="AB79" s="858" t="n">
        <f aca="false">IF(Assum!$E$244=2,AB84-AB78,AB84-AB72)</f>
        <v>183</v>
      </c>
      <c r="AC79" s="858" t="n">
        <f aca="false">IF(Assum!$E$244=2,AC84-AC78,AC84-AC72)</f>
        <v>183</v>
      </c>
      <c r="AD79" s="858" t="n">
        <f aca="false">IF(Assum!$E$244=2,AD84-AD78,AD84-AD72)</f>
        <v>183</v>
      </c>
      <c r="AE79" s="858" t="n">
        <f aca="false">IF(Assum!$E$244=2,AE84-AE78,AE84-AE72)</f>
        <v>183</v>
      </c>
      <c r="AF79" s="858" t="n">
        <f aca="false">IF(Assum!$E$244=2,AF84-AF78,AF84-AF72)</f>
        <v>183</v>
      </c>
      <c r="AG79" s="858" t="n">
        <f aca="false">IF(Assum!$E$244=2,AG84-AG78,AG84-AG72)</f>
        <v>183</v>
      </c>
      <c r="AH79" s="858" t="n">
        <f aca="false">IF(Assum!$E$244=2,AH84-AH78,AH84-AH72)</f>
        <v>183</v>
      </c>
      <c r="AI79" s="858" t="n">
        <f aca="false">IF(Assum!$E$244=2,AI84-AI78,AI84-AI72)</f>
        <v>183</v>
      </c>
      <c r="AJ79" s="859"/>
      <c r="AK79" s="752"/>
      <c r="AL79" s="373"/>
      <c r="AM79" s="753"/>
      <c r="AN79" s="753"/>
      <c r="AO79" s="753"/>
      <c r="AP79" s="753"/>
    </row>
    <row r="80" customFormat="false" ht="12.75" hidden="false" customHeight="false" outlineLevel="0" collapsed="false">
      <c r="A80" s="751"/>
      <c r="B80" s="865" t="s">
        <v>585</v>
      </c>
      <c r="C80" s="776"/>
      <c r="D80" s="776"/>
      <c r="E80" s="776" t="n">
        <f aca="false">E77</f>
        <v>0</v>
      </c>
      <c r="F80" s="776" t="n">
        <f aca="false">F77</f>
        <v>0</v>
      </c>
      <c r="G80" s="776" t="n">
        <f aca="false">G77</f>
        <v>0</v>
      </c>
      <c r="H80" s="776" t="n">
        <f aca="false">H77</f>
        <v>0</v>
      </c>
      <c r="I80" s="776" t="n">
        <f aca="false">I77</f>
        <v>0</v>
      </c>
      <c r="J80" s="776" t="n">
        <f aca="false">J77</f>
        <v>0</v>
      </c>
      <c r="K80" s="776" t="n">
        <f aca="false">K77</f>
        <v>0</v>
      </c>
      <c r="L80" s="776" t="n">
        <f aca="false">L77</f>
        <v>0</v>
      </c>
      <c r="M80" s="776" t="n">
        <f aca="false">M77</f>
        <v>0</v>
      </c>
      <c r="N80" s="776" t="n">
        <f aca="false">N77</f>
        <v>0</v>
      </c>
      <c r="O80" s="776" t="n">
        <f aca="false">O77</f>
        <v>0</v>
      </c>
      <c r="P80" s="776" t="n">
        <f aca="false">P77</f>
        <v>0</v>
      </c>
      <c r="Q80" s="776" t="n">
        <f aca="false">Q77</f>
        <v>0</v>
      </c>
      <c r="R80" s="776" t="n">
        <f aca="false">R77</f>
        <v>0</v>
      </c>
      <c r="S80" s="776" t="n">
        <f aca="false">S77</f>
        <v>0</v>
      </c>
      <c r="T80" s="776" t="n">
        <f aca="false">T77</f>
        <v>0</v>
      </c>
      <c r="U80" s="776" t="n">
        <f aca="false">U77</f>
        <v>0</v>
      </c>
      <c r="V80" s="776" t="n">
        <f aca="false">V77</f>
        <v>0</v>
      </c>
      <c r="W80" s="776" t="n">
        <f aca="false">W77</f>
        <v>0</v>
      </c>
      <c r="X80" s="776" t="n">
        <f aca="false">X77</f>
        <v>0</v>
      </c>
      <c r="Y80" s="776" t="n">
        <f aca="false">Y77</f>
        <v>0</v>
      </c>
      <c r="Z80" s="776" t="n">
        <f aca="false">Z77</f>
        <v>0</v>
      </c>
      <c r="AA80" s="776" t="n">
        <f aca="false">AA77</f>
        <v>0</v>
      </c>
      <c r="AB80" s="776" t="n">
        <f aca="false">AB77</f>
        <v>0</v>
      </c>
      <c r="AC80" s="776" t="n">
        <f aca="false">AC77</f>
        <v>0</v>
      </c>
      <c r="AD80" s="776" t="n">
        <f aca="false">AD77</f>
        <v>0</v>
      </c>
      <c r="AE80" s="776" t="n">
        <f aca="false">AE77</f>
        <v>0</v>
      </c>
      <c r="AF80" s="776" t="n">
        <f aca="false">AF77</f>
        <v>0</v>
      </c>
      <c r="AG80" s="776" t="n">
        <f aca="false">AG77</f>
        <v>0</v>
      </c>
      <c r="AH80" s="776" t="n">
        <f aca="false">AH77</f>
        <v>0</v>
      </c>
      <c r="AI80" s="776" t="n">
        <f aca="false">AI77</f>
        <v>0</v>
      </c>
      <c r="AJ80" s="866"/>
      <c r="AK80" s="757"/>
      <c r="AL80" s="755"/>
      <c r="AM80" s="755"/>
      <c r="AN80" s="755"/>
      <c r="AO80" s="755"/>
      <c r="AP80" s="755"/>
    </row>
    <row r="81" customFormat="false" ht="12.75" hidden="false" customHeight="false" outlineLevel="0" collapsed="false">
      <c r="A81" s="751"/>
      <c r="B81" s="862" t="s">
        <v>559</v>
      </c>
      <c r="C81" s="863"/>
      <c r="D81" s="789"/>
      <c r="E81" s="789" t="n">
        <f aca="false">E80*E59*E79/Assum!$E$259</f>
        <v>0</v>
      </c>
      <c r="F81" s="789" t="n">
        <f aca="false">F80*F59*F79/Assum!$E$259</f>
        <v>0</v>
      </c>
      <c r="G81" s="789" t="n">
        <f aca="false">G80*G59*G79/Assum!$E$259</f>
        <v>0</v>
      </c>
      <c r="H81" s="789" t="n">
        <f aca="false">H80*H59*H79/Assum!$E$259</f>
        <v>0</v>
      </c>
      <c r="I81" s="789" t="n">
        <f aca="false">I80*I59*I79/Assum!$E$259</f>
        <v>0</v>
      </c>
      <c r="J81" s="789" t="n">
        <f aca="false">J80*J59*J79/Assum!$E$259</f>
        <v>0</v>
      </c>
      <c r="K81" s="789" t="n">
        <f aca="false">K80*K59*K79/Assum!$E$259</f>
        <v>0</v>
      </c>
      <c r="L81" s="789" t="n">
        <f aca="false">L80*L59*L79/Assum!$E$259</f>
        <v>0</v>
      </c>
      <c r="M81" s="789" t="n">
        <f aca="false">M80*M59*M79/Assum!$E$259</f>
        <v>0</v>
      </c>
      <c r="N81" s="789" t="n">
        <f aca="false">N80*N59*N79/Assum!$E$259</f>
        <v>0</v>
      </c>
      <c r="O81" s="789" t="n">
        <f aca="false">O80*O59*O79/Assum!$E$259</f>
        <v>0</v>
      </c>
      <c r="P81" s="789" t="n">
        <f aca="false">P80*P59*P79/Assum!$E$259</f>
        <v>0</v>
      </c>
      <c r="Q81" s="789" t="n">
        <f aca="false">Q80*Q59*Q79/Assum!$E$259</f>
        <v>0</v>
      </c>
      <c r="R81" s="789" t="n">
        <f aca="false">R80*R59*R79/Assum!$E$259</f>
        <v>0</v>
      </c>
      <c r="S81" s="789" t="n">
        <f aca="false">S80*S59*S79/Assum!$E$259</f>
        <v>0</v>
      </c>
      <c r="T81" s="789" t="n">
        <f aca="false">T80*T59*T79/Assum!$E$259</f>
        <v>0</v>
      </c>
      <c r="U81" s="789" t="n">
        <f aca="false">U80*U59*U79/Assum!$E$259</f>
        <v>0</v>
      </c>
      <c r="V81" s="789" t="n">
        <f aca="false">V80*V59*V79/Assum!$E$259</f>
        <v>0</v>
      </c>
      <c r="W81" s="789" t="n">
        <f aca="false">W80*W59*W79/Assum!$E$259</f>
        <v>0</v>
      </c>
      <c r="X81" s="789" t="n">
        <f aca="false">X80*X59*X79/Assum!$E$259</f>
        <v>0</v>
      </c>
      <c r="Y81" s="789" t="n">
        <f aca="false">Y80*Y59*Y79/Assum!$E$259</f>
        <v>0</v>
      </c>
      <c r="Z81" s="789" t="n">
        <f aca="false">Z80*Z59*Z79/Assum!$E$259</f>
        <v>0</v>
      </c>
      <c r="AA81" s="789" t="n">
        <f aca="false">AA80*AA59*AA79/Assum!$E$259</f>
        <v>0</v>
      </c>
      <c r="AB81" s="789" t="n">
        <f aca="false">AB80*AB59*AB79/Assum!$E$259</f>
        <v>0</v>
      </c>
      <c r="AC81" s="789" t="n">
        <f aca="false">AC80*AC59*AC79/Assum!$E$259</f>
        <v>0</v>
      </c>
      <c r="AD81" s="789" t="n">
        <f aca="false">AD80*AD59*AD79/Assum!$E$259</f>
        <v>0</v>
      </c>
      <c r="AE81" s="789" t="n">
        <f aca="false">AE80*AE59*AE79/Assum!$E$259</f>
        <v>0</v>
      </c>
      <c r="AF81" s="789" t="n">
        <f aca="false">AF80*AF59*AF79/Assum!$E$259</f>
        <v>0</v>
      </c>
      <c r="AG81" s="789" t="n">
        <f aca="false">AG80*AG59*AG79/Assum!$E$259</f>
        <v>0</v>
      </c>
      <c r="AH81" s="789" t="n">
        <f aca="false">AH80*AH59*AH79/Assum!$E$259</f>
        <v>0</v>
      </c>
      <c r="AI81" s="789" t="n">
        <f aca="false">AI80*AI59*AI79/Assum!$E$259</f>
        <v>0</v>
      </c>
      <c r="AJ81" s="864"/>
      <c r="AK81" s="752"/>
      <c r="AL81" s="373"/>
      <c r="AM81" s="753"/>
      <c r="AN81" s="753"/>
      <c r="AO81" s="753"/>
      <c r="AP81" s="753"/>
    </row>
    <row r="82" customFormat="false" ht="12.75" hidden="false" customHeight="false" outlineLevel="0" collapsed="false">
      <c r="A82" s="751"/>
      <c r="B82" s="862" t="s">
        <v>583</v>
      </c>
      <c r="C82" s="863"/>
      <c r="D82" s="789"/>
      <c r="E82" s="752" t="n">
        <f aca="false">MAX(0,IF(E69-E81&lt;E80,E69-E81,E80))</f>
        <v>0</v>
      </c>
      <c r="F82" s="752" t="n">
        <f aca="false">MAX(0,IF(F69-F81&lt;F80,F69-F81,F80))</f>
        <v>0</v>
      </c>
      <c r="G82" s="752" t="n">
        <f aca="false">MAX(0,IF(G69-G81&lt;G80,G69-G81,G80))</f>
        <v>0</v>
      </c>
      <c r="H82" s="752" t="n">
        <f aca="false">MAX(0,IF(H69-H81&lt;H80,H69-H81,H80))</f>
        <v>0</v>
      </c>
      <c r="I82" s="752" t="n">
        <f aca="false">MAX(0,IF(I69-I81&lt;I80,I69-I81,I80))</f>
        <v>0</v>
      </c>
      <c r="J82" s="752" t="n">
        <f aca="false">MAX(0,IF(J69-J81&lt;J80,J69-J81,J80))</f>
        <v>0</v>
      </c>
      <c r="K82" s="752" t="n">
        <f aca="false">MAX(0,IF(K69-K81&lt;K80,K69-K81,K80))</f>
        <v>0</v>
      </c>
      <c r="L82" s="752" t="n">
        <f aca="false">MAX(0,IF(L69-L81&lt;L80,L69-L81,L80))</f>
        <v>0</v>
      </c>
      <c r="M82" s="752" t="n">
        <f aca="false">MAX(0,IF(M69-M81&lt;M80,M69-M81,M80))</f>
        <v>0</v>
      </c>
      <c r="N82" s="752" t="n">
        <f aca="false">MAX(0,IF(N69-N81&lt;N80,N69-N81,N80))</f>
        <v>0</v>
      </c>
      <c r="O82" s="752" t="n">
        <f aca="false">MAX(0,IF(O69-O81&lt;O80,O69-O81,O80))</f>
        <v>0</v>
      </c>
      <c r="P82" s="752" t="n">
        <f aca="false">MAX(0,IF(P69-P81&lt;P80,P69-P81,P80))</f>
        <v>0</v>
      </c>
      <c r="Q82" s="752" t="n">
        <f aca="false">MAX(0,IF(Q69-Q81&lt;Q80,Q69-Q81,Q80))</f>
        <v>0</v>
      </c>
      <c r="R82" s="752" t="n">
        <f aca="false">MAX(0,IF(R69-R81&lt;R80,R69-R81,R80))</f>
        <v>0</v>
      </c>
      <c r="S82" s="752" t="n">
        <f aca="false">MAX(0,IF(S69-S81&lt;S80,S69-S81,S80))</f>
        <v>0</v>
      </c>
      <c r="T82" s="752" t="n">
        <f aca="false">MAX(0,IF(T69-T81&lt;T80,T69-T81,T80))</f>
        <v>0</v>
      </c>
      <c r="U82" s="752" t="n">
        <f aca="false">MAX(0,IF(U69-U81&lt;U80,U69-U81,U80))</f>
        <v>0</v>
      </c>
      <c r="V82" s="752" t="n">
        <f aca="false">MAX(0,IF(V69-V81&lt;V80,V69-V81,V80))</f>
        <v>0</v>
      </c>
      <c r="W82" s="752" t="n">
        <f aca="false">MAX(0,IF(W69-W81&lt;W80,W69-W81,W80))</f>
        <v>0</v>
      </c>
      <c r="X82" s="752" t="n">
        <f aca="false">MAX(0,IF(X69-X81&lt;X80,X69-X81,X80))</f>
        <v>0</v>
      </c>
      <c r="Y82" s="752" t="n">
        <f aca="false">MAX(0,IF(Y69-Y81&lt;Y80,Y69-Y81,Y80))</f>
        <v>0</v>
      </c>
      <c r="Z82" s="752" t="n">
        <f aca="false">MAX(0,IF(Z69-Z81&lt;Z80,Z69-Z81,Z80))</f>
        <v>0</v>
      </c>
      <c r="AA82" s="752" t="n">
        <f aca="false">MAX(0,IF(AA69-AA81&lt;AA80,AA69-AA81,AA80))</f>
        <v>0</v>
      </c>
      <c r="AB82" s="752" t="n">
        <f aca="false">MAX(0,IF(AB69-AB81&lt;AB80,AB69-AB81,AB80))</f>
        <v>0</v>
      </c>
      <c r="AC82" s="752" t="n">
        <f aca="false">MAX(0,IF(AC69-AC81&lt;AC80,AC69-AC81,AC80))</f>
        <v>0</v>
      </c>
      <c r="AD82" s="752" t="n">
        <f aca="false">MAX(0,IF(AD69-AD81&lt;AD80,AD69-AD81,AD80))</f>
        <v>0</v>
      </c>
      <c r="AE82" s="752" t="n">
        <f aca="false">MAX(0,IF(AE69-AE81&lt;AE80,AE69-AE81,AE80))</f>
        <v>0</v>
      </c>
      <c r="AF82" s="752" t="n">
        <f aca="false">MAX(0,IF(AF69-AF81&lt;AF80,AF69-AF81,AF80))</f>
        <v>0</v>
      </c>
      <c r="AG82" s="752" t="n">
        <f aca="false">MAX(0,IF(AG69-AG81&lt;AG80,AG69-AG81,AG80))</f>
        <v>0</v>
      </c>
      <c r="AH82" s="752" t="n">
        <f aca="false">MAX(0,IF(AH69-AH81&lt;AH80,AH69-AH81,AH80))</f>
        <v>0</v>
      </c>
      <c r="AI82" s="752" t="n">
        <f aca="false">MAX(0,IF(AI69-AI81&lt;AI80,AI69-AI81,AI80))</f>
        <v>0</v>
      </c>
      <c r="AJ82" s="864"/>
      <c r="AK82" s="752"/>
      <c r="AL82" s="373"/>
      <c r="AM82" s="753"/>
      <c r="AN82" s="753"/>
      <c r="AO82" s="753"/>
      <c r="AP82" s="753"/>
    </row>
    <row r="83" customFormat="false" ht="12.75" hidden="false" customHeight="false" outlineLevel="0" collapsed="false">
      <c r="A83" s="751"/>
      <c r="B83" s="865" t="s">
        <v>561</v>
      </c>
      <c r="C83" s="776"/>
      <c r="D83" s="776"/>
      <c r="E83" s="776" t="n">
        <f aca="false">E80-E82</f>
        <v>0</v>
      </c>
      <c r="F83" s="776" t="n">
        <f aca="false">F80-F82</f>
        <v>0</v>
      </c>
      <c r="G83" s="776" t="n">
        <f aca="false">G80-G82</f>
        <v>0</v>
      </c>
      <c r="H83" s="776" t="n">
        <f aca="false">H80-H82</f>
        <v>0</v>
      </c>
      <c r="I83" s="776" t="n">
        <f aca="false">I80-I82</f>
        <v>0</v>
      </c>
      <c r="J83" s="776" t="n">
        <f aca="false">J80-J82</f>
        <v>0</v>
      </c>
      <c r="K83" s="776" t="n">
        <f aca="false">K80-K82</f>
        <v>0</v>
      </c>
      <c r="L83" s="776" t="n">
        <f aca="false">L80-L82</f>
        <v>0</v>
      </c>
      <c r="M83" s="776" t="n">
        <f aca="false">M80-M82</f>
        <v>0</v>
      </c>
      <c r="N83" s="776" t="n">
        <f aca="false">N80-N82</f>
        <v>0</v>
      </c>
      <c r="O83" s="776" t="n">
        <f aca="false">O80-O82</f>
        <v>0</v>
      </c>
      <c r="P83" s="776" t="n">
        <f aca="false">P80-P82</f>
        <v>0</v>
      </c>
      <c r="Q83" s="776" t="n">
        <f aca="false">Q80-Q82</f>
        <v>0</v>
      </c>
      <c r="R83" s="776" t="n">
        <f aca="false">R80-R82</f>
        <v>0</v>
      </c>
      <c r="S83" s="776" t="n">
        <f aca="false">S80-S82</f>
        <v>0</v>
      </c>
      <c r="T83" s="776" t="n">
        <f aca="false">T80-T82</f>
        <v>0</v>
      </c>
      <c r="U83" s="776" t="n">
        <f aca="false">U80-U82</f>
        <v>0</v>
      </c>
      <c r="V83" s="776" t="n">
        <f aca="false">V80-V82</f>
        <v>0</v>
      </c>
      <c r="W83" s="776" t="n">
        <f aca="false">W80-W82</f>
        <v>0</v>
      </c>
      <c r="X83" s="776" t="n">
        <f aca="false">X80-X82</f>
        <v>0</v>
      </c>
      <c r="Y83" s="776" t="n">
        <f aca="false">Y80-Y82</f>
        <v>0</v>
      </c>
      <c r="Z83" s="776" t="n">
        <f aca="false">Z80-Z82</f>
        <v>0</v>
      </c>
      <c r="AA83" s="776" t="n">
        <f aca="false">AA80-AA82</f>
        <v>0</v>
      </c>
      <c r="AB83" s="776" t="n">
        <f aca="false">AB80-AB82</f>
        <v>0</v>
      </c>
      <c r="AC83" s="776" t="n">
        <f aca="false">AC80-AC82</f>
        <v>0</v>
      </c>
      <c r="AD83" s="776" t="n">
        <f aca="false">AD80-AD82</f>
        <v>0</v>
      </c>
      <c r="AE83" s="776" t="n">
        <f aca="false">AE80-AE82</f>
        <v>0</v>
      </c>
      <c r="AF83" s="776" t="n">
        <f aca="false">AF80-AF82</f>
        <v>0</v>
      </c>
      <c r="AG83" s="776" t="n">
        <f aca="false">AG80-AG82</f>
        <v>0</v>
      </c>
      <c r="AH83" s="776" t="n">
        <f aca="false">AH80-AH82</f>
        <v>0</v>
      </c>
      <c r="AI83" s="776" t="n">
        <f aca="false">AI80-AI82</f>
        <v>0</v>
      </c>
      <c r="AJ83" s="866"/>
      <c r="AK83" s="757"/>
      <c r="AL83" s="755"/>
      <c r="AM83" s="755"/>
      <c r="AN83" s="755"/>
      <c r="AO83" s="755"/>
      <c r="AP83" s="755"/>
    </row>
    <row r="84" customFormat="false" ht="12.75" hidden="false" customHeight="false" outlineLevel="0" collapsed="false">
      <c r="A84" s="751"/>
      <c r="B84" s="852" t="s">
        <v>586</v>
      </c>
      <c r="C84" s="853"/>
      <c r="D84" s="853"/>
      <c r="E84" s="854" t="n">
        <f aca="false">Assum!E261</f>
        <v>36158</v>
      </c>
      <c r="F84" s="854" t="n">
        <f aca="false">EDATE(E84,12)</f>
        <v>36523</v>
      </c>
      <c r="G84" s="854" t="n">
        <f aca="false">EDATE(F84,12)</f>
        <v>36889</v>
      </c>
      <c r="H84" s="854" t="n">
        <f aca="false">EDATE(G84,12)</f>
        <v>37254</v>
      </c>
      <c r="I84" s="854" t="n">
        <f aca="false">EDATE(H84,12)</f>
        <v>37619</v>
      </c>
      <c r="J84" s="854" t="n">
        <f aca="false">EDATE(I84,12)</f>
        <v>37984</v>
      </c>
      <c r="K84" s="854" t="n">
        <f aca="false">EDATE(J84,12)</f>
        <v>38350</v>
      </c>
      <c r="L84" s="854" t="n">
        <f aca="false">EDATE(K84,12)</f>
        <v>38715</v>
      </c>
      <c r="M84" s="854" t="n">
        <f aca="false">EDATE(L84,12)</f>
        <v>39080</v>
      </c>
      <c r="N84" s="854" t="n">
        <f aca="false">EDATE(M84,12)</f>
        <v>39445</v>
      </c>
      <c r="O84" s="854" t="n">
        <f aca="false">EDATE(N84,12)</f>
        <v>39811</v>
      </c>
      <c r="P84" s="854" t="n">
        <f aca="false">EDATE(O84,12)</f>
        <v>40176</v>
      </c>
      <c r="Q84" s="854" t="n">
        <f aca="false">EDATE(P84,12)</f>
        <v>40541</v>
      </c>
      <c r="R84" s="854" t="n">
        <f aca="false">EDATE(Q84,12)</f>
        <v>40906</v>
      </c>
      <c r="S84" s="854" t="n">
        <f aca="false">EDATE(R84,12)</f>
        <v>41272</v>
      </c>
      <c r="T84" s="854" t="n">
        <f aca="false">EDATE(S84,12)</f>
        <v>41637</v>
      </c>
      <c r="U84" s="854" t="n">
        <f aca="false">EDATE(T84,12)</f>
        <v>42002</v>
      </c>
      <c r="V84" s="854" t="n">
        <f aca="false">EDATE(U84,12)</f>
        <v>42367</v>
      </c>
      <c r="W84" s="854" t="n">
        <f aca="false">EDATE(V84,12)</f>
        <v>42733</v>
      </c>
      <c r="X84" s="854" t="n">
        <f aca="false">EDATE(W84,12)</f>
        <v>43098</v>
      </c>
      <c r="Y84" s="854" t="n">
        <f aca="false">EDATE(X84,12)</f>
        <v>43463</v>
      </c>
      <c r="Z84" s="854" t="n">
        <f aca="false">EDATE(Y84,12)</f>
        <v>43828</v>
      </c>
      <c r="AA84" s="854" t="n">
        <f aca="false">EDATE(Z84,12)</f>
        <v>44194</v>
      </c>
      <c r="AB84" s="854" t="n">
        <f aca="false">EDATE(AA84,12)</f>
        <v>44559</v>
      </c>
      <c r="AC84" s="854" t="n">
        <f aca="false">EDATE(AB84,12)</f>
        <v>44924</v>
      </c>
      <c r="AD84" s="854" t="n">
        <f aca="false">EDATE(AC84,12)</f>
        <v>45289</v>
      </c>
      <c r="AE84" s="854" t="n">
        <f aca="false">EDATE(AD84,12)</f>
        <v>45655</v>
      </c>
      <c r="AF84" s="854" t="n">
        <f aca="false">EDATE(AE84,12)</f>
        <v>46020</v>
      </c>
      <c r="AG84" s="854" t="n">
        <f aca="false">EDATE(AF84,12)</f>
        <v>46385</v>
      </c>
      <c r="AH84" s="854" t="n">
        <f aca="false">EDATE(AG84,12)</f>
        <v>46750</v>
      </c>
      <c r="AI84" s="854" t="n">
        <f aca="false">EDATE(AH84,12)</f>
        <v>47116</v>
      </c>
      <c r="AJ84" s="855" t="n">
        <f aca="false">EDATE(AI84,12)</f>
        <v>47481</v>
      </c>
      <c r="AK84" s="808"/>
      <c r="AL84" s="374"/>
      <c r="AM84" s="809"/>
      <c r="AN84" s="809"/>
      <c r="AO84" s="809"/>
      <c r="AP84" s="809"/>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21"/>
      <c r="EB84" s="21"/>
      <c r="EC84" s="21"/>
      <c r="ED84" s="21"/>
      <c r="EE84" s="21"/>
      <c r="EF84" s="21"/>
      <c r="EG84" s="21"/>
      <c r="EH84" s="21"/>
      <c r="EI84" s="21"/>
      <c r="EJ84" s="21"/>
      <c r="EK84" s="21"/>
      <c r="EL84" s="21"/>
      <c r="EM84" s="21"/>
      <c r="EN84" s="21"/>
      <c r="EO84" s="21"/>
      <c r="EP84" s="21"/>
      <c r="EQ84" s="21"/>
      <c r="ER84" s="21"/>
      <c r="ES84" s="21"/>
      <c r="ET84" s="21"/>
      <c r="EU84" s="21"/>
      <c r="EV84" s="21"/>
      <c r="EW84" s="21"/>
      <c r="EX84" s="21"/>
      <c r="EY84" s="21"/>
      <c r="EZ84" s="21"/>
      <c r="FA84" s="21"/>
      <c r="FB84" s="21"/>
      <c r="FC84" s="21"/>
      <c r="FD84" s="21"/>
      <c r="FE84" s="21"/>
      <c r="FF84" s="21"/>
      <c r="FG84" s="21"/>
      <c r="FH84" s="21"/>
      <c r="FI84" s="21"/>
      <c r="FJ84" s="21"/>
      <c r="FK84" s="21"/>
      <c r="FL84" s="21"/>
      <c r="FM84" s="21"/>
      <c r="FN84" s="21"/>
      <c r="FO84" s="21"/>
      <c r="FP84" s="21"/>
      <c r="FQ84" s="21"/>
      <c r="FR84" s="21"/>
      <c r="FS84" s="21"/>
      <c r="FT84" s="21"/>
      <c r="FU84" s="21"/>
      <c r="FV84" s="21"/>
      <c r="FW84" s="21"/>
      <c r="FX84" s="21"/>
      <c r="FY84" s="21"/>
      <c r="FZ84" s="21"/>
      <c r="GA84" s="21"/>
      <c r="GB84" s="21"/>
      <c r="GC84" s="21"/>
      <c r="GD84" s="21"/>
      <c r="GE84" s="21"/>
      <c r="GF84" s="21"/>
      <c r="GG84" s="21"/>
      <c r="GH84" s="21"/>
      <c r="GI84" s="21"/>
      <c r="GJ84" s="21"/>
      <c r="GK84" s="21"/>
      <c r="GL84" s="21"/>
      <c r="GM84" s="21"/>
      <c r="GN84" s="21"/>
      <c r="GO84" s="21"/>
      <c r="GP84" s="21"/>
      <c r="GQ84" s="21"/>
      <c r="GR84" s="21"/>
      <c r="GS84" s="21"/>
      <c r="GT84" s="21"/>
      <c r="GU84" s="21"/>
      <c r="GV84" s="21"/>
      <c r="GW84" s="21"/>
      <c r="GX84" s="21"/>
      <c r="GY84" s="21"/>
      <c r="GZ84" s="21"/>
      <c r="HA84" s="21"/>
      <c r="HB84" s="21"/>
      <c r="HC84" s="21"/>
      <c r="HD84" s="21"/>
      <c r="HE84" s="21"/>
      <c r="HF84" s="21"/>
      <c r="HG84" s="21"/>
      <c r="HH84" s="21"/>
      <c r="HI84" s="21"/>
      <c r="HJ84" s="21"/>
      <c r="HK84" s="21"/>
      <c r="HL84" s="21"/>
      <c r="HM84" s="21"/>
      <c r="HN84" s="21"/>
      <c r="HO84" s="21"/>
      <c r="HP84" s="21"/>
      <c r="HQ84" s="21"/>
      <c r="HR84" s="21"/>
      <c r="HS84" s="21"/>
      <c r="HT84" s="21"/>
      <c r="HU84" s="21"/>
      <c r="HV84" s="21"/>
      <c r="HW84" s="21"/>
      <c r="HX84" s="21"/>
      <c r="HY84" s="21"/>
      <c r="HZ84" s="21"/>
      <c r="IA84" s="21"/>
      <c r="IB84" s="21"/>
      <c r="IC84" s="21"/>
      <c r="ID84" s="21"/>
      <c r="IE84" s="21"/>
      <c r="IF84" s="21"/>
      <c r="IG84" s="21"/>
      <c r="IH84" s="21"/>
      <c r="II84" s="21"/>
      <c r="IJ84" s="21"/>
      <c r="IK84" s="21"/>
      <c r="IL84" s="21"/>
      <c r="IM84" s="21"/>
      <c r="IN84" s="21"/>
      <c r="IO84" s="21"/>
      <c r="IP84" s="21"/>
      <c r="IQ84" s="21"/>
      <c r="IR84" s="21"/>
      <c r="IS84" s="21"/>
      <c r="IT84" s="21"/>
      <c r="IU84" s="21"/>
      <c r="IV84" s="21"/>
      <c r="IW84" s="21"/>
    </row>
    <row r="85" customFormat="false" ht="12.75" hidden="false" customHeight="false" outlineLevel="0" collapsed="false">
      <c r="A85" s="751"/>
      <c r="B85" s="867" t="s">
        <v>587</v>
      </c>
      <c r="C85" s="789"/>
      <c r="D85" s="789"/>
      <c r="E85" s="789" t="n">
        <f aca="false">IF(E74&gt;0.1,1,0)</f>
        <v>0</v>
      </c>
      <c r="F85" s="789" t="n">
        <f aca="false">IF(F74&gt;0.1,1,0)</f>
        <v>0</v>
      </c>
      <c r="G85" s="789" t="n">
        <f aca="false">IF(G74&gt;0.1,1,0)</f>
        <v>0</v>
      </c>
      <c r="H85" s="789" t="n">
        <f aca="false">IF(H74&gt;0.1,1,0)</f>
        <v>0</v>
      </c>
      <c r="I85" s="789" t="n">
        <f aca="false">IF(I74&gt;0.1,1,0)</f>
        <v>0</v>
      </c>
      <c r="J85" s="789" t="n">
        <f aca="false">IF(J74&gt;0.1,1,0)</f>
        <v>0</v>
      </c>
      <c r="K85" s="789" t="n">
        <f aca="false">IF(K74&gt;0.1,1,0)</f>
        <v>0</v>
      </c>
      <c r="L85" s="789" t="n">
        <f aca="false">IF(L74&gt;0.1,1,0)</f>
        <v>0</v>
      </c>
      <c r="M85" s="789" t="n">
        <f aca="false">IF(M74&gt;0.1,1,0)</f>
        <v>0</v>
      </c>
      <c r="N85" s="789" t="n">
        <f aca="false">IF(N74&gt;0.1,1,0)</f>
        <v>0</v>
      </c>
      <c r="O85" s="789" t="n">
        <f aca="false">IF(O74&gt;0.1,1,0)</f>
        <v>0</v>
      </c>
      <c r="P85" s="789" t="n">
        <f aca="false">IF(P74&gt;0.1,1,0)</f>
        <v>0</v>
      </c>
      <c r="Q85" s="789" t="n">
        <f aca="false">IF(Q74&gt;0.1,1,0)</f>
        <v>0</v>
      </c>
      <c r="R85" s="789" t="n">
        <f aca="false">IF(R74&gt;0.1,1,0)</f>
        <v>0</v>
      </c>
      <c r="S85" s="789" t="n">
        <f aca="false">IF(S74&gt;0.1,1,0)</f>
        <v>0</v>
      </c>
      <c r="T85" s="789" t="n">
        <f aca="false">IF(T74&gt;0.1,1,0)</f>
        <v>0</v>
      </c>
      <c r="U85" s="789" t="n">
        <f aca="false">IF(U74&gt;0.1,1,0)</f>
        <v>0</v>
      </c>
      <c r="V85" s="789" t="n">
        <f aca="false">IF(V74&gt;0.1,1,0)</f>
        <v>0</v>
      </c>
      <c r="W85" s="789" t="n">
        <f aca="false">IF(W74&gt;0.1,1,0)</f>
        <v>0</v>
      </c>
      <c r="X85" s="789" t="n">
        <f aca="false">IF(X74&gt;0.1,1,0)</f>
        <v>0</v>
      </c>
      <c r="Y85" s="789" t="n">
        <f aca="false">IF(Y74&gt;0.1,1,0)</f>
        <v>0</v>
      </c>
      <c r="Z85" s="789" t="n">
        <f aca="false">IF(Z74&gt;0.1,1,0)</f>
        <v>0</v>
      </c>
      <c r="AA85" s="789" t="n">
        <f aca="false">IF(AA74&gt;0.1,1,0)</f>
        <v>0</v>
      </c>
      <c r="AB85" s="789" t="n">
        <f aca="false">IF(AB74&gt;0.1,1,0)</f>
        <v>0</v>
      </c>
      <c r="AC85" s="789" t="n">
        <f aca="false">IF(AC74&gt;0.1,1,0)</f>
        <v>0</v>
      </c>
      <c r="AD85" s="789" t="n">
        <f aca="false">IF(AD74&gt;0.1,1,0)</f>
        <v>0</v>
      </c>
      <c r="AE85" s="789" t="n">
        <f aca="false">IF(AE74&gt;0.1,1,0)</f>
        <v>0</v>
      </c>
      <c r="AF85" s="789" t="n">
        <f aca="false">IF(AF74&gt;0.1,1,0)</f>
        <v>0</v>
      </c>
      <c r="AG85" s="789" t="n">
        <f aca="false">IF(AG74&gt;0.1,1,0)</f>
        <v>0</v>
      </c>
      <c r="AH85" s="789" t="n">
        <f aca="false">IF(AH74&gt;0.1,1,0)</f>
        <v>0</v>
      </c>
      <c r="AI85" s="789" t="n">
        <f aca="false">IF(AI74&gt;0.1,1,0)</f>
        <v>0</v>
      </c>
      <c r="AJ85" s="868"/>
      <c r="AK85" s="811"/>
      <c r="AL85" s="782"/>
      <c r="AM85" s="782"/>
      <c r="AN85" s="782"/>
      <c r="AO85" s="782"/>
      <c r="AP85" s="782"/>
    </row>
    <row r="86" customFormat="false" ht="12.75" hidden="false" customHeight="false" outlineLevel="0" collapsed="false">
      <c r="A86" s="751"/>
      <c r="B86" s="867" t="s">
        <v>588</v>
      </c>
      <c r="C86" s="789"/>
      <c r="D86" s="789"/>
      <c r="E86" s="789" t="n">
        <f aca="false">IF(E80&gt;0.1,1,0)</f>
        <v>0</v>
      </c>
      <c r="F86" s="789" t="n">
        <f aca="false">IF(F80&gt;0.1,1,0)</f>
        <v>0</v>
      </c>
      <c r="G86" s="789" t="n">
        <f aca="false">IF(G80&gt;0.1,1,0)</f>
        <v>0</v>
      </c>
      <c r="H86" s="789" t="n">
        <f aca="false">IF(H80&gt;0.1,1,0)</f>
        <v>0</v>
      </c>
      <c r="I86" s="789" t="n">
        <f aca="false">IF(I80&gt;0.1,1,0)</f>
        <v>0</v>
      </c>
      <c r="J86" s="789" t="n">
        <f aca="false">IF(J80&gt;0.1,1,0)</f>
        <v>0</v>
      </c>
      <c r="K86" s="789" t="n">
        <f aca="false">IF(K80&gt;0.1,1,0)</f>
        <v>0</v>
      </c>
      <c r="L86" s="789" t="n">
        <f aca="false">IF(L80&gt;0.1,1,0)</f>
        <v>0</v>
      </c>
      <c r="M86" s="789" t="n">
        <f aca="false">IF(M80&gt;0.1,1,0)</f>
        <v>0</v>
      </c>
      <c r="N86" s="789" t="n">
        <f aca="false">IF(N80&gt;0.1,1,0)</f>
        <v>0</v>
      </c>
      <c r="O86" s="789" t="n">
        <f aca="false">IF(O80&gt;0.1,1,0)</f>
        <v>0</v>
      </c>
      <c r="P86" s="789" t="n">
        <f aca="false">IF(P80&gt;0.1,1,0)</f>
        <v>0</v>
      </c>
      <c r="Q86" s="789" t="n">
        <f aca="false">IF(Q80&gt;0.1,1,0)</f>
        <v>0</v>
      </c>
      <c r="R86" s="789" t="n">
        <f aca="false">IF(R80&gt;0.1,1,0)</f>
        <v>0</v>
      </c>
      <c r="S86" s="789" t="n">
        <f aca="false">IF(S80&gt;0.1,1,0)</f>
        <v>0</v>
      </c>
      <c r="T86" s="789" t="n">
        <f aca="false">IF(T80&gt;0.1,1,0)</f>
        <v>0</v>
      </c>
      <c r="U86" s="789" t="n">
        <f aca="false">IF(U80&gt;0.1,1,0)</f>
        <v>0</v>
      </c>
      <c r="V86" s="789" t="n">
        <f aca="false">IF(V80&gt;0.1,1,0)</f>
        <v>0</v>
      </c>
      <c r="W86" s="789" t="n">
        <f aca="false">IF(W80&gt;0.1,1,0)</f>
        <v>0</v>
      </c>
      <c r="X86" s="789" t="n">
        <f aca="false">IF(X80&gt;0.1,1,0)</f>
        <v>0</v>
      </c>
      <c r="Y86" s="789" t="n">
        <f aca="false">IF(Y80&gt;0.1,1,0)</f>
        <v>0</v>
      </c>
      <c r="Z86" s="789" t="n">
        <f aca="false">IF(Z80&gt;0.1,1,0)</f>
        <v>0</v>
      </c>
      <c r="AA86" s="789" t="n">
        <f aca="false">IF(AA80&gt;0.1,1,0)</f>
        <v>0</v>
      </c>
      <c r="AB86" s="789" t="n">
        <f aca="false">IF(AB80&gt;0.1,1,0)</f>
        <v>0</v>
      </c>
      <c r="AC86" s="789" t="n">
        <f aca="false">IF(AC80&gt;0.1,1,0)</f>
        <v>0</v>
      </c>
      <c r="AD86" s="789" t="n">
        <f aca="false">IF(AD80&gt;0.1,1,0)</f>
        <v>0</v>
      </c>
      <c r="AE86" s="789" t="n">
        <f aca="false">IF(AE80&gt;0.1,1,0)</f>
        <v>0</v>
      </c>
      <c r="AF86" s="789" t="n">
        <f aca="false">IF(AF80&gt;0.1,1,0)</f>
        <v>0</v>
      </c>
      <c r="AG86" s="789" t="n">
        <f aca="false">IF(AG80&gt;0.1,1,0)</f>
        <v>0</v>
      </c>
      <c r="AH86" s="789" t="n">
        <f aca="false">IF(AH80&gt;0.1,1,0)</f>
        <v>0</v>
      </c>
      <c r="AI86" s="789" t="n">
        <f aca="false">IF(AI80&gt;0.1,1,0)</f>
        <v>0</v>
      </c>
      <c r="AJ86" s="868"/>
      <c r="AK86" s="811"/>
      <c r="AL86" s="782"/>
      <c r="AM86" s="782"/>
      <c r="AN86" s="782"/>
      <c r="AO86" s="782"/>
      <c r="AP86" s="782"/>
    </row>
    <row r="87" customFormat="false" ht="13.5" hidden="false" customHeight="false" outlineLevel="0" collapsed="false">
      <c r="A87" s="751"/>
      <c r="B87" s="867" t="s">
        <v>589</v>
      </c>
      <c r="C87" s="789"/>
      <c r="D87" s="789"/>
      <c r="E87" s="869" t="e">
        <f aca="false">SUM(E80:AI80)/E80</f>
        <v>#DIV/0!</v>
      </c>
      <c r="F87" s="789"/>
      <c r="G87" s="870"/>
      <c r="H87" s="789"/>
      <c r="I87" s="789"/>
      <c r="J87" s="789"/>
      <c r="K87" s="789"/>
      <c r="L87" s="789"/>
      <c r="M87" s="789"/>
      <c r="N87" s="789"/>
      <c r="O87" s="789"/>
      <c r="P87" s="789"/>
      <c r="Q87" s="789"/>
      <c r="R87" s="789"/>
      <c r="S87" s="789"/>
      <c r="T87" s="789"/>
      <c r="U87" s="789"/>
      <c r="V87" s="789"/>
      <c r="W87" s="789"/>
      <c r="X87" s="789"/>
      <c r="Y87" s="789"/>
      <c r="Z87" s="789"/>
      <c r="AA87" s="789"/>
      <c r="AB87" s="789"/>
      <c r="AC87" s="789"/>
      <c r="AD87" s="789"/>
      <c r="AE87" s="789"/>
      <c r="AF87" s="789"/>
      <c r="AG87" s="789"/>
      <c r="AH87" s="789"/>
      <c r="AI87" s="789"/>
      <c r="AJ87" s="868"/>
      <c r="AK87" s="811"/>
      <c r="AL87" s="782"/>
      <c r="AM87" s="782"/>
      <c r="AN87" s="782"/>
      <c r="AO87" s="782"/>
      <c r="AP87" s="782"/>
    </row>
    <row r="88" customFormat="false" ht="13.5" hidden="false" customHeight="false" outlineLevel="0" collapsed="false">
      <c r="A88" s="751"/>
      <c r="B88" s="871" t="s">
        <v>595</v>
      </c>
      <c r="C88" s="872"/>
      <c r="D88" s="872"/>
      <c r="E88" s="873"/>
      <c r="F88" s="873"/>
      <c r="G88" s="873"/>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4"/>
      <c r="AK88" s="808"/>
      <c r="AL88" s="374"/>
      <c r="AM88" s="809"/>
      <c r="AN88" s="809"/>
      <c r="AO88" s="809"/>
      <c r="AP88" s="809"/>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c r="FM88" s="21"/>
      <c r="FN88" s="21"/>
      <c r="FO88" s="21"/>
      <c r="FP88" s="21"/>
      <c r="FQ88" s="21"/>
      <c r="FR88" s="21"/>
      <c r="FS88" s="21"/>
      <c r="FT88" s="21"/>
      <c r="FU88" s="21"/>
      <c r="FV88" s="21"/>
      <c r="FW88" s="21"/>
      <c r="FX88" s="21"/>
      <c r="FY88" s="21"/>
      <c r="FZ88" s="21"/>
      <c r="GA88" s="21"/>
      <c r="GB88" s="21"/>
      <c r="GC88" s="21"/>
      <c r="GD88" s="21"/>
      <c r="GE88" s="21"/>
      <c r="GF88" s="21"/>
      <c r="GG88" s="21"/>
      <c r="GH88" s="21"/>
      <c r="GI88" s="21"/>
      <c r="GJ88" s="21"/>
      <c r="GK88" s="21"/>
      <c r="GL88" s="21"/>
      <c r="GM88" s="21"/>
      <c r="GN88" s="21"/>
      <c r="GO88" s="21"/>
      <c r="GP88" s="21"/>
      <c r="GQ88" s="21"/>
      <c r="GR88" s="21"/>
      <c r="GS88" s="21"/>
      <c r="GT88" s="21"/>
      <c r="GU88" s="21"/>
      <c r="GV88" s="21"/>
      <c r="GW88" s="21"/>
      <c r="GX88" s="21"/>
      <c r="GY88" s="21"/>
      <c r="GZ88" s="21"/>
      <c r="HA88" s="21"/>
      <c r="HB88" s="21"/>
      <c r="HC88" s="21"/>
      <c r="HD88" s="21"/>
      <c r="HE88" s="21"/>
      <c r="HF88" s="21"/>
      <c r="HG88" s="21"/>
      <c r="HH88" s="21"/>
      <c r="HI88" s="21"/>
      <c r="HJ88" s="21"/>
      <c r="HK88" s="21"/>
      <c r="HL88" s="21"/>
      <c r="HM88" s="21"/>
      <c r="HN88" s="21"/>
      <c r="HO88" s="21"/>
      <c r="HP88" s="21"/>
      <c r="HQ88" s="21"/>
      <c r="HR88" s="21"/>
      <c r="HS88" s="21"/>
      <c r="HT88" s="21"/>
      <c r="HU88" s="21"/>
      <c r="HV88" s="21"/>
      <c r="HW88" s="21"/>
      <c r="HX88" s="21"/>
      <c r="HY88" s="21"/>
      <c r="HZ88" s="21"/>
      <c r="IA88" s="21"/>
      <c r="IB88" s="21"/>
      <c r="IC88" s="21"/>
      <c r="ID88" s="21"/>
      <c r="IE88" s="21"/>
      <c r="IF88" s="21"/>
      <c r="IG88" s="21"/>
      <c r="IH88" s="21"/>
      <c r="II88" s="21"/>
      <c r="IJ88" s="21"/>
      <c r="IK88" s="21"/>
      <c r="IL88" s="21"/>
      <c r="IM88" s="21"/>
      <c r="IN88" s="21"/>
      <c r="IO88" s="21"/>
      <c r="IP88" s="21"/>
      <c r="IQ88" s="21"/>
      <c r="IR88" s="21"/>
      <c r="IS88" s="21"/>
      <c r="IT88" s="21"/>
      <c r="IU88" s="21"/>
      <c r="IV88" s="21"/>
      <c r="IW88" s="21"/>
    </row>
    <row r="89" customFormat="false" ht="12.75" hidden="false" customHeight="false" outlineLevel="0" collapsed="false">
      <c r="A89" s="751"/>
      <c r="B89" s="875" t="s">
        <v>591</v>
      </c>
      <c r="C89" s="789" t="n">
        <f aca="false">SUM(E89:AI89)</f>
        <v>0</v>
      </c>
      <c r="D89" s="876"/>
      <c r="E89" s="876" t="n">
        <f aca="false">E75+E81</f>
        <v>0</v>
      </c>
      <c r="F89" s="876" t="n">
        <f aca="false">F75+F81</f>
        <v>0</v>
      </c>
      <c r="G89" s="876" t="n">
        <f aca="false">G75+G81</f>
        <v>0</v>
      </c>
      <c r="H89" s="876" t="n">
        <f aca="false">H75+H81</f>
        <v>0</v>
      </c>
      <c r="I89" s="876" t="n">
        <f aca="false">I75+I81</f>
        <v>0</v>
      </c>
      <c r="J89" s="876" t="n">
        <f aca="false">J75+J81</f>
        <v>0</v>
      </c>
      <c r="K89" s="876" t="n">
        <f aca="false">K75+K81</f>
        <v>0</v>
      </c>
      <c r="L89" s="876" t="n">
        <f aca="false">L75+L81</f>
        <v>0</v>
      </c>
      <c r="M89" s="876" t="n">
        <f aca="false">M75+M81</f>
        <v>0</v>
      </c>
      <c r="N89" s="876" t="n">
        <f aca="false">N75+N81</f>
        <v>0</v>
      </c>
      <c r="O89" s="876" t="n">
        <f aca="false">O75+O81</f>
        <v>0</v>
      </c>
      <c r="P89" s="876" t="n">
        <f aca="false">P75+P81</f>
        <v>0</v>
      </c>
      <c r="Q89" s="876" t="n">
        <f aca="false">Q75+Q81</f>
        <v>0</v>
      </c>
      <c r="R89" s="876" t="n">
        <f aca="false">R75+R81</f>
        <v>0</v>
      </c>
      <c r="S89" s="876" t="n">
        <f aca="false">S75+S81</f>
        <v>0</v>
      </c>
      <c r="T89" s="876" t="n">
        <f aca="false">T75+T81</f>
        <v>0</v>
      </c>
      <c r="U89" s="876" t="n">
        <f aca="false">U75+U81</f>
        <v>0</v>
      </c>
      <c r="V89" s="876" t="n">
        <f aca="false">V75+V81</f>
        <v>0</v>
      </c>
      <c r="W89" s="876" t="n">
        <f aca="false">W75+W81</f>
        <v>0</v>
      </c>
      <c r="X89" s="876" t="n">
        <f aca="false">X75+X81</f>
        <v>0</v>
      </c>
      <c r="Y89" s="876" t="n">
        <f aca="false">Y75+Y81</f>
        <v>0</v>
      </c>
      <c r="Z89" s="876" t="n">
        <f aca="false">Z75+Z81</f>
        <v>0</v>
      </c>
      <c r="AA89" s="876" t="n">
        <f aca="false">AA75+AA81</f>
        <v>0</v>
      </c>
      <c r="AB89" s="876" t="n">
        <f aca="false">AB75+AB81</f>
        <v>0</v>
      </c>
      <c r="AC89" s="876" t="n">
        <f aca="false">AC75+AC81</f>
        <v>0</v>
      </c>
      <c r="AD89" s="876" t="n">
        <f aca="false">AD75+AD81</f>
        <v>0</v>
      </c>
      <c r="AE89" s="876" t="n">
        <f aca="false">AE75+AE81</f>
        <v>0</v>
      </c>
      <c r="AF89" s="876" t="n">
        <f aca="false">AF75+AF81</f>
        <v>0</v>
      </c>
      <c r="AG89" s="876" t="n">
        <f aca="false">AG75+AG81</f>
        <v>0</v>
      </c>
      <c r="AH89" s="876" t="n">
        <f aca="false">AH75+AH81</f>
        <v>0</v>
      </c>
      <c r="AI89" s="876" t="n">
        <f aca="false">AI75+AI81</f>
        <v>0</v>
      </c>
      <c r="AJ89" s="877"/>
      <c r="AK89" s="808"/>
      <c r="AL89" s="374"/>
      <c r="AM89" s="809"/>
      <c r="AN89" s="809"/>
      <c r="AO89" s="809"/>
      <c r="AP89" s="809"/>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c r="FM89" s="21"/>
      <c r="FN89" s="21"/>
      <c r="FO89" s="21"/>
      <c r="FP89" s="21"/>
      <c r="FQ89" s="21"/>
      <c r="FR89" s="21"/>
      <c r="FS89" s="21"/>
      <c r="FT89" s="21"/>
      <c r="FU89" s="21"/>
      <c r="FV89" s="21"/>
      <c r="FW89" s="21"/>
      <c r="FX89" s="21"/>
      <c r="FY89" s="21"/>
      <c r="FZ89" s="21"/>
      <c r="GA89" s="21"/>
      <c r="GB89" s="21"/>
      <c r="GC89" s="21"/>
      <c r="GD89" s="21"/>
      <c r="GE89" s="21"/>
      <c r="GF89" s="21"/>
      <c r="GG89" s="21"/>
      <c r="GH89" s="21"/>
      <c r="GI89" s="21"/>
      <c r="GJ89" s="21"/>
      <c r="GK89" s="21"/>
      <c r="GL89" s="21"/>
      <c r="GM89" s="21"/>
      <c r="GN89" s="21"/>
      <c r="GO89" s="21"/>
      <c r="GP89" s="21"/>
      <c r="GQ89" s="21"/>
      <c r="GR89" s="21"/>
      <c r="GS89" s="21"/>
      <c r="GT89" s="21"/>
      <c r="GU89" s="21"/>
      <c r="GV89" s="21"/>
      <c r="GW89" s="21"/>
      <c r="GX89" s="21"/>
      <c r="GY89" s="21"/>
      <c r="GZ89" s="21"/>
      <c r="HA89" s="21"/>
      <c r="HB89" s="21"/>
      <c r="HC89" s="21"/>
      <c r="HD89" s="21"/>
      <c r="HE89" s="21"/>
      <c r="HF89" s="21"/>
      <c r="HG89" s="21"/>
      <c r="HH89" s="21"/>
      <c r="HI89" s="21"/>
      <c r="HJ89" s="21"/>
      <c r="HK89" s="21"/>
      <c r="HL89" s="21"/>
      <c r="HM89" s="21"/>
      <c r="HN89" s="21"/>
      <c r="HO89" s="21"/>
      <c r="HP89" s="21"/>
      <c r="HQ89" s="21"/>
      <c r="HR89" s="21"/>
      <c r="HS89" s="21"/>
      <c r="HT89" s="21"/>
      <c r="HU89" s="21"/>
      <c r="HV89" s="21"/>
      <c r="HW89" s="21"/>
      <c r="HX89" s="21"/>
      <c r="HY89" s="21"/>
      <c r="HZ89" s="21"/>
      <c r="IA89" s="21"/>
      <c r="IB89" s="21"/>
      <c r="IC89" s="21"/>
      <c r="ID89" s="21"/>
      <c r="IE89" s="21"/>
      <c r="IF89" s="21"/>
      <c r="IG89" s="21"/>
      <c r="IH89" s="21"/>
      <c r="II89" s="21"/>
      <c r="IJ89" s="21"/>
      <c r="IK89" s="21"/>
      <c r="IL89" s="21"/>
      <c r="IM89" s="21"/>
      <c r="IN89" s="21"/>
      <c r="IO89" s="21"/>
      <c r="IP89" s="21"/>
      <c r="IQ89" s="21"/>
      <c r="IR89" s="21"/>
      <c r="IS89" s="21"/>
      <c r="IT89" s="21"/>
      <c r="IU89" s="21"/>
      <c r="IV89" s="21"/>
      <c r="IW89" s="21"/>
    </row>
    <row r="90" customFormat="false" ht="13.5" hidden="false" customHeight="false" outlineLevel="0" collapsed="false">
      <c r="A90" s="751"/>
      <c r="B90" s="878" t="s">
        <v>592</v>
      </c>
      <c r="C90" s="879" t="n">
        <f aca="false">SUM(E90:AI90)</f>
        <v>0</v>
      </c>
      <c r="D90" s="495"/>
      <c r="E90" s="879" t="n">
        <f aca="false">E76+E82</f>
        <v>0</v>
      </c>
      <c r="F90" s="879" t="n">
        <f aca="false">F76+F82</f>
        <v>0</v>
      </c>
      <c r="G90" s="879" t="n">
        <f aca="false">G76+G82</f>
        <v>0</v>
      </c>
      <c r="H90" s="879" t="n">
        <f aca="false">H76+H82</f>
        <v>0</v>
      </c>
      <c r="I90" s="879" t="n">
        <f aca="false">I76+I82</f>
        <v>0</v>
      </c>
      <c r="J90" s="879" t="n">
        <f aca="false">J76+J82</f>
        <v>0</v>
      </c>
      <c r="K90" s="879" t="n">
        <f aca="false">K76+K82</f>
        <v>0</v>
      </c>
      <c r="L90" s="879" t="n">
        <f aca="false">L76+L82</f>
        <v>0</v>
      </c>
      <c r="M90" s="879" t="n">
        <f aca="false">M76+M82</f>
        <v>0</v>
      </c>
      <c r="N90" s="879" t="n">
        <f aca="false">N76+N82</f>
        <v>0</v>
      </c>
      <c r="O90" s="879" t="n">
        <f aca="false">O76+O82</f>
        <v>0</v>
      </c>
      <c r="P90" s="879" t="n">
        <f aca="false">P76+P82</f>
        <v>0</v>
      </c>
      <c r="Q90" s="879" t="n">
        <f aca="false">Q76+Q82</f>
        <v>0</v>
      </c>
      <c r="R90" s="879" t="n">
        <f aca="false">R76+R82</f>
        <v>0</v>
      </c>
      <c r="S90" s="879" t="n">
        <f aca="false">S76+S82</f>
        <v>0</v>
      </c>
      <c r="T90" s="879" t="n">
        <f aca="false">T76+T82</f>
        <v>0</v>
      </c>
      <c r="U90" s="879" t="n">
        <f aca="false">U76+U82</f>
        <v>0</v>
      </c>
      <c r="V90" s="879" t="n">
        <f aca="false">V76+V82</f>
        <v>0</v>
      </c>
      <c r="W90" s="879" t="n">
        <f aca="false">W76+W82</f>
        <v>0</v>
      </c>
      <c r="X90" s="879" t="n">
        <f aca="false">X76+X82</f>
        <v>0</v>
      </c>
      <c r="Y90" s="879" t="n">
        <f aca="false">Y76+Y82</f>
        <v>0</v>
      </c>
      <c r="Z90" s="879" t="n">
        <f aca="false">Z76+Z82</f>
        <v>0</v>
      </c>
      <c r="AA90" s="879" t="n">
        <f aca="false">AA76+AA82</f>
        <v>0</v>
      </c>
      <c r="AB90" s="879" t="n">
        <f aca="false">AB76+AB82</f>
        <v>0</v>
      </c>
      <c r="AC90" s="879" t="n">
        <f aca="false">AC76+AC82</f>
        <v>0</v>
      </c>
      <c r="AD90" s="879" t="n">
        <f aca="false">AD76+AD82</f>
        <v>0</v>
      </c>
      <c r="AE90" s="879" t="n">
        <f aca="false">AE76+AE82</f>
        <v>0</v>
      </c>
      <c r="AF90" s="879" t="n">
        <f aca="false">AF76+AF82</f>
        <v>0</v>
      </c>
      <c r="AG90" s="879" t="n">
        <f aca="false">AG76+AG82</f>
        <v>0</v>
      </c>
      <c r="AH90" s="879" t="n">
        <f aca="false">AH76+AH82</f>
        <v>0</v>
      </c>
      <c r="AI90" s="879" t="n">
        <f aca="false">AI76+AI82</f>
        <v>0</v>
      </c>
      <c r="AJ90" s="880"/>
      <c r="AK90" s="752"/>
      <c r="AL90" s="373"/>
      <c r="AM90" s="753"/>
      <c r="AN90" s="753"/>
      <c r="AO90" s="753"/>
      <c r="AP90" s="753"/>
    </row>
    <row r="91" customFormat="false" ht="13.5" hidden="false" customHeight="false" outlineLevel="0" collapsed="false">
      <c r="A91" s="751"/>
      <c r="B91" s="881" t="s">
        <v>593</v>
      </c>
      <c r="C91" s="882"/>
      <c r="D91" s="883"/>
      <c r="E91" s="882" t="n">
        <f aca="false">SUM(E89:E90)</f>
        <v>0</v>
      </c>
      <c r="F91" s="882" t="n">
        <f aca="false">SUM(F89:F90)</f>
        <v>0</v>
      </c>
      <c r="G91" s="882" t="n">
        <f aca="false">SUM(G89:G90)</f>
        <v>0</v>
      </c>
      <c r="H91" s="882" t="n">
        <f aca="false">SUM(H89:H90)</f>
        <v>0</v>
      </c>
      <c r="I91" s="882" t="n">
        <f aca="false">SUM(I89:I90)</f>
        <v>0</v>
      </c>
      <c r="J91" s="882" t="n">
        <f aca="false">SUM(J89:J90)</f>
        <v>0</v>
      </c>
      <c r="K91" s="882" t="n">
        <f aca="false">SUM(K89:K90)</f>
        <v>0</v>
      </c>
      <c r="L91" s="882" t="n">
        <f aca="false">SUM(L89:L90)</f>
        <v>0</v>
      </c>
      <c r="M91" s="882" t="n">
        <f aca="false">SUM(M89:M90)</f>
        <v>0</v>
      </c>
      <c r="N91" s="882" t="n">
        <f aca="false">SUM(N89:N90)</f>
        <v>0</v>
      </c>
      <c r="O91" s="882" t="n">
        <f aca="false">SUM(O89:O90)</f>
        <v>0</v>
      </c>
      <c r="P91" s="882" t="n">
        <f aca="false">SUM(P89:P90)</f>
        <v>0</v>
      </c>
      <c r="Q91" s="882" t="n">
        <f aca="false">SUM(Q89:Q90)</f>
        <v>0</v>
      </c>
      <c r="R91" s="882" t="n">
        <f aca="false">SUM(R89:R90)</f>
        <v>0</v>
      </c>
      <c r="S91" s="882" t="n">
        <f aca="false">SUM(S89:S90)</f>
        <v>0</v>
      </c>
      <c r="T91" s="882" t="n">
        <f aca="false">SUM(T89:T90)</f>
        <v>0</v>
      </c>
      <c r="U91" s="882" t="n">
        <f aca="false">SUM(U89:U90)</f>
        <v>0</v>
      </c>
      <c r="V91" s="882" t="n">
        <f aca="false">SUM(V89:V90)</f>
        <v>0</v>
      </c>
      <c r="W91" s="882" t="n">
        <f aca="false">SUM(W89:W90)</f>
        <v>0</v>
      </c>
      <c r="X91" s="882" t="n">
        <f aca="false">SUM(X89:X90)</f>
        <v>0</v>
      </c>
      <c r="Y91" s="882" t="n">
        <f aca="false">SUM(Y89:Y90)</f>
        <v>0</v>
      </c>
      <c r="Z91" s="882" t="n">
        <f aca="false">SUM(Z89:Z90)</f>
        <v>0</v>
      </c>
      <c r="AA91" s="882" t="n">
        <f aca="false">SUM(AA89:AA90)</f>
        <v>0</v>
      </c>
      <c r="AB91" s="882" t="n">
        <f aca="false">SUM(AB89:AB90)</f>
        <v>0</v>
      </c>
      <c r="AC91" s="882" t="n">
        <f aca="false">SUM(AC89:AC90)</f>
        <v>0</v>
      </c>
      <c r="AD91" s="882" t="n">
        <f aca="false">SUM(AD89:AD90)</f>
        <v>0</v>
      </c>
      <c r="AE91" s="882" t="n">
        <f aca="false">SUM(AE89:AE90)</f>
        <v>0</v>
      </c>
      <c r="AF91" s="882" t="n">
        <f aca="false">SUM(AF89:AF90)</f>
        <v>0</v>
      </c>
      <c r="AG91" s="882" t="n">
        <f aca="false">SUM(AG89:AG90)</f>
        <v>0</v>
      </c>
      <c r="AH91" s="882" t="n">
        <f aca="false">SUM(AH89:AH90)</f>
        <v>0</v>
      </c>
      <c r="AI91" s="882" t="n">
        <f aca="false">SUM(AI89:AI90)</f>
        <v>0</v>
      </c>
      <c r="AJ91" s="884"/>
      <c r="AK91" s="757"/>
      <c r="AL91" s="755"/>
      <c r="AM91" s="755"/>
      <c r="AN91" s="755"/>
      <c r="AO91" s="755"/>
      <c r="AP91" s="755"/>
    </row>
    <row r="92" customFormat="false" ht="12.75" hidden="false" customHeight="false" outlineLevel="0" collapsed="false">
      <c r="A92" s="847"/>
      <c r="B92" s="613"/>
      <c r="C92" s="613"/>
      <c r="D92" s="613"/>
      <c r="E92" s="832"/>
      <c r="F92" s="832"/>
      <c r="G92" s="832"/>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08"/>
      <c r="AL92" s="374"/>
      <c r="AM92" s="809"/>
      <c r="AN92" s="809"/>
      <c r="AO92" s="809"/>
      <c r="AP92" s="809"/>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c r="FL92" s="21"/>
      <c r="FM92" s="21"/>
      <c r="FN92" s="21"/>
      <c r="FO92" s="21"/>
      <c r="FP92" s="21"/>
      <c r="FQ92" s="21"/>
      <c r="FR92" s="21"/>
      <c r="FS92" s="21"/>
      <c r="FT92" s="21"/>
      <c r="FU92" s="21"/>
      <c r="FV92" s="21"/>
      <c r="FW92" s="21"/>
      <c r="FX92" s="21"/>
      <c r="FY92" s="21"/>
      <c r="FZ92" s="21"/>
      <c r="GA92" s="21"/>
      <c r="GB92" s="21"/>
      <c r="GC92" s="21"/>
      <c r="GD92" s="21"/>
      <c r="GE92" s="21"/>
      <c r="GF92" s="21"/>
      <c r="GG92" s="21"/>
      <c r="GH92" s="21"/>
      <c r="GI92" s="21"/>
      <c r="GJ92" s="21"/>
      <c r="GK92" s="21"/>
      <c r="GL92" s="21"/>
      <c r="GM92" s="21"/>
      <c r="GN92" s="21"/>
      <c r="GO92" s="21"/>
      <c r="GP92" s="21"/>
      <c r="GQ92" s="21"/>
      <c r="GR92" s="21"/>
      <c r="GS92" s="21"/>
      <c r="GT92" s="21"/>
      <c r="GU92" s="21"/>
      <c r="GV92" s="21"/>
      <c r="GW92" s="21"/>
      <c r="GX92" s="21"/>
      <c r="GY92" s="21"/>
      <c r="GZ92" s="21"/>
      <c r="HA92" s="21"/>
      <c r="HB92" s="21"/>
      <c r="HC92" s="21"/>
      <c r="HD92" s="21"/>
      <c r="HE92" s="21"/>
      <c r="HF92" s="21"/>
      <c r="HG92" s="21"/>
      <c r="HH92" s="21"/>
      <c r="HI92" s="21"/>
      <c r="HJ92" s="21"/>
      <c r="HK92" s="21"/>
      <c r="HL92" s="21"/>
      <c r="HM92" s="21"/>
      <c r="HN92" s="21"/>
      <c r="HO92" s="21"/>
      <c r="HP92" s="21"/>
      <c r="HQ92" s="21"/>
      <c r="HR92" s="21"/>
      <c r="HS92" s="21"/>
      <c r="HT92" s="21"/>
      <c r="HU92" s="21"/>
      <c r="HV92" s="21"/>
      <c r="HW92" s="21"/>
      <c r="HX92" s="21"/>
      <c r="HY92" s="21"/>
      <c r="HZ92" s="21"/>
      <c r="IA92" s="21"/>
      <c r="IB92" s="21"/>
      <c r="IC92" s="21"/>
      <c r="ID92" s="21"/>
      <c r="IE92" s="21"/>
      <c r="IF92" s="21"/>
      <c r="IG92" s="21"/>
      <c r="IH92" s="21"/>
      <c r="II92" s="21"/>
      <c r="IJ92" s="21"/>
      <c r="IK92" s="21"/>
      <c r="IL92" s="21"/>
      <c r="IM92" s="21"/>
      <c r="IN92" s="21"/>
      <c r="IO92" s="21"/>
      <c r="IP92" s="21"/>
      <c r="IQ92" s="21"/>
      <c r="IR92" s="21"/>
      <c r="IS92" s="21"/>
      <c r="IT92" s="21"/>
      <c r="IU92" s="21"/>
      <c r="IV92" s="21"/>
      <c r="IW92" s="21"/>
    </row>
    <row r="93" customFormat="false" ht="12.75" hidden="false" customHeight="false" outlineLevel="0" collapsed="false">
      <c r="A93" s="847"/>
      <c r="B93" s="782" t="s">
        <v>596</v>
      </c>
      <c r="C93" s="613"/>
      <c r="D93" s="830" t="n">
        <f aca="false">1-E93</f>
        <v>0</v>
      </c>
      <c r="E93" s="830" t="n">
        <f aca="false">IF(E73=0,0,IF(YEAR(E78)=YEAR(E114),1,ROUND(((E114-E72)/E73),2)))</f>
        <v>1</v>
      </c>
      <c r="F93" s="832"/>
      <c r="G93" s="832"/>
      <c r="H93" s="832"/>
      <c r="I93" s="832"/>
      <c r="J93" s="832"/>
      <c r="K93" s="832"/>
      <c r="L93" s="832"/>
      <c r="M93" s="832"/>
      <c r="N93" s="832"/>
      <c r="O93" s="832"/>
      <c r="P93" s="832"/>
      <c r="Q93" s="832"/>
      <c r="R93" s="832"/>
      <c r="S93" s="832"/>
      <c r="T93" s="832"/>
      <c r="U93" s="832"/>
      <c r="V93" s="832"/>
      <c r="W93" s="832"/>
      <c r="X93" s="832"/>
      <c r="Y93" s="832"/>
      <c r="Z93" s="832"/>
      <c r="AA93" s="832"/>
      <c r="AB93" s="832"/>
      <c r="AC93" s="832"/>
      <c r="AD93" s="832"/>
      <c r="AE93" s="832"/>
      <c r="AF93" s="832"/>
      <c r="AG93" s="832"/>
      <c r="AH93" s="832"/>
      <c r="AI93" s="832"/>
      <c r="AJ93" s="832"/>
      <c r="AK93" s="808"/>
      <c r="AL93" s="374"/>
      <c r="AM93" s="809"/>
      <c r="AN93" s="809"/>
      <c r="AO93" s="809"/>
      <c r="AP93" s="809"/>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c r="FL93" s="21"/>
      <c r="FM93" s="21"/>
      <c r="FN93" s="21"/>
      <c r="FO93" s="21"/>
      <c r="FP93" s="21"/>
      <c r="FQ93" s="21"/>
      <c r="FR93" s="21"/>
      <c r="FS93" s="21"/>
      <c r="FT93" s="21"/>
      <c r="FU93" s="21"/>
      <c r="FV93" s="21"/>
      <c r="FW93" s="21"/>
      <c r="FX93" s="21"/>
      <c r="FY93" s="21"/>
      <c r="FZ93" s="21"/>
      <c r="GA93" s="21"/>
      <c r="GB93" s="21"/>
      <c r="GC93" s="21"/>
      <c r="GD93" s="21"/>
      <c r="GE93" s="21"/>
      <c r="GF93" s="21"/>
      <c r="GG93" s="21"/>
      <c r="GH93" s="21"/>
      <c r="GI93" s="21"/>
      <c r="GJ93" s="21"/>
      <c r="GK93" s="21"/>
      <c r="GL93" s="21"/>
      <c r="GM93" s="21"/>
      <c r="GN93" s="21"/>
      <c r="GO93" s="21"/>
      <c r="GP93" s="21"/>
      <c r="GQ93" s="21"/>
      <c r="GR93" s="21"/>
      <c r="GS93" s="21"/>
      <c r="GT93" s="21"/>
      <c r="GU93" s="21"/>
      <c r="GV93" s="21"/>
      <c r="GW93" s="21"/>
      <c r="GX93" s="21"/>
      <c r="GY93" s="21"/>
      <c r="GZ93" s="21"/>
      <c r="HA93" s="21"/>
      <c r="HB93" s="21"/>
      <c r="HC93" s="21"/>
      <c r="HD93" s="21"/>
      <c r="HE93" s="21"/>
      <c r="HF93" s="21"/>
      <c r="HG93" s="21"/>
      <c r="HH93" s="21"/>
      <c r="HI93" s="21"/>
      <c r="HJ93" s="21"/>
      <c r="HK93" s="21"/>
      <c r="HL93" s="21"/>
      <c r="HM93" s="21"/>
      <c r="HN93" s="21"/>
      <c r="HO93" s="21"/>
      <c r="HP93" s="21"/>
      <c r="HQ93" s="21"/>
      <c r="HR93" s="21"/>
      <c r="HS93" s="21"/>
      <c r="HT93" s="21"/>
      <c r="HU93" s="21"/>
      <c r="HV93" s="21"/>
      <c r="HW93" s="21"/>
      <c r="HX93" s="21"/>
      <c r="HY93" s="21"/>
      <c r="HZ93" s="21"/>
      <c r="IA93" s="21"/>
      <c r="IB93" s="21"/>
      <c r="IC93" s="21"/>
      <c r="ID93" s="21"/>
      <c r="IE93" s="21"/>
      <c r="IF93" s="21"/>
      <c r="IG93" s="21"/>
      <c r="IH93" s="21"/>
      <c r="II93" s="21"/>
      <c r="IJ93" s="21"/>
      <c r="IK93" s="21"/>
      <c r="IL93" s="21"/>
      <c r="IM93" s="21"/>
      <c r="IN93" s="21"/>
      <c r="IO93" s="21"/>
      <c r="IP93" s="21"/>
      <c r="IQ93" s="21"/>
      <c r="IR93" s="21"/>
      <c r="IS93" s="21"/>
      <c r="IT93" s="21"/>
      <c r="IU93" s="21"/>
      <c r="IV93" s="21"/>
      <c r="IW93" s="21"/>
    </row>
    <row r="94" customFormat="false" ht="12.75" hidden="false" customHeight="false" outlineLevel="0" collapsed="false">
      <c r="A94" s="847"/>
      <c r="B94" s="613"/>
      <c r="C94" s="613"/>
      <c r="D94" s="830" t="n">
        <f aca="false">1-E94</f>
        <v>0</v>
      </c>
      <c r="E94" s="830" t="n">
        <f aca="false">IF(Assum!$E$244=1,(1-(ABS(SrDebt!E114-SrDebt!E84)/SrDebt!E79)),IF(YEAR(E84)=YEAR(E114),1,IF(F114-F78&lt;0,0,ROUND(((E114-E78)/E79),2))))</f>
        <v>1</v>
      </c>
      <c r="F94" s="832"/>
      <c r="G94" s="832"/>
      <c r="H94" s="832"/>
      <c r="I94" s="832"/>
      <c r="J94" s="832"/>
      <c r="K94" s="832"/>
      <c r="L94" s="832"/>
      <c r="M94" s="832"/>
      <c r="N94" s="832"/>
      <c r="O94" s="832"/>
      <c r="P94" s="832"/>
      <c r="Q94" s="832"/>
      <c r="R94" s="832"/>
      <c r="S94" s="832"/>
      <c r="T94" s="832"/>
      <c r="U94" s="832"/>
      <c r="V94" s="832"/>
      <c r="W94" s="832"/>
      <c r="X94" s="832"/>
      <c r="Y94" s="832"/>
      <c r="Z94" s="832"/>
      <c r="AA94" s="832"/>
      <c r="AB94" s="832"/>
      <c r="AC94" s="832"/>
      <c r="AD94" s="832"/>
      <c r="AE94" s="832"/>
      <c r="AF94" s="832"/>
      <c r="AG94" s="832"/>
      <c r="AH94" s="832"/>
      <c r="AI94" s="832"/>
      <c r="AJ94" s="832"/>
      <c r="AK94" s="808"/>
      <c r="AL94" s="374"/>
      <c r="AM94" s="809"/>
      <c r="AN94" s="809"/>
      <c r="AO94" s="809"/>
      <c r="AP94" s="809"/>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1"/>
      <c r="FH94" s="21"/>
      <c r="FI94" s="21"/>
      <c r="FJ94" s="21"/>
      <c r="FK94" s="21"/>
      <c r="FL94" s="21"/>
      <c r="FM94" s="21"/>
      <c r="FN94" s="21"/>
      <c r="FO94" s="21"/>
      <c r="FP94" s="21"/>
      <c r="FQ94" s="21"/>
      <c r="FR94" s="21"/>
      <c r="FS94" s="21"/>
      <c r="FT94" s="21"/>
      <c r="FU94" s="21"/>
      <c r="FV94" s="21"/>
      <c r="FW94" s="21"/>
      <c r="FX94" s="21"/>
      <c r="FY94" s="21"/>
      <c r="FZ94" s="21"/>
      <c r="GA94" s="21"/>
      <c r="GB94" s="21"/>
      <c r="GC94" s="21"/>
      <c r="GD94" s="21"/>
      <c r="GE94" s="21"/>
      <c r="GF94" s="21"/>
      <c r="GG94" s="21"/>
      <c r="GH94" s="21"/>
      <c r="GI94" s="21"/>
      <c r="GJ94" s="21"/>
      <c r="GK94" s="21"/>
      <c r="GL94" s="21"/>
      <c r="GM94" s="21"/>
      <c r="GN94" s="21"/>
      <c r="GO94" s="21"/>
      <c r="GP94" s="21"/>
      <c r="GQ94" s="21"/>
      <c r="GR94" s="21"/>
      <c r="GS94" s="21"/>
      <c r="GT94" s="21"/>
      <c r="GU94" s="21"/>
      <c r="GV94" s="21"/>
      <c r="GW94" s="21"/>
      <c r="GX94" s="21"/>
      <c r="GY94" s="21"/>
      <c r="GZ94" s="21"/>
      <c r="HA94" s="21"/>
      <c r="HB94" s="21"/>
      <c r="HC94" s="21"/>
      <c r="HD94" s="21"/>
      <c r="HE94" s="21"/>
      <c r="HF94" s="21"/>
      <c r="HG94" s="21"/>
      <c r="HH94" s="21"/>
      <c r="HI94" s="21"/>
      <c r="HJ94" s="21"/>
      <c r="HK94" s="21"/>
      <c r="HL94" s="21"/>
      <c r="HM94" s="21"/>
      <c r="HN94" s="21"/>
      <c r="HO94" s="21"/>
      <c r="HP94" s="21"/>
      <c r="HQ94" s="21"/>
      <c r="HR94" s="21"/>
      <c r="HS94" s="21"/>
      <c r="HT94" s="21"/>
      <c r="HU94" s="21"/>
      <c r="HV94" s="21"/>
      <c r="HW94" s="21"/>
      <c r="HX94" s="21"/>
      <c r="HY94" s="21"/>
      <c r="HZ94" s="21"/>
      <c r="IA94" s="21"/>
      <c r="IB94" s="21"/>
      <c r="IC94" s="21"/>
      <c r="ID94" s="21"/>
      <c r="IE94" s="21"/>
      <c r="IF94" s="21"/>
      <c r="IG94" s="21"/>
      <c r="IH94" s="21"/>
      <c r="II94" s="21"/>
      <c r="IJ94" s="21"/>
      <c r="IK94" s="21"/>
      <c r="IL94" s="21"/>
      <c r="IM94" s="21"/>
      <c r="IN94" s="21"/>
      <c r="IO94" s="21"/>
      <c r="IP94" s="21"/>
      <c r="IQ94" s="21"/>
      <c r="IR94" s="21"/>
      <c r="IS94" s="21"/>
      <c r="IT94" s="21"/>
      <c r="IU94" s="21"/>
      <c r="IV94" s="21"/>
      <c r="IW94" s="21"/>
    </row>
    <row r="95" customFormat="false" ht="13.5" hidden="false" customHeight="false" outlineLevel="0" collapsed="false">
      <c r="A95" s="847"/>
      <c r="B95" s="613"/>
      <c r="C95" s="613"/>
      <c r="D95" s="613"/>
      <c r="E95" s="832"/>
      <c r="F95" s="832"/>
      <c r="G95" s="832"/>
      <c r="H95" s="832"/>
      <c r="I95" s="832"/>
      <c r="J95" s="832"/>
      <c r="K95" s="832"/>
      <c r="L95" s="832"/>
      <c r="M95" s="832"/>
      <c r="N95" s="832"/>
      <c r="O95" s="832"/>
      <c r="P95" s="832"/>
      <c r="Q95" s="832"/>
      <c r="R95" s="832"/>
      <c r="S95" s="832"/>
      <c r="T95" s="832"/>
      <c r="U95" s="832"/>
      <c r="V95" s="832"/>
      <c r="W95" s="832"/>
      <c r="X95" s="832"/>
      <c r="Y95" s="832"/>
      <c r="Z95" s="832"/>
      <c r="AA95" s="832"/>
      <c r="AB95" s="832"/>
      <c r="AC95" s="832"/>
      <c r="AD95" s="832"/>
      <c r="AE95" s="832"/>
      <c r="AF95" s="832"/>
      <c r="AG95" s="832"/>
      <c r="AH95" s="832"/>
      <c r="AI95" s="832"/>
      <c r="AJ95" s="832"/>
      <c r="AK95" s="808"/>
      <c r="AL95" s="374"/>
      <c r="AM95" s="809"/>
      <c r="AN95" s="809"/>
      <c r="AO95" s="809"/>
      <c r="AP95" s="809"/>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21"/>
      <c r="EB95" s="21"/>
      <c r="EC95" s="21"/>
      <c r="ED95" s="21"/>
      <c r="EE95" s="21"/>
      <c r="EF95" s="21"/>
      <c r="EG95" s="21"/>
      <c r="EH95" s="21"/>
      <c r="EI95" s="21"/>
      <c r="EJ95" s="21"/>
      <c r="EK95" s="21"/>
      <c r="EL95" s="21"/>
      <c r="EM95" s="21"/>
      <c r="EN95" s="21"/>
      <c r="EO95" s="21"/>
      <c r="EP95" s="21"/>
      <c r="EQ95" s="21"/>
      <c r="ER95" s="21"/>
      <c r="ES95" s="21"/>
      <c r="ET95" s="21"/>
      <c r="EU95" s="21"/>
      <c r="EV95" s="21"/>
      <c r="EW95" s="21"/>
      <c r="EX95" s="21"/>
      <c r="EY95" s="21"/>
      <c r="EZ95" s="21"/>
      <c r="FA95" s="21"/>
      <c r="FB95" s="21"/>
      <c r="FC95" s="21"/>
      <c r="FD95" s="21"/>
      <c r="FE95" s="21"/>
      <c r="FF95" s="21"/>
      <c r="FG95" s="21"/>
      <c r="FH95" s="21"/>
      <c r="FI95" s="21"/>
      <c r="FJ95" s="21"/>
      <c r="FK95" s="21"/>
      <c r="FL95" s="21"/>
      <c r="FM95" s="21"/>
      <c r="FN95" s="21"/>
      <c r="FO95" s="21"/>
      <c r="FP95" s="21"/>
      <c r="FQ95" s="21"/>
      <c r="FR95" s="21"/>
      <c r="FS95" s="21"/>
      <c r="FT95" s="21"/>
      <c r="FU95" s="21"/>
      <c r="FV95" s="21"/>
      <c r="FW95" s="21"/>
      <c r="FX95" s="21"/>
      <c r="FY95" s="21"/>
      <c r="FZ95" s="21"/>
      <c r="GA95" s="21"/>
      <c r="GB95" s="21"/>
      <c r="GC95" s="21"/>
      <c r="GD95" s="21"/>
      <c r="GE95" s="21"/>
      <c r="GF95" s="21"/>
      <c r="GG95" s="21"/>
      <c r="GH95" s="21"/>
      <c r="GI95" s="21"/>
      <c r="GJ95" s="21"/>
      <c r="GK95" s="21"/>
      <c r="GL95" s="21"/>
      <c r="GM95" s="21"/>
      <c r="GN95" s="21"/>
      <c r="GO95" s="21"/>
      <c r="GP95" s="21"/>
      <c r="GQ95" s="21"/>
      <c r="GR95" s="21"/>
      <c r="GS95" s="21"/>
      <c r="GT95" s="21"/>
      <c r="GU95" s="21"/>
      <c r="GV95" s="21"/>
      <c r="GW95" s="21"/>
      <c r="GX95" s="21"/>
      <c r="GY95" s="21"/>
      <c r="GZ95" s="21"/>
      <c r="HA95" s="21"/>
      <c r="HB95" s="21"/>
      <c r="HC95" s="21"/>
      <c r="HD95" s="21"/>
      <c r="HE95" s="21"/>
      <c r="HF95" s="21"/>
      <c r="HG95" s="21"/>
      <c r="HH95" s="21"/>
      <c r="HI95" s="21"/>
      <c r="HJ95" s="21"/>
      <c r="HK95" s="21"/>
      <c r="HL95" s="21"/>
      <c r="HM95" s="21"/>
      <c r="HN95" s="21"/>
      <c r="HO95" s="21"/>
      <c r="HP95" s="21"/>
      <c r="HQ95" s="21"/>
      <c r="HR95" s="21"/>
      <c r="HS95" s="21"/>
      <c r="HT95" s="21"/>
      <c r="HU95" s="21"/>
      <c r="HV95" s="21"/>
      <c r="HW95" s="21"/>
      <c r="HX95" s="21"/>
      <c r="HY95" s="21"/>
      <c r="HZ95" s="21"/>
      <c r="IA95" s="21"/>
      <c r="IB95" s="21"/>
      <c r="IC95" s="21"/>
      <c r="ID95" s="21"/>
      <c r="IE95" s="21"/>
      <c r="IF95" s="21"/>
      <c r="IG95" s="21"/>
      <c r="IH95" s="21"/>
      <c r="II95" s="21"/>
      <c r="IJ95" s="21"/>
      <c r="IK95" s="21"/>
      <c r="IL95" s="21"/>
      <c r="IM95" s="21"/>
      <c r="IN95" s="21"/>
      <c r="IO95" s="21"/>
      <c r="IP95" s="21"/>
      <c r="IQ95" s="21"/>
      <c r="IR95" s="21"/>
      <c r="IS95" s="21"/>
      <c r="IT95" s="21"/>
      <c r="IU95" s="21"/>
      <c r="IV95" s="21"/>
      <c r="IW95" s="21"/>
    </row>
    <row r="96" customFormat="false" ht="13.5" hidden="false" customHeight="false" outlineLevel="0" collapsed="false">
      <c r="A96" s="751"/>
      <c r="B96" s="885" t="s">
        <v>597</v>
      </c>
      <c r="C96" s="886"/>
      <c r="D96" s="886"/>
      <c r="E96" s="887"/>
      <c r="F96" s="887"/>
      <c r="G96" s="887"/>
      <c r="H96" s="887"/>
      <c r="I96" s="887"/>
      <c r="J96" s="887"/>
      <c r="K96" s="887"/>
      <c r="L96" s="887"/>
      <c r="M96" s="887"/>
      <c r="N96" s="887"/>
      <c r="O96" s="887"/>
      <c r="P96" s="887"/>
      <c r="Q96" s="887"/>
      <c r="R96" s="887"/>
      <c r="S96" s="887"/>
      <c r="T96" s="887"/>
      <c r="U96" s="887"/>
      <c r="V96" s="887"/>
      <c r="W96" s="887"/>
      <c r="X96" s="887"/>
      <c r="Y96" s="887"/>
      <c r="Z96" s="887"/>
      <c r="AA96" s="887"/>
      <c r="AB96" s="887"/>
      <c r="AC96" s="887"/>
      <c r="AD96" s="887"/>
      <c r="AE96" s="887"/>
      <c r="AF96" s="887"/>
      <c r="AG96" s="887"/>
      <c r="AH96" s="887"/>
      <c r="AI96" s="887"/>
      <c r="AJ96" s="888"/>
      <c r="AK96" s="808"/>
      <c r="AL96" s="374"/>
      <c r="AM96" s="809"/>
      <c r="AN96" s="809"/>
      <c r="AO96" s="809"/>
      <c r="AP96" s="809"/>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c r="FX96" s="21"/>
      <c r="FY96" s="21"/>
      <c r="FZ96" s="21"/>
      <c r="GA96" s="21"/>
      <c r="GB96" s="21"/>
      <c r="GC96" s="21"/>
      <c r="GD96" s="21"/>
      <c r="GE96" s="21"/>
      <c r="GF96" s="21"/>
      <c r="GG96" s="21"/>
      <c r="GH96" s="21"/>
      <c r="GI96" s="21"/>
      <c r="GJ96" s="21"/>
      <c r="GK96" s="21"/>
      <c r="GL96" s="21"/>
      <c r="GM96" s="21"/>
      <c r="GN96" s="21"/>
      <c r="GO96" s="21"/>
      <c r="GP96" s="21"/>
      <c r="GQ96" s="21"/>
      <c r="GR96" s="21"/>
      <c r="GS96" s="21"/>
      <c r="GT96" s="21"/>
      <c r="GU96" s="21"/>
      <c r="GV96" s="21"/>
      <c r="GW96" s="21"/>
      <c r="GX96" s="21"/>
      <c r="GY96" s="21"/>
      <c r="GZ96" s="21"/>
      <c r="HA96" s="21"/>
      <c r="HB96" s="21"/>
      <c r="HC96" s="21"/>
      <c r="HD96" s="21"/>
      <c r="HE96" s="21"/>
      <c r="HF96" s="21"/>
      <c r="HG96" s="21"/>
      <c r="HH96" s="21"/>
      <c r="HI96" s="21"/>
      <c r="HJ96" s="21"/>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c r="IQ96" s="21"/>
      <c r="IR96" s="21"/>
      <c r="IS96" s="21"/>
      <c r="IT96" s="21"/>
      <c r="IU96" s="21"/>
      <c r="IV96" s="21"/>
      <c r="IW96" s="21"/>
    </row>
    <row r="97" customFormat="false" ht="12.75" hidden="false" customHeight="false" outlineLevel="0" collapsed="false">
      <c r="A97" s="831"/>
      <c r="B97" s="597" t="s">
        <v>582</v>
      </c>
      <c r="C97" s="613"/>
      <c r="D97" s="613"/>
      <c r="E97" s="313" t="n">
        <f aca="false">E29+E74</f>
        <v>12580.9312927461</v>
      </c>
      <c r="F97" s="313" t="n">
        <f aca="false">F29+F74</f>
        <v>12250.3807334591</v>
      </c>
      <c r="G97" s="313" t="n">
        <f aca="false">G29+G74</f>
        <v>11893.121668321</v>
      </c>
      <c r="H97" s="313" t="n">
        <f aca="false">H29+H74</f>
        <v>11502.968526409</v>
      </c>
      <c r="I97" s="313" t="n">
        <f aca="false">I29+I74</f>
        <v>11070.1229115449</v>
      </c>
      <c r="J97" s="313" t="n">
        <f aca="false">J29+J74</f>
        <v>10594.1100077067</v>
      </c>
      <c r="K97" s="313" t="n">
        <f aca="false">K29+K74</f>
        <v>10070.8628412085</v>
      </c>
      <c r="L97" s="313" t="n">
        <f aca="false">L29+L74</f>
        <v>9505.51781242627</v>
      </c>
      <c r="M97" s="313" t="n">
        <f aca="false">M29+M74</f>
        <v>8888.35202394655</v>
      </c>
      <c r="N97" s="313" t="n">
        <f aca="false">N29+N74</f>
        <v>8217.47035977989</v>
      </c>
      <c r="O97" s="313" t="n">
        <f aca="false">O29+O74</f>
        <v>7487.90880521003</v>
      </c>
      <c r="P97" s="313" t="n">
        <f aca="false">P29+P74</f>
        <v>6663.4651178596</v>
      </c>
      <c r="Q97" s="313" t="n">
        <f aca="false">Q29+Q74</f>
        <v>5763.770819283</v>
      </c>
      <c r="R97" s="313" t="n">
        <f aca="false">R29+R74</f>
        <v>4784.35445277219</v>
      </c>
      <c r="S97" s="313" t="n">
        <f aca="false">S29+S74</f>
        <v>3718.14887778441</v>
      </c>
      <c r="T97" s="313" t="n">
        <f aca="false">T29+T74</f>
        <v>2558.58177798839</v>
      </c>
      <c r="U97" s="313" t="n">
        <f aca="false">U29+U74</f>
        <v>1295.13273763893</v>
      </c>
      <c r="V97" s="313" t="n">
        <f aca="false">V29+V74</f>
        <v>0</v>
      </c>
      <c r="W97" s="313" t="n">
        <f aca="false">W29+W74</f>
        <v>0</v>
      </c>
      <c r="X97" s="313" t="n">
        <f aca="false">X29+X74</f>
        <v>0</v>
      </c>
      <c r="Y97" s="313" t="n">
        <f aca="false">Y29+Y74</f>
        <v>0</v>
      </c>
      <c r="Z97" s="313" t="n">
        <f aca="false">Z29+Z74</f>
        <v>0</v>
      </c>
      <c r="AA97" s="313" t="n">
        <f aca="false">AA29+AA74</f>
        <v>0</v>
      </c>
      <c r="AB97" s="313" t="n">
        <f aca="false">AB29+AB74</f>
        <v>0</v>
      </c>
      <c r="AC97" s="313" t="n">
        <f aca="false">AC29+AC74</f>
        <v>0</v>
      </c>
      <c r="AD97" s="313" t="n">
        <f aca="false">AD29+AD74</f>
        <v>0</v>
      </c>
      <c r="AE97" s="313" t="n">
        <f aca="false">AE29+AE74</f>
        <v>0</v>
      </c>
      <c r="AF97" s="313" t="n">
        <f aca="false">AF29+AF74</f>
        <v>0</v>
      </c>
      <c r="AG97" s="313" t="n">
        <f aca="false">AG29+AG74</f>
        <v>0</v>
      </c>
      <c r="AH97" s="313" t="n">
        <f aca="false">AH29+AH74</f>
        <v>0</v>
      </c>
      <c r="AI97" s="313" t="n">
        <f aca="false">AI29+AI74</f>
        <v>0</v>
      </c>
      <c r="AJ97" s="889" t="n">
        <f aca="false">AJ29+AJ74</f>
        <v>0</v>
      </c>
      <c r="AK97" s="808"/>
      <c r="AL97" s="374"/>
      <c r="AM97" s="809"/>
      <c r="AN97" s="809"/>
      <c r="AO97" s="809"/>
      <c r="AP97" s="809"/>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c r="FX97" s="21"/>
      <c r="FY97" s="21"/>
      <c r="FZ97" s="21"/>
      <c r="GA97" s="21"/>
      <c r="GB97" s="21"/>
      <c r="GC97" s="21"/>
      <c r="GD97" s="21"/>
      <c r="GE97" s="21"/>
      <c r="GF97" s="21"/>
      <c r="GG97" s="21"/>
      <c r="GH97" s="21"/>
      <c r="GI97" s="21"/>
      <c r="GJ97" s="21"/>
      <c r="GK97" s="21"/>
      <c r="GL97" s="21"/>
      <c r="GM97" s="21"/>
      <c r="GN97" s="21"/>
      <c r="GO97" s="21"/>
      <c r="GP97" s="21"/>
      <c r="GQ97" s="21"/>
      <c r="GR97" s="21"/>
      <c r="GS97" s="21"/>
      <c r="GT97" s="21"/>
      <c r="GU97" s="21"/>
      <c r="GV97" s="21"/>
      <c r="GW97" s="21"/>
      <c r="GX97" s="21"/>
      <c r="GY97" s="21"/>
      <c r="GZ97" s="21"/>
      <c r="HA97" s="21"/>
      <c r="HB97" s="21"/>
      <c r="HC97" s="21"/>
      <c r="HD97" s="21"/>
      <c r="HE97" s="21"/>
      <c r="HF97" s="21"/>
      <c r="HG97" s="21"/>
      <c r="HH97" s="21"/>
      <c r="HI97" s="21"/>
      <c r="HJ97" s="21"/>
      <c r="HK97" s="21"/>
      <c r="HL97" s="21"/>
      <c r="HM97" s="21"/>
      <c r="HN97" s="21"/>
      <c r="HO97" s="21"/>
      <c r="HP97" s="21"/>
      <c r="HQ97" s="21"/>
      <c r="HR97" s="21"/>
      <c r="HS97" s="21"/>
      <c r="HT97" s="21"/>
      <c r="HU97" s="21"/>
      <c r="HV97" s="21"/>
      <c r="HW97" s="21"/>
      <c r="HX97" s="21"/>
      <c r="HY97" s="21"/>
      <c r="HZ97" s="21"/>
      <c r="IA97" s="21"/>
      <c r="IB97" s="21"/>
      <c r="IC97" s="21"/>
      <c r="ID97" s="21"/>
      <c r="IE97" s="21"/>
      <c r="IF97" s="21"/>
      <c r="IG97" s="21"/>
      <c r="IH97" s="21"/>
      <c r="II97" s="21"/>
      <c r="IJ97" s="21"/>
      <c r="IK97" s="21"/>
      <c r="IL97" s="21"/>
      <c r="IM97" s="21"/>
      <c r="IN97" s="21"/>
      <c r="IO97" s="21"/>
      <c r="IP97" s="21"/>
      <c r="IQ97" s="21"/>
      <c r="IR97" s="21"/>
      <c r="IS97" s="21"/>
      <c r="IT97" s="21"/>
      <c r="IU97" s="21"/>
      <c r="IV97" s="21"/>
      <c r="IW97" s="21"/>
    </row>
    <row r="98" customFormat="false" ht="12.75" hidden="false" customHeight="false" outlineLevel="0" collapsed="false">
      <c r="A98" s="751"/>
      <c r="B98" s="819" t="s">
        <v>591</v>
      </c>
      <c r="C98" s="752" t="n">
        <f aca="false">SUM(E98:AI98)</f>
        <v>13791.8979470583</v>
      </c>
      <c r="D98" s="808"/>
      <c r="E98" s="808" t="n">
        <f aca="false">E44+E89</f>
        <v>1262.59931772513</v>
      </c>
      <c r="F98" s="808" t="n">
        <f aca="false">F44+F89</f>
        <v>1235.53538544543</v>
      </c>
      <c r="G98" s="808" t="n">
        <f aca="false">G44+G89</f>
        <v>1201.82004539327</v>
      </c>
      <c r="H98" s="808" t="n">
        <f aca="false">H44+H89</f>
        <v>1157.73527530571</v>
      </c>
      <c r="I98" s="808" t="n">
        <f aca="false">I44+I89</f>
        <v>1112.69430231155</v>
      </c>
      <c r="J98" s="808" t="n">
        <f aca="false">J44+J89</f>
        <v>1063.16734715207</v>
      </c>
      <c r="K98" s="808" t="n">
        <f aca="false">K44+K89</f>
        <v>1011.84240608777</v>
      </c>
      <c r="L98" s="808" t="n">
        <f aca="false">L44+L89</f>
        <v>950.254524200638</v>
      </c>
      <c r="M98" s="808" t="n">
        <f aca="false">M44+M89</f>
        <v>886.228133075645</v>
      </c>
      <c r="N98" s="808" t="n">
        <f aca="false">N44+N89</f>
        <v>816.621945093302</v>
      </c>
      <c r="O98" s="808" t="n">
        <f aca="false">O44+O89</f>
        <v>742.291751383858</v>
      </c>
      <c r="P98" s="808" t="n">
        <f aca="false">P44+P89</f>
        <v>654.53922230299</v>
      </c>
      <c r="Q98" s="808" t="n">
        <f aca="false">Q44+Q89</f>
        <v>561.167421976736</v>
      </c>
      <c r="R98" s="808" t="n">
        <f aca="false">R44+R89</f>
        <v>459.52185685264</v>
      </c>
      <c r="S98" s="808" t="n">
        <f aca="false">S44+S89</f>
        <v>349.957474789461</v>
      </c>
      <c r="T98" s="808" t="n">
        <f aca="false">T44+T89</f>
        <v>228.526962230695</v>
      </c>
      <c r="U98" s="808" t="n">
        <f aca="false">U44+U89</f>
        <v>97.394575731349</v>
      </c>
      <c r="V98" s="808" t="n">
        <f aca="false">V44+V89</f>
        <v>0</v>
      </c>
      <c r="W98" s="808" t="n">
        <f aca="false">W44+W89</f>
        <v>0</v>
      </c>
      <c r="X98" s="808" t="n">
        <f aca="false">X44+X89</f>
        <v>0</v>
      </c>
      <c r="Y98" s="808" t="n">
        <f aca="false">Y44+Y89</f>
        <v>0</v>
      </c>
      <c r="Z98" s="808" t="n">
        <f aca="false">Z44+Z89</f>
        <v>0</v>
      </c>
      <c r="AA98" s="808" t="n">
        <f aca="false">AA44+AA89</f>
        <v>0</v>
      </c>
      <c r="AB98" s="808" t="n">
        <f aca="false">AB44+AB89</f>
        <v>0</v>
      </c>
      <c r="AC98" s="808" t="n">
        <f aca="false">AC44+AC89</f>
        <v>0</v>
      </c>
      <c r="AD98" s="808" t="n">
        <f aca="false">AD44+AD89</f>
        <v>0</v>
      </c>
      <c r="AE98" s="808" t="n">
        <f aca="false">AE44+AE89</f>
        <v>0</v>
      </c>
      <c r="AF98" s="808" t="n">
        <f aca="false">AF44+AF89</f>
        <v>0</v>
      </c>
      <c r="AG98" s="808" t="n">
        <f aca="false">AG44+AG89</f>
        <v>0</v>
      </c>
      <c r="AH98" s="808" t="n">
        <f aca="false">AH44+AH89</f>
        <v>0</v>
      </c>
      <c r="AI98" s="808" t="n">
        <f aca="false">AI44+AI89</f>
        <v>0</v>
      </c>
      <c r="AJ98" s="820"/>
      <c r="AK98" s="808"/>
      <c r="AL98" s="374"/>
      <c r="AM98" s="809"/>
      <c r="AN98" s="809"/>
      <c r="AO98" s="809"/>
      <c r="AP98" s="809"/>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21"/>
      <c r="EB98" s="21"/>
      <c r="EC98" s="21"/>
      <c r="ED98" s="21"/>
      <c r="EE98" s="21"/>
      <c r="EF98" s="21"/>
      <c r="EG98" s="21"/>
      <c r="EH98" s="21"/>
      <c r="EI98" s="21"/>
      <c r="EJ98" s="21"/>
      <c r="EK98" s="21"/>
      <c r="EL98" s="21"/>
      <c r="EM98" s="21"/>
      <c r="EN98" s="21"/>
      <c r="EO98" s="21"/>
      <c r="EP98" s="21"/>
      <c r="EQ98" s="21"/>
      <c r="ER98" s="21"/>
      <c r="ES98" s="21"/>
      <c r="ET98" s="21"/>
      <c r="EU98" s="21"/>
      <c r="EV98" s="21"/>
      <c r="EW98" s="21"/>
      <c r="EX98" s="21"/>
      <c r="EY98" s="21"/>
      <c r="EZ98" s="21"/>
      <c r="FA98" s="21"/>
      <c r="FB98" s="21"/>
      <c r="FC98" s="21"/>
      <c r="FD98" s="21"/>
      <c r="FE98" s="21"/>
      <c r="FF98" s="21"/>
      <c r="FG98" s="21"/>
      <c r="FH98" s="21"/>
      <c r="FI98" s="21"/>
      <c r="FJ98" s="21"/>
      <c r="FK98" s="21"/>
      <c r="FL98" s="21"/>
      <c r="FM98" s="21"/>
      <c r="FN98" s="21"/>
      <c r="FO98" s="21"/>
      <c r="FP98" s="21"/>
      <c r="FQ98" s="21"/>
      <c r="FR98" s="21"/>
      <c r="FS98" s="21"/>
      <c r="FT98" s="21"/>
      <c r="FU98" s="21"/>
      <c r="FV98" s="21"/>
      <c r="FW98" s="21"/>
      <c r="FX98" s="21"/>
      <c r="FY98" s="21"/>
      <c r="FZ98" s="21"/>
      <c r="GA98" s="21"/>
      <c r="GB98" s="21"/>
      <c r="GC98" s="21"/>
      <c r="GD98" s="21"/>
      <c r="GE98" s="21"/>
      <c r="GF98" s="21"/>
      <c r="GG98" s="21"/>
      <c r="GH98" s="21"/>
      <c r="GI98" s="21"/>
      <c r="GJ98" s="21"/>
      <c r="GK98" s="21"/>
      <c r="GL98" s="21"/>
      <c r="GM98" s="21"/>
      <c r="GN98" s="21"/>
      <c r="GO98" s="21"/>
      <c r="GP98" s="21"/>
      <c r="GQ98" s="21"/>
      <c r="GR98" s="21"/>
      <c r="GS98" s="21"/>
      <c r="GT98" s="21"/>
      <c r="GU98" s="21"/>
      <c r="GV98" s="21"/>
      <c r="GW98" s="21"/>
      <c r="GX98" s="21"/>
      <c r="GY98" s="21"/>
      <c r="GZ98" s="21"/>
      <c r="HA98" s="21"/>
      <c r="HB98" s="21"/>
      <c r="HC98" s="21"/>
      <c r="HD98" s="21"/>
      <c r="HE98" s="21"/>
      <c r="HF98" s="21"/>
      <c r="HG98" s="21"/>
      <c r="HH98" s="21"/>
      <c r="HI98" s="21"/>
      <c r="HJ98" s="21"/>
      <c r="HK98" s="21"/>
      <c r="HL98" s="21"/>
      <c r="HM98" s="21"/>
      <c r="HN98" s="21"/>
      <c r="HO98" s="21"/>
      <c r="HP98" s="21"/>
      <c r="HQ98" s="21"/>
      <c r="HR98" s="21"/>
      <c r="HS98" s="21"/>
      <c r="HT98" s="21"/>
      <c r="HU98" s="21"/>
      <c r="HV98" s="21"/>
      <c r="HW98" s="21"/>
      <c r="HX98" s="21"/>
      <c r="HY98" s="21"/>
      <c r="HZ98" s="21"/>
      <c r="IA98" s="21"/>
      <c r="IB98" s="21"/>
      <c r="IC98" s="21"/>
      <c r="ID98" s="21"/>
      <c r="IE98" s="21"/>
      <c r="IF98" s="21"/>
      <c r="IG98" s="21"/>
      <c r="IH98" s="21"/>
      <c r="II98" s="21"/>
      <c r="IJ98" s="21"/>
      <c r="IK98" s="21"/>
      <c r="IL98" s="21"/>
      <c r="IM98" s="21"/>
      <c r="IN98" s="21"/>
      <c r="IO98" s="21"/>
      <c r="IP98" s="21"/>
      <c r="IQ98" s="21"/>
      <c r="IR98" s="21"/>
      <c r="IS98" s="21"/>
      <c r="IT98" s="21"/>
      <c r="IU98" s="21"/>
      <c r="IV98" s="21"/>
      <c r="IW98" s="21"/>
    </row>
    <row r="99" customFormat="false" ht="12.75" hidden="false" customHeight="false" outlineLevel="0" collapsed="false">
      <c r="A99" s="751"/>
      <c r="B99" s="890" t="s">
        <v>592</v>
      </c>
      <c r="C99" s="752" t="n">
        <f aca="false">SUM(E99:AI99)</f>
        <v>12580.9312927461</v>
      </c>
      <c r="D99" s="108"/>
      <c r="E99" s="808" t="n">
        <f aca="false">E45+E90</f>
        <v>330.550559286958</v>
      </c>
      <c r="F99" s="808" t="n">
        <f aca="false">F45+F90</f>
        <v>357.259065138095</v>
      </c>
      <c r="G99" s="808" t="n">
        <f aca="false">G45+G90</f>
        <v>390.153141912035</v>
      </c>
      <c r="H99" s="808" t="n">
        <f aca="false">H45+H90</f>
        <v>432.845614864111</v>
      </c>
      <c r="I99" s="808" t="n">
        <f aca="false">I45+I90</f>
        <v>476.0129038382</v>
      </c>
      <c r="J99" s="808" t="n">
        <f aca="false">J45+J90</f>
        <v>523.247166498167</v>
      </c>
      <c r="K99" s="808" t="n">
        <f aca="false">K45+K90</f>
        <v>565.34502878223</v>
      </c>
      <c r="L99" s="808" t="n">
        <f aca="false">L45+L90</f>
        <v>617.165788479718</v>
      </c>
      <c r="M99" s="808" t="n">
        <f aca="false">M45+M90</f>
        <v>670.881664166665</v>
      </c>
      <c r="N99" s="808" t="n">
        <f aca="false">N45+N90</f>
        <v>729.56155456986</v>
      </c>
      <c r="O99" s="808" t="n">
        <f aca="false">O45+O90</f>
        <v>824.443687350428</v>
      </c>
      <c r="P99" s="808" t="n">
        <f aca="false">P45+P90</f>
        <v>899.694298576593</v>
      </c>
      <c r="Q99" s="808" t="n">
        <f aca="false">Q45+Q90</f>
        <v>979.416366510816</v>
      </c>
      <c r="R99" s="808" t="n">
        <f aca="false">R45+R90</f>
        <v>1066.20557498777</v>
      </c>
      <c r="S99" s="808" t="n">
        <f aca="false">S45+S90</f>
        <v>1159.56709979602</v>
      </c>
      <c r="T99" s="808" t="n">
        <f aca="false">T45+T90</f>
        <v>1263.44904034946</v>
      </c>
      <c r="U99" s="808" t="n">
        <f aca="false">U45+U90</f>
        <v>1295.13273763893</v>
      </c>
      <c r="V99" s="808" t="n">
        <f aca="false">V45+V90</f>
        <v>0</v>
      </c>
      <c r="W99" s="808" t="n">
        <f aca="false">W45+W90</f>
        <v>0</v>
      </c>
      <c r="X99" s="808" t="n">
        <f aca="false">X45+X90</f>
        <v>0</v>
      </c>
      <c r="Y99" s="808" t="n">
        <f aca="false">Y45+Y90</f>
        <v>0</v>
      </c>
      <c r="Z99" s="808" t="n">
        <f aca="false">Z45+Z90</f>
        <v>0</v>
      </c>
      <c r="AA99" s="808" t="n">
        <f aca="false">AA45+AA90</f>
        <v>0</v>
      </c>
      <c r="AB99" s="808" t="n">
        <f aca="false">AB45+AB90</f>
        <v>0</v>
      </c>
      <c r="AC99" s="808" t="n">
        <f aca="false">AC45+AC90</f>
        <v>0</v>
      </c>
      <c r="AD99" s="808" t="n">
        <f aca="false">AD45+AD90</f>
        <v>0</v>
      </c>
      <c r="AE99" s="808" t="n">
        <f aca="false">AE45+AE90</f>
        <v>0</v>
      </c>
      <c r="AF99" s="808" t="n">
        <f aca="false">AF45+AF90</f>
        <v>0</v>
      </c>
      <c r="AG99" s="808" t="n">
        <f aca="false">AG45+AG90</f>
        <v>0</v>
      </c>
      <c r="AH99" s="808" t="n">
        <f aca="false">AH45+AH90</f>
        <v>0</v>
      </c>
      <c r="AI99" s="808" t="n">
        <f aca="false">AI45+AI90</f>
        <v>0</v>
      </c>
      <c r="AJ99" s="807"/>
      <c r="AK99" s="752"/>
      <c r="AL99" s="373"/>
      <c r="AM99" s="753"/>
      <c r="AN99" s="753"/>
      <c r="AO99" s="753"/>
      <c r="AP99" s="753"/>
    </row>
    <row r="100" customFormat="false" ht="13.5" hidden="false" customHeight="false" outlineLevel="0" collapsed="false">
      <c r="A100" s="751"/>
      <c r="B100" s="865" t="s">
        <v>598</v>
      </c>
      <c r="C100" s="752"/>
      <c r="D100" s="891"/>
      <c r="E100" s="841" t="n">
        <f aca="false">E97-E99</f>
        <v>12250.3807334591</v>
      </c>
      <c r="F100" s="841" t="n">
        <f aca="false">F97-F99</f>
        <v>11893.121668321</v>
      </c>
      <c r="G100" s="841" t="n">
        <f aca="false">G97-G99</f>
        <v>11502.968526409</v>
      </c>
      <c r="H100" s="841" t="n">
        <f aca="false">H97-H99</f>
        <v>11070.1229115449</v>
      </c>
      <c r="I100" s="841" t="n">
        <f aca="false">I97-I99</f>
        <v>10594.1100077067</v>
      </c>
      <c r="J100" s="841" t="n">
        <f aca="false">J97-J99</f>
        <v>10070.8628412085</v>
      </c>
      <c r="K100" s="841" t="n">
        <f aca="false">K97-K99</f>
        <v>9505.51781242627</v>
      </c>
      <c r="L100" s="841" t="n">
        <f aca="false">L97-L99</f>
        <v>8888.35202394655</v>
      </c>
      <c r="M100" s="841" t="n">
        <f aca="false">M97-M99</f>
        <v>8217.47035977989</v>
      </c>
      <c r="N100" s="841" t="n">
        <f aca="false">N97-N99</f>
        <v>7487.90880521003</v>
      </c>
      <c r="O100" s="841" t="n">
        <f aca="false">O97-O99</f>
        <v>6663.4651178596</v>
      </c>
      <c r="P100" s="841" t="n">
        <f aca="false">P97-P99</f>
        <v>5763.770819283</v>
      </c>
      <c r="Q100" s="841" t="n">
        <f aca="false">Q97-Q99</f>
        <v>4784.35445277219</v>
      </c>
      <c r="R100" s="841" t="n">
        <f aca="false">R97-R99</f>
        <v>3718.14887778441</v>
      </c>
      <c r="S100" s="841" t="n">
        <f aca="false">S97-S99</f>
        <v>2558.58177798839</v>
      </c>
      <c r="T100" s="841" t="n">
        <f aca="false">T97-T99</f>
        <v>1295.13273763893</v>
      </c>
      <c r="U100" s="841" t="n">
        <f aca="false">U97-U99</f>
        <v>0</v>
      </c>
      <c r="V100" s="841" t="n">
        <f aca="false">V97-V99</f>
        <v>0</v>
      </c>
      <c r="W100" s="841" t="n">
        <f aca="false">W97-W99</f>
        <v>0</v>
      </c>
      <c r="X100" s="841" t="n">
        <f aca="false">X97-X99</f>
        <v>0</v>
      </c>
      <c r="Y100" s="841" t="n">
        <f aca="false">Y97-Y99</f>
        <v>0</v>
      </c>
      <c r="Z100" s="841" t="n">
        <f aca="false">Z97-Z99</f>
        <v>0</v>
      </c>
      <c r="AA100" s="841" t="n">
        <f aca="false">AA97-AA99</f>
        <v>0</v>
      </c>
      <c r="AB100" s="841" t="n">
        <f aca="false">AB97-AB99</f>
        <v>0</v>
      </c>
      <c r="AC100" s="841" t="n">
        <f aca="false">AC97-AC99</f>
        <v>0</v>
      </c>
      <c r="AD100" s="841" t="n">
        <f aca="false">AD97-AD99</f>
        <v>0</v>
      </c>
      <c r="AE100" s="841" t="n">
        <f aca="false">AE97-AE99</f>
        <v>0</v>
      </c>
      <c r="AF100" s="841" t="n">
        <f aca="false">AF97-AF99</f>
        <v>0</v>
      </c>
      <c r="AG100" s="841" t="n">
        <f aca="false">AG97-AG99</f>
        <v>0</v>
      </c>
      <c r="AH100" s="841" t="n">
        <f aca="false">AH97-AH99</f>
        <v>0</v>
      </c>
      <c r="AI100" s="841" t="n">
        <f aca="false">AI97-AI99</f>
        <v>0</v>
      </c>
      <c r="AJ100" s="861" t="n">
        <f aca="false">AJ97-AJ99</f>
        <v>0</v>
      </c>
      <c r="AK100" s="752"/>
      <c r="AL100" s="373"/>
      <c r="AM100" s="753"/>
      <c r="AN100" s="753"/>
      <c r="AO100" s="753"/>
      <c r="AP100" s="753"/>
    </row>
    <row r="101" customFormat="false" ht="13.5" hidden="false" customHeight="false" outlineLevel="0" collapsed="false">
      <c r="A101" s="751"/>
      <c r="B101" s="892" t="s">
        <v>593</v>
      </c>
      <c r="C101" s="893"/>
      <c r="D101" s="894"/>
      <c r="E101" s="893" t="n">
        <f aca="false">SUM(E98:E99)</f>
        <v>1593.14987701209</v>
      </c>
      <c r="F101" s="893" t="n">
        <f aca="false">SUM(F98:F99)</f>
        <v>1592.79445058352</v>
      </c>
      <c r="G101" s="893" t="n">
        <f aca="false">SUM(G98:G99)</f>
        <v>1591.97318730531</v>
      </c>
      <c r="H101" s="893" t="n">
        <f aca="false">SUM(H98:H99)</f>
        <v>1590.58089016982</v>
      </c>
      <c r="I101" s="893" t="n">
        <f aca="false">SUM(I98:I99)</f>
        <v>1588.70720614975</v>
      </c>
      <c r="J101" s="893" t="n">
        <f aca="false">SUM(J98:J99)</f>
        <v>1586.41451365024</v>
      </c>
      <c r="K101" s="893" t="n">
        <f aca="false">SUM(K98:K99)</f>
        <v>1577.18743487</v>
      </c>
      <c r="L101" s="893" t="n">
        <f aca="false">SUM(L98:L99)</f>
        <v>1567.42031268036</v>
      </c>
      <c r="M101" s="893" t="n">
        <f aca="false">SUM(M98:M99)</f>
        <v>1557.10979724231</v>
      </c>
      <c r="N101" s="893" t="n">
        <f aca="false">SUM(N98:N99)</f>
        <v>1546.18349966316</v>
      </c>
      <c r="O101" s="893" t="n">
        <f aca="false">SUM(O98:O99)</f>
        <v>1566.73543873429</v>
      </c>
      <c r="P101" s="893" t="n">
        <f aca="false">SUM(P98:P99)</f>
        <v>1554.23352087958</v>
      </c>
      <c r="Q101" s="893" t="n">
        <f aca="false">SUM(Q98:Q99)</f>
        <v>1540.58378848755</v>
      </c>
      <c r="R101" s="893" t="n">
        <f aca="false">SUM(R98:R99)</f>
        <v>1525.72743184041</v>
      </c>
      <c r="S101" s="893" t="n">
        <f aca="false">SUM(S98:S99)</f>
        <v>1509.52457458548</v>
      </c>
      <c r="T101" s="893" t="n">
        <f aca="false">SUM(T98:T99)</f>
        <v>1491.97600258015</v>
      </c>
      <c r="U101" s="893" t="n">
        <f aca="false">SUM(U98:U99)</f>
        <v>1392.52731337028</v>
      </c>
      <c r="V101" s="893" t="n">
        <f aca="false">SUM(V98:V99)</f>
        <v>0</v>
      </c>
      <c r="W101" s="893" t="n">
        <f aca="false">SUM(W98:W99)</f>
        <v>0</v>
      </c>
      <c r="X101" s="893" t="n">
        <f aca="false">SUM(X98:X99)</f>
        <v>0</v>
      </c>
      <c r="Y101" s="893" t="n">
        <f aca="false">SUM(Y98:Y99)</f>
        <v>0</v>
      </c>
      <c r="Z101" s="893" t="n">
        <f aca="false">SUM(Z98:Z99)</f>
        <v>0</v>
      </c>
      <c r="AA101" s="893" t="n">
        <f aca="false">SUM(AA98:AA99)</f>
        <v>0</v>
      </c>
      <c r="AB101" s="893" t="n">
        <f aca="false">SUM(AB98:AB99)</f>
        <v>0</v>
      </c>
      <c r="AC101" s="893" t="n">
        <f aca="false">SUM(AC98:AC99)</f>
        <v>0</v>
      </c>
      <c r="AD101" s="893" t="n">
        <f aca="false">SUM(AD98:AD99)</f>
        <v>0</v>
      </c>
      <c r="AE101" s="893" t="n">
        <f aca="false">SUM(AE98:AE99)</f>
        <v>0</v>
      </c>
      <c r="AF101" s="893" t="n">
        <f aca="false">SUM(AF98:AF99)</f>
        <v>0</v>
      </c>
      <c r="AG101" s="893" t="n">
        <f aca="false">SUM(AG98:AG99)</f>
        <v>0</v>
      </c>
      <c r="AH101" s="893" t="n">
        <f aca="false">SUM(AH98:AH99)</f>
        <v>0</v>
      </c>
      <c r="AI101" s="893" t="n">
        <f aca="false">SUM(AI98:AI99)</f>
        <v>0</v>
      </c>
      <c r="AJ101" s="895"/>
      <c r="AK101" s="757"/>
      <c r="AL101" s="755"/>
      <c r="AM101" s="755"/>
      <c r="AN101" s="755"/>
      <c r="AO101" s="755"/>
      <c r="AP101" s="755"/>
    </row>
    <row r="102" customFormat="false" ht="12.75" hidden="false" customHeight="false" outlineLevel="0" collapsed="false">
      <c r="A102" s="751"/>
      <c r="B102" s="373"/>
      <c r="C102" s="373"/>
      <c r="D102" s="373"/>
      <c r="E102" s="373"/>
      <c r="F102" s="373"/>
      <c r="G102" s="373"/>
      <c r="H102" s="373"/>
      <c r="I102" s="373"/>
      <c r="J102" s="373"/>
      <c r="K102" s="373"/>
      <c r="L102" s="373"/>
      <c r="M102" s="373"/>
      <c r="N102" s="373"/>
      <c r="O102" s="373"/>
      <c r="P102" s="373"/>
      <c r="Q102" s="373"/>
      <c r="R102" s="373"/>
      <c r="S102" s="373"/>
      <c r="T102" s="373"/>
      <c r="U102" s="373"/>
      <c r="V102" s="373"/>
      <c r="W102" s="373"/>
      <c r="X102" s="373"/>
      <c r="Y102" s="373"/>
      <c r="Z102" s="373"/>
      <c r="AA102" s="373"/>
      <c r="AB102" s="373"/>
      <c r="AC102" s="373"/>
      <c r="AD102" s="373"/>
      <c r="AE102" s="373"/>
      <c r="AF102" s="373"/>
      <c r="AG102" s="373"/>
      <c r="AH102" s="373"/>
      <c r="AI102" s="373"/>
      <c r="AJ102" s="373"/>
      <c r="AK102" s="752"/>
      <c r="AL102" s="373"/>
      <c r="AM102" s="753"/>
      <c r="AN102" s="753"/>
      <c r="AO102" s="753"/>
      <c r="AP102" s="753"/>
    </row>
    <row r="103" customFormat="false" ht="12.75" hidden="false" customHeight="false" outlineLevel="0" collapsed="false">
      <c r="A103" s="751"/>
      <c r="B103" s="373"/>
      <c r="C103" s="373"/>
      <c r="D103" s="373"/>
      <c r="E103" s="373"/>
      <c r="F103" s="373"/>
      <c r="G103" s="373"/>
      <c r="H103" s="373"/>
      <c r="I103" s="373"/>
      <c r="J103" s="373"/>
      <c r="K103" s="373"/>
      <c r="L103" s="373"/>
      <c r="M103" s="373"/>
      <c r="N103" s="373"/>
      <c r="O103" s="373"/>
      <c r="P103" s="373"/>
      <c r="Q103" s="373"/>
      <c r="R103" s="373"/>
      <c r="S103" s="373"/>
      <c r="T103" s="373"/>
      <c r="U103" s="373"/>
      <c r="V103" s="373"/>
      <c r="W103" s="373"/>
      <c r="X103" s="373"/>
      <c r="Y103" s="373"/>
      <c r="Z103" s="373"/>
      <c r="AA103" s="373"/>
      <c r="AB103" s="373"/>
      <c r="AC103" s="373"/>
      <c r="AD103" s="373"/>
      <c r="AE103" s="373"/>
      <c r="AF103" s="373"/>
      <c r="AG103" s="373"/>
      <c r="AH103" s="373"/>
      <c r="AI103" s="373"/>
      <c r="AJ103" s="373"/>
      <c r="AK103" s="752"/>
      <c r="AL103" s="373"/>
      <c r="AM103" s="753"/>
      <c r="AN103" s="753"/>
      <c r="AO103" s="753"/>
      <c r="AP103" s="753"/>
    </row>
    <row r="104" customFormat="false" ht="12.75" hidden="false" customHeight="false" outlineLevel="0" collapsed="false">
      <c r="A104" s="751"/>
      <c r="F104" s="830"/>
      <c r="G104" s="830"/>
      <c r="H104" s="830"/>
      <c r="I104" s="830"/>
      <c r="J104" s="830"/>
      <c r="K104" s="830"/>
      <c r="L104" s="830"/>
      <c r="M104" s="830"/>
      <c r="N104" s="830"/>
      <c r="O104" s="830"/>
      <c r="P104" s="830"/>
      <c r="Q104" s="830"/>
      <c r="R104" s="830"/>
      <c r="S104" s="830"/>
      <c r="T104" s="830"/>
      <c r="U104" s="830"/>
      <c r="V104" s="830"/>
      <c r="W104" s="830"/>
      <c r="X104" s="830"/>
      <c r="Y104" s="830"/>
      <c r="Z104" s="830"/>
      <c r="AA104" s="830"/>
      <c r="AB104" s="830"/>
      <c r="AC104" s="830"/>
      <c r="AD104" s="830"/>
      <c r="AE104" s="830"/>
      <c r="AF104" s="830"/>
      <c r="AG104" s="830"/>
      <c r="AH104" s="830"/>
      <c r="AI104" s="830"/>
      <c r="AJ104" s="782"/>
      <c r="AK104" s="811"/>
      <c r="AL104" s="782"/>
      <c r="AM104" s="782"/>
      <c r="AN104" s="782"/>
      <c r="AO104" s="782"/>
      <c r="AP104" s="782"/>
    </row>
    <row r="105" customFormat="false" ht="12.75" hidden="false" customHeight="false" outlineLevel="0" collapsed="false">
      <c r="A105" s="751"/>
      <c r="F105" s="830"/>
      <c r="G105" s="830"/>
      <c r="H105" s="830"/>
      <c r="I105" s="830"/>
      <c r="J105" s="830"/>
      <c r="K105" s="830"/>
      <c r="L105" s="830"/>
      <c r="M105" s="830"/>
      <c r="N105" s="830"/>
      <c r="O105" s="830"/>
      <c r="P105" s="830"/>
      <c r="Q105" s="830"/>
      <c r="R105" s="830"/>
      <c r="S105" s="830"/>
      <c r="T105" s="830"/>
      <c r="U105" s="830"/>
      <c r="V105" s="830"/>
      <c r="W105" s="830"/>
      <c r="X105" s="830"/>
      <c r="Y105" s="830"/>
      <c r="Z105" s="830"/>
      <c r="AA105" s="830"/>
      <c r="AB105" s="830"/>
      <c r="AC105" s="830"/>
      <c r="AD105" s="830"/>
      <c r="AE105" s="830"/>
      <c r="AF105" s="830"/>
      <c r="AG105" s="830"/>
      <c r="AH105" s="830"/>
      <c r="AI105" s="830"/>
      <c r="AJ105" s="782"/>
      <c r="AK105" s="811"/>
      <c r="AL105" s="782"/>
      <c r="AM105" s="782"/>
      <c r="AN105" s="782"/>
      <c r="AO105" s="782"/>
      <c r="AP105" s="782"/>
    </row>
    <row r="106" customFormat="false" ht="12" hidden="false" customHeight="true" outlineLevel="0" collapsed="false">
      <c r="A106" s="831"/>
      <c r="B106" s="840" t="s">
        <v>599</v>
      </c>
      <c r="C106" s="374"/>
      <c r="D106" s="374"/>
      <c r="E106" s="374"/>
      <c r="F106" s="374"/>
      <c r="G106" s="374"/>
      <c r="H106" s="374"/>
      <c r="I106" s="374"/>
      <c r="J106" s="374"/>
      <c r="K106" s="374"/>
      <c r="L106" s="374"/>
      <c r="M106" s="374"/>
      <c r="N106" s="374"/>
      <c r="O106" s="374"/>
      <c r="P106" s="374"/>
      <c r="Q106" s="374"/>
      <c r="R106" s="374"/>
      <c r="S106" s="374"/>
      <c r="T106" s="374"/>
      <c r="U106" s="374"/>
      <c r="V106" s="374"/>
      <c r="W106" s="374"/>
      <c r="X106" s="374"/>
      <c r="Y106" s="374"/>
      <c r="Z106" s="374"/>
      <c r="AA106" s="374"/>
      <c r="AB106" s="374"/>
      <c r="AC106" s="374"/>
      <c r="AD106" s="374"/>
      <c r="AE106" s="374"/>
      <c r="AF106" s="374"/>
      <c r="AG106" s="374"/>
      <c r="AH106" s="374"/>
      <c r="AI106" s="374"/>
      <c r="AJ106" s="374"/>
      <c r="AK106" s="808"/>
      <c r="AL106" s="374"/>
      <c r="AM106" s="809"/>
      <c r="AN106" s="809"/>
      <c r="AO106" s="809"/>
      <c r="AP106" s="809"/>
      <c r="AQ106" s="21"/>
      <c r="AR106" s="21"/>
      <c r="AS106" s="21"/>
      <c r="AT106" s="21"/>
      <c r="AU106" s="21"/>
      <c r="AV106" s="21"/>
      <c r="AW106" s="21"/>
      <c r="AX106" s="21"/>
      <c r="AY106" s="21"/>
      <c r="AZ106" s="21"/>
      <c r="BA106" s="21"/>
      <c r="BB106" s="21"/>
      <c r="BC106" s="21"/>
      <c r="BD106" s="21"/>
      <c r="BE106" s="21"/>
      <c r="BF106" s="21"/>
      <c r="BG106" s="21"/>
      <c r="BH106" s="21"/>
      <c r="BI106" s="21"/>
      <c r="BJ106" s="21"/>
      <c r="BK106" s="21"/>
      <c r="BL106" s="21"/>
      <c r="BM106" s="21"/>
      <c r="BN106" s="21"/>
      <c r="BO106" s="21"/>
      <c r="BP106" s="21"/>
      <c r="BQ106" s="21"/>
      <c r="BR106" s="21"/>
      <c r="BS106" s="21"/>
      <c r="BT106" s="21"/>
      <c r="BU106" s="21"/>
      <c r="BV106" s="21"/>
      <c r="BW106" s="21"/>
      <c r="BX106" s="21"/>
      <c r="BY106" s="21"/>
      <c r="BZ106" s="21"/>
      <c r="CA106" s="21"/>
      <c r="CB106" s="21"/>
      <c r="CC106" s="21"/>
      <c r="CD106" s="21"/>
      <c r="CE106" s="21"/>
      <c r="CF106" s="21"/>
      <c r="CG106" s="21"/>
      <c r="CH106" s="21"/>
      <c r="CI106" s="21"/>
      <c r="CJ106" s="21"/>
      <c r="CK106" s="21"/>
      <c r="CL106" s="21"/>
      <c r="CM106" s="21"/>
      <c r="CN106" s="21"/>
      <c r="CO106" s="21"/>
      <c r="CP106" s="21"/>
      <c r="CQ106" s="21"/>
      <c r="CR106" s="21"/>
      <c r="CS106" s="21"/>
      <c r="CT106" s="21"/>
      <c r="CU106" s="21"/>
      <c r="CV106" s="21"/>
      <c r="CW106" s="21"/>
      <c r="CX106" s="21"/>
      <c r="CY106" s="21"/>
      <c r="CZ106" s="21"/>
      <c r="DA106" s="21"/>
      <c r="DB106" s="21"/>
      <c r="DC106" s="21"/>
      <c r="DD106" s="21"/>
      <c r="DE106" s="21"/>
      <c r="DF106" s="21"/>
      <c r="DG106" s="21"/>
      <c r="DH106" s="21"/>
      <c r="DI106" s="21"/>
      <c r="DJ106" s="21"/>
      <c r="DK106" s="21"/>
      <c r="DL106" s="21"/>
      <c r="DM106" s="21"/>
      <c r="DN106" s="21"/>
      <c r="DO106" s="21"/>
      <c r="DP106" s="21"/>
      <c r="DQ106" s="21"/>
      <c r="DR106" s="21"/>
      <c r="DS106" s="21"/>
      <c r="DT106" s="21"/>
      <c r="DU106" s="21"/>
      <c r="DV106" s="21"/>
      <c r="DW106" s="21"/>
      <c r="DX106" s="21"/>
      <c r="DY106" s="21"/>
      <c r="DZ106" s="21"/>
      <c r="EA106" s="21"/>
      <c r="EB106" s="21"/>
      <c r="EC106" s="21"/>
      <c r="ED106" s="21"/>
      <c r="EE106" s="21"/>
      <c r="EF106" s="21"/>
      <c r="EG106" s="21"/>
      <c r="EH106" s="21"/>
      <c r="EI106" s="21"/>
      <c r="EJ106" s="21"/>
      <c r="EK106" s="21"/>
      <c r="EL106" s="21"/>
      <c r="EM106" s="21"/>
      <c r="EN106" s="21"/>
      <c r="EO106" s="21"/>
      <c r="EP106" s="21"/>
      <c r="EQ106" s="21"/>
      <c r="ER106" s="21"/>
      <c r="ES106" s="21"/>
      <c r="ET106" s="21"/>
      <c r="EU106" s="21"/>
      <c r="EV106" s="21"/>
      <c r="EW106" s="21"/>
      <c r="EX106" s="21"/>
      <c r="EY106" s="21"/>
      <c r="EZ106" s="21"/>
      <c r="FA106" s="21"/>
      <c r="FB106" s="21"/>
      <c r="FC106" s="21"/>
      <c r="FD106" s="21"/>
      <c r="FE106" s="21"/>
      <c r="FF106" s="21"/>
      <c r="FG106" s="21"/>
      <c r="FH106" s="21"/>
      <c r="FI106" s="21"/>
      <c r="FJ106" s="21"/>
      <c r="FK106" s="21"/>
      <c r="FL106" s="21"/>
      <c r="FM106" s="21"/>
      <c r="FN106" s="21"/>
      <c r="FO106" s="21"/>
      <c r="FP106" s="21"/>
      <c r="FQ106" s="21"/>
      <c r="FR106" s="21"/>
      <c r="FS106" s="21"/>
      <c r="FT106" s="21"/>
      <c r="FU106" s="21"/>
      <c r="FV106" s="21"/>
      <c r="FW106" s="21"/>
      <c r="FX106" s="21"/>
      <c r="FY106" s="21"/>
      <c r="FZ106" s="21"/>
      <c r="GA106" s="21"/>
      <c r="GB106" s="21"/>
      <c r="GC106" s="21"/>
      <c r="GD106" s="21"/>
      <c r="GE106" s="21"/>
      <c r="GF106" s="21"/>
      <c r="GG106" s="21"/>
      <c r="GH106" s="21"/>
      <c r="GI106" s="21"/>
      <c r="GJ106" s="21"/>
      <c r="GK106" s="21"/>
      <c r="GL106" s="21"/>
      <c r="GM106" s="21"/>
      <c r="GN106" s="21"/>
      <c r="GO106" s="21"/>
      <c r="GP106" s="21"/>
      <c r="GQ106" s="21"/>
      <c r="GR106" s="21"/>
      <c r="GS106" s="21"/>
      <c r="GT106" s="21"/>
      <c r="GU106" s="21"/>
      <c r="GV106" s="21"/>
      <c r="GW106" s="21"/>
      <c r="GX106" s="21"/>
      <c r="GY106" s="21"/>
      <c r="GZ106" s="21"/>
      <c r="HA106" s="21"/>
      <c r="HB106" s="21"/>
      <c r="HC106" s="21"/>
      <c r="HD106" s="21"/>
      <c r="HE106" s="21"/>
      <c r="HF106" s="21"/>
      <c r="HG106" s="21"/>
      <c r="HH106" s="21"/>
      <c r="HI106" s="21"/>
      <c r="HJ106" s="21"/>
      <c r="HK106" s="21"/>
      <c r="HL106" s="21"/>
      <c r="HM106" s="21"/>
      <c r="HN106" s="21"/>
      <c r="HO106" s="21"/>
      <c r="HP106" s="21"/>
      <c r="HQ106" s="21"/>
      <c r="HR106" s="21"/>
      <c r="HS106" s="21"/>
      <c r="HT106" s="21"/>
      <c r="HU106" s="21"/>
      <c r="HV106" s="21"/>
      <c r="HW106" s="21"/>
      <c r="HX106" s="21"/>
      <c r="HY106" s="21"/>
      <c r="HZ106" s="21"/>
      <c r="IA106" s="21"/>
      <c r="IB106" s="21"/>
      <c r="IC106" s="21"/>
      <c r="ID106" s="21"/>
      <c r="IE106" s="21"/>
      <c r="IF106" s="21"/>
      <c r="IG106" s="21"/>
      <c r="IH106" s="21"/>
      <c r="II106" s="21"/>
      <c r="IJ106" s="21"/>
      <c r="IK106" s="21"/>
      <c r="IL106" s="21"/>
      <c r="IM106" s="21"/>
      <c r="IN106" s="21"/>
      <c r="IO106" s="21"/>
      <c r="IP106" s="21"/>
      <c r="IQ106" s="21"/>
      <c r="IR106" s="21"/>
      <c r="IS106" s="21"/>
      <c r="IT106" s="21"/>
      <c r="IU106" s="21"/>
      <c r="IV106" s="21"/>
      <c r="IW106" s="21"/>
    </row>
    <row r="107" customFormat="false" ht="12" hidden="false" customHeight="true" outlineLevel="0" collapsed="false">
      <c r="A107" s="831"/>
      <c r="B107" s="21"/>
      <c r="C107" s="374"/>
      <c r="D107" s="374"/>
      <c r="E107" s="374"/>
      <c r="F107" s="374"/>
      <c r="G107" s="374"/>
      <c r="H107" s="374"/>
      <c r="I107" s="374"/>
      <c r="J107" s="374"/>
      <c r="K107" s="374"/>
      <c r="L107" s="374"/>
      <c r="M107" s="374"/>
      <c r="N107" s="374"/>
      <c r="O107" s="374"/>
      <c r="P107" s="374"/>
      <c r="Q107" s="374"/>
      <c r="R107" s="374"/>
      <c r="S107" s="374"/>
      <c r="T107" s="374"/>
      <c r="U107" s="374"/>
      <c r="V107" s="374"/>
      <c r="W107" s="374"/>
      <c r="X107" s="374"/>
      <c r="Y107" s="374"/>
      <c r="Z107" s="374"/>
      <c r="AA107" s="374"/>
      <c r="AB107" s="374"/>
      <c r="AC107" s="374"/>
      <c r="AD107" s="374"/>
      <c r="AE107" s="374"/>
      <c r="AF107" s="374"/>
      <c r="AG107" s="374"/>
      <c r="AH107" s="374"/>
      <c r="AI107" s="374"/>
      <c r="AJ107" s="374"/>
      <c r="AK107" s="808"/>
      <c r="AL107" s="374"/>
      <c r="AM107" s="809"/>
      <c r="AN107" s="809"/>
      <c r="AO107" s="809"/>
      <c r="AP107" s="809"/>
      <c r="AQ107" s="21"/>
      <c r="AR107" s="21"/>
      <c r="AS107" s="21"/>
      <c r="AT107" s="21"/>
      <c r="AU107" s="21"/>
      <c r="AV107" s="21"/>
      <c r="AW107" s="21"/>
      <c r="AX107" s="21"/>
      <c r="AY107" s="21"/>
      <c r="AZ107" s="21"/>
      <c r="BA107" s="21"/>
      <c r="BB107" s="21"/>
      <c r="BC107" s="21"/>
      <c r="BD107" s="21"/>
      <c r="BE107" s="21"/>
      <c r="BF107" s="21"/>
      <c r="BG107" s="21"/>
      <c r="BH107" s="21"/>
      <c r="BI107" s="21"/>
      <c r="BJ107" s="21"/>
      <c r="BK107" s="21"/>
      <c r="BL107" s="21"/>
      <c r="BM107" s="21"/>
      <c r="BN107" s="21"/>
      <c r="BO107" s="21"/>
      <c r="BP107" s="21"/>
      <c r="BQ107" s="21"/>
      <c r="BR107" s="21"/>
      <c r="BS107" s="21"/>
      <c r="BT107" s="21"/>
      <c r="BU107" s="21"/>
      <c r="BV107" s="21"/>
      <c r="BW107" s="21"/>
      <c r="BX107" s="21"/>
      <c r="BY107" s="21"/>
      <c r="BZ107" s="21"/>
      <c r="CA107" s="21"/>
      <c r="CB107" s="21"/>
      <c r="CC107" s="21"/>
      <c r="CD107" s="21"/>
      <c r="CE107" s="21"/>
      <c r="CF107" s="21"/>
      <c r="CG107" s="21"/>
      <c r="CH107" s="21"/>
      <c r="CI107" s="21"/>
      <c r="CJ107" s="21"/>
      <c r="CK107" s="21"/>
      <c r="CL107" s="21"/>
      <c r="CM107" s="21"/>
      <c r="CN107" s="21"/>
      <c r="CO107" s="21"/>
      <c r="CP107" s="21"/>
      <c r="CQ107" s="21"/>
      <c r="CR107" s="21"/>
      <c r="CS107" s="21"/>
      <c r="CT107" s="21"/>
      <c r="CU107" s="21"/>
      <c r="CV107" s="21"/>
      <c r="CW107" s="21"/>
      <c r="CX107" s="21"/>
      <c r="CY107" s="21"/>
      <c r="CZ107" s="21"/>
      <c r="DA107" s="21"/>
      <c r="DB107" s="21"/>
      <c r="DC107" s="21"/>
      <c r="DD107" s="21"/>
      <c r="DE107" s="21"/>
      <c r="DF107" s="21"/>
      <c r="DG107" s="21"/>
      <c r="DH107" s="21"/>
      <c r="DI107" s="21"/>
      <c r="DJ107" s="21"/>
      <c r="DK107" s="21"/>
      <c r="DL107" s="21"/>
      <c r="DM107" s="21"/>
      <c r="DN107" s="21"/>
      <c r="DO107" s="21"/>
      <c r="DP107" s="21"/>
      <c r="DQ107" s="21"/>
      <c r="DR107" s="21"/>
      <c r="DS107" s="21"/>
      <c r="DT107" s="21"/>
      <c r="DU107" s="21"/>
      <c r="DV107" s="21"/>
      <c r="DW107" s="21"/>
      <c r="DX107" s="21"/>
      <c r="DY107" s="21"/>
      <c r="DZ107" s="21"/>
      <c r="EA107" s="21"/>
      <c r="EB107" s="21"/>
      <c r="EC107" s="21"/>
      <c r="ED107" s="21"/>
      <c r="EE107" s="21"/>
      <c r="EF107" s="21"/>
      <c r="EG107" s="21"/>
      <c r="EH107" s="21"/>
      <c r="EI107" s="21"/>
      <c r="EJ107" s="21"/>
      <c r="EK107" s="21"/>
      <c r="EL107" s="21"/>
      <c r="EM107" s="21"/>
      <c r="EN107" s="21"/>
      <c r="EO107" s="21"/>
      <c r="EP107" s="21"/>
      <c r="EQ107" s="21"/>
      <c r="ER107" s="21"/>
      <c r="ES107" s="21"/>
      <c r="ET107" s="21"/>
      <c r="EU107" s="21"/>
      <c r="EV107" s="21"/>
      <c r="EW107" s="21"/>
      <c r="EX107" s="21"/>
      <c r="EY107" s="21"/>
      <c r="EZ107" s="21"/>
      <c r="FA107" s="21"/>
      <c r="FB107" s="21"/>
      <c r="FC107" s="21"/>
      <c r="FD107" s="21"/>
      <c r="FE107" s="21"/>
      <c r="FF107" s="21"/>
      <c r="FG107" s="21"/>
      <c r="FH107" s="21"/>
      <c r="FI107" s="21"/>
      <c r="FJ107" s="21"/>
      <c r="FK107" s="21"/>
      <c r="FL107" s="21"/>
      <c r="FM107" s="21"/>
      <c r="FN107" s="21"/>
      <c r="FO107" s="21"/>
      <c r="FP107" s="21"/>
      <c r="FQ107" s="21"/>
      <c r="FR107" s="21"/>
      <c r="FS107" s="21"/>
      <c r="FT107" s="21"/>
      <c r="FU107" s="21"/>
      <c r="FV107" s="21"/>
      <c r="FW107" s="21"/>
      <c r="FX107" s="21"/>
      <c r="FY107" s="21"/>
      <c r="FZ107" s="21"/>
      <c r="GA107" s="21"/>
      <c r="GB107" s="21"/>
      <c r="GC107" s="21"/>
      <c r="GD107" s="21"/>
      <c r="GE107" s="21"/>
      <c r="GF107" s="21"/>
      <c r="GG107" s="21"/>
      <c r="GH107" s="21"/>
      <c r="GI107" s="21"/>
      <c r="GJ107" s="21"/>
      <c r="GK107" s="21"/>
      <c r="GL107" s="21"/>
      <c r="GM107" s="21"/>
      <c r="GN107" s="21"/>
      <c r="GO107" s="21"/>
      <c r="GP107" s="21"/>
      <c r="GQ107" s="21"/>
      <c r="GR107" s="21"/>
      <c r="GS107" s="21"/>
      <c r="GT107" s="21"/>
      <c r="GU107" s="21"/>
      <c r="GV107" s="21"/>
      <c r="GW107" s="21"/>
      <c r="GX107" s="21"/>
      <c r="GY107" s="21"/>
      <c r="GZ107" s="21"/>
      <c r="HA107" s="21"/>
      <c r="HB107" s="21"/>
      <c r="HC107" s="21"/>
      <c r="HD107" s="21"/>
      <c r="HE107" s="21"/>
      <c r="HF107" s="21"/>
      <c r="HG107" s="21"/>
      <c r="HH107" s="21"/>
      <c r="HI107" s="21"/>
      <c r="HJ107" s="21"/>
      <c r="HK107" s="21"/>
      <c r="HL107" s="21"/>
      <c r="HM107" s="21"/>
      <c r="HN107" s="21"/>
      <c r="HO107" s="21"/>
      <c r="HP107" s="21"/>
      <c r="HQ107" s="21"/>
      <c r="HR107" s="21"/>
      <c r="HS107" s="21"/>
      <c r="HT107" s="21"/>
      <c r="HU107" s="21"/>
      <c r="HV107" s="21"/>
      <c r="HW107" s="21"/>
      <c r="HX107" s="21"/>
      <c r="HY107" s="21"/>
      <c r="HZ107" s="21"/>
      <c r="IA107" s="21"/>
      <c r="IB107" s="21"/>
      <c r="IC107" s="21"/>
      <c r="ID107" s="21"/>
      <c r="IE107" s="21"/>
      <c r="IF107" s="21"/>
      <c r="IG107" s="21"/>
      <c r="IH107" s="21"/>
      <c r="II107" s="21"/>
      <c r="IJ107" s="21"/>
      <c r="IK107" s="21"/>
      <c r="IL107" s="21"/>
      <c r="IM107" s="21"/>
      <c r="IN107" s="21"/>
      <c r="IO107" s="21"/>
      <c r="IP107" s="21"/>
      <c r="IQ107" s="21"/>
      <c r="IR107" s="21"/>
      <c r="IS107" s="21"/>
      <c r="IT107" s="21"/>
      <c r="IU107" s="21"/>
      <c r="IV107" s="21"/>
      <c r="IW107" s="21"/>
    </row>
    <row r="108" customFormat="false" ht="13.5" hidden="false" customHeight="false" outlineLevel="0" collapsed="false">
      <c r="A108" s="831"/>
      <c r="B108" s="896" t="s">
        <v>600</v>
      </c>
      <c r="C108" s="897"/>
      <c r="D108" s="898"/>
      <c r="E108" s="899" t="n">
        <f aca="false">Assum!$F$25</f>
        <v>36159</v>
      </c>
      <c r="F108" s="899" t="n">
        <f aca="false">EDATE(E108,12)</f>
        <v>36524</v>
      </c>
      <c r="G108" s="899" t="n">
        <f aca="false">EDATE(F108,12)</f>
        <v>36890</v>
      </c>
      <c r="H108" s="899" t="n">
        <f aca="false">EDATE(G108,12)</f>
        <v>37255</v>
      </c>
      <c r="I108" s="899" t="n">
        <f aca="false">EDATE(H108,12)</f>
        <v>37620</v>
      </c>
      <c r="J108" s="899" t="n">
        <f aca="false">EDATE(I108,12)</f>
        <v>37985</v>
      </c>
      <c r="K108" s="899" t="n">
        <f aca="false">EDATE(J108,12)</f>
        <v>38351</v>
      </c>
      <c r="L108" s="899" t="n">
        <f aca="false">EDATE(K108,12)</f>
        <v>38716</v>
      </c>
      <c r="M108" s="899" t="n">
        <f aca="false">EDATE(L108,12)</f>
        <v>39081</v>
      </c>
      <c r="N108" s="899" t="n">
        <f aca="false">EDATE(M108,12)</f>
        <v>39446</v>
      </c>
      <c r="O108" s="899" t="n">
        <f aca="false">EDATE(N108,12)</f>
        <v>39812</v>
      </c>
      <c r="P108" s="899" t="n">
        <f aca="false">EDATE(O108,12)</f>
        <v>40177</v>
      </c>
      <c r="Q108" s="899" t="n">
        <f aca="false">EDATE(P108,12)</f>
        <v>40542</v>
      </c>
      <c r="R108" s="899" t="n">
        <f aca="false">EDATE(Q108,12)</f>
        <v>40907</v>
      </c>
      <c r="S108" s="899" t="n">
        <f aca="false">EDATE(R108,12)</f>
        <v>41273</v>
      </c>
      <c r="T108" s="899" t="n">
        <f aca="false">EDATE(S108,12)</f>
        <v>41638</v>
      </c>
      <c r="U108" s="899" t="n">
        <f aca="false">EDATE(T108,12)</f>
        <v>42003</v>
      </c>
      <c r="V108" s="899" t="n">
        <f aca="false">EDATE(U108,12)</f>
        <v>42368</v>
      </c>
      <c r="W108" s="899" t="n">
        <f aca="false">EDATE(V108,12)</f>
        <v>42734</v>
      </c>
      <c r="X108" s="899" t="n">
        <f aca="false">EDATE(W108,12)</f>
        <v>43099</v>
      </c>
      <c r="Y108" s="899" t="n">
        <f aca="false">EDATE(X108,12)</f>
        <v>43464</v>
      </c>
      <c r="Z108" s="899" t="n">
        <f aca="false">EDATE(Y108,12)</f>
        <v>43829</v>
      </c>
      <c r="AA108" s="899" t="n">
        <f aca="false">EDATE(Z108,12)</f>
        <v>44195</v>
      </c>
      <c r="AB108" s="899" t="n">
        <f aca="false">EDATE(AA108,12)</f>
        <v>44560</v>
      </c>
      <c r="AC108" s="899" t="n">
        <f aca="false">EDATE(AB108,12)</f>
        <v>44925</v>
      </c>
      <c r="AD108" s="899" t="n">
        <f aca="false">EDATE(AC108,12)</f>
        <v>45290</v>
      </c>
      <c r="AE108" s="899" t="n">
        <f aca="false">EDATE(AD108,12)</f>
        <v>45656</v>
      </c>
      <c r="AF108" s="899" t="n">
        <f aca="false">EDATE(AE108,12)</f>
        <v>46021</v>
      </c>
      <c r="AG108" s="899" t="n">
        <f aca="false">EDATE(AF108,12)</f>
        <v>46386</v>
      </c>
      <c r="AH108" s="899" t="n">
        <f aca="false">EDATE(AG108,12)</f>
        <v>46751</v>
      </c>
      <c r="AI108" s="899" t="n">
        <f aca="false">EDATE(AH108,12)</f>
        <v>47117</v>
      </c>
      <c r="AJ108" s="900" t="n">
        <f aca="false">EDATE(AI108,12)</f>
        <v>47482</v>
      </c>
      <c r="AK108" s="752"/>
      <c r="AL108" s="373"/>
      <c r="AM108" s="753"/>
      <c r="AN108" s="753"/>
      <c r="AO108" s="753"/>
      <c r="AP108" s="753"/>
    </row>
    <row r="109" customFormat="false" ht="12.75" hidden="false" customHeight="false" outlineLevel="0" collapsed="false">
      <c r="A109" s="831"/>
      <c r="B109" s="865" t="s">
        <v>557</v>
      </c>
      <c r="C109" s="776"/>
      <c r="D109" s="776" t="n">
        <f aca="false">D29</f>
        <v>0</v>
      </c>
      <c r="E109" s="776" t="n">
        <f aca="false">$E$29</f>
        <v>12580.9312927461</v>
      </c>
      <c r="F109" s="776" t="n">
        <f aca="false">E112</f>
        <v>12250.3807334591</v>
      </c>
      <c r="G109" s="776" t="n">
        <f aca="false">F112</f>
        <v>11893.121668321</v>
      </c>
      <c r="H109" s="776" t="n">
        <f aca="false">G112</f>
        <v>11502.968526409</v>
      </c>
      <c r="I109" s="776" t="n">
        <f aca="false">H112</f>
        <v>11070.1229115449</v>
      </c>
      <c r="J109" s="776" t="n">
        <f aca="false">I112</f>
        <v>10594.1100077067</v>
      </c>
      <c r="K109" s="776" t="n">
        <f aca="false">J112</f>
        <v>10070.8628412085</v>
      </c>
      <c r="L109" s="776" t="n">
        <f aca="false">K112</f>
        <v>9505.51781242627</v>
      </c>
      <c r="M109" s="776" t="n">
        <f aca="false">L112</f>
        <v>8888.35202394655</v>
      </c>
      <c r="N109" s="776" t="n">
        <f aca="false">M112</f>
        <v>8217.47035977989</v>
      </c>
      <c r="O109" s="776" t="n">
        <f aca="false">N112</f>
        <v>7487.90880521003</v>
      </c>
      <c r="P109" s="776" t="n">
        <f aca="false">O112</f>
        <v>6663.4651178596</v>
      </c>
      <c r="Q109" s="776" t="n">
        <f aca="false">P112</f>
        <v>5763.77081928301</v>
      </c>
      <c r="R109" s="776" t="n">
        <f aca="false">Q112</f>
        <v>4784.35445277219</v>
      </c>
      <c r="S109" s="776" t="n">
        <f aca="false">R112</f>
        <v>3718.14887778442</v>
      </c>
      <c r="T109" s="776" t="n">
        <f aca="false">S112</f>
        <v>2558.5817779884</v>
      </c>
      <c r="U109" s="776" t="n">
        <f aca="false">T112</f>
        <v>1295.13273763894</v>
      </c>
      <c r="V109" s="776" t="n">
        <f aca="false">U112</f>
        <v>0</v>
      </c>
      <c r="W109" s="776" t="n">
        <f aca="false">V112</f>
        <v>0</v>
      </c>
      <c r="X109" s="776" t="n">
        <f aca="false">W112</f>
        <v>0</v>
      </c>
      <c r="Y109" s="776" t="n">
        <f aca="false">X112</f>
        <v>0</v>
      </c>
      <c r="Z109" s="776" t="n">
        <f aca="false">Y112</f>
        <v>0</v>
      </c>
      <c r="AA109" s="776" t="n">
        <f aca="false">Z112</f>
        <v>0</v>
      </c>
      <c r="AB109" s="776" t="n">
        <f aca="false">AA112</f>
        <v>0</v>
      </c>
      <c r="AC109" s="776" t="n">
        <f aca="false">AB112</f>
        <v>0</v>
      </c>
      <c r="AD109" s="776" t="n">
        <f aca="false">AC112</f>
        <v>0</v>
      </c>
      <c r="AE109" s="776" t="n">
        <f aca="false">AD112</f>
        <v>0</v>
      </c>
      <c r="AF109" s="776" t="n">
        <f aca="false">AE112</f>
        <v>0</v>
      </c>
      <c r="AG109" s="776" t="n">
        <f aca="false">AF112</f>
        <v>0</v>
      </c>
      <c r="AH109" s="776" t="n">
        <f aca="false">AG112</f>
        <v>0</v>
      </c>
      <c r="AI109" s="776" t="n">
        <f aca="false">AH112</f>
        <v>0</v>
      </c>
      <c r="AJ109" s="866" t="n">
        <f aca="false">AI112</f>
        <v>0</v>
      </c>
      <c r="AK109" s="752"/>
      <c r="AL109" s="373"/>
      <c r="AM109" s="753"/>
      <c r="AN109" s="753"/>
      <c r="AO109" s="753"/>
      <c r="AP109" s="753"/>
    </row>
    <row r="110" customFormat="false" ht="12.75" hidden="false" customHeight="false" outlineLevel="0" collapsed="false">
      <c r="A110" s="831"/>
      <c r="B110" s="890" t="s">
        <v>601</v>
      </c>
      <c r="C110" s="752" t="n">
        <f aca="false">SUM(E110:AI110)</f>
        <v>13791.8979470583</v>
      </c>
      <c r="D110" s="752" t="n">
        <f aca="false">$D$48*C30+$D$49*C36+$E$48*D30+$E$49*D36</f>
        <v>0</v>
      </c>
      <c r="E110" s="752" t="n">
        <f aca="false">$D$48*D$30+$D$49*D$36+$E$48*E$30+$E$49*E$36</f>
        <v>1262.59931772513</v>
      </c>
      <c r="F110" s="752" t="n">
        <f aca="false">$D$48*E30+$D$49*E36+$E$48*F30+$E$49*F36</f>
        <v>1235.53538544543</v>
      </c>
      <c r="G110" s="752" t="n">
        <f aca="false">$D$48*F30+$D$49*F36+$E$48*G30+$E$49*G36</f>
        <v>1201.82004539327</v>
      </c>
      <c r="H110" s="752" t="n">
        <f aca="false">$D$48*G30+$D$49*G36+$E$48*H30+$E$49*H36</f>
        <v>1157.73527530571</v>
      </c>
      <c r="I110" s="752" t="n">
        <f aca="false">$D$48*H30+$D$49*H36+$E$48*I30+$E$49*I36</f>
        <v>1112.69430231155</v>
      </c>
      <c r="J110" s="752" t="n">
        <f aca="false">$D$48*I30+$D$49*I36+$E$48*J30+$E$49*J36</f>
        <v>1063.16734715207</v>
      </c>
      <c r="K110" s="752" t="n">
        <f aca="false">$D$48*J30+$D$49*J36+$E$48*K30+$E$49*K36</f>
        <v>1011.84240608777</v>
      </c>
      <c r="L110" s="752" t="n">
        <f aca="false">$D$48*K30+$D$49*K36+$E$48*L30+$E$49*L36</f>
        <v>950.254524200638</v>
      </c>
      <c r="M110" s="752" t="n">
        <f aca="false">$D$48*L30+$D$49*L36+$E$48*M30+$E$49*M36</f>
        <v>886.228133075645</v>
      </c>
      <c r="N110" s="752" t="n">
        <f aca="false">$D$48*M30+$D$49*M36+$E$48*N30+$E$49*N36</f>
        <v>816.621945093302</v>
      </c>
      <c r="O110" s="752" t="n">
        <f aca="false">$D$48*N30+$D$49*N36+$E$48*O30+$E$49*O36</f>
        <v>742.291751383858</v>
      </c>
      <c r="P110" s="752" t="n">
        <f aca="false">$D$48*O30+$D$49*O36+$E$48*P30+$E$49*P36</f>
        <v>654.53922230299</v>
      </c>
      <c r="Q110" s="752" t="n">
        <f aca="false">$D$48*P30+$D$49*P36+$E$48*Q30+$E$49*Q36</f>
        <v>561.167421976736</v>
      </c>
      <c r="R110" s="752" t="n">
        <f aca="false">$D$48*Q30+$D$49*Q36+$E$48*R30+$E$49*R36</f>
        <v>459.52185685264</v>
      </c>
      <c r="S110" s="752" t="n">
        <f aca="false">$D$48*R30+$D$49*R36+$E$48*S30+$E$49*S36</f>
        <v>349.957474789461</v>
      </c>
      <c r="T110" s="752" t="n">
        <f aca="false">$D$48*S30+$D$49*S36+$E$48*T30+$E$49*T36</f>
        <v>228.526962230695</v>
      </c>
      <c r="U110" s="752" t="n">
        <f aca="false">$D$48*T30+$D$49*T36+$E$48*U30+$E$49*U36</f>
        <v>97.394575731349</v>
      </c>
      <c r="V110" s="752" t="n">
        <f aca="false">$D$48*U30+$D$49*U36+$E$48*V30+$E$49*V36</f>
        <v>0</v>
      </c>
      <c r="W110" s="752" t="n">
        <f aca="false">$D$48*V30+$D$49*V36+$E$48*W30+$E$49*W36</f>
        <v>0</v>
      </c>
      <c r="X110" s="752" t="n">
        <f aca="false">$D$48*W30+$D$49*W36+$E$48*X30+$E$49*X36</f>
        <v>0</v>
      </c>
      <c r="Y110" s="752" t="n">
        <f aca="false">$D$48*X30+$D$49*X36+$E$48*Y30+$E$49*Y36</f>
        <v>0</v>
      </c>
      <c r="Z110" s="752" t="n">
        <f aca="false">$D$48*Y30+$D$49*Y36+$E$48*Z30+$E$49*Z36</f>
        <v>0</v>
      </c>
      <c r="AA110" s="752" t="n">
        <f aca="false">$D$48*Z30+$D$49*Z36+$E$48*AA30+$E$49*AA36</f>
        <v>0</v>
      </c>
      <c r="AB110" s="752" t="n">
        <f aca="false">$D$48*AA30+$D$49*AA36+$E$48*AB30+$E$49*AB36</f>
        <v>0</v>
      </c>
      <c r="AC110" s="752" t="n">
        <f aca="false">$D$48*AB30+$D$49*AB36+$E$48*AC30+$E$49*AC36</f>
        <v>0</v>
      </c>
      <c r="AD110" s="752" t="n">
        <f aca="false">$D$48*AC30+$D$49*AC36+$E$48*AD30+$E$49*AD36</f>
        <v>0</v>
      </c>
      <c r="AE110" s="752" t="n">
        <f aca="false">$D$48*AD30+$D$49*AD36+$E$48*AE30+$E$49*AE36</f>
        <v>0</v>
      </c>
      <c r="AF110" s="752" t="n">
        <f aca="false">$D$48*AE30+$D$49*AE36+$E$48*AF30+$E$49*AF36</f>
        <v>0</v>
      </c>
      <c r="AG110" s="752" t="n">
        <f aca="false">$D$48*AF30+$D$49*AF36+$E$48*AG30+$E$49*AG36</f>
        <v>0</v>
      </c>
      <c r="AH110" s="752" t="n">
        <f aca="false">$D$48*AG30+$D$49*AG36+$E$48*AH30+$E$49*AH36</f>
        <v>0</v>
      </c>
      <c r="AI110" s="752" t="n">
        <f aca="false">$D$48*AH30+$D$49*AH36+$E$48*AI30+$E$49*AI36</f>
        <v>0</v>
      </c>
      <c r="AJ110" s="901" t="n">
        <f aca="false">$D$48*AI30+$D$49*AI36+$E$48*AJ30+$E$49*AJ36</f>
        <v>0</v>
      </c>
      <c r="AK110" s="752"/>
      <c r="AL110" s="373"/>
      <c r="AM110" s="753"/>
      <c r="AN110" s="753"/>
      <c r="AO110" s="753"/>
      <c r="AP110" s="753"/>
    </row>
    <row r="111" customFormat="false" ht="12.75" hidden="false" customHeight="false" outlineLevel="0" collapsed="false">
      <c r="A111" s="831"/>
      <c r="B111" s="805" t="s">
        <v>602</v>
      </c>
      <c r="C111" s="752" t="n">
        <f aca="false">SUM(E111:AI111)</f>
        <v>12580.9312927461</v>
      </c>
      <c r="D111" s="752" t="n">
        <f aca="false">$D$48*C31+$D$49*C37+$E$48*D31+$E$49*D37</f>
        <v>0</v>
      </c>
      <c r="E111" s="752" t="n">
        <f aca="false">$D$48*D$31+$D$49*D$37+$E$48*E$31+$E$49*E$37</f>
        <v>330.550559286958</v>
      </c>
      <c r="F111" s="752" t="n">
        <f aca="false">$D$48*E31+$D$49*E37+$E$48*F31+$E$49*F37</f>
        <v>357.259065138095</v>
      </c>
      <c r="G111" s="752" t="n">
        <f aca="false">$D$48*F31+$D$49*F37+$E$48*G31+$E$49*G37</f>
        <v>390.153141912035</v>
      </c>
      <c r="H111" s="752" t="n">
        <f aca="false">$D$48*G31+$D$49*G37+$E$48*H31+$E$49*H37</f>
        <v>432.845614864111</v>
      </c>
      <c r="I111" s="752" t="n">
        <f aca="false">$D$48*H31+$D$49*H37+$E$48*I31+$E$49*I37</f>
        <v>476.0129038382</v>
      </c>
      <c r="J111" s="752" t="n">
        <f aca="false">$D$48*I31+$D$49*I37+$E$48*J31+$E$49*J37</f>
        <v>523.247166498167</v>
      </c>
      <c r="K111" s="752" t="n">
        <f aca="false">$D$48*J31+$D$49*J37+$E$48*K31+$E$49*K37</f>
        <v>565.34502878223</v>
      </c>
      <c r="L111" s="752" t="n">
        <f aca="false">$D$48*K31+$D$49*K37+$E$48*L31+$E$49*L37</f>
        <v>617.165788479718</v>
      </c>
      <c r="M111" s="752" t="n">
        <f aca="false">$D$48*L31+$D$49*L37+$E$48*M31+$E$49*M37</f>
        <v>670.881664166665</v>
      </c>
      <c r="N111" s="752" t="n">
        <f aca="false">$D$48*M31+$D$49*M37+$E$48*N31+$E$49*N37</f>
        <v>729.56155456986</v>
      </c>
      <c r="O111" s="752" t="n">
        <f aca="false">$D$48*N31+$D$49*N37+$E$48*O31+$E$49*O37</f>
        <v>824.443687350428</v>
      </c>
      <c r="P111" s="752" t="n">
        <f aca="false">$D$48*O31+$D$49*O37+$E$48*P31+$E$49*P37</f>
        <v>899.694298576593</v>
      </c>
      <c r="Q111" s="752" t="n">
        <f aca="false">$D$48*P31+$D$49*P37+$E$48*Q31+$E$49*Q37</f>
        <v>979.416366510816</v>
      </c>
      <c r="R111" s="752" t="n">
        <f aca="false">$D$48*Q31+$D$49*Q37+$E$48*R31+$E$49*R37</f>
        <v>1066.20557498777</v>
      </c>
      <c r="S111" s="752" t="n">
        <f aca="false">$D$48*R31+$D$49*R37+$E$48*S31+$E$49*S37</f>
        <v>1159.56709979602</v>
      </c>
      <c r="T111" s="752" t="n">
        <f aca="false">$D$48*S31+$D$49*S37+$E$48*T31+$E$49*T37</f>
        <v>1263.44904034946</v>
      </c>
      <c r="U111" s="752" t="n">
        <f aca="false">$D$48*T31+$D$49*T37+$E$48*U31+$E$49*U37</f>
        <v>1295.13273763893</v>
      </c>
      <c r="V111" s="752" t="n">
        <f aca="false">$D$48*U31+$D$49*U37+$E$48*V31+$E$49*V37</f>
        <v>0</v>
      </c>
      <c r="W111" s="752" t="n">
        <f aca="false">$D$48*V31+$D$49*V37+$E$48*W31+$E$49*W37</f>
        <v>0</v>
      </c>
      <c r="X111" s="752" t="n">
        <f aca="false">$D$48*W31+$D$49*W37+$E$48*X31+$E$49*X37</f>
        <v>0</v>
      </c>
      <c r="Y111" s="752" t="n">
        <f aca="false">$D$48*X31+$D$49*X37+$E$48*Y31+$E$49*Y37</f>
        <v>0</v>
      </c>
      <c r="Z111" s="752" t="n">
        <f aca="false">$D$48*Y31+$D$49*Y37+$E$48*Z31+$E$49*Z37</f>
        <v>0</v>
      </c>
      <c r="AA111" s="752" t="n">
        <f aca="false">$D$48*Z31+$D$49*Z37+$E$48*AA31+$E$49*AA37</f>
        <v>0</v>
      </c>
      <c r="AB111" s="752" t="n">
        <f aca="false">$D$48*AA31+$D$49*AA37+$E$48*AB31+$E$49*AB37</f>
        <v>0</v>
      </c>
      <c r="AC111" s="752" t="n">
        <f aca="false">$D$48*AB31+$D$49*AB37+$E$48*AC31+$E$49*AC37</f>
        <v>0</v>
      </c>
      <c r="AD111" s="752" t="n">
        <f aca="false">$D$48*AC31+$D$49*AC37+$E$48*AD31+$E$49*AD37</f>
        <v>0</v>
      </c>
      <c r="AE111" s="752" t="n">
        <f aca="false">$D$48*AD31+$D$49*AD37+$E$48*AE31+$E$49*AE37</f>
        <v>0</v>
      </c>
      <c r="AF111" s="752" t="n">
        <f aca="false">$D$48*AE31+$D$49*AE37+$E$48*AF31+$E$49*AF37</f>
        <v>0</v>
      </c>
      <c r="AG111" s="752" t="n">
        <f aca="false">$D$48*AF31+$D$49*AF37+$E$48*AG31+$E$49*AG37</f>
        <v>0</v>
      </c>
      <c r="AH111" s="752" t="n">
        <f aca="false">$D$48*AG31+$D$49*AG37+$E$48*AH31+$E$49*AH37</f>
        <v>0</v>
      </c>
      <c r="AI111" s="752" t="n">
        <f aca="false">$D$48*AH31+$D$49*AH37+$E$48*AI31+$E$49*AI37</f>
        <v>0</v>
      </c>
      <c r="AJ111" s="901" t="n">
        <f aca="false">$D$48*AI31+$D$49*AI37+$E$48*AJ31+$E$49*AJ37</f>
        <v>0</v>
      </c>
      <c r="AK111" s="752"/>
      <c r="AL111" s="373"/>
      <c r="AM111" s="753"/>
      <c r="AN111" s="753"/>
      <c r="AO111" s="753"/>
      <c r="AP111" s="753"/>
    </row>
    <row r="112" customFormat="false" ht="13.5" hidden="false" customHeight="false" outlineLevel="0" collapsed="false">
      <c r="A112" s="831"/>
      <c r="B112" s="902" t="s">
        <v>561</v>
      </c>
      <c r="C112" s="903"/>
      <c r="D112" s="825" t="n">
        <f aca="false">D38</f>
        <v>0</v>
      </c>
      <c r="E112" s="825" t="n">
        <f aca="false">E109-E111</f>
        <v>12250.3807334591</v>
      </c>
      <c r="F112" s="825" t="n">
        <f aca="false">F109-F111</f>
        <v>11893.121668321</v>
      </c>
      <c r="G112" s="825" t="n">
        <f aca="false">G109-G111</f>
        <v>11502.968526409</v>
      </c>
      <c r="H112" s="825" t="n">
        <f aca="false">H109-H111</f>
        <v>11070.1229115449</v>
      </c>
      <c r="I112" s="825" t="n">
        <f aca="false">I109-I111</f>
        <v>10594.1100077067</v>
      </c>
      <c r="J112" s="825" t="n">
        <f aca="false">J109-J111</f>
        <v>10070.8628412085</v>
      </c>
      <c r="K112" s="825" t="n">
        <f aca="false">K109-K111</f>
        <v>9505.51781242627</v>
      </c>
      <c r="L112" s="825" t="n">
        <f aca="false">L109-L111</f>
        <v>8888.35202394655</v>
      </c>
      <c r="M112" s="825" t="n">
        <f aca="false">M109-M111</f>
        <v>8217.47035977989</v>
      </c>
      <c r="N112" s="825" t="n">
        <f aca="false">N109-N111</f>
        <v>7487.90880521003</v>
      </c>
      <c r="O112" s="825" t="n">
        <f aca="false">O109-O111</f>
        <v>6663.4651178596</v>
      </c>
      <c r="P112" s="825" t="n">
        <f aca="false">P109-P111</f>
        <v>5763.77081928301</v>
      </c>
      <c r="Q112" s="825" t="n">
        <f aca="false">Q109-Q111</f>
        <v>4784.35445277219</v>
      </c>
      <c r="R112" s="825" t="n">
        <f aca="false">R109-R111</f>
        <v>3718.14887778442</v>
      </c>
      <c r="S112" s="825" t="n">
        <f aca="false">S109-S111</f>
        <v>2558.5817779884</v>
      </c>
      <c r="T112" s="825" t="n">
        <f aca="false">T109-T111</f>
        <v>1295.13273763894</v>
      </c>
      <c r="U112" s="825" t="n">
        <f aca="false">U109-U111</f>
        <v>0</v>
      </c>
      <c r="V112" s="825" t="n">
        <f aca="false">V109-V111</f>
        <v>0</v>
      </c>
      <c r="W112" s="825" t="n">
        <f aca="false">W109-W111</f>
        <v>0</v>
      </c>
      <c r="X112" s="825" t="n">
        <f aca="false">X109-X111</f>
        <v>0</v>
      </c>
      <c r="Y112" s="825" t="n">
        <f aca="false">Y109-Y111</f>
        <v>0</v>
      </c>
      <c r="Z112" s="825" t="n">
        <f aca="false">Z109-Z111</f>
        <v>0</v>
      </c>
      <c r="AA112" s="825" t="n">
        <f aca="false">AA109-AA111</f>
        <v>0</v>
      </c>
      <c r="AB112" s="825" t="n">
        <f aca="false">AB109-AB111</f>
        <v>0</v>
      </c>
      <c r="AC112" s="825" t="n">
        <f aca="false">AC109-AC111</f>
        <v>0</v>
      </c>
      <c r="AD112" s="825" t="n">
        <f aca="false">AD109-AD111</f>
        <v>0</v>
      </c>
      <c r="AE112" s="825" t="n">
        <f aca="false">AE109-AE111</f>
        <v>0</v>
      </c>
      <c r="AF112" s="825" t="n">
        <f aca="false">AF109-AF111</f>
        <v>0</v>
      </c>
      <c r="AG112" s="825" t="n">
        <f aca="false">AG109-AG111</f>
        <v>0</v>
      </c>
      <c r="AH112" s="825" t="n">
        <f aca="false">AH109-AH111</f>
        <v>0</v>
      </c>
      <c r="AI112" s="825" t="n">
        <f aca="false">AI109-AI111</f>
        <v>0</v>
      </c>
      <c r="AJ112" s="827" t="n">
        <f aca="false">AJ109-AJ111</f>
        <v>0</v>
      </c>
      <c r="AK112" s="752"/>
      <c r="AL112" s="373"/>
      <c r="AM112" s="753"/>
      <c r="AN112" s="753"/>
      <c r="AO112" s="753"/>
      <c r="AP112" s="753"/>
    </row>
    <row r="113" customFormat="false" ht="13.5" hidden="false" customHeight="false" outlineLevel="0" collapsed="false">
      <c r="A113" s="831"/>
      <c r="B113" s="904"/>
      <c r="C113" s="904"/>
      <c r="D113" s="757"/>
      <c r="E113" s="757"/>
      <c r="F113" s="757"/>
      <c r="G113" s="757"/>
      <c r="H113" s="757"/>
      <c r="I113" s="757"/>
      <c r="J113" s="757"/>
      <c r="K113" s="757"/>
      <c r="L113" s="757"/>
      <c r="M113" s="757"/>
      <c r="N113" s="757"/>
      <c r="O113" s="757"/>
      <c r="P113" s="757"/>
      <c r="Q113" s="757"/>
      <c r="R113" s="757"/>
      <c r="S113" s="757"/>
      <c r="T113" s="757"/>
      <c r="U113" s="757"/>
      <c r="V113" s="757"/>
      <c r="W113" s="757"/>
      <c r="X113" s="757"/>
      <c r="Y113" s="757"/>
      <c r="Z113" s="757"/>
      <c r="AA113" s="757"/>
      <c r="AB113" s="757"/>
      <c r="AC113" s="757"/>
      <c r="AD113" s="757"/>
      <c r="AE113" s="757"/>
      <c r="AF113" s="757"/>
      <c r="AG113" s="757"/>
      <c r="AH113" s="757"/>
      <c r="AI113" s="757"/>
      <c r="AJ113" s="905"/>
      <c r="AK113" s="752"/>
      <c r="AL113" s="373"/>
      <c r="AM113" s="753"/>
      <c r="AN113" s="753"/>
      <c r="AO113" s="753"/>
      <c r="AP113" s="753"/>
    </row>
    <row r="114" customFormat="false" ht="13.5" hidden="false" customHeight="false" outlineLevel="0" collapsed="false">
      <c r="A114" s="831"/>
      <c r="B114" s="906" t="s">
        <v>603</v>
      </c>
      <c r="C114" s="907"/>
      <c r="D114" s="908"/>
      <c r="E114" s="909" t="n">
        <f aca="false">Assum!$F$25</f>
        <v>36159</v>
      </c>
      <c r="F114" s="909" t="n">
        <f aca="false">EDATE(E114,12)</f>
        <v>36524</v>
      </c>
      <c r="G114" s="909" t="n">
        <f aca="false">EDATE(F114,12)</f>
        <v>36890</v>
      </c>
      <c r="H114" s="909" t="n">
        <f aca="false">EDATE(G114,12)</f>
        <v>37255</v>
      </c>
      <c r="I114" s="909" t="n">
        <f aca="false">EDATE(H114,12)</f>
        <v>37620</v>
      </c>
      <c r="J114" s="909" t="n">
        <f aca="false">EDATE(I114,12)</f>
        <v>37985</v>
      </c>
      <c r="K114" s="909" t="n">
        <f aca="false">EDATE(J114,12)</f>
        <v>38351</v>
      </c>
      <c r="L114" s="909" t="n">
        <f aca="false">EDATE(K114,12)</f>
        <v>38716</v>
      </c>
      <c r="M114" s="909" t="n">
        <f aca="false">EDATE(L114,12)</f>
        <v>39081</v>
      </c>
      <c r="N114" s="909" t="n">
        <f aca="false">EDATE(M114,12)</f>
        <v>39446</v>
      </c>
      <c r="O114" s="909" t="n">
        <f aca="false">EDATE(N114,12)</f>
        <v>39812</v>
      </c>
      <c r="P114" s="909" t="n">
        <f aca="false">EDATE(O114,12)</f>
        <v>40177</v>
      </c>
      <c r="Q114" s="909" t="n">
        <f aca="false">EDATE(P114,12)</f>
        <v>40542</v>
      </c>
      <c r="R114" s="909" t="n">
        <f aca="false">EDATE(Q114,12)</f>
        <v>40907</v>
      </c>
      <c r="S114" s="909" t="n">
        <f aca="false">EDATE(R114,12)</f>
        <v>41273</v>
      </c>
      <c r="T114" s="909" t="n">
        <f aca="false">EDATE(S114,12)</f>
        <v>41638</v>
      </c>
      <c r="U114" s="909" t="n">
        <f aca="false">EDATE(T114,12)</f>
        <v>42003</v>
      </c>
      <c r="V114" s="909" t="n">
        <f aca="false">EDATE(U114,12)</f>
        <v>42368</v>
      </c>
      <c r="W114" s="909" t="n">
        <f aca="false">EDATE(V114,12)</f>
        <v>42734</v>
      </c>
      <c r="X114" s="909" t="n">
        <f aca="false">EDATE(W114,12)</f>
        <v>43099</v>
      </c>
      <c r="Y114" s="909" t="n">
        <f aca="false">EDATE(X114,12)</f>
        <v>43464</v>
      </c>
      <c r="Z114" s="909" t="n">
        <f aca="false">EDATE(Y114,12)</f>
        <v>43829</v>
      </c>
      <c r="AA114" s="909" t="n">
        <f aca="false">EDATE(Z114,12)</f>
        <v>44195</v>
      </c>
      <c r="AB114" s="909" t="n">
        <f aca="false">EDATE(AA114,12)</f>
        <v>44560</v>
      </c>
      <c r="AC114" s="909" t="n">
        <f aca="false">EDATE(AB114,12)</f>
        <v>44925</v>
      </c>
      <c r="AD114" s="909" t="n">
        <f aca="false">EDATE(AC114,12)</f>
        <v>45290</v>
      </c>
      <c r="AE114" s="909" t="n">
        <f aca="false">EDATE(AD114,12)</f>
        <v>45656</v>
      </c>
      <c r="AF114" s="909" t="n">
        <f aca="false">EDATE(AE114,12)</f>
        <v>46021</v>
      </c>
      <c r="AG114" s="909" t="n">
        <f aca="false">EDATE(AF114,12)</f>
        <v>46386</v>
      </c>
      <c r="AH114" s="909" t="n">
        <f aca="false">EDATE(AG114,12)</f>
        <v>46751</v>
      </c>
      <c r="AI114" s="909" t="n">
        <f aca="false">EDATE(AH114,12)</f>
        <v>47117</v>
      </c>
      <c r="AJ114" s="910" t="n">
        <f aca="false">EDATE(AI114,12)</f>
        <v>47482</v>
      </c>
      <c r="AK114" s="752"/>
      <c r="AL114" s="373"/>
      <c r="AM114" s="753"/>
      <c r="AN114" s="753"/>
      <c r="AO114" s="753"/>
      <c r="AP114" s="753"/>
    </row>
    <row r="115" customFormat="false" ht="12.75" hidden="false" customHeight="false" outlineLevel="0" collapsed="false">
      <c r="A115" s="831"/>
      <c r="B115" s="865" t="s">
        <v>557</v>
      </c>
      <c r="C115" s="776"/>
      <c r="D115" s="776" t="n">
        <f aca="false">D35</f>
        <v>0</v>
      </c>
      <c r="E115" s="776" t="n">
        <f aca="false">E74</f>
        <v>0</v>
      </c>
      <c r="F115" s="757" t="n">
        <f aca="false">E118</f>
        <v>0</v>
      </c>
      <c r="G115" s="757" t="n">
        <f aca="false">F118</f>
        <v>0</v>
      </c>
      <c r="H115" s="757" t="n">
        <f aca="false">G118</f>
        <v>0</v>
      </c>
      <c r="I115" s="757" t="n">
        <f aca="false">H118</f>
        <v>0</v>
      </c>
      <c r="J115" s="757" t="n">
        <f aca="false">I118</f>
        <v>0</v>
      </c>
      <c r="K115" s="757" t="n">
        <f aca="false">J118</f>
        <v>0</v>
      </c>
      <c r="L115" s="757" t="n">
        <f aca="false">K118</f>
        <v>0</v>
      </c>
      <c r="M115" s="757" t="n">
        <f aca="false">L118</f>
        <v>0</v>
      </c>
      <c r="N115" s="757" t="n">
        <f aca="false">M118</f>
        <v>0</v>
      </c>
      <c r="O115" s="757" t="n">
        <f aca="false">N118</f>
        <v>0</v>
      </c>
      <c r="P115" s="757" t="n">
        <f aca="false">O118</f>
        <v>0</v>
      </c>
      <c r="Q115" s="757" t="n">
        <f aca="false">P118</f>
        <v>0</v>
      </c>
      <c r="R115" s="757" t="n">
        <f aca="false">Q118</f>
        <v>0</v>
      </c>
      <c r="S115" s="757" t="n">
        <f aca="false">R118</f>
        <v>0</v>
      </c>
      <c r="T115" s="757" t="n">
        <f aca="false">S118</f>
        <v>0</v>
      </c>
      <c r="U115" s="757" t="n">
        <f aca="false">T118</f>
        <v>0</v>
      </c>
      <c r="V115" s="757" t="n">
        <f aca="false">U118</f>
        <v>0</v>
      </c>
      <c r="W115" s="757" t="n">
        <f aca="false">V118</f>
        <v>0</v>
      </c>
      <c r="X115" s="757" t="n">
        <f aca="false">W118</f>
        <v>0</v>
      </c>
      <c r="Y115" s="757" t="n">
        <f aca="false">X118</f>
        <v>0</v>
      </c>
      <c r="Z115" s="757" t="n">
        <f aca="false">Y118</f>
        <v>0</v>
      </c>
      <c r="AA115" s="757" t="n">
        <f aca="false">Z118</f>
        <v>0</v>
      </c>
      <c r="AB115" s="757" t="n">
        <f aca="false">AA118</f>
        <v>0</v>
      </c>
      <c r="AC115" s="757" t="n">
        <f aca="false">AB118</f>
        <v>0</v>
      </c>
      <c r="AD115" s="757" t="n">
        <f aca="false">AC118</f>
        <v>0</v>
      </c>
      <c r="AE115" s="757" t="n">
        <f aca="false">AD118</f>
        <v>0</v>
      </c>
      <c r="AF115" s="757" t="n">
        <f aca="false">AE118</f>
        <v>0</v>
      </c>
      <c r="AG115" s="757" t="n">
        <f aca="false">AF118</f>
        <v>0</v>
      </c>
      <c r="AH115" s="757" t="n">
        <f aca="false">AG118</f>
        <v>0</v>
      </c>
      <c r="AI115" s="757" t="n">
        <f aca="false">AH118</f>
        <v>0</v>
      </c>
      <c r="AJ115" s="804" t="n">
        <f aca="false">AI118</f>
        <v>0</v>
      </c>
      <c r="AK115" s="752"/>
      <c r="AL115" s="373"/>
      <c r="AM115" s="753"/>
      <c r="AN115" s="753"/>
      <c r="AO115" s="753"/>
      <c r="AP115" s="753"/>
    </row>
    <row r="116" customFormat="false" ht="12.75" hidden="false" customHeight="false" outlineLevel="0" collapsed="false">
      <c r="A116" s="831"/>
      <c r="B116" s="890" t="s">
        <v>601</v>
      </c>
      <c r="C116" s="752" t="n">
        <f aca="false">SUM(E116:AI116)</f>
        <v>0</v>
      </c>
      <c r="D116" s="752" t="n">
        <f aca="false">$D$48*C36+$D$49*C42+$E$48*D36+$E$49*D42</f>
        <v>0</v>
      </c>
      <c r="E116" s="752" t="n">
        <f aca="false">$D$93*D$75+$D$94*D$81+$E$93*E$75+$E$94*E$81</f>
        <v>0</v>
      </c>
      <c r="F116" s="752" t="n">
        <f aca="false">$D$93*E$75+$D$94*E$81+$E$93*F$75+$E$94*F$81</f>
        <v>0</v>
      </c>
      <c r="G116" s="752" t="n">
        <f aca="false">$D$93*F$75+$D$94*F$81+$E$93*G$75+$E$94*G$81</f>
        <v>0</v>
      </c>
      <c r="H116" s="752" t="n">
        <f aca="false">$D$93*G$75+$D$94*G$81+$E$93*H$75+$E$94*H$81</f>
        <v>0</v>
      </c>
      <c r="I116" s="752" t="n">
        <f aca="false">$D$93*H$75+$D$94*H$81+$E$93*I$75+$E$94*I$81</f>
        <v>0</v>
      </c>
      <c r="J116" s="752" t="n">
        <f aca="false">$D$93*I$75+$D$94*I$81+$E$93*J$75+$E$94*J$81</f>
        <v>0</v>
      </c>
      <c r="K116" s="752" t="n">
        <f aca="false">$D$93*J$75+$D$94*J$81+$E$93*K$75+$E$94*K$81</f>
        <v>0</v>
      </c>
      <c r="L116" s="752" t="n">
        <f aca="false">$D$93*K$75+$D$94*K$81+$E$93*L$75+$E$94*L$81</f>
        <v>0</v>
      </c>
      <c r="M116" s="752" t="n">
        <f aca="false">$D$93*L$75+$D$94*L$81+$E$93*M$75+$E$94*M$81</f>
        <v>0</v>
      </c>
      <c r="N116" s="752" t="n">
        <f aca="false">$D$93*M$75+$D$94*M$81+$E$93*N$75+$E$94*N$81</f>
        <v>0</v>
      </c>
      <c r="O116" s="752" t="n">
        <f aca="false">$D$93*N$75+$D$94*N$81+$E$93*O$75+$E$94*O$81</f>
        <v>0</v>
      </c>
      <c r="P116" s="752" t="n">
        <f aca="false">$D$93*O$75+$D$94*O$81+$E$93*P$75+$E$94*P$81</f>
        <v>0</v>
      </c>
      <c r="Q116" s="752" t="n">
        <f aca="false">$D$93*P$75+$D$94*P$81+$E$93*Q$75+$E$94*Q$81</f>
        <v>0</v>
      </c>
      <c r="R116" s="752" t="n">
        <f aca="false">$D$93*Q$75+$D$94*Q$81+$E$93*R$75+$E$94*R$81</f>
        <v>0</v>
      </c>
      <c r="S116" s="752" t="n">
        <f aca="false">$D$93*R$75+$D$94*R$81+$E$93*S$75+$E$94*S$81</f>
        <v>0</v>
      </c>
      <c r="T116" s="752" t="n">
        <f aca="false">$D$93*S$75+$D$94*S$81+$E$93*T$75+$E$94*T$81</f>
        <v>0</v>
      </c>
      <c r="U116" s="752" t="n">
        <f aca="false">$D$93*T$75+$D$94*T$81+$E$93*U$75+$E$94*U$81</f>
        <v>0</v>
      </c>
      <c r="V116" s="752" t="n">
        <f aca="false">$D$93*U$75+$D$94*U$81+$E$93*V$75+$E$94*V$81</f>
        <v>0</v>
      </c>
      <c r="W116" s="752" t="n">
        <f aca="false">$D$93*V$75+$D$94*V$81+$E$93*W$75+$E$94*W$81</f>
        <v>0</v>
      </c>
      <c r="X116" s="752" t="n">
        <f aca="false">$D$93*W$75+$D$94*W$81+$E$93*X$75+$E$94*X$81</f>
        <v>0</v>
      </c>
      <c r="Y116" s="752" t="n">
        <f aca="false">$D$93*X$75+$D$94*X$81+$E$93*Y$75+$E$94*Y$81</f>
        <v>0</v>
      </c>
      <c r="Z116" s="752" t="n">
        <f aca="false">$D$93*Y$75+$D$94*Y$81+$E$93*Z$75+$E$94*Z$81</f>
        <v>0</v>
      </c>
      <c r="AA116" s="752" t="n">
        <f aca="false">$D$93*Z$75+$D$94*Z$81+$E$93*AA$75+$E$94*AA$81</f>
        <v>0</v>
      </c>
      <c r="AB116" s="752" t="n">
        <f aca="false">$D$93*AA$75+$D$94*AA$81+$E$93*AB$75+$E$94*AB$81</f>
        <v>0</v>
      </c>
      <c r="AC116" s="752" t="n">
        <f aca="false">$D$93*AB$75+$D$94*AB$81+$E$93*AC$75+$E$94*AC$81</f>
        <v>0</v>
      </c>
      <c r="AD116" s="752" t="n">
        <f aca="false">$D$93*AC$75+$D$94*AC$81+$E$93*AD$75+$E$94*AD$81</f>
        <v>0</v>
      </c>
      <c r="AE116" s="752" t="n">
        <f aca="false">$D$93*AD$75+$D$94*AD$81+$E$93*AE$75+$E$94*AE$81</f>
        <v>0</v>
      </c>
      <c r="AF116" s="752" t="n">
        <f aca="false">$D$93*AE$75+$D$94*AE$81+$E$93*AF$75+$E$94*AF$81</f>
        <v>0</v>
      </c>
      <c r="AG116" s="752" t="n">
        <f aca="false">$D$93*AF$75+$D$94*AF$81+$E$93*AG$75+$E$94*AG$81</f>
        <v>0</v>
      </c>
      <c r="AH116" s="752" t="n">
        <f aca="false">$D$93*AG$75+$D$94*AG$81+$E$93*AH$75+$E$94*AH$81</f>
        <v>0</v>
      </c>
      <c r="AI116" s="752" t="n">
        <f aca="false">$D$93*AH$75+$D$94*AH$81+$E$93*AI$75+$E$94*AI$81</f>
        <v>0</v>
      </c>
      <c r="AJ116" s="752" t="n">
        <f aca="false">$D$93*AI$75+$D$94*AI$81+$E$93*AJ$75+$E$94*AJ$81</f>
        <v>0</v>
      </c>
      <c r="AK116" s="752"/>
      <c r="AL116" s="373"/>
      <c r="AM116" s="753"/>
      <c r="AN116" s="753"/>
      <c r="AO116" s="753"/>
      <c r="AP116" s="753"/>
    </row>
    <row r="117" customFormat="false" ht="12.75" hidden="false" customHeight="false" outlineLevel="0" collapsed="false">
      <c r="A117" s="831"/>
      <c r="B117" s="805" t="s">
        <v>602</v>
      </c>
      <c r="C117" s="752" t="n">
        <f aca="false">SUM(E117:AI117)</f>
        <v>0</v>
      </c>
      <c r="D117" s="752" t="n">
        <f aca="false">$D$48*C37+$D$49*C43+$E$48*D37+$E$49*D43</f>
        <v>0</v>
      </c>
      <c r="E117" s="752" t="n">
        <f aca="false">$D$93*D$76+$D$94*D$82+$E$93*E$76+$E$94*E$82</f>
        <v>0</v>
      </c>
      <c r="F117" s="752" t="n">
        <f aca="false">$D$93*E$76+$D$94*E$82+$E$93*F$76+$E$94*F$82</f>
        <v>0</v>
      </c>
      <c r="G117" s="752" t="n">
        <f aca="false">$D$93*F$76+$D$94*F$82+$E$93*G$76+$E$94*G$82</f>
        <v>0</v>
      </c>
      <c r="H117" s="752" t="n">
        <f aca="false">$D$93*G$76+$D$94*G$82+$E$93*H$76+$E$94*H$82</f>
        <v>0</v>
      </c>
      <c r="I117" s="752" t="n">
        <f aca="false">$D$93*H$76+$D$94*H$82+$E$93*I$76+$E$94*I$82</f>
        <v>0</v>
      </c>
      <c r="J117" s="752" t="n">
        <f aca="false">$D$93*I$76+$D$94*I$82+$E$93*J$76+$E$94*J$82</f>
        <v>0</v>
      </c>
      <c r="K117" s="752" t="n">
        <f aca="false">$D$93*J$76+$D$94*J$82+$E$93*K$76+$E$94*K$82</f>
        <v>0</v>
      </c>
      <c r="L117" s="752" t="n">
        <f aca="false">$D$93*K$76+$D$94*K$82+$E$93*L$76+$E$94*L$82</f>
        <v>0</v>
      </c>
      <c r="M117" s="752" t="n">
        <f aca="false">$D$93*L$76+$D$94*L$82+$E$93*M$76+$E$94*M$82</f>
        <v>0</v>
      </c>
      <c r="N117" s="752" t="n">
        <f aca="false">$D$93*M$76+$D$94*M$82+$E$93*N$76+$E$94*N$82</f>
        <v>0</v>
      </c>
      <c r="O117" s="752" t="n">
        <f aca="false">$D$93*N$76+$D$94*N$82+$E$93*O$76+$E$94*O$82</f>
        <v>0</v>
      </c>
      <c r="P117" s="752" t="n">
        <f aca="false">$D$93*O$76+$D$94*O$82+$E$93*P$76+$E$94*P$82</f>
        <v>0</v>
      </c>
      <c r="Q117" s="752" t="n">
        <f aca="false">$D$93*P$76+$D$94*P$82+$E$93*Q$76+$E$94*Q$82</f>
        <v>0</v>
      </c>
      <c r="R117" s="752" t="n">
        <f aca="false">$D$93*Q$76+$D$94*Q$82+$E$93*R$76+$E$94*R$82</f>
        <v>0</v>
      </c>
      <c r="S117" s="752" t="n">
        <f aca="false">$D$93*R$76+$D$94*R$82+$E$93*S$76+$E$94*S$82</f>
        <v>0</v>
      </c>
      <c r="T117" s="752" t="n">
        <f aca="false">$D$93*S$76+$D$94*S$82+$E$93*T$76+$E$94*T$82</f>
        <v>0</v>
      </c>
      <c r="U117" s="752" t="n">
        <f aca="false">$D$93*T$76+$D$94*T$82+$E$93*U$76+$E$94*U$82</f>
        <v>0</v>
      </c>
      <c r="V117" s="752" t="n">
        <f aca="false">$D$93*U$76+$D$94*U$82+$E$93*V$76+$E$94*V$82</f>
        <v>0</v>
      </c>
      <c r="W117" s="752" t="n">
        <f aca="false">$D$93*V$76+$D$94*V$82+$E$93*W$76+$E$94*W$82</f>
        <v>0</v>
      </c>
      <c r="X117" s="752" t="n">
        <f aca="false">$D$93*W$76+$D$94*W$82+$E$93*X$76+$E$94*X$82</f>
        <v>0</v>
      </c>
      <c r="Y117" s="752" t="n">
        <f aca="false">$D$93*X$76+$D$94*X$82+$E$93*Y$76+$E$94*Y$82</f>
        <v>0</v>
      </c>
      <c r="Z117" s="752" t="n">
        <f aca="false">$D$93*Y$76+$D$94*Y$82+$E$93*Z$76+$E$94*Z$82</f>
        <v>0</v>
      </c>
      <c r="AA117" s="752" t="n">
        <f aca="false">$D$93*Z$76+$D$94*Z$82+$E$93*AA$76+$E$94*AA$82</f>
        <v>0</v>
      </c>
      <c r="AB117" s="752" t="n">
        <f aca="false">$D$93*AA$76+$D$94*AA$82+$E$93*AB$76+$E$94*AB$82</f>
        <v>0</v>
      </c>
      <c r="AC117" s="752" t="n">
        <f aca="false">$D$93*AB$76+$D$94*AB$82+$E$93*AC$76+$E$94*AC$82</f>
        <v>0</v>
      </c>
      <c r="AD117" s="752" t="n">
        <f aca="false">$D$93*AC$76+$D$94*AC$82+$E$93*AD$76+$E$94*AD$82</f>
        <v>0</v>
      </c>
      <c r="AE117" s="752" t="n">
        <f aca="false">$D$93*AD$76+$D$94*AD$82+$E$93*AE$76+$E$94*AE$82</f>
        <v>0</v>
      </c>
      <c r="AF117" s="752" t="n">
        <f aca="false">$D$93*AE$76+$D$94*AE$82+$E$93*AF$76+$E$94*AF$82</f>
        <v>0</v>
      </c>
      <c r="AG117" s="752" t="n">
        <f aca="false">$D$93*AF$76+$D$94*AF$82+$E$93*AG$76+$E$94*AG$82</f>
        <v>0</v>
      </c>
      <c r="AH117" s="752" t="n">
        <f aca="false">$D$93*AG$76+$D$94*AG$82+$E$93*AH$76+$E$94*AH$82</f>
        <v>0</v>
      </c>
      <c r="AI117" s="752" t="n">
        <f aca="false">$D$93*AH$76+$D$94*AH$82+$E$93*AI$76+$E$94*AI$82</f>
        <v>0</v>
      </c>
      <c r="AJ117" s="752" t="n">
        <f aca="false">$D$93*AI$76+$D$94*AI$82+$E$93*AJ$76+$E$94*AJ$82</f>
        <v>0</v>
      </c>
      <c r="AK117" s="752"/>
      <c r="AL117" s="373"/>
      <c r="AM117" s="753"/>
      <c r="AN117" s="753"/>
      <c r="AO117" s="753"/>
      <c r="AP117" s="753"/>
    </row>
    <row r="118" customFormat="false" ht="13.5" hidden="false" customHeight="false" outlineLevel="0" collapsed="false">
      <c r="A118" s="831"/>
      <c r="B118" s="902" t="s">
        <v>561</v>
      </c>
      <c r="C118" s="903"/>
      <c r="D118" s="825" t="n">
        <f aca="false">D44</f>
        <v>0</v>
      </c>
      <c r="E118" s="825" t="n">
        <f aca="false">E115-E117</f>
        <v>0</v>
      </c>
      <c r="F118" s="825" t="n">
        <f aca="false">F115-F117</f>
        <v>0</v>
      </c>
      <c r="G118" s="825" t="n">
        <f aca="false">G115-G117</f>
        <v>0</v>
      </c>
      <c r="H118" s="825" t="n">
        <f aca="false">H115-H117</f>
        <v>0</v>
      </c>
      <c r="I118" s="825" t="n">
        <f aca="false">I115-I117</f>
        <v>0</v>
      </c>
      <c r="J118" s="825" t="n">
        <f aca="false">J115-J117</f>
        <v>0</v>
      </c>
      <c r="K118" s="825" t="n">
        <f aca="false">K115-K117</f>
        <v>0</v>
      </c>
      <c r="L118" s="825" t="n">
        <f aca="false">L115-L117</f>
        <v>0</v>
      </c>
      <c r="M118" s="825" t="n">
        <f aca="false">M115-M117</f>
        <v>0</v>
      </c>
      <c r="N118" s="825" t="n">
        <f aca="false">N115-N117</f>
        <v>0</v>
      </c>
      <c r="O118" s="825" t="n">
        <f aca="false">O115-O117</f>
        <v>0</v>
      </c>
      <c r="P118" s="825" t="n">
        <f aca="false">P115-P117</f>
        <v>0</v>
      </c>
      <c r="Q118" s="825" t="n">
        <f aca="false">Q115-Q117</f>
        <v>0</v>
      </c>
      <c r="R118" s="825" t="n">
        <f aca="false">R115-R117</f>
        <v>0</v>
      </c>
      <c r="S118" s="825" t="n">
        <f aca="false">S115-S117</f>
        <v>0</v>
      </c>
      <c r="T118" s="825" t="n">
        <f aca="false">T115-T117</f>
        <v>0</v>
      </c>
      <c r="U118" s="825" t="n">
        <f aca="false">U115-U117</f>
        <v>0</v>
      </c>
      <c r="V118" s="825" t="n">
        <f aca="false">V115-V117</f>
        <v>0</v>
      </c>
      <c r="W118" s="825" t="n">
        <f aca="false">W115-W117</f>
        <v>0</v>
      </c>
      <c r="X118" s="825" t="n">
        <f aca="false">X115-X117</f>
        <v>0</v>
      </c>
      <c r="Y118" s="825" t="n">
        <f aca="false">Y115-Y117</f>
        <v>0</v>
      </c>
      <c r="Z118" s="825" t="n">
        <f aca="false">Z115-Z117</f>
        <v>0</v>
      </c>
      <c r="AA118" s="825" t="n">
        <f aca="false">AA115-AA117</f>
        <v>0</v>
      </c>
      <c r="AB118" s="825" t="n">
        <f aca="false">AB115-AB117</f>
        <v>0</v>
      </c>
      <c r="AC118" s="825" t="n">
        <f aca="false">AC115-AC117</f>
        <v>0</v>
      </c>
      <c r="AD118" s="825" t="n">
        <f aca="false">AD115-AD117</f>
        <v>0</v>
      </c>
      <c r="AE118" s="825" t="n">
        <f aca="false">AE115-AE117</f>
        <v>0</v>
      </c>
      <c r="AF118" s="825" t="n">
        <f aca="false">AF115-AF117</f>
        <v>0</v>
      </c>
      <c r="AG118" s="825" t="n">
        <f aca="false">AG115-AG117</f>
        <v>0</v>
      </c>
      <c r="AH118" s="825" t="n">
        <f aca="false">AH115-AH117</f>
        <v>0</v>
      </c>
      <c r="AI118" s="825" t="n">
        <f aca="false">AI115-AI117</f>
        <v>0</v>
      </c>
      <c r="AJ118" s="827" t="n">
        <f aca="false">AJ115-AJ117</f>
        <v>0</v>
      </c>
      <c r="AK118" s="752"/>
      <c r="AL118" s="373"/>
      <c r="AM118" s="753"/>
      <c r="AN118" s="753"/>
      <c r="AO118" s="753"/>
      <c r="AP118" s="753"/>
    </row>
    <row r="119" customFormat="false" ht="13.5" hidden="false" customHeight="false" outlineLevel="0" collapsed="false">
      <c r="A119" s="911"/>
      <c r="B119" s="912"/>
      <c r="C119" s="912"/>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3"/>
      <c r="AA119" s="913"/>
      <c r="AB119" s="913"/>
      <c r="AC119" s="913"/>
      <c r="AD119" s="913"/>
      <c r="AE119" s="913"/>
      <c r="AF119" s="913"/>
      <c r="AG119" s="913"/>
      <c r="AH119" s="913"/>
      <c r="AI119" s="913"/>
      <c r="AJ119" s="913"/>
      <c r="AK119" s="914"/>
      <c r="AL119" s="913"/>
      <c r="AM119" s="913"/>
      <c r="AN119" s="913"/>
      <c r="AO119" s="913"/>
      <c r="AP119" s="913"/>
    </row>
    <row r="120" customFormat="false" ht="13.5" hidden="false" customHeight="false" outlineLevel="0" collapsed="false">
      <c r="B120" s="915" t="s">
        <v>604</v>
      </c>
      <c r="C120" s="916"/>
      <c r="D120" s="917"/>
      <c r="E120" s="918" t="n">
        <f aca="false">Assum!$F$25</f>
        <v>36159</v>
      </c>
      <c r="F120" s="918" t="n">
        <f aca="false">F114</f>
        <v>36524</v>
      </c>
      <c r="G120" s="918" t="n">
        <f aca="false">G114</f>
        <v>36890</v>
      </c>
      <c r="H120" s="918" t="n">
        <f aca="false">H114</f>
        <v>37255</v>
      </c>
      <c r="I120" s="918" t="n">
        <f aca="false">I114</f>
        <v>37620</v>
      </c>
      <c r="J120" s="918" t="n">
        <f aca="false">J114</f>
        <v>37985</v>
      </c>
      <c r="K120" s="918" t="n">
        <f aca="false">K114</f>
        <v>38351</v>
      </c>
      <c r="L120" s="918" t="n">
        <f aca="false">L114</f>
        <v>38716</v>
      </c>
      <c r="M120" s="918" t="n">
        <f aca="false">M114</f>
        <v>39081</v>
      </c>
      <c r="N120" s="918" t="n">
        <f aca="false">N114</f>
        <v>39446</v>
      </c>
      <c r="O120" s="918" t="n">
        <f aca="false">O114</f>
        <v>39812</v>
      </c>
      <c r="P120" s="918" t="n">
        <f aca="false">P114</f>
        <v>40177</v>
      </c>
      <c r="Q120" s="918" t="n">
        <f aca="false">Q114</f>
        <v>40542</v>
      </c>
      <c r="R120" s="918" t="n">
        <f aca="false">R114</f>
        <v>40907</v>
      </c>
      <c r="S120" s="918" t="n">
        <f aca="false">S114</f>
        <v>41273</v>
      </c>
      <c r="T120" s="918" t="n">
        <f aca="false">T114</f>
        <v>41638</v>
      </c>
      <c r="U120" s="918" t="n">
        <f aca="false">U114</f>
        <v>42003</v>
      </c>
      <c r="V120" s="918" t="n">
        <f aca="false">V114</f>
        <v>42368</v>
      </c>
      <c r="W120" s="918" t="n">
        <f aca="false">W114</f>
        <v>42734</v>
      </c>
      <c r="X120" s="918" t="n">
        <f aca="false">X114</f>
        <v>43099</v>
      </c>
      <c r="Y120" s="918" t="n">
        <f aca="false">Y114</f>
        <v>43464</v>
      </c>
      <c r="Z120" s="918" t="n">
        <f aca="false">Z114</f>
        <v>43829</v>
      </c>
      <c r="AA120" s="918" t="n">
        <f aca="false">AA114</f>
        <v>44195</v>
      </c>
      <c r="AB120" s="918" t="n">
        <f aca="false">AB114</f>
        <v>44560</v>
      </c>
      <c r="AC120" s="918" t="n">
        <f aca="false">AC114</f>
        <v>44925</v>
      </c>
      <c r="AD120" s="918" t="n">
        <f aca="false">AD114</f>
        <v>45290</v>
      </c>
      <c r="AE120" s="918" t="n">
        <f aca="false">AE114</f>
        <v>45656</v>
      </c>
      <c r="AF120" s="918" t="n">
        <f aca="false">AF114</f>
        <v>46021</v>
      </c>
      <c r="AG120" s="918" t="n">
        <f aca="false">AG114</f>
        <v>46386</v>
      </c>
      <c r="AH120" s="918" t="n">
        <f aca="false">AH114</f>
        <v>46751</v>
      </c>
      <c r="AI120" s="918" t="n">
        <f aca="false">AI114</f>
        <v>47117</v>
      </c>
      <c r="AJ120" s="918" t="n">
        <f aca="false">AJ114</f>
        <v>47482</v>
      </c>
      <c r="AK120" s="0"/>
    </row>
    <row r="121" customFormat="false" ht="12.75" hidden="false" customHeight="false" outlineLevel="0" collapsed="false">
      <c r="B121" s="865" t="s">
        <v>557</v>
      </c>
      <c r="C121" s="776"/>
      <c r="D121" s="776"/>
      <c r="E121" s="776" t="n">
        <f aca="false">E109+E115</f>
        <v>12580.9312927461</v>
      </c>
      <c r="F121" s="757" t="n">
        <f aca="false">F109+F115</f>
        <v>12250.3807334591</v>
      </c>
      <c r="G121" s="757" t="n">
        <f aca="false">G109+G115</f>
        <v>11893.121668321</v>
      </c>
      <c r="H121" s="757" t="n">
        <f aca="false">H109+H115</f>
        <v>11502.968526409</v>
      </c>
      <c r="I121" s="757" t="n">
        <f aca="false">I109+I115</f>
        <v>11070.1229115449</v>
      </c>
      <c r="J121" s="757" t="n">
        <f aca="false">J109+J115</f>
        <v>10594.1100077067</v>
      </c>
      <c r="K121" s="757" t="n">
        <f aca="false">K109+K115</f>
        <v>10070.8628412085</v>
      </c>
      <c r="L121" s="757" t="n">
        <f aca="false">L109+L115</f>
        <v>9505.51781242627</v>
      </c>
      <c r="M121" s="757" t="n">
        <f aca="false">M109+M115</f>
        <v>8888.35202394655</v>
      </c>
      <c r="N121" s="757" t="n">
        <f aca="false">N109+N115</f>
        <v>8217.47035977989</v>
      </c>
      <c r="O121" s="757" t="n">
        <f aca="false">O109+O115</f>
        <v>7487.90880521003</v>
      </c>
      <c r="P121" s="757" t="n">
        <f aca="false">P109+P115</f>
        <v>6663.4651178596</v>
      </c>
      <c r="Q121" s="757" t="n">
        <f aca="false">Q109+Q115</f>
        <v>5763.77081928301</v>
      </c>
      <c r="R121" s="757" t="n">
        <f aca="false">R109+R115</f>
        <v>4784.35445277219</v>
      </c>
      <c r="S121" s="757" t="n">
        <f aca="false">S109+S115</f>
        <v>3718.14887778442</v>
      </c>
      <c r="T121" s="757" t="n">
        <f aca="false">T109+T115</f>
        <v>2558.5817779884</v>
      </c>
      <c r="U121" s="757" t="n">
        <f aca="false">U109+U115</f>
        <v>1295.13273763894</v>
      </c>
      <c r="V121" s="757" t="n">
        <f aca="false">V109+V115</f>
        <v>0</v>
      </c>
      <c r="W121" s="757" t="n">
        <f aca="false">W109+W115</f>
        <v>0</v>
      </c>
      <c r="X121" s="757" t="n">
        <f aca="false">X109+X115</f>
        <v>0</v>
      </c>
      <c r="Y121" s="757" t="n">
        <f aca="false">Y109+Y115</f>
        <v>0</v>
      </c>
      <c r="Z121" s="757" t="n">
        <f aca="false">Z109+Z115</f>
        <v>0</v>
      </c>
      <c r="AA121" s="757" t="n">
        <f aca="false">AA109+AA115</f>
        <v>0</v>
      </c>
      <c r="AB121" s="757" t="n">
        <f aca="false">AB109+AB115</f>
        <v>0</v>
      </c>
      <c r="AC121" s="757" t="n">
        <f aca="false">AC109+AC115</f>
        <v>0</v>
      </c>
      <c r="AD121" s="757" t="n">
        <f aca="false">AD109+AD115</f>
        <v>0</v>
      </c>
      <c r="AE121" s="757" t="n">
        <f aca="false">AE109+AE115</f>
        <v>0</v>
      </c>
      <c r="AF121" s="757" t="n">
        <f aca="false">AF109+AF115</f>
        <v>0</v>
      </c>
      <c r="AG121" s="757" t="n">
        <f aca="false">AG109+AG115</f>
        <v>0</v>
      </c>
      <c r="AH121" s="757" t="n">
        <f aca="false">AH109+AH115</f>
        <v>0</v>
      </c>
      <c r="AI121" s="757" t="n">
        <f aca="false">AI109+AI115</f>
        <v>0</v>
      </c>
      <c r="AJ121" s="804" t="n">
        <f aca="false">AJ109+AJ115</f>
        <v>0</v>
      </c>
      <c r="AK121" s="0"/>
    </row>
    <row r="122" customFormat="false" ht="12.75" hidden="false" customHeight="false" outlineLevel="0" collapsed="false">
      <c r="B122" s="890" t="s">
        <v>601</v>
      </c>
      <c r="C122" s="752" t="n">
        <f aca="false">SUM(E122:AI122)</f>
        <v>13791.8979470583</v>
      </c>
      <c r="D122" s="752"/>
      <c r="E122" s="752" t="n">
        <f aca="false">E110+E116</f>
        <v>1262.59931772513</v>
      </c>
      <c r="F122" s="752" t="n">
        <f aca="false">F110+F116</f>
        <v>1235.53538544543</v>
      </c>
      <c r="G122" s="752" t="n">
        <f aca="false">G110+G116</f>
        <v>1201.82004539327</v>
      </c>
      <c r="H122" s="752" t="n">
        <f aca="false">H110+H116</f>
        <v>1157.73527530571</v>
      </c>
      <c r="I122" s="752" t="n">
        <f aca="false">I110+I116</f>
        <v>1112.69430231155</v>
      </c>
      <c r="J122" s="752" t="n">
        <f aca="false">J110+J116</f>
        <v>1063.16734715207</v>
      </c>
      <c r="K122" s="752" t="n">
        <f aca="false">K110+K116</f>
        <v>1011.84240608777</v>
      </c>
      <c r="L122" s="752" t="n">
        <f aca="false">L110+L116</f>
        <v>950.254524200638</v>
      </c>
      <c r="M122" s="752" t="n">
        <f aca="false">M110+M116</f>
        <v>886.228133075645</v>
      </c>
      <c r="N122" s="752" t="n">
        <f aca="false">N110+N116</f>
        <v>816.621945093302</v>
      </c>
      <c r="O122" s="752" t="n">
        <f aca="false">O110+O116</f>
        <v>742.291751383858</v>
      </c>
      <c r="P122" s="752" t="n">
        <f aca="false">P110+P116</f>
        <v>654.53922230299</v>
      </c>
      <c r="Q122" s="752" t="n">
        <f aca="false">Q110+Q116</f>
        <v>561.167421976736</v>
      </c>
      <c r="R122" s="752" t="n">
        <f aca="false">R110+R116</f>
        <v>459.52185685264</v>
      </c>
      <c r="S122" s="752" t="n">
        <f aca="false">S110+S116</f>
        <v>349.957474789461</v>
      </c>
      <c r="T122" s="752" t="n">
        <f aca="false">T110+T116</f>
        <v>228.526962230695</v>
      </c>
      <c r="U122" s="752" t="n">
        <f aca="false">U110+U116</f>
        <v>97.394575731349</v>
      </c>
      <c r="V122" s="752" t="n">
        <f aca="false">V110+V116</f>
        <v>0</v>
      </c>
      <c r="W122" s="752" t="n">
        <f aca="false">W110+W116</f>
        <v>0</v>
      </c>
      <c r="X122" s="752" t="n">
        <f aca="false">X110+X116</f>
        <v>0</v>
      </c>
      <c r="Y122" s="752" t="n">
        <f aca="false">Y110+Y116</f>
        <v>0</v>
      </c>
      <c r="Z122" s="752" t="n">
        <f aca="false">Z110+Z116</f>
        <v>0</v>
      </c>
      <c r="AA122" s="752" t="n">
        <f aca="false">AA110+AA116</f>
        <v>0</v>
      </c>
      <c r="AB122" s="752" t="n">
        <f aca="false">AB110+AB116</f>
        <v>0</v>
      </c>
      <c r="AC122" s="752" t="n">
        <f aca="false">AC110+AC116</f>
        <v>0</v>
      </c>
      <c r="AD122" s="752" t="n">
        <f aca="false">AD110+AD116</f>
        <v>0</v>
      </c>
      <c r="AE122" s="752" t="n">
        <f aca="false">AE110+AE116</f>
        <v>0</v>
      </c>
      <c r="AF122" s="752" t="n">
        <f aca="false">AF110+AF116</f>
        <v>0</v>
      </c>
      <c r="AG122" s="752" t="n">
        <f aca="false">AG110+AG116</f>
        <v>0</v>
      </c>
      <c r="AH122" s="752" t="n">
        <f aca="false">AH110+AH116</f>
        <v>0</v>
      </c>
      <c r="AI122" s="752" t="n">
        <f aca="false">AI110+AI116</f>
        <v>0</v>
      </c>
      <c r="AJ122" s="901" t="n">
        <f aca="false">AJ110+AJ116</f>
        <v>0</v>
      </c>
      <c r="AK122" s="0"/>
    </row>
    <row r="123" customFormat="false" ht="12.75" hidden="false" customHeight="false" outlineLevel="0" collapsed="false">
      <c r="B123" s="805" t="s">
        <v>602</v>
      </c>
      <c r="C123" s="752" t="n">
        <f aca="false">SUM(E123:AI123)</f>
        <v>12580.9312927461</v>
      </c>
      <c r="D123" s="752"/>
      <c r="E123" s="752" t="n">
        <f aca="false">E111+E117</f>
        <v>330.550559286958</v>
      </c>
      <c r="F123" s="752" t="n">
        <f aca="false">F111+F117</f>
        <v>357.259065138095</v>
      </c>
      <c r="G123" s="752" t="n">
        <f aca="false">G111+G117</f>
        <v>390.153141912035</v>
      </c>
      <c r="H123" s="752" t="n">
        <f aca="false">H111+H117</f>
        <v>432.845614864111</v>
      </c>
      <c r="I123" s="752" t="n">
        <f aca="false">I111+I117</f>
        <v>476.0129038382</v>
      </c>
      <c r="J123" s="752" t="n">
        <f aca="false">J111+J117</f>
        <v>523.247166498167</v>
      </c>
      <c r="K123" s="752" t="n">
        <f aca="false">K111+K117</f>
        <v>565.34502878223</v>
      </c>
      <c r="L123" s="752" t="n">
        <f aca="false">L111+L117</f>
        <v>617.165788479718</v>
      </c>
      <c r="M123" s="752" t="n">
        <f aca="false">M111+M117</f>
        <v>670.881664166665</v>
      </c>
      <c r="N123" s="752" t="n">
        <f aca="false">N111+N117</f>
        <v>729.56155456986</v>
      </c>
      <c r="O123" s="752" t="n">
        <f aca="false">O111+O117</f>
        <v>824.443687350428</v>
      </c>
      <c r="P123" s="752" t="n">
        <f aca="false">P111+P117</f>
        <v>899.694298576593</v>
      </c>
      <c r="Q123" s="752" t="n">
        <f aca="false">Q111+Q117</f>
        <v>979.416366510816</v>
      </c>
      <c r="R123" s="752" t="n">
        <f aca="false">R111+R117</f>
        <v>1066.20557498777</v>
      </c>
      <c r="S123" s="752" t="n">
        <f aca="false">S111+S117</f>
        <v>1159.56709979602</v>
      </c>
      <c r="T123" s="752" t="n">
        <f aca="false">T111+T117</f>
        <v>1263.44904034946</v>
      </c>
      <c r="U123" s="752" t="n">
        <f aca="false">U111+U117</f>
        <v>1295.13273763893</v>
      </c>
      <c r="V123" s="752" t="n">
        <f aca="false">V111+V117</f>
        <v>0</v>
      </c>
      <c r="W123" s="752" t="n">
        <f aca="false">W111+W117</f>
        <v>0</v>
      </c>
      <c r="X123" s="752" t="n">
        <f aca="false">X111+X117</f>
        <v>0</v>
      </c>
      <c r="Y123" s="752" t="n">
        <f aca="false">Y111+Y117</f>
        <v>0</v>
      </c>
      <c r="Z123" s="752" t="n">
        <f aca="false">Z111+Z117</f>
        <v>0</v>
      </c>
      <c r="AA123" s="752" t="n">
        <f aca="false">AA111+AA117</f>
        <v>0</v>
      </c>
      <c r="AB123" s="752" t="n">
        <f aca="false">AB111+AB117</f>
        <v>0</v>
      </c>
      <c r="AC123" s="752" t="n">
        <f aca="false">AC111+AC117</f>
        <v>0</v>
      </c>
      <c r="AD123" s="752" t="n">
        <f aca="false">AD111+AD117</f>
        <v>0</v>
      </c>
      <c r="AE123" s="752" t="n">
        <f aca="false">AE111+AE117</f>
        <v>0</v>
      </c>
      <c r="AF123" s="752" t="n">
        <f aca="false">AF111+AF117</f>
        <v>0</v>
      </c>
      <c r="AG123" s="752" t="n">
        <f aca="false">AG111+AG117</f>
        <v>0</v>
      </c>
      <c r="AH123" s="752" t="n">
        <f aca="false">AH111+AH117</f>
        <v>0</v>
      </c>
      <c r="AI123" s="752" t="n">
        <f aca="false">AI111+AI117</f>
        <v>0</v>
      </c>
      <c r="AJ123" s="901" t="n">
        <f aca="false">AJ111+AJ117</f>
        <v>0</v>
      </c>
      <c r="AK123" s="0"/>
    </row>
    <row r="124" customFormat="false" ht="13.5" hidden="false" customHeight="false" outlineLevel="0" collapsed="false">
      <c r="B124" s="902" t="s">
        <v>561</v>
      </c>
      <c r="C124" s="903"/>
      <c r="D124" s="825"/>
      <c r="E124" s="825" t="n">
        <f aca="false">E112+E118</f>
        <v>12250.3807334591</v>
      </c>
      <c r="F124" s="825" t="n">
        <f aca="false">F112+F118</f>
        <v>11893.121668321</v>
      </c>
      <c r="G124" s="825" t="n">
        <f aca="false">G112+G118</f>
        <v>11502.968526409</v>
      </c>
      <c r="H124" s="825" t="n">
        <f aca="false">H112+H118</f>
        <v>11070.1229115449</v>
      </c>
      <c r="I124" s="825" t="n">
        <f aca="false">I112+I118</f>
        <v>10594.1100077067</v>
      </c>
      <c r="J124" s="825" t="n">
        <f aca="false">J112+J118</f>
        <v>10070.8628412085</v>
      </c>
      <c r="K124" s="825" t="n">
        <f aca="false">K112+K118</f>
        <v>9505.51781242627</v>
      </c>
      <c r="L124" s="825" t="n">
        <f aca="false">L112+L118</f>
        <v>8888.35202394655</v>
      </c>
      <c r="M124" s="825" t="n">
        <f aca="false">M112+M118</f>
        <v>8217.47035977989</v>
      </c>
      <c r="N124" s="825" t="n">
        <f aca="false">N112+N118</f>
        <v>7487.90880521003</v>
      </c>
      <c r="O124" s="825" t="n">
        <f aca="false">O112+O118</f>
        <v>6663.4651178596</v>
      </c>
      <c r="P124" s="825" t="n">
        <f aca="false">P112+P118</f>
        <v>5763.77081928301</v>
      </c>
      <c r="Q124" s="825" t="n">
        <f aca="false">Q112+Q118</f>
        <v>4784.35445277219</v>
      </c>
      <c r="R124" s="825" t="n">
        <f aca="false">R112+R118</f>
        <v>3718.14887778442</v>
      </c>
      <c r="S124" s="825" t="n">
        <f aca="false">S112+S118</f>
        <v>2558.5817779884</v>
      </c>
      <c r="T124" s="825" t="n">
        <f aca="false">T112+T118</f>
        <v>1295.13273763894</v>
      </c>
      <c r="U124" s="825" t="n">
        <f aca="false">U112+U118</f>
        <v>0</v>
      </c>
      <c r="V124" s="825" t="n">
        <f aca="false">V112+V118</f>
        <v>0</v>
      </c>
      <c r="W124" s="825" t="n">
        <f aca="false">W112+W118</f>
        <v>0</v>
      </c>
      <c r="X124" s="825" t="n">
        <f aca="false">X112+X118</f>
        <v>0</v>
      </c>
      <c r="Y124" s="825" t="n">
        <f aca="false">Y112+Y118</f>
        <v>0</v>
      </c>
      <c r="Z124" s="825" t="n">
        <f aca="false">Z112+Z118</f>
        <v>0</v>
      </c>
      <c r="AA124" s="825" t="n">
        <f aca="false">AA112+AA118</f>
        <v>0</v>
      </c>
      <c r="AB124" s="825" t="n">
        <f aca="false">AB112+AB118</f>
        <v>0</v>
      </c>
      <c r="AC124" s="825" t="n">
        <f aca="false">AC112+AC118</f>
        <v>0</v>
      </c>
      <c r="AD124" s="825" t="n">
        <f aca="false">AD112+AD118</f>
        <v>0</v>
      </c>
      <c r="AE124" s="825" t="n">
        <f aca="false">AE112+AE118</f>
        <v>0</v>
      </c>
      <c r="AF124" s="825" t="n">
        <f aca="false">AF112+AF118</f>
        <v>0</v>
      </c>
      <c r="AG124" s="825" t="n">
        <f aca="false">AG112+AG118</f>
        <v>0</v>
      </c>
      <c r="AH124" s="825" t="n">
        <f aca="false">AH112+AH118</f>
        <v>0</v>
      </c>
      <c r="AI124" s="825" t="n">
        <f aca="false">AI112+AI118</f>
        <v>0</v>
      </c>
      <c r="AJ124" s="827" t="n">
        <f aca="false">AJ112+AJ118</f>
        <v>0</v>
      </c>
      <c r="AK124" s="0"/>
    </row>
    <row r="125" customFormat="false" ht="12.75" hidden="false" customHeight="false" outlineLevel="0" collapsed="false">
      <c r="AK125" s="0"/>
    </row>
    <row r="126" customFormat="false" ht="12.75" hidden="false" customHeight="false" outlineLevel="0" collapsed="false">
      <c r="A126" s="911"/>
      <c r="B126" s="919" t="s">
        <v>605</v>
      </c>
      <c r="C126" s="912"/>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3"/>
      <c r="AA126" s="913"/>
      <c r="AB126" s="913"/>
      <c r="AC126" s="913"/>
      <c r="AD126" s="913"/>
      <c r="AE126" s="913"/>
      <c r="AF126" s="913"/>
      <c r="AG126" s="913"/>
      <c r="AH126" s="913"/>
      <c r="AI126" s="913"/>
      <c r="AJ126" s="913"/>
      <c r="AK126" s="914"/>
      <c r="AL126" s="913"/>
      <c r="AM126" s="913"/>
      <c r="AN126" s="913"/>
      <c r="AO126" s="913"/>
      <c r="AP126" s="913"/>
    </row>
    <row r="127" customFormat="false" ht="12.75" hidden="false" customHeight="false" outlineLevel="0" collapsed="false">
      <c r="A127" s="920"/>
      <c r="B127" s="920"/>
      <c r="C127" s="920"/>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0"/>
      <c r="AA127" s="920"/>
      <c r="AB127" s="920"/>
      <c r="AC127" s="920"/>
      <c r="AD127" s="920"/>
      <c r="AE127" s="920"/>
      <c r="AF127" s="920"/>
      <c r="AG127" s="920"/>
      <c r="AH127" s="920"/>
      <c r="AI127" s="920"/>
      <c r="AJ127" s="920"/>
      <c r="AK127" s="921"/>
      <c r="AL127" s="920"/>
      <c r="AM127" s="920"/>
      <c r="AN127" s="920"/>
      <c r="AO127" s="920"/>
      <c r="AP127" s="920"/>
    </row>
    <row r="128" customFormat="false" ht="12.75" hidden="false" customHeight="false" outlineLevel="0" collapsed="false">
      <c r="A128" s="373"/>
      <c r="B128" s="373"/>
      <c r="C128" s="373"/>
      <c r="D128" s="373"/>
      <c r="E128" s="373"/>
      <c r="F128" s="373"/>
      <c r="G128" s="373"/>
      <c r="H128" s="373"/>
      <c r="I128" s="373"/>
      <c r="J128" s="373"/>
      <c r="K128" s="373"/>
      <c r="L128" s="373"/>
      <c r="M128" s="373"/>
      <c r="N128" s="373"/>
      <c r="O128" s="373"/>
      <c r="P128" s="373"/>
      <c r="Q128" s="373"/>
      <c r="R128" s="373"/>
      <c r="S128" s="373"/>
      <c r="T128" s="373"/>
      <c r="U128" s="373"/>
      <c r="V128" s="373"/>
      <c r="W128" s="373"/>
      <c r="X128" s="373"/>
      <c r="Y128" s="373"/>
      <c r="Z128" s="373"/>
      <c r="AA128" s="373"/>
      <c r="AB128" s="373"/>
      <c r="AC128" s="373"/>
      <c r="AD128" s="373"/>
      <c r="AE128" s="373"/>
      <c r="AF128" s="373"/>
      <c r="AG128" s="373"/>
      <c r="AH128" s="373"/>
      <c r="AI128" s="373"/>
      <c r="AJ128" s="373"/>
      <c r="AK128" s="752"/>
      <c r="AL128" s="373"/>
      <c r="AM128" s="753"/>
      <c r="AN128" s="753"/>
      <c r="AO128" s="753"/>
      <c r="AP128" s="753"/>
    </row>
    <row r="129" customFormat="false" ht="12.75" hidden="false" customHeight="false" outlineLevel="0" collapsed="false">
      <c r="A129" s="753"/>
      <c r="B129" s="753"/>
      <c r="C129" s="922"/>
      <c r="D129" s="753"/>
      <c r="E129" s="753"/>
      <c r="F129" s="753"/>
      <c r="G129" s="753"/>
      <c r="H129" s="753"/>
      <c r="I129" s="753"/>
      <c r="J129" s="753"/>
      <c r="K129" s="753"/>
      <c r="L129" s="753"/>
      <c r="M129" s="753"/>
      <c r="N129" s="753"/>
      <c r="O129" s="753"/>
      <c r="P129" s="753"/>
      <c r="Q129" s="753"/>
      <c r="R129" s="753"/>
      <c r="S129" s="753"/>
      <c r="T129" s="753"/>
      <c r="U129" s="753"/>
      <c r="V129" s="753"/>
      <c r="W129" s="753"/>
      <c r="X129" s="753"/>
      <c r="Y129" s="753"/>
      <c r="Z129" s="753"/>
      <c r="AA129" s="753"/>
      <c r="AB129" s="753"/>
      <c r="AC129" s="753"/>
      <c r="AD129" s="753"/>
      <c r="AE129" s="753"/>
      <c r="AF129" s="753"/>
      <c r="AG129" s="753"/>
      <c r="AH129" s="753"/>
      <c r="AI129" s="753"/>
      <c r="AJ129" s="753"/>
      <c r="AK129" s="923"/>
      <c r="AL129" s="753"/>
      <c r="AM129" s="753"/>
      <c r="AN129" s="753"/>
      <c r="AO129" s="753"/>
      <c r="AP129" s="753"/>
    </row>
    <row r="130" customFormat="false" ht="12.75" hidden="false" customHeight="false" outlineLevel="0" collapsed="false">
      <c r="A130" s="753"/>
      <c r="B130" s="753"/>
      <c r="C130" s="752"/>
      <c r="D130" s="753"/>
      <c r="E130" s="753"/>
      <c r="F130" s="753"/>
      <c r="G130" s="753"/>
      <c r="H130" s="753"/>
      <c r="I130" s="753"/>
      <c r="J130" s="753"/>
      <c r="K130" s="753"/>
      <c r="L130" s="753"/>
      <c r="M130" s="753"/>
      <c r="N130" s="753"/>
      <c r="O130" s="753"/>
      <c r="P130" s="753"/>
      <c r="Q130" s="753"/>
      <c r="R130" s="753"/>
      <c r="S130" s="753"/>
      <c r="T130" s="753"/>
      <c r="U130" s="753"/>
      <c r="V130" s="753"/>
      <c r="W130" s="753"/>
      <c r="X130" s="753"/>
      <c r="Y130" s="753"/>
      <c r="Z130" s="753"/>
      <c r="AA130" s="753"/>
      <c r="AB130" s="753"/>
      <c r="AC130" s="753"/>
      <c r="AD130" s="753"/>
      <c r="AE130" s="753"/>
      <c r="AF130" s="753"/>
      <c r="AG130" s="753"/>
      <c r="AH130" s="753"/>
      <c r="AI130" s="753"/>
      <c r="AJ130" s="753"/>
      <c r="AK130" s="923"/>
      <c r="AL130" s="753"/>
      <c r="AM130" s="753"/>
      <c r="AN130" s="753"/>
      <c r="AO130" s="753"/>
      <c r="AP130" s="753"/>
    </row>
    <row r="131" customFormat="false" ht="12.75" hidden="false" customHeight="false" outlineLevel="0" collapsed="false">
      <c r="C131" s="752"/>
      <c r="E131" s="753"/>
      <c r="F131" s="753"/>
      <c r="G131" s="753"/>
      <c r="H131" s="753"/>
      <c r="I131" s="753"/>
      <c r="J131" s="753"/>
      <c r="K131" s="753"/>
      <c r="L131" s="753"/>
      <c r="M131" s="753"/>
      <c r="N131" s="753"/>
      <c r="O131" s="753"/>
      <c r="P131" s="753"/>
      <c r="Q131" s="753"/>
      <c r="R131" s="753"/>
      <c r="S131" s="753"/>
      <c r="T131" s="753"/>
      <c r="U131" s="753"/>
      <c r="V131" s="753"/>
      <c r="W131" s="753"/>
      <c r="X131" s="753"/>
      <c r="Y131" s="753"/>
      <c r="Z131" s="753"/>
      <c r="AA131" s="753"/>
      <c r="AB131" s="753"/>
      <c r="AC131" s="753"/>
      <c r="AD131" s="753"/>
      <c r="AE131" s="753"/>
      <c r="AF131" s="753"/>
      <c r="AG131" s="753"/>
      <c r="AH131" s="753"/>
      <c r="AI131" s="753"/>
    </row>
    <row r="378" customFormat="false" ht="12.75" hidden="false" customHeight="false" outlineLevel="0" collapsed="false">
      <c r="A378" s="111"/>
      <c r="B378" s="111"/>
      <c r="C378" s="111"/>
      <c r="D378" s="924"/>
      <c r="E378" s="111"/>
      <c r="F378" s="111"/>
      <c r="G378" s="111"/>
      <c r="H378" s="111"/>
      <c r="I378" s="111"/>
      <c r="J378" s="111"/>
      <c r="K378" s="111"/>
      <c r="L378" s="111"/>
      <c r="M378" s="111"/>
      <c r="N378" s="111"/>
      <c r="O378" s="111"/>
      <c r="P378" s="111"/>
      <c r="Q378" s="111"/>
      <c r="R378" s="111"/>
      <c r="S378" s="111"/>
      <c r="T378" s="111"/>
      <c r="U378" s="111"/>
      <c r="V378" s="111"/>
      <c r="W378" s="111"/>
      <c r="X378" s="111"/>
      <c r="Y378" s="111"/>
      <c r="Z378" s="111"/>
      <c r="AA378" s="111"/>
      <c r="AB378" s="925"/>
      <c r="AC378" s="925"/>
      <c r="AD378" s="925"/>
      <c r="AE378" s="925"/>
      <c r="AF378" s="925"/>
      <c r="AG378" s="925"/>
      <c r="AH378" s="925"/>
      <c r="AI378" s="925"/>
      <c r="AJ378" s="925"/>
      <c r="AK378" s="926"/>
      <c r="AL378" s="925"/>
      <c r="AM378" s="925"/>
      <c r="AN378" s="925"/>
      <c r="AO378" s="925"/>
    </row>
    <row r="379" customFormat="false" ht="12.75" hidden="false" customHeight="false" outlineLevel="0" collapsed="false">
      <c r="A379" s="111"/>
      <c r="B379" s="111"/>
      <c r="C379" s="111"/>
      <c r="D379" s="111"/>
      <c r="E379" s="111"/>
      <c r="F379" s="111"/>
      <c r="G379" s="111"/>
      <c r="H379" s="111"/>
      <c r="I379" s="111"/>
      <c r="J379" s="111"/>
      <c r="K379" s="111"/>
      <c r="L379" s="111"/>
      <c r="M379" s="111"/>
      <c r="N379" s="111"/>
      <c r="O379" s="111"/>
      <c r="P379" s="111"/>
      <c r="Q379" s="111"/>
      <c r="R379" s="111"/>
      <c r="S379" s="111"/>
      <c r="T379" s="111"/>
      <c r="U379" s="111"/>
      <c r="V379" s="111"/>
      <c r="W379" s="111"/>
      <c r="X379" s="111"/>
      <c r="Y379" s="111"/>
      <c r="Z379" s="111"/>
      <c r="AA379" s="111"/>
      <c r="AB379" s="925"/>
      <c r="AC379" s="925"/>
      <c r="AD379" s="925"/>
      <c r="AE379" s="925"/>
      <c r="AF379" s="925"/>
      <c r="AG379" s="925"/>
      <c r="AH379" s="925"/>
      <c r="AI379" s="925"/>
      <c r="AJ379" s="925"/>
      <c r="AK379" s="926"/>
      <c r="AL379" s="925"/>
      <c r="AM379" s="925"/>
      <c r="AN379" s="925"/>
      <c r="AO379" s="925"/>
    </row>
    <row r="380" customFormat="false" ht="12.75" hidden="false" customHeight="false" outlineLevel="0" collapsed="false">
      <c r="A380" s="111"/>
      <c r="B380" s="111"/>
      <c r="C380" s="111"/>
      <c r="D380" s="111"/>
      <c r="E380" s="111"/>
      <c r="F380" s="111"/>
      <c r="G380" s="111"/>
      <c r="H380" s="111"/>
      <c r="I380" s="924"/>
      <c r="J380" s="111"/>
      <c r="K380" s="111"/>
      <c r="L380" s="111"/>
      <c r="M380" s="111"/>
      <c r="N380" s="111"/>
      <c r="O380" s="111"/>
      <c r="P380" s="111"/>
      <c r="Q380" s="111"/>
      <c r="R380" s="111"/>
      <c r="S380" s="111"/>
      <c r="T380" s="111"/>
      <c r="U380" s="111"/>
      <c r="V380" s="111"/>
      <c r="W380" s="111"/>
      <c r="X380" s="111"/>
      <c r="Y380" s="111"/>
      <c r="Z380" s="111"/>
      <c r="AA380" s="111"/>
      <c r="AB380" s="927"/>
      <c r="AC380" s="927"/>
      <c r="AD380" s="927"/>
      <c r="AE380" s="927"/>
      <c r="AF380" s="927"/>
      <c r="AG380" s="927"/>
      <c r="AH380" s="927"/>
      <c r="AI380" s="927"/>
      <c r="AJ380" s="927"/>
      <c r="AK380" s="928"/>
      <c r="AL380" s="927"/>
      <c r="AM380" s="927"/>
      <c r="AN380" s="927"/>
      <c r="AO380" s="927"/>
    </row>
    <row r="381" customFormat="false" ht="12.75" hidden="false" customHeight="false" outlineLevel="0" collapsed="false">
      <c r="A381" s="111"/>
      <c r="B381" s="111"/>
      <c r="C381" s="111"/>
      <c r="D381" s="114"/>
      <c r="E381" s="111"/>
      <c r="F381" s="111"/>
      <c r="G381" s="111"/>
      <c r="H381" s="111"/>
      <c r="I381" s="111"/>
      <c r="J381" s="111"/>
      <c r="K381" s="111"/>
      <c r="L381" s="111"/>
      <c r="M381" s="111"/>
      <c r="N381" s="111"/>
      <c r="O381" s="111"/>
      <c r="P381" s="111"/>
      <c r="Q381" s="111"/>
      <c r="R381" s="111"/>
      <c r="S381" s="111"/>
      <c r="T381" s="111"/>
      <c r="U381" s="111"/>
      <c r="V381" s="111"/>
      <c r="W381" s="111"/>
      <c r="X381" s="111"/>
      <c r="Y381" s="111"/>
      <c r="Z381" s="111"/>
      <c r="AA381" s="111"/>
      <c r="AB381" s="927"/>
      <c r="AC381" s="927"/>
      <c r="AD381" s="927"/>
      <c r="AE381" s="927"/>
      <c r="AF381" s="927"/>
      <c r="AG381" s="927"/>
      <c r="AH381" s="927"/>
      <c r="AI381" s="927"/>
      <c r="AJ381" s="927"/>
      <c r="AK381" s="928"/>
      <c r="AL381" s="927"/>
      <c r="AM381" s="927"/>
      <c r="AN381" s="927"/>
      <c r="AO381" s="927"/>
    </row>
    <row r="382" customFormat="false" ht="12.75" hidden="false" customHeight="false" outlineLevel="0" collapsed="false">
      <c r="A382" s="111"/>
      <c r="B382" s="111"/>
      <c r="C382" s="111"/>
      <c r="D382" s="114"/>
      <c r="E382" s="111"/>
      <c r="F382" s="111"/>
      <c r="G382" s="111"/>
      <c r="H382" s="111"/>
      <c r="I382" s="924"/>
      <c r="J382" s="111"/>
      <c r="K382" s="111"/>
      <c r="L382" s="111"/>
      <c r="M382" s="111"/>
      <c r="N382" s="111"/>
      <c r="O382" s="111"/>
      <c r="P382" s="111"/>
      <c r="Q382" s="111"/>
      <c r="R382" s="111"/>
      <c r="S382" s="111"/>
      <c r="T382" s="111"/>
      <c r="U382" s="111"/>
      <c r="V382" s="111"/>
      <c r="W382" s="111"/>
      <c r="X382" s="111"/>
      <c r="Y382" s="111"/>
      <c r="Z382" s="111"/>
      <c r="AA382" s="111"/>
      <c r="AB382" s="927"/>
      <c r="AC382" s="927"/>
      <c r="AD382" s="927"/>
      <c r="AE382" s="927"/>
      <c r="AF382" s="927"/>
      <c r="AG382" s="927"/>
      <c r="AH382" s="927"/>
      <c r="AI382" s="927"/>
      <c r="AJ382" s="927"/>
      <c r="AK382" s="928"/>
      <c r="AL382" s="927"/>
      <c r="AM382" s="927"/>
      <c r="AN382" s="927"/>
      <c r="AO382" s="927"/>
    </row>
    <row r="383" customFormat="false" ht="12.75" hidden="false" customHeight="false" outlineLevel="0" collapsed="false">
      <c r="A383" s="111"/>
      <c r="B383" s="111"/>
      <c r="C383" s="111"/>
      <c r="D383" s="114"/>
      <c r="E383" s="111"/>
      <c r="F383" s="111"/>
      <c r="G383" s="111"/>
      <c r="H383" s="111"/>
      <c r="I383" s="924"/>
      <c r="J383" s="111"/>
      <c r="K383" s="111"/>
      <c r="L383" s="111"/>
      <c r="M383" s="111"/>
      <c r="N383" s="111"/>
      <c r="O383" s="111"/>
      <c r="P383" s="111"/>
      <c r="Q383" s="111"/>
      <c r="R383" s="111"/>
      <c r="S383" s="111"/>
      <c r="T383" s="111"/>
      <c r="U383" s="111"/>
      <c r="V383" s="111"/>
      <c r="W383" s="111"/>
      <c r="X383" s="111"/>
      <c r="Y383" s="111"/>
      <c r="Z383" s="111"/>
      <c r="AA383" s="111"/>
      <c r="AB383" s="927"/>
      <c r="AC383" s="927"/>
      <c r="AD383" s="927"/>
      <c r="AE383" s="927"/>
      <c r="AF383" s="927"/>
      <c r="AG383" s="927"/>
      <c r="AH383" s="927"/>
      <c r="AI383" s="927"/>
      <c r="AJ383" s="927"/>
      <c r="AK383" s="928"/>
      <c r="AL383" s="927"/>
      <c r="AM383" s="927"/>
      <c r="AN383" s="927"/>
      <c r="AO383" s="927"/>
    </row>
    <row r="384" customFormat="false" ht="12.75" hidden="false" customHeight="false" outlineLevel="0" collapsed="false">
      <c r="A384" s="111"/>
      <c r="B384" s="111"/>
      <c r="C384" s="111"/>
      <c r="D384" s="114"/>
      <c r="E384" s="111"/>
      <c r="F384" s="111"/>
      <c r="G384" s="111"/>
      <c r="H384" s="111"/>
      <c r="I384" s="924"/>
      <c r="J384" s="111"/>
      <c r="K384" s="111"/>
      <c r="L384" s="111"/>
      <c r="M384" s="111"/>
      <c r="N384" s="111"/>
      <c r="O384" s="111"/>
      <c r="P384" s="111"/>
      <c r="Q384" s="111"/>
      <c r="R384" s="111"/>
      <c r="S384" s="111"/>
      <c r="T384" s="111"/>
      <c r="U384" s="111"/>
      <c r="V384" s="111"/>
      <c r="W384" s="111"/>
      <c r="X384" s="111"/>
      <c r="Y384" s="111"/>
      <c r="Z384" s="111"/>
      <c r="AA384" s="111"/>
      <c r="AB384" s="927"/>
      <c r="AC384" s="927"/>
      <c r="AD384" s="927"/>
      <c r="AE384" s="927"/>
      <c r="AF384" s="927"/>
      <c r="AG384" s="927"/>
      <c r="AH384" s="927"/>
      <c r="AI384" s="927"/>
      <c r="AJ384" s="927"/>
      <c r="AK384" s="928"/>
      <c r="AL384" s="927"/>
      <c r="AM384" s="927"/>
      <c r="AN384" s="927"/>
      <c r="AO384" s="927"/>
    </row>
    <row r="385" customFormat="false" ht="12.75" hidden="false" customHeight="false" outlineLevel="0" collapsed="false">
      <c r="A385" s="111"/>
      <c r="B385" s="111"/>
      <c r="C385" s="111"/>
      <c r="D385" s="114"/>
      <c r="E385" s="111"/>
      <c r="F385" s="111"/>
      <c r="G385" s="111"/>
      <c r="H385" s="111"/>
      <c r="I385" s="924"/>
      <c r="J385" s="111"/>
      <c r="K385" s="111"/>
      <c r="L385" s="111"/>
      <c r="M385" s="111"/>
      <c r="N385" s="111"/>
      <c r="O385" s="111"/>
      <c r="P385" s="111"/>
      <c r="Q385" s="111"/>
      <c r="R385" s="111"/>
      <c r="S385" s="111"/>
      <c r="T385" s="111"/>
      <c r="U385" s="111"/>
      <c r="V385" s="111"/>
      <c r="W385" s="111"/>
      <c r="X385" s="111"/>
      <c r="Y385" s="111"/>
      <c r="Z385" s="111"/>
      <c r="AA385" s="111"/>
      <c r="AB385" s="927"/>
      <c r="AC385" s="927"/>
      <c r="AD385" s="927"/>
      <c r="AE385" s="927"/>
      <c r="AF385" s="927"/>
      <c r="AG385" s="927"/>
      <c r="AH385" s="927"/>
      <c r="AI385" s="927"/>
      <c r="AJ385" s="927"/>
      <c r="AK385" s="928"/>
      <c r="AL385" s="927"/>
      <c r="AM385" s="927"/>
      <c r="AN385" s="927"/>
      <c r="AO385" s="927"/>
    </row>
    <row r="386" customFormat="false" ht="12.75" hidden="false" customHeight="false" outlineLevel="0" collapsed="false">
      <c r="A386" s="111"/>
      <c r="B386" s="111"/>
      <c r="C386" s="111"/>
      <c r="D386" s="114"/>
      <c r="E386" s="111"/>
      <c r="F386" s="111"/>
      <c r="G386" s="111"/>
      <c r="H386" s="111"/>
      <c r="I386" s="924"/>
      <c r="J386" s="111"/>
      <c r="K386" s="111"/>
      <c r="L386" s="924"/>
      <c r="M386" s="924"/>
      <c r="N386" s="924"/>
      <c r="O386" s="924"/>
      <c r="P386" s="111"/>
      <c r="Q386" s="111"/>
      <c r="R386" s="111"/>
      <c r="S386" s="111"/>
      <c r="T386" s="111"/>
      <c r="U386" s="111"/>
      <c r="V386" s="111"/>
      <c r="W386" s="111"/>
      <c r="X386" s="111"/>
      <c r="Y386" s="111"/>
      <c r="Z386" s="111"/>
      <c r="AA386" s="111"/>
      <c r="AB386" s="927"/>
      <c r="AC386" s="927"/>
      <c r="AD386" s="927"/>
      <c r="AE386" s="927"/>
      <c r="AF386" s="927"/>
      <c r="AG386" s="927"/>
      <c r="AH386" s="927"/>
      <c r="AI386" s="927"/>
      <c r="AJ386" s="927"/>
      <c r="AK386" s="928"/>
      <c r="AL386" s="927"/>
      <c r="AM386" s="927"/>
      <c r="AN386" s="927"/>
      <c r="AO386" s="927"/>
    </row>
    <row r="387" customFormat="false" ht="12.75" hidden="false" customHeight="false" outlineLevel="0" collapsed="false">
      <c r="A387" s="111"/>
      <c r="B387" s="111"/>
      <c r="C387" s="111"/>
      <c r="D387" s="114"/>
      <c r="E387" s="111"/>
      <c r="F387" s="111"/>
      <c r="G387" s="111"/>
      <c r="H387" s="111"/>
      <c r="I387" s="924"/>
      <c r="J387" s="111"/>
      <c r="K387" s="111"/>
      <c r="L387" s="929"/>
      <c r="M387" s="929"/>
      <c r="N387" s="930"/>
      <c r="O387" s="931"/>
      <c r="P387" s="111"/>
      <c r="Q387" s="111"/>
      <c r="R387" s="111"/>
      <c r="S387" s="111"/>
      <c r="T387" s="111"/>
      <c r="U387" s="111"/>
      <c r="V387" s="111"/>
      <c r="W387" s="111"/>
      <c r="X387" s="111"/>
      <c r="Y387" s="111"/>
      <c r="Z387" s="111"/>
      <c r="AA387" s="111"/>
      <c r="AB387" s="927"/>
      <c r="AC387" s="927"/>
      <c r="AD387" s="927"/>
      <c r="AE387" s="927"/>
      <c r="AF387" s="927"/>
      <c r="AG387" s="927"/>
      <c r="AH387" s="927"/>
      <c r="AI387" s="927"/>
      <c r="AJ387" s="927"/>
      <c r="AK387" s="928"/>
      <c r="AL387" s="927"/>
      <c r="AM387" s="927"/>
      <c r="AN387" s="927"/>
      <c r="AO387" s="927"/>
    </row>
    <row r="388" customFormat="false" ht="12.75" hidden="false" customHeight="false" outlineLevel="0" collapsed="false">
      <c r="A388" s="111"/>
      <c r="B388" s="111"/>
      <c r="C388" s="111"/>
      <c r="D388" s="114"/>
      <c r="E388" s="111"/>
      <c r="G388" s="111"/>
      <c r="H388" s="111"/>
      <c r="I388" s="114"/>
      <c r="J388" s="111"/>
      <c r="K388" s="932"/>
      <c r="L388" s="114"/>
      <c r="M388" s="114"/>
      <c r="N388" s="930"/>
      <c r="O388" s="924"/>
      <c r="P388" s="111"/>
      <c r="Q388" s="111"/>
      <c r="R388" s="111"/>
      <c r="S388" s="111"/>
      <c r="T388" s="111"/>
      <c r="U388" s="111"/>
      <c r="V388" s="111"/>
      <c r="W388" s="111"/>
      <c r="X388" s="111"/>
      <c r="Y388" s="111"/>
      <c r="Z388" s="111"/>
      <c r="AA388" s="111"/>
      <c r="AB388" s="927"/>
      <c r="AC388" s="927"/>
      <c r="AD388" s="927"/>
      <c r="AE388" s="927"/>
      <c r="AF388" s="927"/>
      <c r="AG388" s="927"/>
      <c r="AH388" s="927"/>
      <c r="AI388" s="927"/>
      <c r="AJ388" s="927"/>
      <c r="AK388" s="928"/>
      <c r="AL388" s="927"/>
      <c r="AM388" s="927"/>
      <c r="AN388" s="927"/>
      <c r="AO388" s="927"/>
    </row>
    <row r="389" customFormat="false" ht="12.75" hidden="false" customHeight="false" outlineLevel="0" collapsed="false">
      <c r="A389" s="111"/>
      <c r="B389" s="111"/>
      <c r="C389" s="111"/>
      <c r="D389" s="114"/>
      <c r="E389" s="111"/>
      <c r="F389" s="111"/>
      <c r="G389" s="111"/>
      <c r="H389" s="111"/>
      <c r="I389" s="114"/>
      <c r="J389" s="111"/>
      <c r="K389" s="933"/>
      <c r="L389" s="275"/>
      <c r="M389" s="934"/>
      <c r="N389" s="935"/>
      <c r="O389" s="924"/>
      <c r="P389" s="111"/>
      <c r="Q389" s="111"/>
      <c r="R389" s="111"/>
      <c r="S389" s="111"/>
      <c r="T389" s="111"/>
      <c r="U389" s="111"/>
      <c r="V389" s="111"/>
      <c r="W389" s="111"/>
      <c r="X389" s="111"/>
      <c r="Y389" s="111"/>
      <c r="Z389" s="111"/>
      <c r="AA389" s="111"/>
      <c r="AB389" s="927"/>
      <c r="AC389" s="927"/>
      <c r="AD389" s="927"/>
      <c r="AE389" s="927"/>
      <c r="AF389" s="927"/>
      <c r="AG389" s="927"/>
      <c r="AH389" s="927"/>
      <c r="AI389" s="927"/>
      <c r="AJ389" s="927"/>
      <c r="AK389" s="928"/>
      <c r="AL389" s="927"/>
      <c r="AM389" s="927"/>
      <c r="AN389" s="927"/>
      <c r="AO389" s="927"/>
    </row>
    <row r="390" customFormat="false" ht="12.75" hidden="false" customHeight="false" outlineLevel="0" collapsed="false">
      <c r="A390" s="111"/>
      <c r="B390" s="111"/>
      <c r="C390" s="111"/>
      <c r="D390" s="114"/>
      <c r="E390" s="111"/>
      <c r="F390" s="111"/>
      <c r="G390" s="111"/>
      <c r="H390" s="111"/>
      <c r="I390" s="114"/>
      <c r="J390" s="111"/>
      <c r="K390" s="933"/>
      <c r="L390" s="114"/>
      <c r="M390" s="934"/>
      <c r="N390" s="935"/>
      <c r="O390" s="924"/>
      <c r="P390" s="111"/>
      <c r="Q390" s="111"/>
      <c r="R390" s="111"/>
      <c r="S390" s="111"/>
      <c r="T390" s="111"/>
      <c r="U390" s="111"/>
      <c r="V390" s="111"/>
      <c r="W390" s="111"/>
      <c r="X390" s="111"/>
      <c r="Y390" s="111"/>
      <c r="Z390" s="111"/>
      <c r="AA390" s="111"/>
      <c r="AB390" s="927"/>
      <c r="AC390" s="927"/>
      <c r="AD390" s="927"/>
      <c r="AE390" s="927"/>
      <c r="AF390" s="927"/>
      <c r="AG390" s="927"/>
      <c r="AH390" s="927"/>
      <c r="AI390" s="927"/>
      <c r="AJ390" s="927"/>
      <c r="AK390" s="928"/>
      <c r="AL390" s="927"/>
      <c r="AM390" s="927"/>
      <c r="AN390" s="927"/>
      <c r="AO390" s="927"/>
    </row>
    <row r="391" customFormat="false" ht="12.75" hidden="false" customHeight="false" outlineLevel="0" collapsed="false">
      <c r="A391" s="111"/>
      <c r="B391" s="111"/>
      <c r="C391" s="111"/>
      <c r="D391" s="114"/>
      <c r="E391" s="111"/>
      <c r="F391" s="111"/>
      <c r="G391" s="111"/>
      <c r="H391" s="111"/>
      <c r="I391" s="114"/>
      <c r="J391" s="111"/>
      <c r="K391" s="933"/>
      <c r="L391" s="111"/>
      <c r="M391" s="275"/>
      <c r="N391" s="111"/>
      <c r="O391" s="111"/>
      <c r="P391" s="111"/>
      <c r="Q391" s="111"/>
      <c r="R391" s="111"/>
      <c r="S391" s="111"/>
      <c r="T391" s="111"/>
      <c r="U391" s="111"/>
      <c r="V391" s="111"/>
      <c r="W391" s="111"/>
      <c r="X391" s="111"/>
      <c r="Y391" s="111"/>
      <c r="Z391" s="111"/>
      <c r="AA391" s="111"/>
      <c r="AB391" s="927"/>
      <c r="AC391" s="927"/>
      <c r="AD391" s="927"/>
      <c r="AE391" s="927"/>
      <c r="AF391" s="927"/>
      <c r="AG391" s="927"/>
      <c r="AH391" s="927"/>
      <c r="AI391" s="927"/>
      <c r="AJ391" s="927"/>
      <c r="AK391" s="928"/>
      <c r="AL391" s="927"/>
      <c r="AM391" s="927"/>
      <c r="AN391" s="927"/>
      <c r="AO391" s="927"/>
    </row>
    <row r="392" customFormat="false" ht="12.75" hidden="false" customHeight="false" outlineLevel="0" collapsed="false">
      <c r="A392" s="111"/>
      <c r="B392" s="111"/>
      <c r="C392" s="111"/>
      <c r="D392" s="114"/>
      <c r="E392" s="111"/>
      <c r="F392" s="111"/>
      <c r="G392" s="111"/>
      <c r="H392" s="111"/>
      <c r="I392" s="111"/>
      <c r="J392" s="111"/>
      <c r="K392" s="111"/>
      <c r="L392" s="111"/>
      <c r="M392" s="111"/>
      <c r="N392" s="111"/>
      <c r="O392" s="111"/>
      <c r="P392" s="111"/>
      <c r="Q392" s="111"/>
      <c r="R392" s="111"/>
      <c r="S392" s="111"/>
      <c r="T392" s="111"/>
      <c r="U392" s="111"/>
      <c r="V392" s="111"/>
      <c r="W392" s="111"/>
      <c r="X392" s="111"/>
      <c r="Y392" s="111"/>
      <c r="Z392" s="111"/>
      <c r="AA392" s="111"/>
      <c r="AB392" s="927"/>
      <c r="AC392" s="927"/>
      <c r="AD392" s="927"/>
      <c r="AE392" s="927"/>
      <c r="AF392" s="927"/>
      <c r="AG392" s="927"/>
      <c r="AH392" s="927"/>
      <c r="AI392" s="927"/>
      <c r="AJ392" s="927"/>
      <c r="AK392" s="928"/>
      <c r="AL392" s="927"/>
      <c r="AM392" s="927"/>
      <c r="AN392" s="927"/>
      <c r="AO392" s="927"/>
    </row>
    <row r="393" customFormat="false" ht="12.75" hidden="false" customHeight="false" outlineLevel="0" collapsed="false">
      <c r="A393" s="111"/>
      <c r="B393" s="111"/>
      <c r="C393" s="111"/>
      <c r="D393" s="936"/>
      <c r="E393" s="111"/>
      <c r="F393" s="111"/>
      <c r="G393" s="111"/>
      <c r="H393" s="111"/>
      <c r="I393" s="111"/>
      <c r="J393" s="111"/>
      <c r="K393" s="111"/>
      <c r="L393" s="111"/>
      <c r="M393" s="111"/>
      <c r="N393" s="111"/>
      <c r="O393" s="111"/>
      <c r="P393" s="111"/>
      <c r="Q393" s="111"/>
      <c r="R393" s="111"/>
      <c r="S393" s="111"/>
      <c r="T393" s="111"/>
      <c r="U393" s="111"/>
      <c r="V393" s="111"/>
      <c r="W393" s="111"/>
      <c r="X393" s="111"/>
      <c r="Y393" s="111"/>
      <c r="Z393" s="111"/>
      <c r="AA393" s="111"/>
      <c r="AB393" s="927"/>
      <c r="AC393" s="927"/>
      <c r="AD393" s="927"/>
      <c r="AE393" s="927"/>
      <c r="AF393" s="927"/>
      <c r="AG393" s="927"/>
      <c r="AH393" s="927"/>
      <c r="AI393" s="927"/>
      <c r="AJ393" s="927"/>
      <c r="AK393" s="928"/>
      <c r="AL393" s="927"/>
      <c r="AM393" s="927"/>
      <c r="AN393" s="927"/>
      <c r="AO393" s="927"/>
    </row>
    <row r="394" customFormat="false" ht="12.75" hidden="false" customHeight="false" outlineLevel="0" collapsed="false">
      <c r="A394" s="111"/>
      <c r="B394" s="111"/>
      <c r="C394" s="111"/>
      <c r="D394" s="936"/>
      <c r="E394" s="114"/>
      <c r="F394" s="111"/>
      <c r="G394" s="111"/>
      <c r="H394" s="111"/>
      <c r="I394" s="111"/>
      <c r="J394" s="111"/>
      <c r="K394" s="111"/>
      <c r="L394" s="111"/>
      <c r="M394" s="111"/>
      <c r="N394" s="111"/>
      <c r="O394" s="111"/>
      <c r="P394" s="111"/>
      <c r="Q394" s="111"/>
      <c r="R394" s="111"/>
      <c r="S394" s="111"/>
      <c r="T394" s="111"/>
      <c r="U394" s="111"/>
      <c r="V394" s="111"/>
      <c r="W394" s="111"/>
      <c r="X394" s="111"/>
      <c r="Y394" s="111"/>
      <c r="Z394" s="111"/>
      <c r="AA394" s="111"/>
      <c r="AB394" s="927"/>
      <c r="AC394" s="927"/>
      <c r="AD394" s="927"/>
      <c r="AE394" s="927"/>
      <c r="AF394" s="927"/>
      <c r="AG394" s="927"/>
      <c r="AH394" s="927"/>
      <c r="AI394" s="927"/>
      <c r="AJ394" s="927"/>
      <c r="AK394" s="928"/>
      <c r="AL394" s="927"/>
      <c r="AM394" s="927"/>
      <c r="AN394" s="927"/>
      <c r="AO394" s="927"/>
    </row>
    <row r="395" customFormat="false" ht="12.75" hidden="false" customHeight="false" outlineLevel="0" collapsed="false">
      <c r="A395" s="111"/>
      <c r="B395" s="111"/>
      <c r="C395" s="111"/>
      <c r="D395" s="936"/>
      <c r="E395" s="114"/>
      <c r="F395" s="111"/>
      <c r="G395" s="111"/>
      <c r="H395" s="111"/>
      <c r="I395" s="111"/>
      <c r="J395" s="111"/>
      <c r="K395" s="111"/>
      <c r="L395" s="111"/>
      <c r="M395" s="111"/>
      <c r="N395" s="111"/>
      <c r="O395" s="111"/>
      <c r="P395" s="111"/>
      <c r="Q395" s="111"/>
      <c r="R395" s="111"/>
      <c r="S395" s="111"/>
      <c r="T395" s="111"/>
      <c r="U395" s="111"/>
      <c r="V395" s="111"/>
      <c r="W395" s="111"/>
      <c r="X395" s="111"/>
      <c r="Y395" s="111"/>
      <c r="Z395" s="111"/>
      <c r="AA395" s="111"/>
      <c r="AB395" s="927"/>
      <c r="AC395" s="927"/>
      <c r="AD395" s="927"/>
      <c r="AE395" s="927"/>
      <c r="AF395" s="927"/>
      <c r="AG395" s="927"/>
      <c r="AH395" s="927"/>
      <c r="AI395" s="927"/>
      <c r="AJ395" s="927"/>
      <c r="AK395" s="928"/>
      <c r="AL395" s="927"/>
      <c r="AM395" s="927"/>
      <c r="AN395" s="927"/>
      <c r="AO395" s="927"/>
    </row>
    <row r="396" customFormat="false" ht="12.75" hidden="false" customHeight="false" outlineLevel="0" collapsed="false">
      <c r="A396" s="111"/>
      <c r="B396" s="111"/>
      <c r="C396" s="111"/>
      <c r="D396" s="114"/>
      <c r="E396" s="936"/>
      <c r="F396" s="111"/>
      <c r="G396" s="111"/>
      <c r="H396" s="111"/>
      <c r="I396" s="111"/>
      <c r="J396" s="111"/>
      <c r="K396" s="111"/>
      <c r="L396" s="275"/>
      <c r="M396" s="275"/>
      <c r="N396" s="275"/>
      <c r="O396" s="275"/>
      <c r="P396" s="275"/>
      <c r="Q396" s="275"/>
      <c r="R396" s="275"/>
      <c r="S396" s="275"/>
      <c r="T396" s="275"/>
      <c r="U396" s="275"/>
      <c r="V396" s="275"/>
      <c r="W396" s="275"/>
      <c r="X396" s="275"/>
      <c r="Y396" s="275"/>
      <c r="Z396" s="275"/>
      <c r="AA396" s="275"/>
      <c r="AB396" s="927"/>
      <c r="AC396" s="927"/>
      <c r="AD396" s="927"/>
      <c r="AE396" s="927"/>
      <c r="AF396" s="927"/>
      <c r="AG396" s="927"/>
      <c r="AH396" s="927"/>
      <c r="AI396" s="927"/>
      <c r="AJ396" s="927"/>
      <c r="AK396" s="928"/>
      <c r="AL396" s="927"/>
      <c r="AM396" s="927"/>
      <c r="AN396" s="927"/>
      <c r="AO396" s="927"/>
    </row>
    <row r="397" customFormat="false" ht="12.75" hidden="false" customHeight="false" outlineLevel="0" collapsed="false">
      <c r="A397" s="111"/>
      <c r="B397" s="111"/>
      <c r="C397" s="111"/>
      <c r="D397" s="114"/>
      <c r="E397" s="936"/>
      <c r="F397" s="937"/>
      <c r="G397" s="937"/>
      <c r="H397" s="937"/>
      <c r="I397" s="937"/>
      <c r="J397" s="937"/>
      <c r="K397" s="937"/>
      <c r="L397" s="937"/>
      <c r="M397" s="937"/>
      <c r="N397" s="937"/>
      <c r="O397" s="937"/>
      <c r="P397" s="937"/>
      <c r="Q397" s="937"/>
      <c r="R397" s="937"/>
      <c r="S397" s="937"/>
      <c r="T397" s="937"/>
      <c r="U397" s="937"/>
      <c r="V397" s="937"/>
      <c r="W397" s="937"/>
      <c r="X397" s="937"/>
      <c r="Y397" s="937"/>
      <c r="Z397" s="937"/>
      <c r="AA397" s="937"/>
      <c r="AB397" s="927"/>
      <c r="AC397" s="927"/>
      <c r="AD397" s="927"/>
      <c r="AE397" s="927"/>
      <c r="AF397" s="927"/>
      <c r="AG397" s="927"/>
      <c r="AH397" s="927"/>
      <c r="AI397" s="927"/>
      <c r="AJ397" s="927"/>
      <c r="AK397" s="928"/>
      <c r="AL397" s="927"/>
      <c r="AM397" s="927"/>
      <c r="AN397" s="927"/>
      <c r="AO397" s="927"/>
    </row>
    <row r="398" customFormat="false" ht="12.75" hidden="false" customHeight="false" outlineLevel="0" collapsed="false">
      <c r="A398" s="111"/>
      <c r="B398" s="111"/>
      <c r="C398" s="111"/>
      <c r="D398" s="938"/>
      <c r="E398" s="936"/>
      <c r="F398" s="111"/>
      <c r="G398" s="111"/>
      <c r="H398" s="111"/>
      <c r="I398" s="111"/>
      <c r="J398" s="111"/>
      <c r="K398" s="111"/>
      <c r="L398" s="275"/>
      <c r="M398" s="275"/>
      <c r="N398" s="275"/>
      <c r="O398" s="275"/>
      <c r="P398" s="275"/>
      <c r="Q398" s="275"/>
      <c r="R398" s="275"/>
      <c r="S398" s="275"/>
      <c r="T398" s="275"/>
      <c r="U398" s="275"/>
      <c r="V398" s="275"/>
      <c r="W398" s="275"/>
      <c r="X398" s="275"/>
      <c r="Y398" s="275"/>
      <c r="Z398" s="275"/>
      <c r="AA398" s="275"/>
      <c r="AB398" s="927"/>
      <c r="AC398" s="927"/>
      <c r="AD398" s="927"/>
      <c r="AE398" s="927"/>
      <c r="AF398" s="927"/>
      <c r="AG398" s="927"/>
      <c r="AH398" s="927"/>
      <c r="AI398" s="927"/>
      <c r="AJ398" s="927"/>
      <c r="AK398" s="928"/>
      <c r="AL398" s="927"/>
      <c r="AM398" s="927"/>
      <c r="AN398" s="927"/>
      <c r="AO398" s="927"/>
    </row>
    <row r="399" customFormat="false" ht="12.75" hidden="false" customHeight="false" outlineLevel="0" collapsed="false">
      <c r="A399" s="111"/>
      <c r="B399" s="111"/>
      <c r="C399" s="111"/>
      <c r="D399" s="114"/>
      <c r="E399" s="936"/>
      <c r="F399" s="176"/>
      <c r="G399" s="176"/>
      <c r="H399" s="176"/>
      <c r="I399" s="176"/>
      <c r="J399" s="176"/>
      <c r="K399" s="176"/>
      <c r="L399" s="176"/>
      <c r="M399" s="176"/>
      <c r="N399" s="176"/>
      <c r="O399" s="176"/>
      <c r="P399" s="176"/>
      <c r="Q399" s="176"/>
      <c r="R399" s="176"/>
      <c r="S399" s="176"/>
      <c r="T399" s="176"/>
      <c r="U399" s="176"/>
      <c r="V399" s="176"/>
      <c r="W399" s="176"/>
      <c r="X399" s="176"/>
      <c r="Y399" s="176"/>
      <c r="Z399" s="275"/>
      <c r="AA399" s="275"/>
      <c r="AB399" s="927"/>
      <c r="AC399" s="927"/>
      <c r="AD399" s="927"/>
      <c r="AE399" s="927"/>
      <c r="AF399" s="927"/>
      <c r="AG399" s="927"/>
      <c r="AH399" s="927"/>
      <c r="AI399" s="927"/>
      <c r="AJ399" s="927"/>
      <c r="AK399" s="928"/>
      <c r="AL399" s="927"/>
      <c r="AM399" s="927"/>
      <c r="AN399" s="927"/>
      <c r="AO399" s="927"/>
    </row>
    <row r="400" customFormat="false" ht="12.75" hidden="false" customHeight="false" outlineLevel="0" collapsed="false">
      <c r="A400" s="111"/>
      <c r="B400" s="111"/>
      <c r="C400" s="111"/>
      <c r="D400" s="114"/>
      <c r="E400" s="936"/>
      <c r="F400" s="176"/>
      <c r="G400" s="176"/>
      <c r="H400" s="176"/>
      <c r="I400" s="176"/>
      <c r="J400" s="176"/>
      <c r="K400" s="176"/>
      <c r="L400" s="176"/>
      <c r="M400" s="176"/>
      <c r="N400" s="176"/>
      <c r="O400" s="176"/>
      <c r="P400" s="176"/>
      <c r="Q400" s="176"/>
      <c r="R400" s="176"/>
      <c r="S400" s="176"/>
      <c r="T400" s="176"/>
      <c r="U400" s="176"/>
      <c r="V400" s="176"/>
      <c r="W400" s="176"/>
      <c r="X400" s="176"/>
      <c r="Y400" s="176"/>
      <c r="Z400" s="275"/>
      <c r="AA400" s="275"/>
      <c r="AB400" s="927"/>
      <c r="AC400" s="927"/>
      <c r="AD400" s="927"/>
      <c r="AE400" s="927"/>
      <c r="AF400" s="927"/>
      <c r="AG400" s="927"/>
      <c r="AH400" s="927"/>
      <c r="AI400" s="927"/>
      <c r="AJ400" s="927"/>
      <c r="AK400" s="928"/>
      <c r="AL400" s="927"/>
      <c r="AM400" s="927"/>
      <c r="AN400" s="927"/>
      <c r="AO400" s="927"/>
    </row>
    <row r="401" customFormat="false" ht="12.75" hidden="false" customHeight="false" outlineLevel="0" collapsed="false">
      <c r="A401" s="111"/>
      <c r="B401" s="111"/>
      <c r="C401" s="111"/>
      <c r="D401" s="114"/>
      <c r="E401" s="936"/>
      <c r="Z401" s="275"/>
      <c r="AA401" s="275"/>
      <c r="AB401" s="927"/>
      <c r="AC401" s="927"/>
      <c r="AD401" s="927"/>
      <c r="AE401" s="927"/>
      <c r="AF401" s="927"/>
      <c r="AG401" s="927"/>
      <c r="AH401" s="927"/>
      <c r="AI401" s="927"/>
      <c r="AJ401" s="927"/>
      <c r="AK401" s="928"/>
      <c r="AL401" s="927"/>
      <c r="AM401" s="927"/>
      <c r="AN401" s="927"/>
      <c r="AO401" s="927"/>
    </row>
    <row r="402" customFormat="false" ht="12.75" hidden="false" customHeight="false" outlineLevel="0" collapsed="false">
      <c r="A402" s="111"/>
      <c r="B402" s="111"/>
      <c r="C402" s="111"/>
      <c r="D402" s="114"/>
      <c r="E402" s="936"/>
      <c r="F402" s="111"/>
      <c r="G402" s="111"/>
      <c r="H402" s="111"/>
      <c r="I402" s="111"/>
      <c r="J402" s="111"/>
      <c r="K402" s="111"/>
      <c r="L402" s="111"/>
      <c r="M402" s="111"/>
      <c r="N402" s="111"/>
      <c r="O402" s="111"/>
      <c r="P402" s="111"/>
      <c r="Q402" s="111"/>
      <c r="R402" s="111"/>
      <c r="S402" s="111"/>
      <c r="T402" s="111"/>
      <c r="U402" s="111"/>
      <c r="V402" s="111"/>
      <c r="W402" s="111"/>
      <c r="X402" s="111"/>
      <c r="Y402" s="111"/>
      <c r="Z402" s="275"/>
      <c r="AA402" s="275"/>
      <c r="AB402" s="927"/>
      <c r="AC402" s="927"/>
      <c r="AD402" s="927"/>
      <c r="AE402" s="927"/>
      <c r="AF402" s="927"/>
      <c r="AG402" s="927"/>
      <c r="AH402" s="927"/>
      <c r="AI402" s="927"/>
      <c r="AJ402" s="927"/>
      <c r="AK402" s="928"/>
      <c r="AL402" s="927"/>
      <c r="AM402" s="927"/>
      <c r="AN402" s="927"/>
      <c r="AO402" s="927"/>
    </row>
    <row r="403" customFormat="false" ht="12.75" hidden="false" customHeight="false" outlineLevel="0" collapsed="false">
      <c r="A403" s="111"/>
      <c r="B403" s="111"/>
      <c r="C403" s="111"/>
      <c r="D403" s="938"/>
      <c r="E403" s="936"/>
      <c r="F403" s="111"/>
      <c r="G403" s="111"/>
      <c r="H403" s="111"/>
      <c r="I403" s="111"/>
      <c r="J403" s="111"/>
      <c r="K403" s="111"/>
      <c r="L403" s="111"/>
      <c r="M403" s="111"/>
      <c r="N403" s="111"/>
      <c r="O403" s="111"/>
      <c r="P403" s="111"/>
      <c r="Q403" s="111"/>
      <c r="R403" s="111"/>
      <c r="S403" s="111"/>
      <c r="T403" s="111"/>
      <c r="U403" s="111"/>
      <c r="V403" s="111"/>
      <c r="W403" s="111"/>
      <c r="X403" s="111"/>
      <c r="Y403" s="111"/>
      <c r="Z403" s="111"/>
      <c r="AA403" s="111"/>
      <c r="AB403" s="927"/>
      <c r="AC403" s="927"/>
      <c r="AD403" s="927"/>
      <c r="AE403" s="927"/>
      <c r="AF403" s="927"/>
      <c r="AG403" s="927"/>
      <c r="AH403" s="927"/>
      <c r="AI403" s="927"/>
      <c r="AJ403" s="927"/>
      <c r="AK403" s="928"/>
      <c r="AL403" s="927"/>
      <c r="AM403" s="927"/>
      <c r="AN403" s="927"/>
      <c r="AO403" s="927"/>
    </row>
    <row r="404" customFormat="false" ht="12.75" hidden="false" customHeight="false" outlineLevel="0" collapsed="false">
      <c r="A404" s="111"/>
      <c r="B404" s="111"/>
      <c r="C404" s="111"/>
      <c r="D404" s="114"/>
      <c r="E404" s="936"/>
      <c r="F404" s="111"/>
      <c r="G404" s="111"/>
      <c r="H404" s="111"/>
      <c r="I404" s="111"/>
      <c r="J404" s="111"/>
      <c r="K404" s="111"/>
      <c r="L404" s="111"/>
      <c r="M404" s="111"/>
      <c r="N404" s="111"/>
      <c r="O404" s="111"/>
      <c r="P404" s="111"/>
      <c r="Q404" s="111"/>
      <c r="R404" s="111"/>
      <c r="S404" s="111"/>
      <c r="T404" s="111"/>
      <c r="U404" s="111"/>
      <c r="V404" s="111"/>
      <c r="W404" s="111"/>
      <c r="X404" s="111"/>
      <c r="Y404" s="111"/>
      <c r="Z404" s="111"/>
      <c r="AA404" s="111"/>
      <c r="AB404" s="927"/>
      <c r="AC404" s="927"/>
      <c r="AD404" s="927"/>
      <c r="AE404" s="927"/>
      <c r="AF404" s="927"/>
      <c r="AG404" s="927"/>
      <c r="AH404" s="927"/>
      <c r="AI404" s="927"/>
      <c r="AJ404" s="927"/>
      <c r="AK404" s="928"/>
      <c r="AL404" s="927"/>
      <c r="AM404" s="927"/>
      <c r="AN404" s="927"/>
      <c r="AO404" s="927"/>
    </row>
    <row r="405" customFormat="false" ht="12.75" hidden="false" customHeight="false" outlineLevel="0" collapsed="false">
      <c r="A405" s="111"/>
      <c r="B405" s="111"/>
      <c r="C405" s="111"/>
      <c r="D405" s="114"/>
      <c r="E405" s="114"/>
      <c r="F405" s="176"/>
      <c r="G405" s="176"/>
      <c r="H405" s="176"/>
      <c r="I405" s="176"/>
      <c r="J405" s="176"/>
      <c r="K405" s="176"/>
      <c r="L405" s="176"/>
      <c r="M405" s="176"/>
      <c r="N405" s="176"/>
      <c r="O405" s="176"/>
      <c r="P405" s="176"/>
      <c r="Q405" s="176"/>
      <c r="R405" s="176"/>
      <c r="S405" s="176"/>
      <c r="T405" s="176"/>
      <c r="U405" s="176"/>
      <c r="V405" s="176"/>
      <c r="W405" s="176"/>
      <c r="X405" s="176"/>
      <c r="Y405" s="176"/>
      <c r="AA405" s="275"/>
      <c r="AB405" s="927"/>
      <c r="AC405" s="927"/>
      <c r="AD405" s="927"/>
      <c r="AE405" s="927"/>
      <c r="AF405" s="927"/>
      <c r="AG405" s="927"/>
      <c r="AH405" s="927"/>
      <c r="AI405" s="927"/>
      <c r="AJ405" s="927"/>
      <c r="AK405" s="928"/>
      <c r="AL405" s="927"/>
      <c r="AM405" s="927"/>
      <c r="AN405" s="927"/>
      <c r="AO405" s="927"/>
    </row>
    <row r="406" customFormat="false" ht="12.75" hidden="false" customHeight="false" outlineLevel="0" collapsed="false">
      <c r="A406" s="111"/>
      <c r="B406" s="111"/>
      <c r="C406" s="111"/>
      <c r="D406" s="114"/>
      <c r="E406" s="111"/>
      <c r="F406" s="176"/>
      <c r="G406" s="176"/>
      <c r="H406" s="176"/>
      <c r="I406" s="176"/>
      <c r="J406" s="176"/>
      <c r="K406" s="176"/>
      <c r="L406" s="176"/>
      <c r="M406" s="176"/>
      <c r="N406" s="176"/>
      <c r="O406" s="176"/>
      <c r="P406" s="176"/>
      <c r="Q406" s="176"/>
      <c r="R406" s="176"/>
      <c r="S406" s="176"/>
      <c r="T406" s="176"/>
      <c r="U406" s="176"/>
      <c r="V406" s="176"/>
      <c r="W406" s="176"/>
      <c r="X406" s="176"/>
      <c r="Y406" s="176"/>
      <c r="AA406" s="275"/>
      <c r="AB406" s="927"/>
      <c r="AC406" s="927"/>
      <c r="AD406" s="927"/>
      <c r="AE406" s="927"/>
      <c r="AF406" s="927"/>
      <c r="AG406" s="927"/>
      <c r="AH406" s="927"/>
      <c r="AI406" s="927"/>
      <c r="AJ406" s="927"/>
      <c r="AK406" s="928"/>
      <c r="AL406" s="927"/>
      <c r="AM406" s="927"/>
      <c r="AN406" s="927"/>
      <c r="AO406" s="927"/>
    </row>
    <row r="407" customFormat="false" ht="12.75" hidden="false" customHeight="false" outlineLevel="0" collapsed="false">
      <c r="A407" s="111"/>
      <c r="B407" s="111"/>
      <c r="C407" s="111"/>
      <c r="D407" s="114"/>
      <c r="E407" s="111"/>
      <c r="F407" s="176"/>
      <c r="G407" s="176"/>
      <c r="H407" s="176"/>
      <c r="I407" s="176"/>
      <c r="J407" s="176"/>
      <c r="K407" s="176"/>
      <c r="L407" s="176"/>
      <c r="M407" s="176"/>
      <c r="N407" s="176"/>
      <c r="O407" s="176"/>
      <c r="P407" s="176"/>
      <c r="Q407" s="176"/>
      <c r="R407" s="176"/>
      <c r="S407" s="176"/>
      <c r="T407" s="176"/>
      <c r="U407" s="176"/>
      <c r="V407" s="176"/>
      <c r="W407" s="176"/>
      <c r="X407" s="176"/>
      <c r="Y407" s="176"/>
      <c r="Z407" s="111"/>
      <c r="AA407" s="275"/>
      <c r="AB407" s="927"/>
      <c r="AC407" s="927"/>
      <c r="AD407" s="927"/>
      <c r="AE407" s="927"/>
      <c r="AF407" s="927"/>
      <c r="AG407" s="927"/>
      <c r="AH407" s="927"/>
      <c r="AI407" s="927"/>
      <c r="AJ407" s="927"/>
      <c r="AK407" s="928"/>
      <c r="AL407" s="927"/>
      <c r="AM407" s="927"/>
      <c r="AN407" s="927"/>
      <c r="AO407" s="927"/>
    </row>
    <row r="408" customFormat="false" ht="12.75" hidden="false" customHeight="false" outlineLevel="0" collapsed="false">
      <c r="A408" s="111"/>
      <c r="B408" s="111"/>
      <c r="C408" s="111"/>
      <c r="D408" s="111"/>
      <c r="E408" s="111"/>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927"/>
      <c r="AC408" s="927"/>
      <c r="AD408" s="927"/>
      <c r="AE408" s="927"/>
      <c r="AF408" s="927"/>
      <c r="AG408" s="927"/>
      <c r="AH408" s="927"/>
      <c r="AI408" s="927"/>
      <c r="AJ408" s="927"/>
      <c r="AK408" s="928"/>
      <c r="AL408" s="927"/>
      <c r="AM408" s="927"/>
      <c r="AN408" s="927"/>
      <c r="AO408" s="927"/>
    </row>
    <row r="410" customFormat="false" ht="12.75" hidden="false" customHeight="false" outlineLevel="0" collapsed="false">
      <c r="A410" s="939"/>
      <c r="B410" s="940"/>
      <c r="C410" s="940"/>
      <c r="D410" s="940"/>
      <c r="E410" s="940"/>
      <c r="F410" s="940"/>
      <c r="G410" s="940"/>
      <c r="H410" s="940"/>
      <c r="I410" s="940"/>
      <c r="J410" s="940"/>
      <c r="K410" s="940"/>
      <c r="L410" s="940"/>
      <c r="M410" s="940"/>
      <c r="N410" s="940"/>
      <c r="O410" s="940"/>
      <c r="P410" s="940"/>
      <c r="Q410" s="940"/>
      <c r="R410" s="940"/>
      <c r="S410" s="940"/>
      <c r="T410" s="940"/>
      <c r="U410" s="927"/>
      <c r="V410" s="927"/>
      <c r="W410" s="927"/>
      <c r="X410" s="927"/>
      <c r="Y410" s="927"/>
      <c r="Z410" s="927"/>
      <c r="AA410" s="927"/>
      <c r="AB410" s="927"/>
      <c r="AC410" s="927"/>
      <c r="AD410" s="927"/>
      <c r="AE410" s="927"/>
      <c r="AF410" s="927"/>
      <c r="AG410" s="927"/>
      <c r="AH410" s="927"/>
      <c r="AI410" s="927"/>
      <c r="AJ410" s="927"/>
      <c r="AK410" s="928"/>
      <c r="AL410" s="927"/>
      <c r="AM410" s="927"/>
      <c r="AN410" s="927"/>
      <c r="AO410" s="927"/>
    </row>
    <row r="411" customFormat="false" ht="12.75" hidden="false" customHeight="false" outlineLevel="0" collapsed="false">
      <c r="A411" s="939"/>
      <c r="B411" s="940"/>
      <c r="C411" s="940"/>
      <c r="D411" s="940"/>
      <c r="E411" s="940"/>
      <c r="F411" s="940"/>
      <c r="G411" s="940"/>
      <c r="H411" s="940"/>
      <c r="I411" s="940"/>
      <c r="J411" s="940"/>
      <c r="K411" s="940"/>
      <c r="L411" s="940"/>
      <c r="M411" s="940"/>
      <c r="N411" s="940"/>
      <c r="O411" s="940"/>
      <c r="P411" s="940"/>
      <c r="Q411" s="940"/>
      <c r="R411" s="940"/>
      <c r="S411" s="940"/>
      <c r="T411" s="940"/>
      <c r="U411" s="927"/>
      <c r="V411" s="927"/>
      <c r="W411" s="927"/>
      <c r="X411" s="927"/>
      <c r="Y411" s="927"/>
      <c r="Z411" s="927"/>
      <c r="AA411" s="927"/>
      <c r="AB411" s="927"/>
      <c r="AC411" s="927"/>
      <c r="AD411" s="927"/>
      <c r="AE411" s="927"/>
      <c r="AF411" s="927"/>
      <c r="AG411" s="927"/>
      <c r="AH411" s="927"/>
      <c r="AI411" s="927"/>
      <c r="AJ411" s="927"/>
      <c r="AK411" s="928"/>
      <c r="AL411" s="927"/>
      <c r="AM411" s="927"/>
      <c r="AN411" s="927"/>
      <c r="AO411" s="927"/>
    </row>
  </sheetData>
  <printOptions headings="true" gridLines="false" gridLinesSet="true" horizontalCentered="false" verticalCentered="false"/>
  <pageMargins left="0.279861111111111" right="0.320138888888889" top="0.359722222222222" bottom="0.609722222222222" header="0.511811023622047" footer="0.5"/>
  <pageSetup paperSize="1" scale="35" fitToWidth="1" fitToHeight="1" pageOrder="downThenOver" orientation="landscape" blackAndWhite="false" draft="false" cellComments="none" horizontalDpi="300" verticalDpi="300" copies="1"/>
  <headerFooter differentFirst="false" differentOddEven="false">
    <oddHeader/>
    <oddFooter>&amp;R&amp;F</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76"/>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X76"/>
    </sheetView>
  </sheetViews>
  <sheetFormatPr defaultColWidth="8.84765625" defaultRowHeight="12.75" customHeight="true" zeroHeight="false" outlineLevelRow="0" outlineLevelCol="0"/>
  <cols>
    <col collapsed="false" customWidth="true" hidden="false" outlineLevel="0" max="2" min="2" style="0" width="50.56"/>
    <col collapsed="false" customWidth="true" hidden="false" outlineLevel="0" max="3" min="3" style="176" width="11.7"/>
    <col collapsed="false" customWidth="true" hidden="false" outlineLevel="0" max="4" min="4" style="0" width="9.85"/>
    <col collapsed="false" customWidth="true" hidden="false" outlineLevel="0" max="36" min="5" style="0" width="10.99"/>
  </cols>
  <sheetData>
    <row r="1" customFormat="false" ht="15.75" hidden="false" customHeight="false" outlineLevel="0" collapsed="false">
      <c r="B1" s="2" t="str">
        <f aca="false">ExecSum!$E$4</f>
        <v>SMUD - Solano 34.50MW Project</v>
      </c>
      <c r="E1" s="4" t="n">
        <v>1</v>
      </c>
      <c r="F1" s="5" t="n">
        <v>2</v>
      </c>
      <c r="G1" s="5" t="n">
        <v>3</v>
      </c>
      <c r="H1" s="5" t="n">
        <v>4</v>
      </c>
      <c r="I1" s="5" t="n">
        <v>5</v>
      </c>
      <c r="J1" s="5" t="n">
        <v>6</v>
      </c>
      <c r="K1" s="5" t="n">
        <v>7</v>
      </c>
      <c r="L1" s="5" t="n">
        <v>8</v>
      </c>
      <c r="M1" s="5" t="n">
        <v>9</v>
      </c>
      <c r="N1" s="5" t="n">
        <v>10</v>
      </c>
      <c r="O1" s="5" t="n">
        <v>11</v>
      </c>
      <c r="P1" s="5" t="n">
        <v>12</v>
      </c>
      <c r="Q1" s="5" t="n">
        <v>13</v>
      </c>
      <c r="R1" s="5" t="n">
        <v>14</v>
      </c>
      <c r="S1" s="5" t="n">
        <v>15</v>
      </c>
      <c r="T1" s="5" t="n">
        <v>16</v>
      </c>
      <c r="U1" s="5" t="n">
        <v>17</v>
      </c>
      <c r="V1" s="5" t="n">
        <v>18</v>
      </c>
      <c r="W1" s="5" t="n">
        <v>19</v>
      </c>
      <c r="X1" s="5" t="n">
        <v>20</v>
      </c>
      <c r="Y1" s="5" t="n">
        <v>21</v>
      </c>
      <c r="Z1" s="5" t="n">
        <v>22</v>
      </c>
      <c r="AA1" s="5" t="n">
        <v>23</v>
      </c>
      <c r="AB1" s="5" t="n">
        <v>24</v>
      </c>
      <c r="AC1" s="5" t="n">
        <v>25</v>
      </c>
      <c r="AD1" s="5" t="n">
        <v>26</v>
      </c>
      <c r="AE1" s="5" t="n">
        <v>27</v>
      </c>
      <c r="AF1" s="5" t="n">
        <v>28</v>
      </c>
      <c r="AG1" s="5" t="n">
        <v>29</v>
      </c>
      <c r="AH1" s="5" t="n">
        <v>30</v>
      </c>
      <c r="AI1" s="6" t="n">
        <v>31</v>
      </c>
    </row>
    <row r="2" customFormat="false" ht="15.75" hidden="false" customHeight="false" outlineLevel="0" collapsed="false">
      <c r="B2" s="941" t="s">
        <v>606</v>
      </c>
      <c r="E2" s="7" t="n">
        <f aca="false">Assum!$H$25</f>
        <v>2002</v>
      </c>
      <c r="F2" s="8" t="n">
        <f aca="false">E2+1</f>
        <v>2003</v>
      </c>
      <c r="G2" s="8" t="n">
        <f aca="false">F2+1</f>
        <v>2004</v>
      </c>
      <c r="H2" s="8" t="n">
        <f aca="false">G2+1</f>
        <v>2005</v>
      </c>
      <c r="I2" s="8" t="n">
        <f aca="false">H2+1</f>
        <v>2006</v>
      </c>
      <c r="J2" s="8" t="n">
        <f aca="false">I2+1</f>
        <v>2007</v>
      </c>
      <c r="K2" s="8" t="n">
        <f aca="false">J2+1</f>
        <v>2008</v>
      </c>
      <c r="L2" s="8" t="n">
        <f aca="false">K2+1</f>
        <v>2009</v>
      </c>
      <c r="M2" s="8" t="n">
        <f aca="false">L2+1</f>
        <v>2010</v>
      </c>
      <c r="N2" s="8" t="n">
        <f aca="false">M2+1</f>
        <v>2011</v>
      </c>
      <c r="O2" s="8" t="n">
        <f aca="false">N2+1</f>
        <v>2012</v>
      </c>
      <c r="P2" s="8" t="n">
        <f aca="false">O2+1</f>
        <v>2013</v>
      </c>
      <c r="Q2" s="8" t="n">
        <f aca="false">P2+1</f>
        <v>2014</v>
      </c>
      <c r="R2" s="8" t="n">
        <f aca="false">Q2+1</f>
        <v>2015</v>
      </c>
      <c r="S2" s="8" t="n">
        <f aca="false">R2+1</f>
        <v>2016</v>
      </c>
      <c r="T2" s="8" t="n">
        <f aca="false">S2+1</f>
        <v>2017</v>
      </c>
      <c r="U2" s="8" t="n">
        <f aca="false">T2+1</f>
        <v>2018</v>
      </c>
      <c r="V2" s="8" t="n">
        <f aca="false">U2+1</f>
        <v>2019</v>
      </c>
      <c r="W2" s="8" t="n">
        <f aca="false">V2+1</f>
        <v>2020</v>
      </c>
      <c r="X2" s="8" t="n">
        <f aca="false">W2+1</f>
        <v>2021</v>
      </c>
      <c r="Y2" s="8" t="n">
        <f aca="false">X2+1</f>
        <v>2022</v>
      </c>
      <c r="Z2" s="8" t="n">
        <f aca="false">Y2+1</f>
        <v>2023</v>
      </c>
      <c r="AA2" s="8" t="n">
        <f aca="false">Z2+1</f>
        <v>2024</v>
      </c>
      <c r="AB2" s="8" t="n">
        <f aca="false">AA2+1</f>
        <v>2025</v>
      </c>
      <c r="AC2" s="8" t="n">
        <f aca="false">AB2+1</f>
        <v>2026</v>
      </c>
      <c r="AD2" s="8" t="n">
        <f aca="false">AC2+1</f>
        <v>2027</v>
      </c>
      <c r="AE2" s="8" t="n">
        <f aca="false">AD2+1</f>
        <v>2028</v>
      </c>
      <c r="AF2" s="8" t="n">
        <f aca="false">AE2+1</f>
        <v>2029</v>
      </c>
      <c r="AG2" s="8" t="n">
        <f aca="false">AF2+1</f>
        <v>2030</v>
      </c>
      <c r="AH2" s="8" t="n">
        <f aca="false">AG2+1</f>
        <v>2031</v>
      </c>
      <c r="AI2" s="9" t="n">
        <f aca="false">AH2+1</f>
        <v>2032</v>
      </c>
    </row>
    <row r="3" customFormat="false" ht="12.75" hidden="false" customHeight="false" outlineLevel="0" collapsed="false">
      <c r="F3" s="373"/>
      <c r="G3" s="373"/>
      <c r="I3" s="373"/>
      <c r="J3" s="373"/>
      <c r="K3" s="373"/>
      <c r="L3" s="373"/>
      <c r="M3" s="373"/>
      <c r="N3" s="373"/>
      <c r="O3" s="373"/>
      <c r="P3" s="373"/>
      <c r="Q3" s="373"/>
      <c r="R3" s="373"/>
      <c r="S3" s="373"/>
      <c r="T3" s="373"/>
      <c r="U3" s="373"/>
      <c r="V3" s="373"/>
      <c r="W3" s="373"/>
      <c r="X3" s="373"/>
      <c r="Y3" s="373"/>
      <c r="Z3" s="373"/>
      <c r="AA3" s="373"/>
      <c r="AB3" s="373"/>
      <c r="AC3" s="373"/>
      <c r="AD3" s="373"/>
      <c r="AE3" s="373"/>
      <c r="AF3" s="373"/>
      <c r="AG3" s="373"/>
      <c r="AH3" s="373"/>
      <c r="AI3" s="373"/>
    </row>
    <row r="4" customFormat="false" ht="12.75" hidden="false" customHeight="false" outlineLevel="0" collapsed="false">
      <c r="A4" s="751"/>
      <c r="B4" s="373"/>
      <c r="C4" s="751"/>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373"/>
      <c r="AL4" s="373"/>
      <c r="AM4" s="753"/>
      <c r="AN4" s="753"/>
      <c r="AO4" s="753"/>
      <c r="AP4" s="753"/>
    </row>
    <row r="5" customFormat="false" ht="12.75" hidden="false" customHeight="false" outlineLevel="0" collapsed="false">
      <c r="A5" s="751"/>
      <c r="B5" s="775" t="s">
        <v>607</v>
      </c>
      <c r="C5" s="752"/>
      <c r="D5" s="373"/>
      <c r="E5" s="755"/>
      <c r="F5" s="755"/>
      <c r="G5" s="755"/>
      <c r="H5" s="755"/>
      <c r="I5" s="755"/>
      <c r="J5" s="755"/>
      <c r="K5" s="755"/>
      <c r="L5" s="755"/>
      <c r="M5" s="755"/>
      <c r="N5" s="755"/>
      <c r="O5" s="755"/>
      <c r="P5" s="755"/>
      <c r="Q5" s="373"/>
      <c r="R5" s="373"/>
      <c r="S5" s="373"/>
      <c r="T5" s="373"/>
      <c r="U5" s="373"/>
      <c r="V5" s="373"/>
      <c r="W5" s="373"/>
      <c r="X5" s="373"/>
      <c r="Y5" s="373"/>
      <c r="Z5" s="373"/>
      <c r="AA5" s="373"/>
      <c r="AB5" s="373"/>
      <c r="AC5" s="373"/>
      <c r="AD5" s="373"/>
      <c r="AE5" s="373"/>
      <c r="AF5" s="373"/>
      <c r="AG5" s="373"/>
      <c r="AH5" s="373"/>
      <c r="AI5" s="373"/>
      <c r="AJ5" s="373"/>
      <c r="AK5" s="373"/>
      <c r="AL5" s="373"/>
      <c r="AM5" s="753"/>
      <c r="AN5" s="753"/>
      <c r="AO5" s="753"/>
      <c r="AP5" s="753"/>
    </row>
    <row r="6" customFormat="false" ht="12.75" hidden="false" customHeight="false" outlineLevel="0" collapsed="false">
      <c r="A6" s="751"/>
      <c r="B6" s="942" t="s">
        <v>608</v>
      </c>
      <c r="C6" s="943"/>
      <c r="D6" s="944"/>
      <c r="E6" s="944" t="n">
        <f aca="false">IF(CashFlow!E66&lt;0,0,CashFlow!E66+CashFlow!F66*(1-Assum!$H$23))</f>
        <v>2291.11065638161</v>
      </c>
      <c r="F6" s="944" t="n">
        <f aca="false">IF(CashFlow!F66&lt;0,0,CashFlow!F66*Assum!$H$23+CashFlow!G66*(1-Assum!$H$23))</f>
        <v>2418.39458173614</v>
      </c>
      <c r="G6" s="944" t="n">
        <f aca="false">IF(CashFlow!G66&lt;0,0,CashFlow!G66*Assum!$H$23+CashFlow!H66*(1-Assum!$H$23))</f>
        <v>2418.39458173614</v>
      </c>
      <c r="H6" s="944" t="n">
        <f aca="false">IF(CashFlow!H66&lt;0,0,CashFlow!H66*Assum!$H$23+CashFlow!I66*(1-Assum!$H$23))</f>
        <v>2418.39458173614</v>
      </c>
      <c r="I6" s="944" t="n">
        <f aca="false">IF(CashFlow!I66&lt;0,0,CashFlow!I66*Assum!$H$23+CashFlow!J66*(1-Assum!$H$23))</f>
        <v>2545.67850709067</v>
      </c>
      <c r="J6" s="944" t="n">
        <f aca="false">IF(CashFlow!J66&lt;0,0,CashFlow!J66*Assum!$H$23+CashFlow!K66*(1-Assum!$H$23))</f>
        <v>2545.67850709067</v>
      </c>
      <c r="K6" s="944" t="n">
        <f aca="false">IF(CashFlow!K66&lt;0,0,CashFlow!K66*Assum!$H$23+CashFlow!L66*(1-Assum!$H$23))</f>
        <v>2672.96243244521</v>
      </c>
      <c r="L6" s="944" t="n">
        <f aca="false">IF(CashFlow!L66&lt;0,0,CashFlow!L66*Assum!$H$23+CashFlow!M66*(1-Assum!$H$23))</f>
        <v>2672.96243244521</v>
      </c>
      <c r="M6" s="944" t="n">
        <f aca="false">IF(CashFlow!M66&lt;0,0,CashFlow!M66*Assum!$H$23+CashFlow!N66*(1-Assum!$H$23))</f>
        <v>2672.96243244521</v>
      </c>
      <c r="N6" s="945" t="n">
        <f aca="false">IF(CashFlow!N66&lt;0,0,CashFlow!N66*Assum!$H$23+CashFlow!O66)</f>
        <v>2800.24635779974</v>
      </c>
      <c r="O6" s="945" t="n">
        <v>0</v>
      </c>
      <c r="P6" s="945" t="n">
        <v>0</v>
      </c>
      <c r="Q6" s="945" t="n">
        <v>0</v>
      </c>
      <c r="R6" s="945" t="n">
        <v>0</v>
      </c>
      <c r="S6" s="945" t="n">
        <v>0</v>
      </c>
      <c r="T6" s="945" t="n">
        <v>0</v>
      </c>
      <c r="U6" s="945" t="n">
        <v>0</v>
      </c>
      <c r="V6" s="945" t="n">
        <v>0</v>
      </c>
      <c r="W6" s="945" t="n">
        <v>0</v>
      </c>
      <c r="X6" s="945" t="n">
        <v>0</v>
      </c>
      <c r="Y6" s="945" t="n">
        <v>0</v>
      </c>
      <c r="Z6" s="945" t="n">
        <v>0</v>
      </c>
      <c r="AA6" s="945" t="n">
        <v>0</v>
      </c>
      <c r="AB6" s="945" t="n">
        <v>0</v>
      </c>
      <c r="AC6" s="945" t="n">
        <v>0</v>
      </c>
      <c r="AD6" s="945" t="n">
        <v>0</v>
      </c>
      <c r="AE6" s="945" t="n">
        <v>0</v>
      </c>
      <c r="AF6" s="945" t="n">
        <v>0</v>
      </c>
      <c r="AG6" s="945" t="n">
        <v>0</v>
      </c>
      <c r="AH6" s="945" t="n">
        <v>0</v>
      </c>
      <c r="AI6" s="945" t="n">
        <v>0</v>
      </c>
      <c r="AJ6" s="373"/>
      <c r="AK6" s="373"/>
      <c r="AL6" s="373"/>
      <c r="AM6" s="753"/>
      <c r="AN6" s="753"/>
      <c r="AO6" s="753"/>
      <c r="AP6" s="753"/>
    </row>
    <row r="7" customFormat="false" ht="12.75" hidden="false" customHeight="false" outlineLevel="0" collapsed="false">
      <c r="A7" s="751"/>
      <c r="B7" s="946" t="str">
        <f aca="false">Assum!B297</f>
        <v>PTC REDUCTION % - for exclusion</v>
      </c>
      <c r="C7" s="828"/>
      <c r="D7" s="752"/>
      <c r="E7" s="451" t="n">
        <f aca="false">Assum!E297</f>
        <v>1</v>
      </c>
      <c r="F7" s="451" t="n">
        <f aca="false">Assum!F297</f>
        <v>1</v>
      </c>
      <c r="G7" s="451" t="n">
        <f aca="false">Assum!G297</f>
        <v>1</v>
      </c>
      <c r="H7" s="451" t="n">
        <f aca="false">Assum!H297</f>
        <v>1</v>
      </c>
      <c r="I7" s="451" t="n">
        <f aca="false">Assum!I297</f>
        <v>1</v>
      </c>
      <c r="J7" s="451" t="n">
        <f aca="false">Assum!J297</f>
        <v>1</v>
      </c>
      <c r="K7" s="451" t="n">
        <f aca="false">Assum!K297</f>
        <v>1</v>
      </c>
      <c r="L7" s="451" t="n">
        <f aca="false">Assum!L297</f>
        <v>1</v>
      </c>
      <c r="M7" s="451" t="n">
        <f aca="false">Assum!M297</f>
        <v>1</v>
      </c>
      <c r="N7" s="451" t="n">
        <f aca="false">Assum!N297</f>
        <v>1</v>
      </c>
      <c r="O7" s="451" t="n">
        <f aca="false">Assum!O297</f>
        <v>1</v>
      </c>
      <c r="P7" s="451" t="n">
        <f aca="false">Assum!P297</f>
        <v>1</v>
      </c>
      <c r="Q7" s="451" t="n">
        <f aca="false">Assum!Q297</f>
        <v>1</v>
      </c>
      <c r="R7" s="451" t="n">
        <f aca="false">Assum!R297</f>
        <v>1</v>
      </c>
      <c r="S7" s="451" t="n">
        <f aca="false">Assum!S297</f>
        <v>1</v>
      </c>
      <c r="T7" s="451" t="n">
        <f aca="false">Assum!T297</f>
        <v>1</v>
      </c>
      <c r="U7" s="451" t="n">
        <f aca="false">Assum!U297</f>
        <v>1</v>
      </c>
      <c r="V7" s="451" t="n">
        <f aca="false">Assum!V297</f>
        <v>1</v>
      </c>
      <c r="W7" s="451" t="n">
        <f aca="false">Assum!W297</f>
        <v>1</v>
      </c>
      <c r="X7" s="451" t="n">
        <f aca="false">Assum!X297</f>
        <v>1</v>
      </c>
      <c r="Y7" s="451" t="n">
        <f aca="false">Assum!Y297</f>
        <v>1</v>
      </c>
      <c r="Z7" s="451" t="n">
        <f aca="false">Assum!Z297</f>
        <v>1</v>
      </c>
      <c r="AA7" s="451" t="n">
        <f aca="false">Assum!AA297</f>
        <v>1</v>
      </c>
      <c r="AB7" s="451" t="n">
        <f aca="false">Assum!AB297</f>
        <v>1</v>
      </c>
      <c r="AC7" s="451" t="n">
        <f aca="false">Assum!AC297</f>
        <v>1</v>
      </c>
      <c r="AD7" s="451" t="n">
        <f aca="false">Assum!AD297</f>
        <v>1</v>
      </c>
      <c r="AE7" s="451" t="n">
        <f aca="false">Assum!AE297</f>
        <v>1</v>
      </c>
      <c r="AF7" s="451" t="n">
        <f aca="false">Assum!AF297</f>
        <v>1</v>
      </c>
      <c r="AG7" s="451" t="n">
        <f aca="false">Assum!AG297</f>
        <v>1</v>
      </c>
      <c r="AH7" s="451" t="n">
        <f aca="false">Assum!AH297</f>
        <v>1</v>
      </c>
      <c r="AI7" s="947" t="n">
        <f aca="false">Assum!AI297</f>
        <v>1</v>
      </c>
      <c r="AJ7" s="373"/>
      <c r="AK7" s="373"/>
      <c r="AL7" s="373"/>
      <c r="AM7" s="753"/>
      <c r="AN7" s="753"/>
      <c r="AO7" s="753"/>
      <c r="AP7" s="753"/>
    </row>
    <row r="8" customFormat="false" ht="12.75" hidden="false" customHeight="false" outlineLevel="0" collapsed="false">
      <c r="A8" s="751"/>
      <c r="B8" s="946" t="s">
        <v>609</v>
      </c>
      <c r="C8" s="828"/>
      <c r="D8" s="752"/>
      <c r="E8" s="752" t="n">
        <f aca="false">E6*E7</f>
        <v>2291.11065638161</v>
      </c>
      <c r="F8" s="752" t="n">
        <f aca="false">F6*F7</f>
        <v>2418.39458173614</v>
      </c>
      <c r="G8" s="752" t="n">
        <f aca="false">G6*G7</f>
        <v>2418.39458173614</v>
      </c>
      <c r="H8" s="752" t="n">
        <f aca="false">H6*H7</f>
        <v>2418.39458173614</v>
      </c>
      <c r="I8" s="752" t="n">
        <f aca="false">I6*I7</f>
        <v>2545.67850709067</v>
      </c>
      <c r="J8" s="752" t="n">
        <f aca="false">J6*J7</f>
        <v>2545.67850709067</v>
      </c>
      <c r="K8" s="752" t="n">
        <f aca="false">K6*K7</f>
        <v>2672.96243244521</v>
      </c>
      <c r="L8" s="752" t="n">
        <f aca="false">L6*L7</f>
        <v>2672.96243244521</v>
      </c>
      <c r="M8" s="752" t="n">
        <f aca="false">M6*M7</f>
        <v>2672.96243244521</v>
      </c>
      <c r="N8" s="752" t="n">
        <f aca="false">N6*N7</f>
        <v>2800.24635779974</v>
      </c>
      <c r="O8" s="752" t="n">
        <f aca="false">O6*O7</f>
        <v>0</v>
      </c>
      <c r="P8" s="752" t="n">
        <f aca="false">P6*P7</f>
        <v>0</v>
      </c>
      <c r="Q8" s="752" t="n">
        <f aca="false">Q6*Q7</f>
        <v>0</v>
      </c>
      <c r="R8" s="752" t="n">
        <f aca="false">R6*R7</f>
        <v>0</v>
      </c>
      <c r="S8" s="752" t="n">
        <f aca="false">S6*S7</f>
        <v>0</v>
      </c>
      <c r="T8" s="752" t="n">
        <f aca="false">T6*T7</f>
        <v>0</v>
      </c>
      <c r="U8" s="752" t="n">
        <f aca="false">U6*U7</f>
        <v>0</v>
      </c>
      <c r="V8" s="752" t="n">
        <f aca="false">V6*V7</f>
        <v>0</v>
      </c>
      <c r="W8" s="752" t="n">
        <f aca="false">W6*W7</f>
        <v>0</v>
      </c>
      <c r="X8" s="752" t="n">
        <f aca="false">X6*X7</f>
        <v>0</v>
      </c>
      <c r="Y8" s="752" t="n">
        <f aca="false">Y6*Y7</f>
        <v>0</v>
      </c>
      <c r="Z8" s="752" t="n">
        <f aca="false">Z6*Z7</f>
        <v>0</v>
      </c>
      <c r="AA8" s="752" t="n">
        <f aca="false">AA6*AA7</f>
        <v>0</v>
      </c>
      <c r="AB8" s="752" t="n">
        <f aca="false">AB6*AB7</f>
        <v>0</v>
      </c>
      <c r="AC8" s="752" t="n">
        <f aca="false">AC6*AC7</f>
        <v>0</v>
      </c>
      <c r="AD8" s="752" t="n">
        <f aca="false">AD6*AD7</f>
        <v>0</v>
      </c>
      <c r="AE8" s="752" t="n">
        <f aca="false">AE6*AE7</f>
        <v>0</v>
      </c>
      <c r="AF8" s="752" t="n">
        <f aca="false">AF6*AF7</f>
        <v>0</v>
      </c>
      <c r="AG8" s="752" t="n">
        <f aca="false">AG6*AG7</f>
        <v>0</v>
      </c>
      <c r="AH8" s="752" t="n">
        <f aca="false">AH6*AH7</f>
        <v>0</v>
      </c>
      <c r="AI8" s="948" t="n">
        <f aca="false">AI6*AI7</f>
        <v>0</v>
      </c>
      <c r="AJ8" s="373"/>
      <c r="AK8" s="373"/>
      <c r="AL8" s="373"/>
      <c r="AM8" s="753"/>
      <c r="AN8" s="753"/>
      <c r="AO8" s="753"/>
      <c r="AP8" s="753"/>
    </row>
    <row r="9" customFormat="false" ht="12.75" hidden="false" customHeight="false" outlineLevel="0" collapsed="false">
      <c r="A9" s="751"/>
      <c r="B9" s="946" t="s">
        <v>610</v>
      </c>
      <c r="C9" s="949" t="n">
        <f aca="false">Assum!E302</f>
        <v>0.41</v>
      </c>
      <c r="D9" s="100"/>
      <c r="E9" s="100" t="n">
        <f aca="false">IF(Assum!$E$303&gt;=E1,-Assum!$E$302*E8,0)</f>
        <v>-939.355369116458</v>
      </c>
      <c r="F9" s="100" t="n">
        <f aca="false">IF(Assum!$E$303&gt;=F1,-Assum!$E$302*F8,0)</f>
        <v>-991.541778511817</v>
      </c>
      <c r="G9" s="100" t="n">
        <f aca="false">IF(Assum!$E$303&gt;=G1,-Assum!$E$302*G8,0)</f>
        <v>-991.541778511817</v>
      </c>
      <c r="H9" s="100" t="n">
        <f aca="false">IF(Assum!$E$303&gt;=H1,-Assum!$E$302*H8,0)</f>
        <v>-991.541778511817</v>
      </c>
      <c r="I9" s="100" t="n">
        <f aca="false">IF(Assum!$E$303&gt;=I1,-Assum!$E$302*I8,0)</f>
        <v>-1043.72818790718</v>
      </c>
      <c r="J9" s="100" t="n">
        <f aca="false">IF(Assum!$E$303&gt;=J1,-Assum!$E$302*J8,0)</f>
        <v>0</v>
      </c>
      <c r="K9" s="100" t="n">
        <f aca="false">IF(Assum!$E$303&gt;=K1,-Assum!$E$302*K8,0)</f>
        <v>0</v>
      </c>
      <c r="L9" s="100" t="n">
        <f aca="false">IF(Assum!$E$303&gt;=L1,-Assum!$E$302*L8,0)</f>
        <v>0</v>
      </c>
      <c r="M9" s="100" t="n">
        <f aca="false">IF(Assum!$E$303&gt;=M1,-Assum!$E$302*M8,0)</f>
        <v>0</v>
      </c>
      <c r="N9" s="100" t="n">
        <f aca="false">IF(Assum!$E$303&gt;=N1,-Assum!$E$302*N8,0)</f>
        <v>0</v>
      </c>
      <c r="O9" s="100" t="n">
        <f aca="false">IF(Assum!$E$303&gt;=O1,-Assum!$E$302*O8,0)</f>
        <v>0</v>
      </c>
      <c r="P9" s="100" t="n">
        <f aca="false">IF(Assum!$E$303&gt;=P1,-Assum!$E$302*P8,0)</f>
        <v>0</v>
      </c>
      <c r="Q9" s="100" t="n">
        <f aca="false">IF(Assum!$E$303&gt;=Q1,-Assum!$E$302*Q8,0)</f>
        <v>0</v>
      </c>
      <c r="R9" s="100" t="n">
        <f aca="false">IF(Assum!$E$303&gt;=R1,-Assum!$E$302*R8,0)</f>
        <v>0</v>
      </c>
      <c r="S9" s="100" t="n">
        <f aca="false">IF(Assum!$E$303&gt;=S1,-Assum!$E$302*S8,0)</f>
        <v>0</v>
      </c>
      <c r="T9" s="100" t="n">
        <f aca="false">IF(Assum!$E$303&gt;=T1,-Assum!$E$302*T8,0)</f>
        <v>0</v>
      </c>
      <c r="U9" s="100" t="n">
        <f aca="false">IF(Assum!$E$303&gt;=U1,-Assum!$E$302*U8,0)</f>
        <v>0</v>
      </c>
      <c r="V9" s="100" t="n">
        <f aca="false">IF(Assum!$E$303&gt;=V1,-Assum!$E$302*V8,0)</f>
        <v>0</v>
      </c>
      <c r="W9" s="100" t="n">
        <f aca="false">IF(Assum!$E$303&gt;=W1,-Assum!$E$302*W8,0)</f>
        <v>0</v>
      </c>
      <c r="X9" s="100" t="n">
        <f aca="false">IF(Assum!$E$303&gt;=X1,-Assum!$E$302*X8,0)</f>
        <v>0</v>
      </c>
      <c r="Y9" s="100" t="n">
        <f aca="false">IF(Assum!$E$303&gt;=Y1,-Assum!$E$302*Y8,0)</f>
        <v>0</v>
      </c>
      <c r="Z9" s="100" t="n">
        <f aca="false">IF(Assum!$E$303&gt;=Z1,-Assum!$E$302*Z8,0)</f>
        <v>0</v>
      </c>
      <c r="AA9" s="100" t="n">
        <f aca="false">IF(Assum!$E$303&gt;=AA1,-Assum!$E$302*AA8,0)</f>
        <v>0</v>
      </c>
      <c r="AB9" s="100" t="n">
        <f aca="false">IF(Assum!$E$303&gt;=AB1,-Assum!$E$302*AB8,0)</f>
        <v>0</v>
      </c>
      <c r="AC9" s="100" t="n">
        <f aca="false">IF(Assum!$E$303&gt;=AC1,-Assum!$E$302*AC8,0)</f>
        <v>0</v>
      </c>
      <c r="AD9" s="100" t="n">
        <f aca="false">IF(Assum!$E$303&gt;=AD1,-Assum!$E$302*AD8,0)</f>
        <v>0</v>
      </c>
      <c r="AE9" s="100" t="n">
        <f aca="false">IF(Assum!$E$303&gt;=AE1,-Assum!$E$302*AE8,0)</f>
        <v>0</v>
      </c>
      <c r="AF9" s="100" t="n">
        <f aca="false">IF(Assum!$E$303&gt;=AF1,-Assum!$E$302*AF8,0)</f>
        <v>0</v>
      </c>
      <c r="AG9" s="100" t="n">
        <f aca="false">IF(Assum!$E$303&gt;=AG1,-Assum!$E$302*AG8,0)</f>
        <v>0</v>
      </c>
      <c r="AH9" s="100" t="n">
        <f aca="false">IF(Assum!$E$303&gt;=AH1,-Assum!$E$302*AH8,0)</f>
        <v>0</v>
      </c>
      <c r="AI9" s="100" t="n">
        <f aca="false">IF(Assum!$E$303&gt;=AI1,-Assum!$E$302*AI8,0)</f>
        <v>0</v>
      </c>
      <c r="AJ9" s="373"/>
      <c r="AK9" s="373"/>
      <c r="AL9" s="373"/>
      <c r="AM9" s="753"/>
      <c r="AN9" s="753"/>
      <c r="AO9" s="753"/>
      <c r="AP9" s="753"/>
    </row>
    <row r="10" customFormat="false" ht="12.75" hidden="false" customHeight="false" outlineLevel="0" collapsed="false">
      <c r="A10" s="751"/>
      <c r="B10" s="946" t="s">
        <v>611</v>
      </c>
      <c r="C10" s="949" t="n">
        <f aca="false">Assum!E304</f>
        <v>0.28</v>
      </c>
      <c r="D10" s="100"/>
      <c r="E10" s="100" t="n">
        <f aca="false">IF(Assum!$E$303&gt;=E1,0,-Assum!$E$304*JrDebt!E8)</f>
        <v>0</v>
      </c>
      <c r="F10" s="100" t="n">
        <f aca="false">IF(Assum!$E$303&gt;=F1,0,-Assum!$E$304*JrDebt!F8)</f>
        <v>0</v>
      </c>
      <c r="G10" s="100" t="n">
        <f aca="false">IF(Assum!$E$303&gt;=G1,0,-Assum!$E$304*JrDebt!G8)</f>
        <v>0</v>
      </c>
      <c r="H10" s="100" t="n">
        <f aca="false">IF(Assum!$E$303&gt;=H1,0,-Assum!$E$304*JrDebt!H8)</f>
        <v>0</v>
      </c>
      <c r="I10" s="100" t="n">
        <f aca="false">IF(Assum!$E$303&gt;=I1,0,-Assum!$E$304*JrDebt!I8)</f>
        <v>0</v>
      </c>
      <c r="J10" s="100" t="n">
        <f aca="false">IF(Assum!$E$303&gt;=J1,0,-Assum!$E$304*JrDebt!J8)</f>
        <v>-712.789981985389</v>
      </c>
      <c r="K10" s="100" t="n">
        <f aca="false">IF(Assum!$E$303&gt;=K1,0,-Assum!$E$304*JrDebt!K8)</f>
        <v>-748.429481084658</v>
      </c>
      <c r="L10" s="100" t="n">
        <f aca="false">IF(Assum!$E$303&gt;=L1,0,-Assum!$E$304*JrDebt!L8)</f>
        <v>-748.429481084658</v>
      </c>
      <c r="M10" s="100" t="n">
        <f aca="false">IF(Assum!$E$303&gt;=M1,0,-Assum!$E$304*JrDebt!M8)</f>
        <v>-748.429481084658</v>
      </c>
      <c r="N10" s="100" t="n">
        <f aca="false">IF(Assum!$E$303&gt;=N1,0,-Assum!$E$304*JrDebt!N8)</f>
        <v>-784.068980183928</v>
      </c>
      <c r="O10" s="100" t="n">
        <f aca="false">IF(Assum!$E$303&gt;=O1,0,-Assum!$E$304*JrDebt!O8)</f>
        <v>-0</v>
      </c>
      <c r="P10" s="100" t="n">
        <f aca="false">IF(Assum!$E$303&gt;=P1,0,-Assum!$E$304*JrDebt!P8)</f>
        <v>-0</v>
      </c>
      <c r="Q10" s="100" t="n">
        <f aca="false">IF(Assum!$E$303&gt;=Q1,0,-Assum!$E$304*JrDebt!Q8)</f>
        <v>-0</v>
      </c>
      <c r="R10" s="100" t="n">
        <f aca="false">IF(Assum!$E$303&gt;=R1,0,-Assum!$E$304*JrDebt!R8)</f>
        <v>-0</v>
      </c>
      <c r="S10" s="100" t="n">
        <f aca="false">IF(Assum!$E$303&gt;=S1,0,-Assum!$E$304*JrDebt!S8)</f>
        <v>-0</v>
      </c>
      <c r="T10" s="100" t="n">
        <f aca="false">IF(Assum!$E$303&gt;=T1,0,-Assum!$E$304*JrDebt!T8)</f>
        <v>-0</v>
      </c>
      <c r="U10" s="100" t="n">
        <f aca="false">IF(Assum!$E$303&gt;=U1,0,-Assum!$E$304*JrDebt!U8)</f>
        <v>-0</v>
      </c>
      <c r="V10" s="100" t="n">
        <f aca="false">IF(Assum!$E$303&gt;=V1,0,-Assum!$E$304*JrDebt!V8)</f>
        <v>-0</v>
      </c>
      <c r="W10" s="100" t="n">
        <f aca="false">IF(Assum!$E$303&gt;=W1,0,-Assum!$E$304*JrDebt!W8)</f>
        <v>-0</v>
      </c>
      <c r="X10" s="100" t="n">
        <f aca="false">IF(Assum!$E$303&gt;=X1,0,-Assum!$E$304*JrDebt!X8)</f>
        <v>-0</v>
      </c>
      <c r="Y10" s="100" t="n">
        <f aca="false">IF(Assum!$E$303&gt;=Y1,0,-Assum!$E$304*JrDebt!Y8)</f>
        <v>-0</v>
      </c>
      <c r="Z10" s="100" t="n">
        <f aca="false">IF(Assum!$E$303&gt;=Z1,0,-Assum!$E$304*JrDebt!Z8)</f>
        <v>-0</v>
      </c>
      <c r="AA10" s="100" t="n">
        <f aca="false">IF(Assum!$E$303&gt;=AA1,0,-Assum!$E$304*JrDebt!AA8)</f>
        <v>-0</v>
      </c>
      <c r="AB10" s="100" t="n">
        <f aca="false">IF(Assum!$E$303&gt;=AB1,0,-Assum!$E$304*JrDebt!AB8)</f>
        <v>-0</v>
      </c>
      <c r="AC10" s="100" t="n">
        <f aca="false">IF(Assum!$E$303&gt;=AC1,0,-Assum!$E$304*JrDebt!AC8)</f>
        <v>-0</v>
      </c>
      <c r="AD10" s="100" t="n">
        <f aca="false">IF(Assum!$E$303&gt;=AD1,0,-Assum!$E$304*JrDebt!AD8)</f>
        <v>-0</v>
      </c>
      <c r="AE10" s="100" t="n">
        <f aca="false">IF(Assum!$E$303&gt;=AE1,0,-Assum!$E$304*JrDebt!AE8)</f>
        <v>-0</v>
      </c>
      <c r="AF10" s="100" t="n">
        <f aca="false">IF(Assum!$E$303&gt;=AF1,0,-Assum!$E$304*JrDebt!AF8)</f>
        <v>-0</v>
      </c>
      <c r="AG10" s="100" t="n">
        <f aca="false">IF(Assum!$E$303&gt;=AG1,0,-Assum!$E$304*JrDebt!AG8)</f>
        <v>-0</v>
      </c>
      <c r="AH10" s="100" t="n">
        <f aca="false">IF(Assum!$E$303&gt;=AH1,0,-Assum!$E$304*JrDebt!AH8)</f>
        <v>-0</v>
      </c>
      <c r="AI10" s="100" t="n">
        <f aca="false">IF(Assum!$E$303&gt;=AI1,0,-Assum!$E$304*JrDebt!AI8)</f>
        <v>-0</v>
      </c>
      <c r="AJ10" s="373"/>
      <c r="AK10" s="373"/>
      <c r="AL10" s="373"/>
      <c r="AM10" s="753"/>
      <c r="AN10" s="753"/>
      <c r="AO10" s="753"/>
      <c r="AP10" s="753"/>
    </row>
    <row r="11" customFormat="false" ht="12.75" hidden="false" customHeight="false" outlineLevel="0" collapsed="false">
      <c r="A11" s="751"/>
      <c r="B11" s="950" t="s">
        <v>612</v>
      </c>
      <c r="C11" s="951"/>
      <c r="D11" s="757"/>
      <c r="E11" s="757" t="n">
        <f aca="false">E6+SUM(E9:E10)</f>
        <v>1351.75528726515</v>
      </c>
      <c r="F11" s="757" t="n">
        <f aca="false">F6+SUM(F9:F10)</f>
        <v>1426.85280322432</v>
      </c>
      <c r="G11" s="757" t="n">
        <f aca="false">G6+SUM(G9:G10)</f>
        <v>1426.85280322432</v>
      </c>
      <c r="H11" s="757" t="n">
        <f aca="false">H6+SUM(H9:H10)</f>
        <v>1426.85280322432</v>
      </c>
      <c r="I11" s="757" t="n">
        <f aca="false">I6+SUM(I9:I10)</f>
        <v>1501.9503191835</v>
      </c>
      <c r="J11" s="757" t="n">
        <f aca="false">J6+SUM(J9:J10)</f>
        <v>1832.88852510528</v>
      </c>
      <c r="K11" s="757" t="n">
        <f aca="false">K6+SUM(K9:K10)</f>
        <v>1924.53295136055</v>
      </c>
      <c r="L11" s="757" t="n">
        <f aca="false">L6+SUM(L9:L10)</f>
        <v>1924.53295136055</v>
      </c>
      <c r="M11" s="757" t="n">
        <f aca="false">M6+SUM(M9:M10)</f>
        <v>1924.53295136055</v>
      </c>
      <c r="N11" s="757" t="n">
        <f aca="false">N6+SUM(N9:N10)</f>
        <v>2016.17737761581</v>
      </c>
      <c r="O11" s="757" t="n">
        <f aca="false">O6+SUM(O9:O10)</f>
        <v>0</v>
      </c>
      <c r="P11" s="757" t="n">
        <f aca="false">P6+SUM(P9:P10)</f>
        <v>0</v>
      </c>
      <c r="Q11" s="757" t="n">
        <f aca="false">Q6+SUM(Q9:Q10)</f>
        <v>0</v>
      </c>
      <c r="R11" s="757" t="n">
        <f aca="false">R6+SUM(R9:R10)</f>
        <v>0</v>
      </c>
      <c r="S11" s="757" t="n">
        <f aca="false">S6+SUM(S9:S10)</f>
        <v>0</v>
      </c>
      <c r="T11" s="757" t="n">
        <f aca="false">T6+SUM(T9:T10)</f>
        <v>0</v>
      </c>
      <c r="U11" s="757" t="n">
        <f aca="false">U6+SUM(U9:U10)</f>
        <v>0</v>
      </c>
      <c r="V11" s="757" t="n">
        <f aca="false">V6+SUM(V9:V10)</f>
        <v>0</v>
      </c>
      <c r="W11" s="757" t="n">
        <f aca="false">W6+SUM(W9:W10)</f>
        <v>0</v>
      </c>
      <c r="X11" s="757" t="n">
        <f aca="false">X6+SUM(X9:X10)</f>
        <v>0</v>
      </c>
      <c r="Y11" s="757" t="n">
        <f aca="false">Y6+SUM(Y9:Y10)</f>
        <v>0</v>
      </c>
      <c r="Z11" s="757" t="n">
        <f aca="false">Z6+SUM(Z9:Z10)</f>
        <v>0</v>
      </c>
      <c r="AA11" s="757" t="n">
        <f aca="false">AA6+SUM(AA9:AA10)</f>
        <v>0</v>
      </c>
      <c r="AB11" s="757" t="n">
        <f aca="false">AB6+SUM(AB9:AB10)</f>
        <v>0</v>
      </c>
      <c r="AC11" s="757" t="n">
        <f aca="false">AC6+SUM(AC9:AC10)</f>
        <v>0</v>
      </c>
      <c r="AD11" s="757" t="n">
        <f aca="false">AD6+SUM(AD9:AD10)</f>
        <v>0</v>
      </c>
      <c r="AE11" s="757" t="n">
        <f aca="false">AE6+SUM(AE9:AE10)</f>
        <v>0</v>
      </c>
      <c r="AF11" s="757" t="n">
        <f aca="false">AF6+SUM(AF9:AF10)</f>
        <v>0</v>
      </c>
      <c r="AG11" s="757" t="n">
        <f aca="false">AG6+SUM(AG9:AG10)</f>
        <v>0</v>
      </c>
      <c r="AH11" s="757" t="n">
        <f aca="false">AH6+SUM(AH9:AH10)</f>
        <v>0</v>
      </c>
      <c r="AI11" s="952" t="n">
        <f aca="false">AI6+SUM(AI9:AI10)</f>
        <v>0</v>
      </c>
      <c r="AJ11" s="755"/>
      <c r="AK11" s="755"/>
      <c r="AL11" s="755"/>
      <c r="AM11" s="953"/>
      <c r="AN11" s="953"/>
      <c r="AO11" s="953"/>
      <c r="AP11" s="953"/>
      <c r="AQ11" s="954"/>
      <c r="AR11" s="954"/>
      <c r="AS11" s="954"/>
      <c r="AT11" s="954"/>
      <c r="AU11" s="954"/>
      <c r="AV11" s="954"/>
      <c r="AW11" s="954"/>
      <c r="AX11" s="954"/>
      <c r="AY11" s="954"/>
      <c r="AZ11" s="954"/>
      <c r="BA11" s="954"/>
      <c r="BB11" s="954"/>
      <c r="BC11" s="954"/>
      <c r="BD11" s="954"/>
      <c r="BE11" s="954"/>
      <c r="BF11" s="954"/>
      <c r="BG11" s="954"/>
      <c r="BH11" s="954"/>
      <c r="BI11" s="954"/>
      <c r="BJ11" s="954"/>
      <c r="BK11" s="954"/>
      <c r="BL11" s="954"/>
      <c r="BM11" s="954"/>
      <c r="BN11" s="954"/>
      <c r="BO11" s="954"/>
      <c r="BP11" s="954"/>
      <c r="BQ11" s="954"/>
      <c r="BR11" s="954"/>
      <c r="BS11" s="954"/>
      <c r="BT11" s="954"/>
      <c r="BU11" s="954"/>
      <c r="BV11" s="954"/>
      <c r="BW11" s="954"/>
      <c r="BX11" s="954"/>
      <c r="BY11" s="954"/>
      <c r="BZ11" s="954"/>
      <c r="CA11" s="954"/>
      <c r="CB11" s="954"/>
      <c r="CC11" s="954"/>
      <c r="CD11" s="954"/>
      <c r="CE11" s="954"/>
      <c r="CF11" s="954"/>
      <c r="CG11" s="954"/>
      <c r="CH11" s="954"/>
      <c r="CI11" s="954"/>
      <c r="CJ11" s="954"/>
      <c r="CK11" s="954"/>
      <c r="CL11" s="954"/>
      <c r="CM11" s="954"/>
      <c r="CN11" s="954"/>
      <c r="CO11" s="954"/>
      <c r="CP11" s="954"/>
      <c r="CQ11" s="954"/>
      <c r="CR11" s="954"/>
      <c r="CS11" s="954"/>
      <c r="CT11" s="954"/>
      <c r="CU11" s="954"/>
      <c r="CV11" s="954"/>
      <c r="CW11" s="954"/>
      <c r="CX11" s="954"/>
      <c r="CY11" s="954"/>
      <c r="CZ11" s="954"/>
      <c r="DA11" s="954"/>
      <c r="DB11" s="954"/>
      <c r="DC11" s="954"/>
      <c r="DD11" s="954"/>
      <c r="DE11" s="954"/>
      <c r="DF11" s="954"/>
      <c r="DG11" s="954"/>
      <c r="DH11" s="954"/>
      <c r="DI11" s="954"/>
      <c r="DJ11" s="954"/>
      <c r="DK11" s="954"/>
      <c r="DL11" s="954"/>
      <c r="DM11" s="954"/>
      <c r="DN11" s="954"/>
      <c r="DO11" s="954"/>
      <c r="DP11" s="954"/>
      <c r="DQ11" s="954"/>
      <c r="DR11" s="954"/>
      <c r="DS11" s="954"/>
      <c r="DT11" s="954"/>
      <c r="DU11" s="954"/>
      <c r="DV11" s="954"/>
      <c r="DW11" s="954"/>
      <c r="DX11" s="954"/>
      <c r="DY11" s="954"/>
      <c r="DZ11" s="954"/>
      <c r="EA11" s="954"/>
      <c r="EB11" s="954"/>
      <c r="EC11" s="954"/>
      <c r="ED11" s="954"/>
      <c r="EE11" s="954"/>
      <c r="EF11" s="954"/>
      <c r="EG11" s="954"/>
      <c r="EH11" s="954"/>
      <c r="EI11" s="954"/>
      <c r="EJ11" s="954"/>
      <c r="EK11" s="954"/>
      <c r="EL11" s="954"/>
      <c r="EM11" s="954"/>
      <c r="EN11" s="954"/>
      <c r="EO11" s="954"/>
      <c r="EP11" s="954"/>
      <c r="EQ11" s="954"/>
      <c r="ER11" s="954"/>
      <c r="ES11" s="954"/>
      <c r="ET11" s="954"/>
      <c r="EU11" s="954"/>
      <c r="EV11" s="954"/>
      <c r="EW11" s="954"/>
      <c r="EX11" s="954"/>
      <c r="EY11" s="954"/>
      <c r="EZ11" s="954"/>
      <c r="FA11" s="954"/>
      <c r="FB11" s="954"/>
      <c r="FC11" s="954"/>
      <c r="FD11" s="954"/>
      <c r="FE11" s="954"/>
      <c r="FF11" s="954"/>
      <c r="FG11" s="954"/>
      <c r="FH11" s="954"/>
      <c r="FI11" s="954"/>
      <c r="FJ11" s="954"/>
      <c r="FK11" s="954"/>
      <c r="FL11" s="954"/>
      <c r="FM11" s="954"/>
      <c r="FN11" s="954"/>
      <c r="FO11" s="954"/>
      <c r="FP11" s="954"/>
      <c r="FQ11" s="954"/>
      <c r="FR11" s="954"/>
      <c r="FS11" s="954"/>
      <c r="FT11" s="954"/>
      <c r="FU11" s="954"/>
      <c r="FV11" s="954"/>
      <c r="FW11" s="954"/>
      <c r="FX11" s="954"/>
      <c r="FY11" s="954"/>
      <c r="FZ11" s="954"/>
      <c r="GA11" s="954"/>
      <c r="GB11" s="954"/>
      <c r="GC11" s="954"/>
      <c r="GD11" s="954"/>
      <c r="GE11" s="954"/>
      <c r="GF11" s="954"/>
      <c r="GG11" s="954"/>
      <c r="GH11" s="954"/>
      <c r="GI11" s="954"/>
      <c r="GJ11" s="954"/>
      <c r="GK11" s="954"/>
      <c r="GL11" s="954"/>
      <c r="GM11" s="954"/>
      <c r="GN11" s="954"/>
      <c r="GO11" s="954"/>
      <c r="GP11" s="954"/>
      <c r="GQ11" s="954"/>
      <c r="GR11" s="954"/>
      <c r="GS11" s="954"/>
      <c r="GT11" s="954"/>
      <c r="GU11" s="954"/>
      <c r="GV11" s="954"/>
      <c r="GW11" s="954"/>
      <c r="GX11" s="954"/>
      <c r="GY11" s="954"/>
      <c r="GZ11" s="954"/>
      <c r="HA11" s="954"/>
      <c r="HB11" s="954"/>
      <c r="HC11" s="954"/>
      <c r="HD11" s="954"/>
      <c r="HE11" s="954"/>
      <c r="HF11" s="954"/>
      <c r="HG11" s="954"/>
      <c r="HH11" s="954"/>
      <c r="HI11" s="954"/>
      <c r="HJ11" s="954"/>
      <c r="HK11" s="954"/>
      <c r="HL11" s="954"/>
      <c r="HM11" s="954"/>
      <c r="HN11" s="954"/>
      <c r="HO11" s="954"/>
      <c r="HP11" s="954"/>
      <c r="HQ11" s="954"/>
      <c r="HR11" s="954"/>
      <c r="HS11" s="954"/>
      <c r="HT11" s="954"/>
      <c r="HU11" s="954"/>
      <c r="HV11" s="954"/>
      <c r="HW11" s="954"/>
      <c r="HX11" s="954"/>
      <c r="HY11" s="954"/>
      <c r="HZ11" s="954"/>
      <c r="IA11" s="954"/>
      <c r="IB11" s="954"/>
      <c r="IC11" s="954"/>
      <c r="ID11" s="954"/>
      <c r="IE11" s="954"/>
      <c r="IF11" s="954"/>
      <c r="IG11" s="954"/>
      <c r="IH11" s="954"/>
      <c r="II11" s="954"/>
      <c r="IJ11" s="954"/>
      <c r="IK11" s="954"/>
      <c r="IL11" s="954"/>
      <c r="IM11" s="954"/>
      <c r="IN11" s="954"/>
      <c r="IO11" s="954"/>
      <c r="IP11" s="954"/>
      <c r="IQ11" s="954"/>
      <c r="IR11" s="954"/>
      <c r="IS11" s="954"/>
      <c r="IT11" s="954"/>
      <c r="IU11" s="954"/>
      <c r="IV11" s="954"/>
      <c r="IW11" s="954"/>
    </row>
    <row r="12" customFormat="false" ht="12.75" hidden="false" customHeight="false" outlineLevel="0" collapsed="false">
      <c r="A12" s="751"/>
      <c r="B12" s="955" t="s">
        <v>613</v>
      </c>
      <c r="C12" s="646" t="n">
        <f aca="false">Assum!E341</f>
        <v>0.99</v>
      </c>
      <c r="D12" s="451"/>
      <c r="E12" s="752" t="n">
        <f aca="false">E11*Assum!E341</f>
        <v>1338.2377343925</v>
      </c>
      <c r="F12" s="752" t="n">
        <f aca="false">F11*Assum!F341</f>
        <v>1412.58427519208</v>
      </c>
      <c r="G12" s="752" t="n">
        <f aca="false">G11*Assum!G341</f>
        <v>1412.58427519208</v>
      </c>
      <c r="H12" s="752" t="n">
        <f aca="false">H11*Assum!H341</f>
        <v>1412.58427519208</v>
      </c>
      <c r="I12" s="752" t="n">
        <f aca="false">I11*Assum!I341</f>
        <v>1486.93081599166</v>
      </c>
      <c r="J12" s="752" t="n">
        <f aca="false">J11*Assum!J341</f>
        <v>1814.55963985423</v>
      </c>
      <c r="K12" s="752" t="n">
        <f aca="false">K11*Assum!K341</f>
        <v>1905.28762184694</v>
      </c>
      <c r="L12" s="752" t="n">
        <f aca="false">L11*Assum!L341</f>
        <v>1905.28762184694</v>
      </c>
      <c r="M12" s="752" t="n">
        <f aca="false">M11*Assum!M341</f>
        <v>1905.28762184694</v>
      </c>
      <c r="N12" s="752" t="n">
        <f aca="false">N11*Assum!N341</f>
        <v>1996.01560383966</v>
      </c>
      <c r="O12" s="752" t="n">
        <f aca="false">O11*Assum!O341</f>
        <v>0</v>
      </c>
      <c r="P12" s="752" t="n">
        <f aca="false">P11*Assum!P341</f>
        <v>0</v>
      </c>
      <c r="Q12" s="752" t="n">
        <f aca="false">Q11*Assum!Q341</f>
        <v>0</v>
      </c>
      <c r="R12" s="752" t="n">
        <f aca="false">R11*Assum!R341</f>
        <v>0</v>
      </c>
      <c r="S12" s="752" t="n">
        <f aca="false">S11*Assum!S341</f>
        <v>0</v>
      </c>
      <c r="T12" s="752" t="n">
        <f aca="false">T11*Assum!T341</f>
        <v>0</v>
      </c>
      <c r="U12" s="752" t="n">
        <f aca="false">U11*Assum!U341</f>
        <v>0</v>
      </c>
      <c r="V12" s="752" t="n">
        <f aca="false">V11*Assum!V341</f>
        <v>0</v>
      </c>
      <c r="W12" s="752" t="n">
        <f aca="false">W11*Assum!W341</f>
        <v>0</v>
      </c>
      <c r="X12" s="752" t="n">
        <f aca="false">X11*Assum!X341</f>
        <v>0</v>
      </c>
      <c r="Y12" s="752" t="n">
        <f aca="false">Y11*Assum!Y341</f>
        <v>0</v>
      </c>
      <c r="Z12" s="752" t="n">
        <f aca="false">Z11*Assum!Z341</f>
        <v>0</v>
      </c>
      <c r="AA12" s="752" t="n">
        <f aca="false">AA11*Assum!AA341</f>
        <v>0</v>
      </c>
      <c r="AB12" s="752" t="n">
        <f aca="false">AB11*Assum!AB341</f>
        <v>0</v>
      </c>
      <c r="AC12" s="752" t="n">
        <f aca="false">AC11*Assum!AC341</f>
        <v>0</v>
      </c>
      <c r="AD12" s="752" t="n">
        <f aca="false">AD11*Assum!AD341</f>
        <v>0</v>
      </c>
      <c r="AE12" s="752" t="n">
        <f aca="false">AE11*Assum!AE341</f>
        <v>0</v>
      </c>
      <c r="AF12" s="752" t="n">
        <f aca="false">AF11*Assum!AF341</f>
        <v>0</v>
      </c>
      <c r="AG12" s="752" t="n">
        <f aca="false">AG11*Assum!AG341</f>
        <v>0</v>
      </c>
      <c r="AH12" s="752" t="n">
        <f aca="false">AH11*Assum!AH341</f>
        <v>0</v>
      </c>
      <c r="AI12" s="948" t="n">
        <f aca="false">AI11*Assum!AI341</f>
        <v>0</v>
      </c>
      <c r="AJ12" s="373"/>
      <c r="AK12" s="373"/>
      <c r="AL12" s="373"/>
      <c r="AM12" s="753"/>
      <c r="AN12" s="753"/>
      <c r="AO12" s="753"/>
      <c r="AP12" s="753"/>
    </row>
    <row r="13" customFormat="false" ht="12.75" hidden="false" customHeight="false" outlineLevel="0" collapsed="false">
      <c r="A13" s="751"/>
      <c r="B13" s="955" t="s">
        <v>614</v>
      </c>
      <c r="C13" s="646" t="n">
        <f aca="false">Assum!E342</f>
        <v>0.01</v>
      </c>
      <c r="D13" s="451"/>
      <c r="E13" s="752" t="n">
        <f aca="false">E11*Assum!E342</f>
        <v>13.5175528726515</v>
      </c>
      <c r="F13" s="752" t="n">
        <f aca="false">F11*Assum!F342</f>
        <v>14.2685280322432</v>
      </c>
      <c r="G13" s="752" t="n">
        <f aca="false">G11*Assum!G342</f>
        <v>14.2685280322432</v>
      </c>
      <c r="H13" s="752" t="n">
        <f aca="false">H11*Assum!H342</f>
        <v>14.2685280322432</v>
      </c>
      <c r="I13" s="752" t="n">
        <f aca="false">I11*Assum!I342</f>
        <v>15.019503191835</v>
      </c>
      <c r="J13" s="752" t="n">
        <f aca="false">J11*Assum!J342</f>
        <v>18.3288852510528</v>
      </c>
      <c r="K13" s="752" t="n">
        <f aca="false">K11*Assum!K342</f>
        <v>19.2453295136055</v>
      </c>
      <c r="L13" s="752" t="n">
        <f aca="false">L11*Assum!L342</f>
        <v>19.2453295136055</v>
      </c>
      <c r="M13" s="752" t="n">
        <f aca="false">M11*Assum!M342</f>
        <v>19.2453295136055</v>
      </c>
      <c r="N13" s="752" t="n">
        <f aca="false">N11*Assum!N342</f>
        <v>20.1617737761581</v>
      </c>
      <c r="O13" s="752" t="n">
        <f aca="false">O11*Assum!O342</f>
        <v>0</v>
      </c>
      <c r="P13" s="752" t="n">
        <f aca="false">P11*Assum!P342</f>
        <v>0</v>
      </c>
      <c r="Q13" s="752" t="n">
        <f aca="false">Q11*Assum!Q342</f>
        <v>0</v>
      </c>
      <c r="R13" s="752" t="n">
        <f aca="false">R11*Assum!R342</f>
        <v>0</v>
      </c>
      <c r="S13" s="752" t="n">
        <f aca="false">S11*Assum!S342</f>
        <v>0</v>
      </c>
      <c r="T13" s="752" t="n">
        <f aca="false">T11*Assum!T342</f>
        <v>0</v>
      </c>
      <c r="U13" s="752" t="n">
        <f aca="false">U11*Assum!U342</f>
        <v>0</v>
      </c>
      <c r="V13" s="752" t="n">
        <f aca="false">V11*Assum!V342</f>
        <v>0</v>
      </c>
      <c r="W13" s="752" t="n">
        <f aca="false">W11*Assum!W342</f>
        <v>0</v>
      </c>
      <c r="X13" s="752" t="n">
        <f aca="false">X11*Assum!X342</f>
        <v>0</v>
      </c>
      <c r="Y13" s="752" t="n">
        <f aca="false">Y11*Assum!Y342</f>
        <v>0</v>
      </c>
      <c r="Z13" s="752" t="n">
        <f aca="false">Z11*Assum!Z342</f>
        <v>0</v>
      </c>
      <c r="AA13" s="752" t="n">
        <f aca="false">AA11*Assum!AA342</f>
        <v>0</v>
      </c>
      <c r="AB13" s="752" t="n">
        <f aca="false">AB11*Assum!AB342</f>
        <v>0</v>
      </c>
      <c r="AC13" s="752" t="n">
        <f aca="false">AC11*Assum!AC342</f>
        <v>0</v>
      </c>
      <c r="AD13" s="752" t="n">
        <f aca="false">AD11*Assum!AD342</f>
        <v>0</v>
      </c>
      <c r="AE13" s="752" t="n">
        <f aca="false">AE11*Assum!AE342</f>
        <v>0</v>
      </c>
      <c r="AF13" s="752" t="n">
        <f aca="false">AF11*Assum!AF342</f>
        <v>0</v>
      </c>
      <c r="AG13" s="752" t="n">
        <f aca="false">AG11*Assum!AG342</f>
        <v>0</v>
      </c>
      <c r="AH13" s="752" t="n">
        <f aca="false">AH11*Assum!AH342</f>
        <v>0</v>
      </c>
      <c r="AI13" s="948" t="n">
        <f aca="false">AI11*Assum!AI342</f>
        <v>0</v>
      </c>
      <c r="AJ13" s="373"/>
      <c r="AK13" s="373"/>
      <c r="AL13" s="373"/>
      <c r="AM13" s="753"/>
      <c r="AN13" s="753"/>
      <c r="AO13" s="753"/>
      <c r="AP13" s="753"/>
    </row>
    <row r="14" customFormat="false" ht="12.75" hidden="false" customHeight="false" outlineLevel="0" collapsed="false">
      <c r="A14" s="751"/>
      <c r="B14" s="946" t="s">
        <v>615</v>
      </c>
      <c r="C14" s="956" t="n">
        <f aca="false">Assum!E305*Assum!$E$281</f>
        <v>0</v>
      </c>
      <c r="D14" s="957"/>
      <c r="E14" s="752" t="n">
        <f aca="false">E12*$C$14</f>
        <v>0</v>
      </c>
      <c r="F14" s="752" t="n">
        <f aca="false">F12*$C$14</f>
        <v>0</v>
      </c>
      <c r="G14" s="752" t="n">
        <f aca="false">G12*$C$14</f>
        <v>0</v>
      </c>
      <c r="H14" s="752" t="n">
        <f aca="false">H12*$C$14</f>
        <v>0</v>
      </c>
      <c r="I14" s="752" t="n">
        <f aca="false">I12*$C$14</f>
        <v>0</v>
      </c>
      <c r="J14" s="752" t="n">
        <f aca="false">J12*$C$14</f>
        <v>0</v>
      </c>
      <c r="K14" s="752" t="n">
        <f aca="false">K12*$C$14</f>
        <v>0</v>
      </c>
      <c r="L14" s="752" t="n">
        <f aca="false">L12*$C$14</f>
        <v>0</v>
      </c>
      <c r="M14" s="752" t="n">
        <f aca="false">M12*$C$14</f>
        <v>0</v>
      </c>
      <c r="N14" s="752" t="n">
        <f aca="false">N12*$C$14</f>
        <v>0</v>
      </c>
      <c r="O14" s="752" t="n">
        <f aca="false">O12*$C$14</f>
        <v>0</v>
      </c>
      <c r="P14" s="752" t="n">
        <f aca="false">P12*$C$14</f>
        <v>0</v>
      </c>
      <c r="Q14" s="752" t="n">
        <f aca="false">Q12*$C$14</f>
        <v>0</v>
      </c>
      <c r="R14" s="752" t="n">
        <f aca="false">R12*$C$14</f>
        <v>0</v>
      </c>
      <c r="S14" s="752" t="n">
        <f aca="false">S12*$C$14</f>
        <v>0</v>
      </c>
      <c r="T14" s="752" t="n">
        <f aca="false">T12*$C$14</f>
        <v>0</v>
      </c>
      <c r="U14" s="752" t="n">
        <f aca="false">U12*$C$14</f>
        <v>0</v>
      </c>
      <c r="V14" s="752" t="n">
        <f aca="false">V12*$C$14</f>
        <v>0</v>
      </c>
      <c r="W14" s="752" t="n">
        <f aca="false">W12*$C$14</f>
        <v>0</v>
      </c>
      <c r="X14" s="752" t="n">
        <f aca="false">X12*$C$14</f>
        <v>0</v>
      </c>
      <c r="Y14" s="752" t="n">
        <f aca="false">Y12*$C$14</f>
        <v>0</v>
      </c>
      <c r="Z14" s="752" t="n">
        <f aca="false">Z12*$C$14</f>
        <v>0</v>
      </c>
      <c r="AA14" s="752" t="n">
        <f aca="false">AA12*$C$14</f>
        <v>0</v>
      </c>
      <c r="AB14" s="752" t="n">
        <f aca="false">AB12*$C$14</f>
        <v>0</v>
      </c>
      <c r="AC14" s="752" t="n">
        <f aca="false">AC12*$C$14</f>
        <v>0</v>
      </c>
      <c r="AD14" s="752" t="n">
        <f aca="false">AD12*$C$14</f>
        <v>0</v>
      </c>
      <c r="AE14" s="752" t="n">
        <f aca="false">AE12*$C$14</f>
        <v>0</v>
      </c>
      <c r="AF14" s="752" t="n">
        <f aca="false">AF12*$C$14</f>
        <v>0</v>
      </c>
      <c r="AG14" s="752" t="n">
        <f aca="false">AG12*$C$14</f>
        <v>0</v>
      </c>
      <c r="AH14" s="752" t="n">
        <f aca="false">AH12*$C$14</f>
        <v>0</v>
      </c>
      <c r="AI14" s="948" t="n">
        <f aca="false">AI12*$C$14</f>
        <v>0</v>
      </c>
      <c r="AJ14" s="373"/>
      <c r="AK14" s="373"/>
      <c r="AL14" s="373"/>
      <c r="AM14" s="753"/>
      <c r="AN14" s="753"/>
      <c r="AO14" s="753"/>
      <c r="AP14" s="753"/>
    </row>
    <row r="15" customFormat="false" ht="12.75" hidden="false" customHeight="false" outlineLevel="0" collapsed="false">
      <c r="A15" s="751"/>
      <c r="B15" s="946" t="s">
        <v>616</v>
      </c>
      <c r="C15" s="956" t="n">
        <f aca="false">Assum!E306*Assum!$E$281</f>
        <v>0</v>
      </c>
      <c r="D15" s="957"/>
      <c r="E15" s="752" t="n">
        <f aca="false">E13*$C$15</f>
        <v>0</v>
      </c>
      <c r="F15" s="752" t="n">
        <f aca="false">F13*$C$15</f>
        <v>0</v>
      </c>
      <c r="G15" s="752" t="n">
        <f aca="false">G13*$C$15</f>
        <v>0</v>
      </c>
      <c r="H15" s="752" t="n">
        <f aca="false">H13*$C$15</f>
        <v>0</v>
      </c>
      <c r="I15" s="752" t="n">
        <f aca="false">I13*$C$15</f>
        <v>0</v>
      </c>
      <c r="J15" s="752" t="n">
        <f aca="false">J13*$C$15</f>
        <v>0</v>
      </c>
      <c r="K15" s="752" t="n">
        <f aca="false">K13*$C$15</f>
        <v>0</v>
      </c>
      <c r="L15" s="752" t="n">
        <f aca="false">L13*$C$15</f>
        <v>0</v>
      </c>
      <c r="M15" s="752" t="n">
        <f aca="false">M13*$C$15</f>
        <v>0</v>
      </c>
      <c r="N15" s="752" t="n">
        <f aca="false">N13*$C$15</f>
        <v>0</v>
      </c>
      <c r="O15" s="752" t="n">
        <f aca="false">O13*$C$15</f>
        <v>0</v>
      </c>
      <c r="P15" s="752" t="n">
        <f aca="false">P13*$C$15</f>
        <v>0</v>
      </c>
      <c r="Q15" s="752" t="n">
        <f aca="false">Q13*$C$15</f>
        <v>0</v>
      </c>
      <c r="R15" s="752" t="n">
        <f aca="false">R13*$C$15</f>
        <v>0</v>
      </c>
      <c r="S15" s="752" t="n">
        <f aca="false">S13*$C$15</f>
        <v>0</v>
      </c>
      <c r="T15" s="752" t="n">
        <f aca="false">T13*$C$15</f>
        <v>0</v>
      </c>
      <c r="U15" s="752" t="n">
        <f aca="false">U13*$C$15</f>
        <v>0</v>
      </c>
      <c r="V15" s="752" t="n">
        <f aca="false">V13*$C$15</f>
        <v>0</v>
      </c>
      <c r="W15" s="752" t="n">
        <f aca="false">W13*$C$15</f>
        <v>0</v>
      </c>
      <c r="X15" s="752" t="n">
        <f aca="false">X13*$C$15</f>
        <v>0</v>
      </c>
      <c r="Y15" s="752" t="n">
        <f aca="false">Y13*$C$15</f>
        <v>0</v>
      </c>
      <c r="Z15" s="752" t="n">
        <f aca="false">Z13*$C$15</f>
        <v>0</v>
      </c>
      <c r="AA15" s="752" t="n">
        <f aca="false">AA13*$C$15</f>
        <v>0</v>
      </c>
      <c r="AB15" s="752" t="n">
        <f aca="false">AB13*$C$15</f>
        <v>0</v>
      </c>
      <c r="AC15" s="752" t="n">
        <f aca="false">AC13*$C$15</f>
        <v>0</v>
      </c>
      <c r="AD15" s="752" t="n">
        <f aca="false">AD13*$C$15</f>
        <v>0</v>
      </c>
      <c r="AE15" s="752" t="n">
        <f aca="false">AE13*$C$15</f>
        <v>0</v>
      </c>
      <c r="AF15" s="752" t="n">
        <f aca="false">AF13*$C$15</f>
        <v>0</v>
      </c>
      <c r="AG15" s="752" t="n">
        <f aca="false">AG13*$C$15</f>
        <v>0</v>
      </c>
      <c r="AH15" s="752" t="n">
        <f aca="false">AH13*$C$15</f>
        <v>0</v>
      </c>
      <c r="AI15" s="948" t="n">
        <f aca="false">AI13*$C$15</f>
        <v>0</v>
      </c>
      <c r="AJ15" s="373"/>
      <c r="AK15" s="373"/>
      <c r="AL15" s="373"/>
      <c r="AM15" s="753"/>
      <c r="AN15" s="753"/>
      <c r="AO15" s="753"/>
      <c r="AP15" s="753"/>
    </row>
    <row r="16" customFormat="false" ht="12.75" hidden="false" customHeight="false" outlineLevel="0" collapsed="false">
      <c r="A16" s="751"/>
      <c r="B16" s="958" t="s">
        <v>617</v>
      </c>
      <c r="C16" s="959"/>
      <c r="D16" s="776"/>
      <c r="E16" s="776" t="n">
        <f aca="false">SUM(E14:E15)</f>
        <v>0</v>
      </c>
      <c r="F16" s="776" t="n">
        <f aca="false">SUM(F14:F15)</f>
        <v>0</v>
      </c>
      <c r="G16" s="776" t="n">
        <f aca="false">SUM(G14:G15)</f>
        <v>0</v>
      </c>
      <c r="H16" s="776" t="n">
        <f aca="false">SUM(H14:H15)</f>
        <v>0</v>
      </c>
      <c r="I16" s="776" t="n">
        <f aca="false">SUM(I14:I15)</f>
        <v>0</v>
      </c>
      <c r="J16" s="776" t="n">
        <f aca="false">SUM(J14:J15)</f>
        <v>0</v>
      </c>
      <c r="K16" s="776" t="n">
        <f aca="false">SUM(K14:K15)</f>
        <v>0</v>
      </c>
      <c r="L16" s="776" t="n">
        <f aca="false">SUM(L14:L15)</f>
        <v>0</v>
      </c>
      <c r="M16" s="776" t="n">
        <f aca="false">SUM(M14:M15)</f>
        <v>0</v>
      </c>
      <c r="N16" s="776" t="n">
        <f aca="false">SUM(N14:N15)</f>
        <v>0</v>
      </c>
      <c r="O16" s="776" t="n">
        <f aca="false">SUM(O14:O15)</f>
        <v>0</v>
      </c>
      <c r="P16" s="776" t="n">
        <f aca="false">SUM(P14:P15)</f>
        <v>0</v>
      </c>
      <c r="Q16" s="776" t="n">
        <f aca="false">SUM(Q14:Q15)</f>
        <v>0</v>
      </c>
      <c r="R16" s="776" t="n">
        <f aca="false">SUM(R14:R15)</f>
        <v>0</v>
      </c>
      <c r="S16" s="776" t="n">
        <f aca="false">SUM(S14:S15)</f>
        <v>0</v>
      </c>
      <c r="T16" s="776" t="n">
        <f aca="false">SUM(T14:T15)</f>
        <v>0</v>
      </c>
      <c r="U16" s="776" t="n">
        <f aca="false">SUM(U14:U15)</f>
        <v>0</v>
      </c>
      <c r="V16" s="776" t="n">
        <f aca="false">SUM(V14:V15)</f>
        <v>0</v>
      </c>
      <c r="W16" s="776" t="n">
        <f aca="false">SUM(W14:W15)</f>
        <v>0</v>
      </c>
      <c r="X16" s="776" t="n">
        <f aca="false">SUM(X14:X15)</f>
        <v>0</v>
      </c>
      <c r="Y16" s="776" t="n">
        <f aca="false">SUM(Y14:Y15)</f>
        <v>0</v>
      </c>
      <c r="Z16" s="776" t="n">
        <f aca="false">SUM(Z14:Z15)</f>
        <v>0</v>
      </c>
      <c r="AA16" s="776" t="n">
        <f aca="false">SUM(AA14:AA15)</f>
        <v>0</v>
      </c>
      <c r="AB16" s="776" t="n">
        <f aca="false">SUM(AB14:AB15)</f>
        <v>0</v>
      </c>
      <c r="AC16" s="776" t="n">
        <f aca="false">SUM(AC14:AC15)</f>
        <v>0</v>
      </c>
      <c r="AD16" s="776" t="n">
        <f aca="false">SUM(AD14:AD15)</f>
        <v>0</v>
      </c>
      <c r="AE16" s="776" t="n">
        <f aca="false">SUM(AE14:AE15)</f>
        <v>0</v>
      </c>
      <c r="AF16" s="776" t="n">
        <f aca="false">SUM(AF14:AF15)</f>
        <v>0</v>
      </c>
      <c r="AG16" s="776" t="n">
        <f aca="false">SUM(AG14:AG15)</f>
        <v>0</v>
      </c>
      <c r="AH16" s="776" t="n">
        <f aca="false">SUM(AH14:AH15)</f>
        <v>0</v>
      </c>
      <c r="AI16" s="960" t="n">
        <f aca="false">SUM(AI14:AI15)</f>
        <v>0</v>
      </c>
      <c r="AJ16" s="775"/>
      <c r="AK16" s="775"/>
      <c r="AL16" s="775"/>
      <c r="AM16" s="777"/>
      <c r="AN16" s="777"/>
      <c r="AO16" s="777"/>
      <c r="AP16" s="777"/>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5"/>
      <c r="IT16" s="15"/>
      <c r="IU16" s="15"/>
      <c r="IV16" s="15"/>
      <c r="IW16" s="15"/>
    </row>
    <row r="17" customFormat="false" ht="12.75" hidden="false" customHeight="false" outlineLevel="0" collapsed="false">
      <c r="A17" s="751"/>
      <c r="B17" s="958"/>
      <c r="C17" s="959"/>
      <c r="D17" s="776"/>
      <c r="E17" s="776"/>
      <c r="F17" s="776"/>
      <c r="G17" s="776"/>
      <c r="H17" s="776"/>
      <c r="I17" s="776"/>
      <c r="J17" s="776"/>
      <c r="K17" s="776"/>
      <c r="L17" s="776"/>
      <c r="M17" s="776"/>
      <c r="N17" s="776"/>
      <c r="O17" s="776"/>
      <c r="P17" s="776"/>
      <c r="Q17" s="776"/>
      <c r="R17" s="776"/>
      <c r="S17" s="776"/>
      <c r="T17" s="776"/>
      <c r="U17" s="776"/>
      <c r="V17" s="776"/>
      <c r="W17" s="776"/>
      <c r="X17" s="776"/>
      <c r="Y17" s="776"/>
      <c r="Z17" s="776"/>
      <c r="AA17" s="776"/>
      <c r="AB17" s="776"/>
      <c r="AC17" s="776"/>
      <c r="AD17" s="776"/>
      <c r="AE17" s="776"/>
      <c r="AF17" s="776"/>
      <c r="AG17" s="776"/>
      <c r="AH17" s="776"/>
      <c r="AI17" s="960"/>
      <c r="AJ17" s="775"/>
      <c r="AK17" s="775"/>
      <c r="AL17" s="775"/>
      <c r="AM17" s="777"/>
      <c r="AN17" s="777"/>
      <c r="AO17" s="777"/>
      <c r="AP17" s="777"/>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c r="HY17" s="15"/>
      <c r="HZ17" s="15"/>
      <c r="IA17" s="15"/>
      <c r="IB17" s="15"/>
      <c r="IC17" s="15"/>
      <c r="ID17" s="15"/>
      <c r="IE17" s="15"/>
      <c r="IF17" s="15"/>
      <c r="IG17" s="15"/>
      <c r="IH17" s="15"/>
      <c r="II17" s="15"/>
      <c r="IJ17" s="15"/>
      <c r="IK17" s="15"/>
      <c r="IL17" s="15"/>
      <c r="IM17" s="15"/>
      <c r="IN17" s="15"/>
      <c r="IO17" s="15"/>
      <c r="IP17" s="15"/>
      <c r="IQ17" s="15"/>
      <c r="IR17" s="15"/>
      <c r="IS17" s="15"/>
      <c r="IT17" s="15"/>
      <c r="IU17" s="15"/>
      <c r="IV17" s="15"/>
      <c r="IW17" s="15"/>
    </row>
    <row r="18" customFormat="false" ht="12.75" hidden="false" customHeight="false" outlineLevel="0" collapsed="false">
      <c r="A18" s="751"/>
      <c r="B18" s="961" t="str">
        <f aca="false">Assum!B298</f>
        <v>PTC GEC CHECK COV RATIO</v>
      </c>
      <c r="C18" s="962"/>
      <c r="D18" s="963"/>
      <c r="E18" s="963" t="n">
        <f aca="false">Assum!E298</f>
        <v>1.5</v>
      </c>
      <c r="F18" s="963" t="n">
        <f aca="false">Assum!F298</f>
        <v>1.5</v>
      </c>
      <c r="G18" s="963" t="n">
        <f aca="false">Assum!G298</f>
        <v>1.5</v>
      </c>
      <c r="H18" s="963" t="n">
        <f aca="false">Assum!H298</f>
        <v>1.5</v>
      </c>
      <c r="I18" s="963" t="n">
        <f aca="false">Assum!I298</f>
        <v>1.5</v>
      </c>
      <c r="J18" s="963" t="n">
        <f aca="false">Assum!J298</f>
        <v>1.5</v>
      </c>
      <c r="K18" s="963" t="n">
        <f aca="false">Assum!K298</f>
        <v>1.5</v>
      </c>
      <c r="L18" s="963" t="n">
        <f aca="false">Assum!L298</f>
        <v>1.5</v>
      </c>
      <c r="M18" s="963" t="n">
        <f aca="false">Assum!M298</f>
        <v>1.5</v>
      </c>
      <c r="N18" s="963" t="n">
        <f aca="false">Assum!N298</f>
        <v>1.5</v>
      </c>
      <c r="O18" s="963" t="n">
        <f aca="false">Assum!O298</f>
        <v>1.5</v>
      </c>
      <c r="P18" s="963" t="n">
        <f aca="false">Assum!P298</f>
        <v>1.5</v>
      </c>
      <c r="Q18" s="963" t="n">
        <f aca="false">Assum!Q298</f>
        <v>1.5</v>
      </c>
      <c r="R18" s="963" t="n">
        <f aca="false">Assum!R298</f>
        <v>1.5</v>
      </c>
      <c r="S18" s="963" t="n">
        <f aca="false">Assum!S298</f>
        <v>1.5</v>
      </c>
      <c r="T18" s="963" t="n">
        <f aca="false">Assum!T298</f>
        <v>1.5</v>
      </c>
      <c r="U18" s="963" t="n">
        <f aca="false">Assum!U298</f>
        <v>1.5</v>
      </c>
      <c r="V18" s="963" t="n">
        <f aca="false">Assum!V298</f>
        <v>1.5</v>
      </c>
      <c r="W18" s="963" t="n">
        <f aca="false">Assum!W298</f>
        <v>1.5</v>
      </c>
      <c r="X18" s="963" t="n">
        <f aca="false">Assum!X298</f>
        <v>1.5</v>
      </c>
      <c r="Y18" s="963" t="n">
        <f aca="false">Assum!Y298</f>
        <v>1.5</v>
      </c>
      <c r="Z18" s="963" t="n">
        <f aca="false">Assum!Z298</f>
        <v>1.5</v>
      </c>
      <c r="AA18" s="963" t="n">
        <f aca="false">Assum!AA298</f>
        <v>1.5</v>
      </c>
      <c r="AB18" s="963" t="n">
        <f aca="false">Assum!AB298</f>
        <v>1.5</v>
      </c>
      <c r="AC18" s="963" t="n">
        <f aca="false">Assum!AC298</f>
        <v>1.5</v>
      </c>
      <c r="AD18" s="963" t="n">
        <f aca="false">Assum!AD298</f>
        <v>1.5</v>
      </c>
      <c r="AE18" s="963" t="n">
        <f aca="false">Assum!AE298</f>
        <v>1.5</v>
      </c>
      <c r="AF18" s="963" t="n">
        <f aca="false">Assum!AF298</f>
        <v>1.5</v>
      </c>
      <c r="AG18" s="963" t="n">
        <f aca="false">Assum!AG298</f>
        <v>1.5</v>
      </c>
      <c r="AH18" s="963" t="n">
        <f aca="false">Assum!AH298</f>
        <v>1.5</v>
      </c>
      <c r="AI18" s="964" t="n">
        <f aca="false">Assum!AI298</f>
        <v>1.5</v>
      </c>
      <c r="AJ18" s="775"/>
      <c r="AK18" s="775"/>
      <c r="AL18" s="775"/>
      <c r="AM18" s="777"/>
      <c r="AN18" s="777"/>
      <c r="AO18" s="777"/>
      <c r="AP18" s="777"/>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5"/>
      <c r="IT18" s="15"/>
      <c r="IU18" s="15"/>
      <c r="IV18" s="15"/>
      <c r="IW18" s="15"/>
    </row>
    <row r="19" customFormat="false" ht="12.75" hidden="false" customHeight="false" outlineLevel="0" collapsed="false">
      <c r="A19" s="965"/>
      <c r="B19" s="966" t="s">
        <v>618</v>
      </c>
      <c r="C19" s="967"/>
      <c r="D19" s="968"/>
      <c r="E19" s="968" t="n">
        <f aca="false">E6/E18</f>
        <v>1527.4071042544</v>
      </c>
      <c r="F19" s="968" t="n">
        <f aca="false">F6/F18</f>
        <v>1612.26305449076</v>
      </c>
      <c r="G19" s="968" t="n">
        <f aca="false">G6/G18</f>
        <v>1612.26305449076</v>
      </c>
      <c r="H19" s="968" t="n">
        <f aca="false">H6/H18</f>
        <v>1612.26305449076</v>
      </c>
      <c r="I19" s="968" t="n">
        <f aca="false">I6/I18</f>
        <v>1697.11900472712</v>
      </c>
      <c r="J19" s="968" t="n">
        <f aca="false">J6/J18</f>
        <v>1697.11900472712</v>
      </c>
      <c r="K19" s="968" t="n">
        <f aca="false">K6/K18</f>
        <v>1781.97495496347</v>
      </c>
      <c r="L19" s="968" t="n">
        <f aca="false">L6/L18</f>
        <v>1781.97495496347</v>
      </c>
      <c r="M19" s="968" t="n">
        <f aca="false">M6/M18</f>
        <v>1781.97495496347</v>
      </c>
      <c r="N19" s="968" t="n">
        <f aca="false">N6/N18</f>
        <v>1866.83090519983</v>
      </c>
      <c r="O19" s="968" t="n">
        <f aca="false">O6/O18</f>
        <v>0</v>
      </c>
      <c r="P19" s="968" t="n">
        <f aca="false">P6/P18</f>
        <v>0</v>
      </c>
      <c r="Q19" s="968" t="n">
        <f aca="false">Q6/Q18</f>
        <v>0</v>
      </c>
      <c r="R19" s="968" t="n">
        <f aca="false">R6/R18</f>
        <v>0</v>
      </c>
      <c r="S19" s="968" t="n">
        <f aca="false">S6/S18</f>
        <v>0</v>
      </c>
      <c r="T19" s="968" t="n">
        <f aca="false">T6/T18</f>
        <v>0</v>
      </c>
      <c r="U19" s="968" t="n">
        <f aca="false">U6/U18</f>
        <v>0</v>
      </c>
      <c r="V19" s="968" t="n">
        <f aca="false">V6/V18</f>
        <v>0</v>
      </c>
      <c r="W19" s="968" t="n">
        <f aca="false">W6/W18</f>
        <v>0</v>
      </c>
      <c r="X19" s="968" t="n">
        <f aca="false">X6/X18</f>
        <v>0</v>
      </c>
      <c r="Y19" s="968" t="n">
        <f aca="false">Y6/Y18</f>
        <v>0</v>
      </c>
      <c r="Z19" s="968" t="n">
        <f aca="false">Z6/Z18</f>
        <v>0</v>
      </c>
      <c r="AA19" s="968" t="n">
        <f aca="false">AA6/AA18</f>
        <v>0</v>
      </c>
      <c r="AB19" s="968" t="n">
        <f aca="false">AB6/AB18</f>
        <v>0</v>
      </c>
      <c r="AC19" s="968" t="n">
        <f aca="false">AC6/AC18</f>
        <v>0</v>
      </c>
      <c r="AD19" s="968" t="n">
        <f aca="false">AD6/AD18</f>
        <v>0</v>
      </c>
      <c r="AE19" s="968" t="n">
        <f aca="false">AE6/AE18</f>
        <v>0</v>
      </c>
      <c r="AF19" s="968" t="n">
        <f aca="false">AF6/AF18</f>
        <v>0</v>
      </c>
      <c r="AG19" s="968" t="n">
        <f aca="false">AG6/AG18</f>
        <v>0</v>
      </c>
      <c r="AH19" s="968" t="n">
        <f aca="false">AH6/AH18</f>
        <v>0</v>
      </c>
      <c r="AI19" s="969" t="n">
        <f aca="false">AI6/AI18</f>
        <v>0</v>
      </c>
      <c r="AJ19" s="970"/>
      <c r="AK19" s="970"/>
      <c r="AL19" s="970"/>
      <c r="AM19" s="971"/>
      <c r="AN19" s="971"/>
      <c r="AO19" s="971"/>
      <c r="AP19" s="971"/>
      <c r="AQ19" s="972"/>
      <c r="AR19" s="972"/>
      <c r="AS19" s="972"/>
      <c r="AT19" s="972"/>
      <c r="AU19" s="972"/>
      <c r="AV19" s="972"/>
      <c r="AW19" s="972"/>
      <c r="AX19" s="972"/>
      <c r="AY19" s="972"/>
      <c r="AZ19" s="972"/>
      <c r="BA19" s="972"/>
      <c r="BB19" s="972"/>
      <c r="BC19" s="972"/>
      <c r="BD19" s="972"/>
      <c r="BE19" s="972"/>
      <c r="BF19" s="972"/>
      <c r="BG19" s="972"/>
      <c r="BH19" s="972"/>
      <c r="BI19" s="972"/>
      <c r="BJ19" s="972"/>
      <c r="BK19" s="972"/>
      <c r="BL19" s="972"/>
      <c r="BM19" s="972"/>
      <c r="BN19" s="972"/>
      <c r="BO19" s="972"/>
      <c r="BP19" s="972"/>
      <c r="BQ19" s="972"/>
      <c r="BR19" s="972"/>
      <c r="BS19" s="972"/>
      <c r="BT19" s="972"/>
      <c r="BU19" s="972"/>
      <c r="BV19" s="972"/>
      <c r="BW19" s="972"/>
      <c r="BX19" s="972"/>
      <c r="BY19" s="972"/>
      <c r="BZ19" s="972"/>
      <c r="CA19" s="972"/>
      <c r="CB19" s="972"/>
      <c r="CC19" s="972"/>
      <c r="CD19" s="972"/>
      <c r="CE19" s="972"/>
      <c r="CF19" s="972"/>
      <c r="CG19" s="972"/>
      <c r="CH19" s="972"/>
      <c r="CI19" s="972"/>
      <c r="CJ19" s="972"/>
      <c r="CK19" s="972"/>
      <c r="CL19" s="972"/>
      <c r="CM19" s="972"/>
      <c r="CN19" s="972"/>
      <c r="CO19" s="972"/>
      <c r="CP19" s="972"/>
      <c r="CQ19" s="972"/>
      <c r="CR19" s="972"/>
      <c r="CS19" s="972"/>
      <c r="CT19" s="972"/>
      <c r="CU19" s="972"/>
      <c r="CV19" s="972"/>
      <c r="CW19" s="972"/>
      <c r="CX19" s="972"/>
      <c r="CY19" s="972"/>
      <c r="CZ19" s="972"/>
      <c r="DA19" s="972"/>
      <c r="DB19" s="972"/>
      <c r="DC19" s="972"/>
      <c r="DD19" s="972"/>
      <c r="DE19" s="972"/>
      <c r="DF19" s="972"/>
      <c r="DG19" s="972"/>
      <c r="DH19" s="972"/>
      <c r="DI19" s="972"/>
      <c r="DJ19" s="972"/>
      <c r="DK19" s="972"/>
      <c r="DL19" s="972"/>
      <c r="DM19" s="972"/>
      <c r="DN19" s="972"/>
      <c r="DO19" s="972"/>
      <c r="DP19" s="972"/>
      <c r="DQ19" s="972"/>
      <c r="DR19" s="972"/>
      <c r="DS19" s="972"/>
      <c r="DT19" s="972"/>
      <c r="DU19" s="972"/>
      <c r="DV19" s="972"/>
      <c r="DW19" s="972"/>
      <c r="DX19" s="972"/>
      <c r="DY19" s="972"/>
      <c r="DZ19" s="972"/>
      <c r="EA19" s="972"/>
      <c r="EB19" s="972"/>
      <c r="EC19" s="972"/>
      <c r="ED19" s="972"/>
      <c r="EE19" s="972"/>
      <c r="EF19" s="972"/>
      <c r="EG19" s="972"/>
      <c r="EH19" s="972"/>
      <c r="EI19" s="972"/>
      <c r="EJ19" s="972"/>
      <c r="EK19" s="972"/>
      <c r="EL19" s="972"/>
      <c r="EM19" s="972"/>
      <c r="EN19" s="972"/>
      <c r="EO19" s="972"/>
      <c r="EP19" s="972"/>
      <c r="EQ19" s="972"/>
      <c r="ER19" s="972"/>
      <c r="ES19" s="972"/>
      <c r="ET19" s="972"/>
      <c r="EU19" s="972"/>
      <c r="EV19" s="972"/>
      <c r="EW19" s="972"/>
      <c r="EX19" s="972"/>
      <c r="EY19" s="972"/>
      <c r="EZ19" s="972"/>
      <c r="FA19" s="972"/>
      <c r="FB19" s="972"/>
      <c r="FC19" s="972"/>
      <c r="FD19" s="972"/>
      <c r="FE19" s="972"/>
      <c r="FF19" s="972"/>
      <c r="FG19" s="972"/>
      <c r="FH19" s="972"/>
      <c r="FI19" s="972"/>
      <c r="FJ19" s="972"/>
      <c r="FK19" s="972"/>
      <c r="FL19" s="972"/>
      <c r="FM19" s="972"/>
      <c r="FN19" s="972"/>
      <c r="FO19" s="972"/>
      <c r="FP19" s="972"/>
      <c r="FQ19" s="972"/>
      <c r="FR19" s="972"/>
      <c r="FS19" s="972"/>
      <c r="FT19" s="972"/>
      <c r="FU19" s="972"/>
      <c r="FV19" s="972"/>
      <c r="FW19" s="972"/>
      <c r="FX19" s="972"/>
      <c r="FY19" s="972"/>
      <c r="FZ19" s="972"/>
      <c r="GA19" s="972"/>
      <c r="GB19" s="972"/>
      <c r="GC19" s="972"/>
      <c r="GD19" s="972"/>
      <c r="GE19" s="972"/>
      <c r="GF19" s="972"/>
      <c r="GG19" s="972"/>
      <c r="GH19" s="972"/>
      <c r="GI19" s="972"/>
      <c r="GJ19" s="972"/>
      <c r="GK19" s="972"/>
      <c r="GL19" s="972"/>
      <c r="GM19" s="972"/>
      <c r="GN19" s="972"/>
      <c r="GO19" s="972"/>
      <c r="GP19" s="972"/>
      <c r="GQ19" s="972"/>
      <c r="GR19" s="972"/>
      <c r="GS19" s="972"/>
      <c r="GT19" s="972"/>
      <c r="GU19" s="972"/>
      <c r="GV19" s="972"/>
      <c r="GW19" s="972"/>
      <c r="GX19" s="972"/>
      <c r="GY19" s="972"/>
      <c r="GZ19" s="972"/>
      <c r="HA19" s="972"/>
      <c r="HB19" s="972"/>
      <c r="HC19" s="972"/>
      <c r="HD19" s="972"/>
      <c r="HE19" s="972"/>
      <c r="HF19" s="972"/>
      <c r="HG19" s="972"/>
      <c r="HH19" s="972"/>
      <c r="HI19" s="972"/>
      <c r="HJ19" s="972"/>
      <c r="HK19" s="972"/>
      <c r="HL19" s="972"/>
      <c r="HM19" s="972"/>
      <c r="HN19" s="972"/>
      <c r="HO19" s="972"/>
      <c r="HP19" s="972"/>
      <c r="HQ19" s="972"/>
      <c r="HR19" s="972"/>
      <c r="HS19" s="972"/>
      <c r="HT19" s="972"/>
      <c r="HU19" s="972"/>
      <c r="HV19" s="972"/>
      <c r="HW19" s="972"/>
      <c r="HX19" s="972"/>
      <c r="HY19" s="972"/>
      <c r="HZ19" s="972"/>
      <c r="IA19" s="972"/>
      <c r="IB19" s="972"/>
      <c r="IC19" s="972"/>
      <c r="ID19" s="972"/>
      <c r="IE19" s="972"/>
      <c r="IF19" s="972"/>
      <c r="IG19" s="972"/>
      <c r="IH19" s="972"/>
      <c r="II19" s="972"/>
      <c r="IJ19" s="972"/>
      <c r="IK19" s="972"/>
      <c r="IL19" s="972"/>
      <c r="IM19" s="972"/>
      <c r="IN19" s="972"/>
      <c r="IO19" s="972"/>
      <c r="IP19" s="972"/>
      <c r="IQ19" s="972"/>
      <c r="IR19" s="972"/>
      <c r="IS19" s="972"/>
      <c r="IT19" s="972"/>
      <c r="IU19" s="972"/>
      <c r="IV19" s="972"/>
      <c r="IW19" s="972"/>
    </row>
    <row r="20" customFormat="false" ht="12.75" hidden="false" customHeight="false" outlineLevel="0" collapsed="false">
      <c r="A20" s="751"/>
      <c r="B20" s="775"/>
      <c r="C20" s="973"/>
      <c r="D20" s="775"/>
      <c r="E20" s="775"/>
      <c r="F20" s="775"/>
      <c r="G20" s="775"/>
      <c r="H20" s="775"/>
      <c r="I20" s="775"/>
      <c r="J20" s="775"/>
      <c r="K20" s="775"/>
      <c r="L20" s="775"/>
      <c r="M20" s="775"/>
      <c r="N20" s="775"/>
      <c r="O20" s="775"/>
      <c r="P20" s="775"/>
      <c r="Q20" s="775"/>
      <c r="R20" s="775"/>
      <c r="S20" s="775"/>
      <c r="T20" s="775"/>
      <c r="U20" s="775"/>
      <c r="V20" s="775"/>
      <c r="W20" s="775"/>
      <c r="X20" s="775"/>
      <c r="Y20" s="775"/>
      <c r="Z20" s="775"/>
      <c r="AA20" s="775"/>
      <c r="AB20" s="775"/>
      <c r="AC20" s="775"/>
      <c r="AD20" s="775"/>
      <c r="AE20" s="775"/>
      <c r="AF20" s="775"/>
      <c r="AG20" s="775"/>
      <c r="AH20" s="775"/>
      <c r="AI20" s="775"/>
      <c r="AJ20" s="775"/>
      <c r="AK20" s="775"/>
      <c r="AL20" s="775"/>
      <c r="AM20" s="777"/>
      <c r="AN20" s="777"/>
      <c r="AO20" s="777"/>
      <c r="AP20" s="777"/>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c r="EF20" s="15"/>
      <c r="EG20" s="15"/>
      <c r="EH20" s="15"/>
      <c r="EI20" s="15"/>
      <c r="EJ20" s="15"/>
      <c r="EK20" s="15"/>
      <c r="EL20" s="15"/>
      <c r="EM20" s="15"/>
      <c r="EN20" s="15"/>
      <c r="EO20" s="15"/>
      <c r="EP20" s="15"/>
      <c r="EQ20" s="15"/>
      <c r="ER20" s="15"/>
      <c r="ES20" s="15"/>
      <c r="ET20" s="15"/>
      <c r="EU20" s="15"/>
      <c r="EV20" s="15"/>
      <c r="EW20" s="15"/>
      <c r="EX20" s="15"/>
      <c r="EY20" s="15"/>
      <c r="EZ20" s="15"/>
      <c r="FA20" s="15"/>
      <c r="FB20" s="15"/>
      <c r="FC20" s="15"/>
      <c r="FD20" s="15"/>
      <c r="FE20" s="15"/>
      <c r="FF20" s="15"/>
      <c r="FG20" s="15"/>
      <c r="FH20" s="15"/>
      <c r="FI20" s="15"/>
      <c r="FJ20" s="15"/>
      <c r="FK20" s="15"/>
      <c r="FL20" s="15"/>
      <c r="FM20" s="15"/>
      <c r="FN20" s="15"/>
      <c r="FO20" s="15"/>
      <c r="FP20" s="15"/>
      <c r="FQ20" s="15"/>
      <c r="FR20" s="15"/>
      <c r="FS20" s="15"/>
      <c r="FT20" s="15"/>
      <c r="FU20" s="15"/>
      <c r="FV20" s="15"/>
      <c r="FW20" s="15"/>
      <c r="FX20" s="15"/>
      <c r="FY20" s="15"/>
      <c r="FZ20" s="15"/>
      <c r="GA20" s="15"/>
      <c r="GB20" s="15"/>
      <c r="GC20" s="15"/>
      <c r="GD20" s="15"/>
      <c r="GE20" s="15"/>
      <c r="GF20" s="15"/>
      <c r="GG20" s="15"/>
      <c r="GH20" s="15"/>
      <c r="GI20" s="15"/>
      <c r="GJ20" s="15"/>
      <c r="GK20" s="15"/>
      <c r="GL20" s="15"/>
      <c r="GM20" s="15"/>
      <c r="GN20" s="15"/>
      <c r="GO20" s="15"/>
      <c r="GP20" s="15"/>
      <c r="GQ20" s="15"/>
      <c r="GR20" s="15"/>
      <c r="GS20" s="15"/>
      <c r="GT20" s="15"/>
      <c r="GU20" s="15"/>
      <c r="GV20" s="15"/>
      <c r="GW20" s="15"/>
      <c r="GX20" s="15"/>
      <c r="GY20" s="15"/>
      <c r="GZ20" s="15"/>
      <c r="HA20" s="15"/>
      <c r="HB20" s="15"/>
      <c r="HC20" s="15"/>
      <c r="HD20" s="15"/>
      <c r="HE20" s="15"/>
      <c r="HF20" s="15"/>
      <c r="HG20" s="15"/>
      <c r="HH20" s="15"/>
      <c r="HI20" s="15"/>
      <c r="HJ20" s="15"/>
      <c r="HK20" s="15"/>
      <c r="HL20" s="15"/>
      <c r="HM20" s="15"/>
      <c r="HN20" s="15"/>
      <c r="HO20" s="15"/>
      <c r="HP20" s="15"/>
      <c r="HQ20" s="15"/>
      <c r="HR20" s="15"/>
      <c r="HS20" s="15"/>
      <c r="HT20" s="15"/>
      <c r="HU20" s="15"/>
      <c r="HV20" s="15"/>
      <c r="HW20" s="15"/>
      <c r="HX20" s="15"/>
      <c r="HY20" s="15"/>
      <c r="HZ20" s="15"/>
      <c r="IA20" s="15"/>
      <c r="IB20" s="15"/>
      <c r="IC20" s="15"/>
      <c r="ID20" s="15"/>
      <c r="IE20" s="15"/>
      <c r="IF20" s="15"/>
      <c r="IG20" s="15"/>
      <c r="IH20" s="15"/>
      <c r="II20" s="15"/>
      <c r="IJ20" s="15"/>
      <c r="IK20" s="15"/>
      <c r="IL20" s="15"/>
      <c r="IM20" s="15"/>
      <c r="IN20" s="15"/>
      <c r="IO20" s="15"/>
      <c r="IP20" s="15"/>
      <c r="IQ20" s="15"/>
      <c r="IR20" s="15"/>
      <c r="IS20" s="15"/>
      <c r="IT20" s="15"/>
      <c r="IU20" s="15"/>
      <c r="IV20" s="15"/>
      <c r="IW20" s="15"/>
    </row>
    <row r="21" customFormat="false" ht="12.75" hidden="false" customHeight="false" outlineLevel="0" collapsed="false">
      <c r="A21" s="751"/>
      <c r="B21" s="775" t="s">
        <v>619</v>
      </c>
      <c r="C21" s="973"/>
      <c r="D21" s="775"/>
      <c r="E21" s="775"/>
      <c r="F21" s="775"/>
      <c r="G21" s="775"/>
      <c r="H21" s="775"/>
      <c r="I21" s="775"/>
      <c r="J21" s="775"/>
      <c r="K21" s="775"/>
      <c r="L21" s="775"/>
      <c r="M21" s="775"/>
      <c r="N21" s="775"/>
      <c r="O21" s="775"/>
      <c r="P21" s="775"/>
      <c r="Q21" s="775"/>
      <c r="R21" s="775"/>
      <c r="S21" s="775"/>
      <c r="T21" s="775"/>
      <c r="U21" s="775"/>
      <c r="V21" s="775"/>
      <c r="W21" s="775"/>
      <c r="X21" s="775"/>
      <c r="Y21" s="775"/>
      <c r="Z21" s="775"/>
      <c r="AA21" s="775"/>
      <c r="AB21" s="775"/>
      <c r="AC21" s="775"/>
      <c r="AD21" s="775"/>
      <c r="AE21" s="775"/>
      <c r="AF21" s="775"/>
      <c r="AG21" s="775"/>
      <c r="AH21" s="775"/>
      <c r="AI21" s="775"/>
      <c r="AJ21" s="775"/>
      <c r="AK21" s="775"/>
      <c r="AL21" s="775"/>
      <c r="AM21" s="777"/>
      <c r="AN21" s="777"/>
      <c r="AO21" s="777"/>
      <c r="AP21" s="777"/>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15"/>
      <c r="EH21" s="15"/>
      <c r="EI21" s="15"/>
      <c r="EJ21" s="15"/>
      <c r="EK21" s="15"/>
      <c r="EL21" s="15"/>
      <c r="EM21" s="15"/>
      <c r="EN21" s="15"/>
      <c r="EO21" s="15"/>
      <c r="EP21" s="15"/>
      <c r="EQ21" s="15"/>
      <c r="ER21" s="15"/>
      <c r="ES21" s="15"/>
      <c r="ET21" s="15"/>
      <c r="EU21" s="15"/>
      <c r="EV21" s="15"/>
      <c r="EW21" s="15"/>
      <c r="EX21" s="15"/>
      <c r="EY21" s="15"/>
      <c r="EZ21" s="15"/>
      <c r="FA21" s="15"/>
      <c r="FB21" s="15"/>
      <c r="FC21" s="15"/>
      <c r="FD21" s="15"/>
      <c r="FE21" s="15"/>
      <c r="FF21" s="15"/>
      <c r="FG21" s="15"/>
      <c r="FH21" s="15"/>
      <c r="FI21" s="15"/>
      <c r="FJ21" s="15"/>
      <c r="FK21" s="15"/>
      <c r="FL21" s="15"/>
      <c r="FM21" s="15"/>
      <c r="FN21" s="15"/>
      <c r="FO21" s="15"/>
      <c r="FP21" s="15"/>
      <c r="FQ21" s="15"/>
      <c r="FR21" s="15"/>
      <c r="FS21" s="15"/>
      <c r="FT21" s="15"/>
      <c r="FU21" s="15"/>
      <c r="FV21" s="15"/>
      <c r="FW21" s="15"/>
      <c r="FX21" s="15"/>
      <c r="FY21" s="15"/>
      <c r="FZ21" s="15"/>
      <c r="GA21" s="15"/>
      <c r="GB21" s="15"/>
      <c r="GC21" s="15"/>
      <c r="GD21" s="15"/>
      <c r="GE21" s="15"/>
      <c r="GF21" s="15"/>
      <c r="GG21" s="15"/>
      <c r="GH21" s="15"/>
      <c r="GI21" s="15"/>
      <c r="GJ21" s="15"/>
      <c r="GK21" s="15"/>
      <c r="GL21" s="15"/>
      <c r="GM21" s="15"/>
      <c r="GN21" s="15"/>
      <c r="GO21" s="15"/>
      <c r="GP21" s="15"/>
      <c r="GQ21" s="15"/>
      <c r="GR21" s="15"/>
      <c r="GS21" s="15"/>
      <c r="GT21" s="15"/>
      <c r="GU21" s="15"/>
      <c r="GV21" s="15"/>
      <c r="GW21" s="15"/>
      <c r="GX21" s="15"/>
      <c r="GY21" s="15"/>
      <c r="GZ21" s="15"/>
      <c r="HA21" s="15"/>
      <c r="HB21" s="15"/>
      <c r="HC21" s="15"/>
      <c r="HD21" s="15"/>
      <c r="HE21" s="15"/>
      <c r="HF21" s="15"/>
      <c r="HG21" s="15"/>
      <c r="HH21" s="15"/>
      <c r="HI21" s="15"/>
      <c r="HJ21" s="15"/>
      <c r="HK21" s="15"/>
      <c r="HL21" s="15"/>
      <c r="HM21" s="15"/>
      <c r="HN21" s="15"/>
      <c r="HO21" s="15"/>
      <c r="HP21" s="15"/>
      <c r="HQ21" s="15"/>
      <c r="HR21" s="15"/>
      <c r="HS21" s="15"/>
      <c r="HT21" s="15"/>
      <c r="HU21" s="15"/>
      <c r="HV21" s="15"/>
      <c r="HW21" s="15"/>
      <c r="HX21" s="15"/>
      <c r="HY21" s="15"/>
      <c r="HZ21" s="15"/>
      <c r="IA21" s="15"/>
      <c r="IB21" s="15"/>
      <c r="IC21" s="15"/>
      <c r="ID21" s="15"/>
      <c r="IE21" s="15"/>
      <c r="IF21" s="15"/>
      <c r="IG21" s="15"/>
      <c r="IH21" s="15"/>
      <c r="II21" s="15"/>
      <c r="IJ21" s="15"/>
      <c r="IK21" s="15"/>
      <c r="IL21" s="15"/>
      <c r="IM21" s="15"/>
      <c r="IN21" s="15"/>
      <c r="IO21" s="15"/>
      <c r="IP21" s="15"/>
      <c r="IQ21" s="15"/>
      <c r="IR21" s="15"/>
      <c r="IS21" s="15"/>
      <c r="IT21" s="15"/>
      <c r="IU21" s="15"/>
      <c r="IV21" s="15"/>
      <c r="IW21" s="15"/>
    </row>
    <row r="22" customFormat="false" ht="12.75" hidden="false" customHeight="false" outlineLevel="0" collapsed="false">
      <c r="A22" s="751"/>
      <c r="B22" s="942" t="s">
        <v>620</v>
      </c>
      <c r="C22" s="943"/>
      <c r="D22" s="944"/>
      <c r="E22" s="944" t="n">
        <f aca="false">IF(CashFlow!E41&lt;0,0,CashFlow!E41+CashFlow!F41*(1-Assum!$H$23))</f>
        <v>573.300936572961</v>
      </c>
      <c r="F22" s="944" t="n">
        <f aca="false">IF(CashFlow!F41&lt;0,0,CashFlow!F41*Assum!$H$23+CashFlow!G41*(1-Assum!$H$23))</f>
        <v>571.607553384322</v>
      </c>
      <c r="G22" s="944" t="n">
        <f aca="false">IF(CashFlow!G41&lt;0,0,CashFlow!G41*Assum!$H$23+CashFlow!H41*(1-Assum!$H$23))</f>
        <v>569.738018319113</v>
      </c>
      <c r="H22" s="944" t="n">
        <f aca="false">IF(CashFlow!H41&lt;0,0,CashFlow!H41*Assum!$H$23+CashFlow!I41*(1-Assum!$H$23))</f>
        <v>567.626944867061</v>
      </c>
      <c r="I22" s="944" t="n">
        <f aca="false">IF(CashFlow!I41&lt;0,0,CashFlow!I41*Assum!$H$23+CashFlow!J41*(1-Assum!$H$23))</f>
        <v>565.310185632573</v>
      </c>
      <c r="J22" s="944" t="n">
        <f aca="false">IF(CashFlow!J41&lt;0,0,CashFlow!J41*Assum!$H$23+CashFlow!K41*(1-Assum!$H$23))</f>
        <v>562.879487597114</v>
      </c>
      <c r="K22" s="944" t="n">
        <f aca="false">IF(CashFlow!K41&lt;0,0,CashFlow!K41*Assum!$H$23+CashFlow!L41*(1-Assum!$H$23))</f>
        <v>557.665789727338</v>
      </c>
      <c r="L22" s="944" t="n">
        <f aca="false">IF(CashFlow!L41&lt;0,0,CashFlow!L41*Assum!$H$23+CashFlow!M41*(1-Assum!$H$23))</f>
        <v>552.22807750722</v>
      </c>
      <c r="M22" s="944" t="n">
        <f aca="false">IF(CashFlow!M41&lt;0,0,CashFlow!M41*Assum!$H$23+CashFlow!N41*(1-Assum!$H$23))</f>
        <v>546.560279836952</v>
      </c>
      <c r="N22" s="944" t="n">
        <f aca="false">IF(CashFlow!N41&lt;0,0,CashFlow!N41*Assum!$H$23+CashFlow!O41*(1-Assum!$H$23))</f>
        <v>540.393558379574</v>
      </c>
      <c r="O22" s="944" t="n">
        <f aca="false">IF(CashFlow!O41&lt;0,0,CashFlow!O41*Assum!$H$23+CashFlow!P41*(1-Assum!$H$23))</f>
        <v>547.036344776273</v>
      </c>
      <c r="P22" s="944" t="n">
        <f aca="false">IF(CashFlow!P41&lt;0,0,CashFlow!P41*Assum!$H$23+CashFlow!Q41*(1-Assum!$H$23))</f>
        <v>540.436096296459</v>
      </c>
      <c r="Q22" s="944" t="n">
        <f aca="false">IF(CashFlow!Q41&lt;0,0,CashFlow!Q41*Assum!$H$23+CashFlow!R41*(1-Assum!$H$23))</f>
        <v>533.321999723709</v>
      </c>
      <c r="R22" s="944" t="n">
        <f aca="false">IF(CashFlow!R41&lt;0,0,CashFlow!R41*Assum!$H$23+CashFlow!S41*(1-Assum!$H$23))</f>
        <v>525.661489031909</v>
      </c>
      <c r="S22" s="944" t="n">
        <f aca="false">IF(CashFlow!S41&lt;0,0,CashFlow!S41*Assum!$H$23+CashFlow!T41*(1-Assum!$H$23))</f>
        <v>517.395799501174</v>
      </c>
      <c r="T22" s="944" t="n">
        <f aca="false">IF(CashFlow!T41&lt;0,0,CashFlow!T41*Assum!$H$23+CashFlow!U41*(1-Assum!$H$23))</f>
        <v>509.111721360887</v>
      </c>
      <c r="U22" s="944" t="n">
        <f aca="false">IF(CashFlow!U41&lt;0,0,CashFlow!U41*Assum!$H$23+CashFlow!V41*(1-Assum!$H$23))</f>
        <v>590.594573693744</v>
      </c>
      <c r="V22" s="944" t="n">
        <f aca="false">IF(CashFlow!V41&lt;0,0,CashFlow!V41*Assum!$H$23+CashFlow!W41*(1-Assum!$H$23))</f>
        <v>2030.82975075773</v>
      </c>
      <c r="W22" s="944" t="n">
        <f aca="false">IF(CashFlow!W41&lt;0,0,CashFlow!W41*Assum!$H$23+CashFlow!X41*(1-Assum!$H$23))</f>
        <v>1999.73505602653</v>
      </c>
      <c r="X22" s="944" t="n">
        <f aca="false">IF(CashFlow!X41&lt;0,0,CashFlow!X41*Assum!$H$23+CashFlow!Y41*(1-Assum!$H$23))</f>
        <v>1968.7171441291</v>
      </c>
      <c r="Y22" s="944" t="n">
        <f aca="false">IF(CashFlow!Y41&lt;0,0,CashFlow!Y41*Assum!$H$23+CashFlow!Z41*(1-Assum!$H$23))</f>
        <v>0</v>
      </c>
      <c r="Z22" s="944" t="n">
        <f aca="false">IF(CashFlow!Z41&lt;0,0,CashFlow!Z41*Assum!$H$23+CashFlow!AA41*(1-Assum!$H$23))</f>
        <v>0</v>
      </c>
      <c r="AA22" s="944" t="n">
        <f aca="false">IF(CashFlow!AA41&lt;0,0,CashFlow!AA41*Assum!$H$23+CashFlow!AB41*(1-Assum!$H$23))</f>
        <v>0</v>
      </c>
      <c r="AB22" s="944" t="n">
        <f aca="false">IF(CashFlow!AB41&lt;0,0,CashFlow!AB41*Assum!$H$23+CashFlow!AC41*(1-Assum!$H$23))</f>
        <v>0</v>
      </c>
      <c r="AC22" s="944" t="n">
        <f aca="false">IF(CashFlow!AC41&lt;0,0,CashFlow!AC41*Assum!$H$23+CashFlow!AD41*(1-Assum!$H$23))</f>
        <v>0</v>
      </c>
      <c r="AD22" s="944" t="n">
        <f aca="false">IF(CashFlow!AD41&lt;0,0,CashFlow!AD41*Assum!$H$23+CashFlow!AE41*(1-Assum!$H$23))</f>
        <v>0</v>
      </c>
      <c r="AE22" s="944" t="n">
        <f aca="false">IF(CashFlow!AE41&lt;0,0,CashFlow!AE41*Assum!$H$23+CashFlow!AF41*(1-Assum!$H$23))</f>
        <v>0</v>
      </c>
      <c r="AF22" s="944" t="n">
        <f aca="false">IF(CashFlow!AF41&lt;0,0,CashFlow!AF41*Assum!$H$23+CashFlow!AG41*(1-Assum!$H$23))</f>
        <v>0</v>
      </c>
      <c r="AG22" s="944" t="n">
        <f aca="false">IF(CashFlow!AG41&lt;0,0,CashFlow!AG41*Assum!$H$23+CashFlow!AH41*(1-Assum!$H$23))</f>
        <v>0</v>
      </c>
      <c r="AH22" s="944" t="n">
        <f aca="false">IF(CashFlow!AH41&lt;0,0,CashFlow!AH41*Assum!$H$23+CashFlow!AI41*(1-Assum!$H$23))</f>
        <v>0</v>
      </c>
      <c r="AI22" s="944" t="n">
        <f aca="false">IF(CashFlow!AI41&lt;0,0,CashFlow!AI41*Assum!$H$23+CashFlow!AJ41*(1-Assum!$H$23))</f>
        <v>0</v>
      </c>
      <c r="AJ22" s="373"/>
      <c r="AK22" s="373"/>
      <c r="AL22" s="373"/>
      <c r="AM22" s="753"/>
      <c r="AN22" s="753"/>
      <c r="AO22" s="753"/>
      <c r="AP22" s="753"/>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row>
    <row r="23" customFormat="false" ht="12.75" hidden="false" customHeight="false" outlineLevel="0" collapsed="false">
      <c r="A23" s="751"/>
      <c r="B23" s="946" t="s">
        <v>621</v>
      </c>
      <c r="C23" s="828"/>
      <c r="D23" s="752"/>
      <c r="E23" s="451" t="n">
        <f aca="false">Assum!E299</f>
        <v>1</v>
      </c>
      <c r="F23" s="451" t="n">
        <f aca="false">Assum!F299</f>
        <v>1</v>
      </c>
      <c r="G23" s="451" t="n">
        <f aca="false">Assum!G299</f>
        <v>1</v>
      </c>
      <c r="H23" s="451" t="n">
        <f aca="false">Assum!H299</f>
        <v>1</v>
      </c>
      <c r="I23" s="451" t="n">
        <f aca="false">Assum!I299</f>
        <v>1</v>
      </c>
      <c r="J23" s="451" t="n">
        <f aca="false">Assum!J299</f>
        <v>1</v>
      </c>
      <c r="K23" s="451" t="n">
        <f aca="false">Assum!K299</f>
        <v>1</v>
      </c>
      <c r="L23" s="451" t="n">
        <f aca="false">Assum!L299</f>
        <v>1</v>
      </c>
      <c r="M23" s="451" t="n">
        <f aca="false">Assum!M299</f>
        <v>1</v>
      </c>
      <c r="N23" s="451" t="n">
        <f aca="false">Assum!N299</f>
        <v>1</v>
      </c>
      <c r="O23" s="451" t="n">
        <f aca="false">Assum!O299</f>
        <v>1</v>
      </c>
      <c r="P23" s="451" t="n">
        <f aca="false">Assum!P299</f>
        <v>1</v>
      </c>
      <c r="Q23" s="451" t="n">
        <f aca="false">Assum!Q299</f>
        <v>1</v>
      </c>
      <c r="R23" s="451" t="n">
        <f aca="false">Assum!R299</f>
        <v>1</v>
      </c>
      <c r="S23" s="451" t="n">
        <f aca="false">Assum!S299</f>
        <v>1</v>
      </c>
      <c r="T23" s="451" t="n">
        <f aca="false">Assum!T299</f>
        <v>1</v>
      </c>
      <c r="U23" s="451" t="n">
        <f aca="false">Assum!U299</f>
        <v>1</v>
      </c>
      <c r="V23" s="451" t="n">
        <f aca="false">Assum!V299</f>
        <v>1</v>
      </c>
      <c r="W23" s="451" t="n">
        <f aca="false">Assum!W299</f>
        <v>1</v>
      </c>
      <c r="X23" s="451" t="n">
        <f aca="false">Assum!X299</f>
        <v>1</v>
      </c>
      <c r="Y23" s="451" t="n">
        <f aca="false">Assum!Y299</f>
        <v>1</v>
      </c>
      <c r="Z23" s="451" t="n">
        <f aca="false">Assum!Z299</f>
        <v>1</v>
      </c>
      <c r="AA23" s="451" t="n">
        <f aca="false">Assum!AA299</f>
        <v>1</v>
      </c>
      <c r="AB23" s="451" t="n">
        <f aca="false">Assum!AB299</f>
        <v>1</v>
      </c>
      <c r="AC23" s="451" t="n">
        <f aca="false">Assum!AC299</f>
        <v>1</v>
      </c>
      <c r="AD23" s="451" t="n">
        <f aca="false">Assum!AD299</f>
        <v>1</v>
      </c>
      <c r="AE23" s="451" t="n">
        <f aca="false">Assum!AE299</f>
        <v>1</v>
      </c>
      <c r="AF23" s="451" t="n">
        <f aca="false">Assum!AF299</f>
        <v>1</v>
      </c>
      <c r="AG23" s="451" t="n">
        <f aca="false">Assum!AG299</f>
        <v>1</v>
      </c>
      <c r="AH23" s="451" t="n">
        <f aca="false">Assum!AH299</f>
        <v>1</v>
      </c>
      <c r="AI23" s="947" t="n">
        <f aca="false">Assum!AI299</f>
        <v>1</v>
      </c>
      <c r="AJ23" s="373"/>
      <c r="AK23" s="373"/>
      <c r="AL23" s="373"/>
      <c r="AM23" s="753"/>
      <c r="AN23" s="753"/>
      <c r="AO23" s="753"/>
      <c r="AP23" s="753"/>
    </row>
    <row r="24" customFormat="false" ht="12.75" hidden="false" customHeight="false" outlineLevel="0" collapsed="false">
      <c r="A24" s="751"/>
      <c r="B24" s="950" t="s">
        <v>622</v>
      </c>
      <c r="C24" s="951"/>
      <c r="D24" s="757"/>
      <c r="E24" s="778" t="n">
        <f aca="false">E22/E23</f>
        <v>573.300936572961</v>
      </c>
      <c r="F24" s="778" t="n">
        <f aca="false">F22/F23</f>
        <v>571.607553384322</v>
      </c>
      <c r="G24" s="778" t="n">
        <f aca="false">G22/G23</f>
        <v>569.738018319113</v>
      </c>
      <c r="H24" s="778" t="n">
        <f aca="false">H22/H23</f>
        <v>567.626944867061</v>
      </c>
      <c r="I24" s="778" t="n">
        <f aca="false">I22/I23</f>
        <v>565.310185632573</v>
      </c>
      <c r="J24" s="778" t="n">
        <f aca="false">J22/J23</f>
        <v>562.879487597114</v>
      </c>
      <c r="K24" s="778" t="n">
        <f aca="false">K22/K23</f>
        <v>557.665789727338</v>
      </c>
      <c r="L24" s="778" t="n">
        <f aca="false">L22/L23</f>
        <v>552.22807750722</v>
      </c>
      <c r="M24" s="778" t="n">
        <f aca="false">M22/M23</f>
        <v>546.560279836952</v>
      </c>
      <c r="N24" s="778" t="n">
        <f aca="false">N22/N23</f>
        <v>540.393558379574</v>
      </c>
      <c r="O24" s="778" t="n">
        <f aca="false">O22/O23</f>
        <v>547.036344776273</v>
      </c>
      <c r="P24" s="778" t="n">
        <f aca="false">P22/P23</f>
        <v>540.436096296459</v>
      </c>
      <c r="Q24" s="778" t="n">
        <f aca="false">Q22/Q23</f>
        <v>533.321999723709</v>
      </c>
      <c r="R24" s="778" t="n">
        <f aca="false">R22/R23</f>
        <v>525.661489031909</v>
      </c>
      <c r="S24" s="778" t="n">
        <f aca="false">S22/S23</f>
        <v>517.395799501174</v>
      </c>
      <c r="T24" s="778" t="n">
        <f aca="false">T22/T23</f>
        <v>509.111721360887</v>
      </c>
      <c r="U24" s="778" t="n">
        <f aca="false">U22/U23</f>
        <v>590.594573693744</v>
      </c>
      <c r="V24" s="778" t="n">
        <f aca="false">V22/V23</f>
        <v>2030.82975075773</v>
      </c>
      <c r="W24" s="778" t="n">
        <f aca="false">W22/W23</f>
        <v>1999.73505602653</v>
      </c>
      <c r="X24" s="778" t="n">
        <f aca="false">X22/X23</f>
        <v>1968.7171441291</v>
      </c>
      <c r="Y24" s="778" t="n">
        <f aca="false">Y22/Y23</f>
        <v>0</v>
      </c>
      <c r="Z24" s="778" t="n">
        <f aca="false">Z22/Z23</f>
        <v>0</v>
      </c>
      <c r="AA24" s="778" t="n">
        <f aca="false">AA22/AA23</f>
        <v>0</v>
      </c>
      <c r="AB24" s="778" t="n">
        <f aca="false">AB22/AB23</f>
        <v>0</v>
      </c>
      <c r="AC24" s="778" t="n">
        <f aca="false">AC22/AC23</f>
        <v>0</v>
      </c>
      <c r="AD24" s="778" t="n">
        <f aca="false">AD22/AD23</f>
        <v>0</v>
      </c>
      <c r="AE24" s="778" t="n">
        <f aca="false">AE22/AE23</f>
        <v>0</v>
      </c>
      <c r="AF24" s="778" t="n">
        <f aca="false">AF22/AF23</f>
        <v>0</v>
      </c>
      <c r="AG24" s="778" t="n">
        <f aca="false">AG22/AG23</f>
        <v>0</v>
      </c>
      <c r="AH24" s="778" t="n">
        <f aca="false">AH22/AH23</f>
        <v>0</v>
      </c>
      <c r="AI24" s="974" t="n">
        <f aca="false">AI22/AI23</f>
        <v>0</v>
      </c>
      <c r="AJ24" s="755"/>
      <c r="AK24" s="755"/>
      <c r="AL24" s="755"/>
      <c r="AM24" s="953"/>
      <c r="AN24" s="953"/>
      <c r="AO24" s="953"/>
      <c r="AP24" s="953"/>
      <c r="AQ24" s="954"/>
      <c r="AR24" s="954"/>
      <c r="AS24" s="954"/>
      <c r="AT24" s="954"/>
      <c r="AU24" s="954"/>
      <c r="AV24" s="954"/>
      <c r="AW24" s="954"/>
      <c r="AX24" s="954"/>
      <c r="AY24" s="954"/>
      <c r="AZ24" s="954"/>
      <c r="BA24" s="954"/>
      <c r="BB24" s="954"/>
      <c r="BC24" s="954"/>
      <c r="BD24" s="954"/>
      <c r="BE24" s="954"/>
      <c r="BF24" s="954"/>
      <c r="BG24" s="954"/>
      <c r="BH24" s="954"/>
      <c r="BI24" s="954"/>
      <c r="BJ24" s="954"/>
      <c r="BK24" s="954"/>
      <c r="BL24" s="954"/>
      <c r="BM24" s="954"/>
      <c r="BN24" s="954"/>
      <c r="BO24" s="954"/>
      <c r="BP24" s="954"/>
      <c r="BQ24" s="954"/>
      <c r="BR24" s="954"/>
      <c r="BS24" s="954"/>
      <c r="BT24" s="954"/>
      <c r="BU24" s="954"/>
      <c r="BV24" s="954"/>
      <c r="BW24" s="954"/>
      <c r="BX24" s="954"/>
      <c r="BY24" s="954"/>
      <c r="BZ24" s="954"/>
      <c r="CA24" s="954"/>
      <c r="CB24" s="954"/>
      <c r="CC24" s="954"/>
      <c r="CD24" s="954"/>
      <c r="CE24" s="954"/>
      <c r="CF24" s="954"/>
      <c r="CG24" s="954"/>
      <c r="CH24" s="954"/>
      <c r="CI24" s="954"/>
      <c r="CJ24" s="954"/>
      <c r="CK24" s="954"/>
      <c r="CL24" s="954"/>
      <c r="CM24" s="954"/>
      <c r="CN24" s="954"/>
      <c r="CO24" s="954"/>
      <c r="CP24" s="954"/>
      <c r="CQ24" s="954"/>
      <c r="CR24" s="954"/>
      <c r="CS24" s="954"/>
      <c r="CT24" s="954"/>
      <c r="CU24" s="954"/>
      <c r="CV24" s="954"/>
      <c r="CW24" s="954"/>
      <c r="CX24" s="954"/>
      <c r="CY24" s="954"/>
      <c r="CZ24" s="954"/>
      <c r="DA24" s="954"/>
      <c r="DB24" s="954"/>
      <c r="DC24" s="954"/>
      <c r="DD24" s="954"/>
      <c r="DE24" s="954"/>
      <c r="DF24" s="954"/>
      <c r="DG24" s="954"/>
      <c r="DH24" s="954"/>
      <c r="DI24" s="954"/>
      <c r="DJ24" s="954"/>
      <c r="DK24" s="954"/>
      <c r="DL24" s="954"/>
      <c r="DM24" s="954"/>
      <c r="DN24" s="954"/>
      <c r="DO24" s="954"/>
      <c r="DP24" s="954"/>
      <c r="DQ24" s="954"/>
      <c r="DR24" s="954"/>
      <c r="DS24" s="954"/>
      <c r="DT24" s="954"/>
      <c r="DU24" s="954"/>
      <c r="DV24" s="954"/>
      <c r="DW24" s="954"/>
      <c r="DX24" s="954"/>
      <c r="DY24" s="954"/>
      <c r="DZ24" s="954"/>
      <c r="EA24" s="954"/>
      <c r="EB24" s="954"/>
      <c r="EC24" s="954"/>
      <c r="ED24" s="954"/>
      <c r="EE24" s="954"/>
      <c r="EF24" s="954"/>
      <c r="EG24" s="954"/>
      <c r="EH24" s="954"/>
      <c r="EI24" s="954"/>
      <c r="EJ24" s="954"/>
      <c r="EK24" s="954"/>
      <c r="EL24" s="954"/>
      <c r="EM24" s="954"/>
      <c r="EN24" s="954"/>
      <c r="EO24" s="954"/>
      <c r="EP24" s="954"/>
      <c r="EQ24" s="954"/>
      <c r="ER24" s="954"/>
      <c r="ES24" s="954"/>
      <c r="ET24" s="954"/>
      <c r="EU24" s="954"/>
      <c r="EV24" s="954"/>
      <c r="EW24" s="954"/>
      <c r="EX24" s="954"/>
      <c r="EY24" s="954"/>
      <c r="EZ24" s="954"/>
      <c r="FA24" s="954"/>
      <c r="FB24" s="954"/>
      <c r="FC24" s="954"/>
      <c r="FD24" s="954"/>
      <c r="FE24" s="954"/>
      <c r="FF24" s="954"/>
      <c r="FG24" s="954"/>
      <c r="FH24" s="954"/>
      <c r="FI24" s="954"/>
      <c r="FJ24" s="954"/>
      <c r="FK24" s="954"/>
      <c r="FL24" s="954"/>
      <c r="FM24" s="954"/>
      <c r="FN24" s="954"/>
      <c r="FO24" s="954"/>
      <c r="FP24" s="954"/>
      <c r="FQ24" s="954"/>
      <c r="FR24" s="954"/>
      <c r="FS24" s="954"/>
      <c r="FT24" s="954"/>
      <c r="FU24" s="954"/>
      <c r="FV24" s="954"/>
      <c r="FW24" s="954"/>
      <c r="FX24" s="954"/>
      <c r="FY24" s="954"/>
      <c r="FZ24" s="954"/>
      <c r="GA24" s="954"/>
      <c r="GB24" s="954"/>
      <c r="GC24" s="954"/>
      <c r="GD24" s="954"/>
      <c r="GE24" s="954"/>
      <c r="GF24" s="954"/>
      <c r="GG24" s="954"/>
      <c r="GH24" s="954"/>
      <c r="GI24" s="954"/>
      <c r="GJ24" s="954"/>
      <c r="GK24" s="954"/>
      <c r="GL24" s="954"/>
      <c r="GM24" s="954"/>
      <c r="GN24" s="954"/>
      <c r="GO24" s="954"/>
      <c r="GP24" s="954"/>
      <c r="GQ24" s="954"/>
      <c r="GR24" s="954"/>
      <c r="GS24" s="954"/>
      <c r="GT24" s="954"/>
      <c r="GU24" s="954"/>
      <c r="GV24" s="954"/>
      <c r="GW24" s="954"/>
      <c r="GX24" s="954"/>
      <c r="GY24" s="954"/>
      <c r="GZ24" s="954"/>
      <c r="HA24" s="954"/>
      <c r="HB24" s="954"/>
      <c r="HC24" s="954"/>
      <c r="HD24" s="954"/>
      <c r="HE24" s="954"/>
      <c r="HF24" s="954"/>
      <c r="HG24" s="954"/>
      <c r="HH24" s="954"/>
      <c r="HI24" s="954"/>
      <c r="HJ24" s="954"/>
      <c r="HK24" s="954"/>
      <c r="HL24" s="954"/>
      <c r="HM24" s="954"/>
      <c r="HN24" s="954"/>
      <c r="HO24" s="954"/>
      <c r="HP24" s="954"/>
      <c r="HQ24" s="954"/>
      <c r="HR24" s="954"/>
      <c r="HS24" s="954"/>
      <c r="HT24" s="954"/>
      <c r="HU24" s="954"/>
      <c r="HV24" s="954"/>
      <c r="HW24" s="954"/>
      <c r="HX24" s="954"/>
      <c r="HY24" s="954"/>
      <c r="HZ24" s="954"/>
      <c r="IA24" s="954"/>
      <c r="IB24" s="954"/>
      <c r="IC24" s="954"/>
      <c r="ID24" s="954"/>
      <c r="IE24" s="954"/>
      <c r="IF24" s="954"/>
      <c r="IG24" s="954"/>
      <c r="IH24" s="954"/>
      <c r="II24" s="954"/>
      <c r="IJ24" s="954"/>
      <c r="IK24" s="954"/>
      <c r="IL24" s="954"/>
      <c r="IM24" s="954"/>
      <c r="IN24" s="954"/>
      <c r="IO24" s="954"/>
      <c r="IP24" s="954"/>
      <c r="IQ24" s="954"/>
      <c r="IR24" s="954"/>
      <c r="IS24" s="954"/>
      <c r="IT24" s="954"/>
      <c r="IU24" s="954"/>
      <c r="IV24" s="954"/>
      <c r="IW24" s="954"/>
    </row>
    <row r="25" customFormat="false" ht="12.75" hidden="false" customHeight="false" outlineLevel="0" collapsed="false">
      <c r="A25" s="751"/>
      <c r="B25" s="946"/>
      <c r="C25" s="828"/>
      <c r="D25" s="752"/>
      <c r="E25" s="451"/>
      <c r="F25" s="451"/>
      <c r="G25" s="451"/>
      <c r="H25" s="451"/>
      <c r="I25" s="451"/>
      <c r="J25" s="451"/>
      <c r="K25" s="451"/>
      <c r="L25" s="451"/>
      <c r="M25" s="451"/>
      <c r="N25" s="451"/>
      <c r="O25" s="451"/>
      <c r="P25" s="451"/>
      <c r="Q25" s="451"/>
      <c r="R25" s="451"/>
      <c r="S25" s="451"/>
      <c r="T25" s="451"/>
      <c r="U25" s="451"/>
      <c r="V25" s="451"/>
      <c r="W25" s="451"/>
      <c r="X25" s="451"/>
      <c r="Y25" s="451"/>
      <c r="Z25" s="451"/>
      <c r="AA25" s="451"/>
      <c r="AB25" s="451"/>
      <c r="AC25" s="451"/>
      <c r="AD25" s="451"/>
      <c r="AE25" s="451"/>
      <c r="AF25" s="451"/>
      <c r="AG25" s="451"/>
      <c r="AH25" s="451"/>
      <c r="AI25" s="947"/>
      <c r="AJ25" s="373"/>
      <c r="AK25" s="373"/>
      <c r="AL25" s="373"/>
      <c r="AM25" s="753"/>
      <c r="AN25" s="753"/>
      <c r="AO25" s="753"/>
      <c r="AP25" s="753"/>
    </row>
    <row r="26" customFormat="false" ht="12.75" hidden="false" customHeight="false" outlineLevel="0" collapsed="false">
      <c r="A26" s="975"/>
      <c r="B26" s="976" t="s">
        <v>623</v>
      </c>
      <c r="C26" s="977"/>
      <c r="D26" s="978"/>
      <c r="E26" s="978" t="n">
        <f aca="false">E16+E24</f>
        <v>573.300936572961</v>
      </c>
      <c r="F26" s="978" t="n">
        <f aca="false">F16+F24</f>
        <v>571.607553384322</v>
      </c>
      <c r="G26" s="978" t="n">
        <f aca="false">G16+G24</f>
        <v>569.738018319113</v>
      </c>
      <c r="H26" s="978" t="n">
        <f aca="false">H16+H24</f>
        <v>567.626944867061</v>
      </c>
      <c r="I26" s="978" t="n">
        <f aca="false">I16+I24</f>
        <v>565.310185632573</v>
      </c>
      <c r="J26" s="978" t="n">
        <f aca="false">J16+J24</f>
        <v>562.879487597114</v>
      </c>
      <c r="K26" s="978" t="n">
        <f aca="false">K16+K24</f>
        <v>557.665789727338</v>
      </c>
      <c r="L26" s="978" t="n">
        <f aca="false">L16+L24</f>
        <v>552.22807750722</v>
      </c>
      <c r="M26" s="978" t="n">
        <f aca="false">M16+M24</f>
        <v>546.560279836952</v>
      </c>
      <c r="N26" s="978" t="n">
        <f aca="false">N16+N24</f>
        <v>540.393558379574</v>
      </c>
      <c r="O26" s="978" t="n">
        <f aca="false">O16+O24</f>
        <v>547.036344776273</v>
      </c>
      <c r="P26" s="978" t="n">
        <f aca="false">P16+P24</f>
        <v>540.436096296459</v>
      </c>
      <c r="Q26" s="978" t="n">
        <f aca="false">Q16+Q24</f>
        <v>533.321999723709</v>
      </c>
      <c r="R26" s="978" t="n">
        <f aca="false">R16+R24</f>
        <v>525.661489031909</v>
      </c>
      <c r="S26" s="978" t="n">
        <f aca="false">S16+S24</f>
        <v>517.395799501174</v>
      </c>
      <c r="T26" s="978" t="n">
        <f aca="false">T16+T24</f>
        <v>509.111721360887</v>
      </c>
      <c r="U26" s="978" t="n">
        <f aca="false">U16+U24</f>
        <v>590.594573693744</v>
      </c>
      <c r="V26" s="978" t="n">
        <f aca="false">V16+V24</f>
        <v>2030.82975075773</v>
      </c>
      <c r="W26" s="978" t="n">
        <f aca="false">W16+W24</f>
        <v>1999.73505602653</v>
      </c>
      <c r="X26" s="978" t="n">
        <f aca="false">X16+X24</f>
        <v>1968.7171441291</v>
      </c>
      <c r="Y26" s="978" t="n">
        <f aca="false">Y16+Y24</f>
        <v>0</v>
      </c>
      <c r="Z26" s="978" t="n">
        <f aca="false">Z16+Z24</f>
        <v>0</v>
      </c>
      <c r="AA26" s="978" t="n">
        <f aca="false">AA16+AA24</f>
        <v>0</v>
      </c>
      <c r="AB26" s="978" t="n">
        <f aca="false">AB16+AB24</f>
        <v>0</v>
      </c>
      <c r="AC26" s="978" t="n">
        <f aca="false">AC16+AC24</f>
        <v>0</v>
      </c>
      <c r="AD26" s="978" t="n">
        <f aca="false">AD16+AD24</f>
        <v>0</v>
      </c>
      <c r="AE26" s="978" t="n">
        <f aca="false">AE16+AE24</f>
        <v>0</v>
      </c>
      <c r="AF26" s="978" t="n">
        <f aca="false">AF16+AF24</f>
        <v>0</v>
      </c>
      <c r="AG26" s="978" t="n">
        <f aca="false">AG16+AG24</f>
        <v>0</v>
      </c>
      <c r="AH26" s="978" t="n">
        <f aca="false">AH16+AH24</f>
        <v>0</v>
      </c>
      <c r="AI26" s="979" t="n">
        <f aca="false">AI16+AI24</f>
        <v>0</v>
      </c>
      <c r="AJ26" s="980"/>
      <c r="AK26" s="980"/>
      <c r="AL26" s="980"/>
      <c r="AM26" s="980"/>
      <c r="AN26" s="980"/>
      <c r="AO26" s="980"/>
      <c r="AP26" s="980"/>
      <c r="AQ26" s="981"/>
      <c r="AR26" s="981"/>
      <c r="AS26" s="981"/>
      <c r="AT26" s="981"/>
      <c r="AU26" s="981"/>
      <c r="AV26" s="981"/>
      <c r="AW26" s="981"/>
      <c r="AX26" s="981"/>
      <c r="AY26" s="981"/>
      <c r="AZ26" s="981"/>
      <c r="BA26" s="981"/>
      <c r="BB26" s="981"/>
      <c r="BC26" s="981"/>
      <c r="BD26" s="981"/>
      <c r="BE26" s="981"/>
      <c r="BF26" s="981"/>
      <c r="BG26" s="981"/>
      <c r="BH26" s="981"/>
      <c r="BI26" s="981"/>
      <c r="BJ26" s="981"/>
      <c r="BK26" s="981"/>
      <c r="BL26" s="981"/>
      <c r="BM26" s="981"/>
      <c r="BN26" s="981"/>
      <c r="BO26" s="981"/>
      <c r="BP26" s="981"/>
      <c r="BQ26" s="981"/>
      <c r="BR26" s="981"/>
      <c r="BS26" s="981"/>
      <c r="BT26" s="981"/>
      <c r="BU26" s="981"/>
      <c r="BV26" s="981"/>
      <c r="BW26" s="981"/>
      <c r="BX26" s="981"/>
      <c r="BY26" s="981"/>
      <c r="BZ26" s="981"/>
      <c r="CA26" s="981"/>
      <c r="CB26" s="981"/>
      <c r="CC26" s="981"/>
      <c r="CD26" s="981"/>
      <c r="CE26" s="981"/>
      <c r="CF26" s="981"/>
      <c r="CG26" s="981"/>
      <c r="CH26" s="981"/>
      <c r="CI26" s="981"/>
      <c r="CJ26" s="981"/>
      <c r="CK26" s="981"/>
      <c r="CL26" s="981"/>
      <c r="CM26" s="981"/>
      <c r="CN26" s="981"/>
      <c r="CO26" s="981"/>
      <c r="CP26" s="981"/>
      <c r="CQ26" s="981"/>
      <c r="CR26" s="981"/>
      <c r="CS26" s="981"/>
      <c r="CT26" s="981"/>
      <c r="CU26" s="981"/>
      <c r="CV26" s="981"/>
      <c r="CW26" s="981"/>
      <c r="CX26" s="981"/>
      <c r="CY26" s="981"/>
      <c r="CZ26" s="981"/>
      <c r="DA26" s="981"/>
      <c r="DB26" s="981"/>
      <c r="DC26" s="981"/>
      <c r="DD26" s="981"/>
      <c r="DE26" s="981"/>
      <c r="DF26" s="981"/>
      <c r="DG26" s="981"/>
      <c r="DH26" s="981"/>
      <c r="DI26" s="981"/>
      <c r="DJ26" s="981"/>
      <c r="DK26" s="981"/>
      <c r="DL26" s="981"/>
      <c r="DM26" s="981"/>
      <c r="DN26" s="981"/>
      <c r="DO26" s="981"/>
      <c r="DP26" s="981"/>
      <c r="DQ26" s="981"/>
      <c r="DR26" s="981"/>
      <c r="DS26" s="981"/>
      <c r="DT26" s="981"/>
      <c r="DU26" s="981"/>
      <c r="DV26" s="981"/>
      <c r="DW26" s="981"/>
      <c r="DX26" s="981"/>
      <c r="DY26" s="981"/>
      <c r="DZ26" s="981"/>
      <c r="EA26" s="981"/>
      <c r="EB26" s="981"/>
      <c r="EC26" s="981"/>
      <c r="ED26" s="981"/>
      <c r="EE26" s="981"/>
      <c r="EF26" s="981"/>
      <c r="EG26" s="981"/>
      <c r="EH26" s="981"/>
      <c r="EI26" s="981"/>
      <c r="EJ26" s="981"/>
      <c r="EK26" s="981"/>
      <c r="EL26" s="981"/>
      <c r="EM26" s="981"/>
      <c r="EN26" s="981"/>
      <c r="EO26" s="981"/>
      <c r="EP26" s="981"/>
      <c r="EQ26" s="981"/>
      <c r="ER26" s="981"/>
      <c r="ES26" s="981"/>
      <c r="ET26" s="981"/>
      <c r="EU26" s="981"/>
      <c r="EV26" s="981"/>
      <c r="EW26" s="981"/>
      <c r="EX26" s="981"/>
      <c r="EY26" s="981"/>
      <c r="EZ26" s="981"/>
      <c r="FA26" s="981"/>
      <c r="FB26" s="981"/>
      <c r="FC26" s="981"/>
      <c r="FD26" s="981"/>
      <c r="FE26" s="981"/>
      <c r="FF26" s="981"/>
      <c r="FG26" s="981"/>
      <c r="FH26" s="981"/>
      <c r="FI26" s="981"/>
      <c r="FJ26" s="981"/>
      <c r="FK26" s="981"/>
      <c r="FL26" s="981"/>
      <c r="FM26" s="981"/>
      <c r="FN26" s="981"/>
      <c r="FO26" s="981"/>
      <c r="FP26" s="981"/>
      <c r="FQ26" s="981"/>
      <c r="FR26" s="981"/>
      <c r="FS26" s="981"/>
      <c r="FT26" s="981"/>
      <c r="FU26" s="981"/>
      <c r="FV26" s="981"/>
      <c r="FW26" s="981"/>
      <c r="FX26" s="981"/>
      <c r="FY26" s="981"/>
      <c r="FZ26" s="981"/>
      <c r="GA26" s="981"/>
      <c r="GB26" s="981"/>
      <c r="GC26" s="981"/>
      <c r="GD26" s="981"/>
      <c r="GE26" s="981"/>
      <c r="GF26" s="981"/>
      <c r="GG26" s="981"/>
      <c r="GH26" s="981"/>
      <c r="GI26" s="981"/>
      <c r="GJ26" s="981"/>
      <c r="GK26" s="981"/>
      <c r="GL26" s="981"/>
      <c r="GM26" s="981"/>
      <c r="GN26" s="981"/>
      <c r="GO26" s="981"/>
      <c r="GP26" s="981"/>
      <c r="GQ26" s="981"/>
      <c r="GR26" s="981"/>
      <c r="GS26" s="981"/>
      <c r="GT26" s="981"/>
      <c r="GU26" s="981"/>
      <c r="GV26" s="981"/>
      <c r="GW26" s="981"/>
      <c r="GX26" s="981"/>
      <c r="GY26" s="981"/>
      <c r="GZ26" s="981"/>
      <c r="HA26" s="981"/>
      <c r="HB26" s="981"/>
      <c r="HC26" s="981"/>
      <c r="HD26" s="981"/>
      <c r="HE26" s="981"/>
      <c r="HF26" s="981"/>
      <c r="HG26" s="981"/>
      <c r="HH26" s="981"/>
      <c r="HI26" s="981"/>
      <c r="HJ26" s="981"/>
      <c r="HK26" s="981"/>
      <c r="HL26" s="981"/>
      <c r="HM26" s="981"/>
      <c r="HN26" s="981"/>
      <c r="HO26" s="981"/>
      <c r="HP26" s="981"/>
      <c r="HQ26" s="981"/>
      <c r="HR26" s="981"/>
      <c r="HS26" s="981"/>
      <c r="HT26" s="981"/>
      <c r="HU26" s="981"/>
      <c r="HV26" s="981"/>
      <c r="HW26" s="981"/>
      <c r="HX26" s="981"/>
      <c r="HY26" s="981"/>
      <c r="HZ26" s="981"/>
      <c r="IA26" s="981"/>
      <c r="IB26" s="981"/>
      <c r="IC26" s="981"/>
      <c r="ID26" s="981"/>
      <c r="IE26" s="981"/>
      <c r="IF26" s="981"/>
      <c r="IG26" s="981"/>
      <c r="IH26" s="981"/>
      <c r="II26" s="981"/>
      <c r="IJ26" s="981"/>
      <c r="IK26" s="981"/>
      <c r="IL26" s="981"/>
      <c r="IM26" s="981"/>
      <c r="IN26" s="981"/>
      <c r="IO26" s="981"/>
      <c r="IP26" s="981"/>
      <c r="IQ26" s="981"/>
      <c r="IR26" s="981"/>
      <c r="IS26" s="981"/>
      <c r="IT26" s="981"/>
      <c r="IU26" s="981"/>
      <c r="IV26" s="981"/>
      <c r="IW26" s="981"/>
    </row>
    <row r="27" customFormat="false" ht="12.75" hidden="false" customHeight="false" outlineLevel="0" collapsed="false">
      <c r="A27" s="751"/>
      <c r="B27" s="982"/>
      <c r="C27" s="983"/>
      <c r="D27" s="755"/>
      <c r="E27" s="755"/>
      <c r="F27" s="755"/>
      <c r="G27" s="755"/>
      <c r="H27" s="755"/>
      <c r="I27" s="755"/>
      <c r="J27" s="755"/>
      <c r="K27" s="755"/>
      <c r="L27" s="755"/>
      <c r="M27" s="755"/>
      <c r="N27" s="755"/>
      <c r="O27" s="755"/>
      <c r="P27" s="755"/>
      <c r="Q27" s="755"/>
      <c r="R27" s="755"/>
      <c r="S27" s="755"/>
      <c r="T27" s="755"/>
      <c r="U27" s="755"/>
      <c r="V27" s="755"/>
      <c r="W27" s="755"/>
      <c r="X27" s="755"/>
      <c r="Y27" s="755"/>
      <c r="Z27" s="755"/>
      <c r="AA27" s="755"/>
      <c r="AB27" s="755"/>
      <c r="AC27" s="755"/>
      <c r="AD27" s="755"/>
      <c r="AE27" s="755"/>
      <c r="AF27" s="755"/>
      <c r="AG27" s="755"/>
      <c r="AH27" s="755"/>
      <c r="AI27" s="755"/>
      <c r="AJ27" s="755"/>
      <c r="AK27" s="755"/>
      <c r="AL27" s="755"/>
      <c r="AM27" s="755"/>
      <c r="AN27" s="755"/>
      <c r="AO27" s="755"/>
      <c r="AP27" s="755"/>
    </row>
    <row r="28" customFormat="false" ht="12.75" hidden="false" customHeight="false" outlineLevel="0" collapsed="false">
      <c r="A28" s="751"/>
      <c r="B28" s="752"/>
      <c r="C28" s="828"/>
      <c r="D28" s="752"/>
      <c r="E28" s="759" t="n">
        <v>1</v>
      </c>
      <c r="F28" s="760" t="n">
        <v>2</v>
      </c>
      <c r="G28" s="760" t="n">
        <v>3</v>
      </c>
      <c r="H28" s="760" t="n">
        <v>4</v>
      </c>
      <c r="I28" s="760" t="n">
        <v>5</v>
      </c>
      <c r="J28" s="760" t="n">
        <v>6</v>
      </c>
      <c r="K28" s="760" t="n">
        <v>7</v>
      </c>
      <c r="L28" s="760" t="n">
        <v>8</v>
      </c>
      <c r="M28" s="760" t="n">
        <v>9</v>
      </c>
      <c r="N28" s="760" t="n">
        <v>10</v>
      </c>
      <c r="O28" s="760" t="n">
        <v>11</v>
      </c>
      <c r="P28" s="760" t="n">
        <v>12</v>
      </c>
      <c r="Q28" s="760" t="n">
        <v>13</v>
      </c>
      <c r="R28" s="760" t="n">
        <v>14</v>
      </c>
      <c r="S28" s="760" t="n">
        <v>15</v>
      </c>
      <c r="T28" s="760" t="n">
        <v>16</v>
      </c>
      <c r="U28" s="760" t="n">
        <v>17</v>
      </c>
      <c r="V28" s="760" t="n">
        <v>18</v>
      </c>
      <c r="W28" s="760" t="n">
        <v>19</v>
      </c>
      <c r="X28" s="760" t="n">
        <v>20</v>
      </c>
      <c r="Y28" s="760" t="n">
        <v>21</v>
      </c>
      <c r="Z28" s="760" t="n">
        <v>22</v>
      </c>
      <c r="AA28" s="760" t="n">
        <v>23</v>
      </c>
      <c r="AB28" s="760" t="n">
        <v>24</v>
      </c>
      <c r="AC28" s="760" t="n">
        <v>25</v>
      </c>
      <c r="AD28" s="760" t="n">
        <v>26</v>
      </c>
      <c r="AE28" s="760" t="n">
        <v>27</v>
      </c>
      <c r="AF28" s="760" t="n">
        <v>28</v>
      </c>
      <c r="AG28" s="760" t="n">
        <v>29</v>
      </c>
      <c r="AH28" s="760" t="n">
        <v>30</v>
      </c>
      <c r="AI28" s="761" t="n">
        <v>31</v>
      </c>
      <c r="AJ28" s="373"/>
      <c r="AK28" s="373"/>
      <c r="AL28" s="373"/>
      <c r="AM28" s="753"/>
      <c r="AN28" s="753"/>
      <c r="AO28" s="753"/>
      <c r="AP28" s="753"/>
    </row>
    <row r="29" customFormat="false" ht="12.75" hidden="false" customHeight="false" outlineLevel="0" collapsed="false">
      <c r="A29" s="751"/>
      <c r="B29" s="752" t="s">
        <v>568</v>
      </c>
      <c r="C29" s="828"/>
      <c r="D29" s="752"/>
      <c r="E29" s="984" t="n">
        <f aca="false">Assum!E300</f>
        <v>1.2</v>
      </c>
      <c r="F29" s="984" t="n">
        <f aca="false">Assum!F300</f>
        <v>1.2</v>
      </c>
      <c r="G29" s="984" t="n">
        <f aca="false">Assum!G300</f>
        <v>1.2</v>
      </c>
      <c r="H29" s="984" t="n">
        <f aca="false">Assum!H300</f>
        <v>1.2</v>
      </c>
      <c r="I29" s="984" t="n">
        <f aca="false">Assum!I300</f>
        <v>1.2</v>
      </c>
      <c r="J29" s="984" t="n">
        <f aca="false">Assum!J300</f>
        <v>1.2</v>
      </c>
      <c r="K29" s="984" t="n">
        <f aca="false">Assum!K300</f>
        <v>1.2</v>
      </c>
      <c r="L29" s="984" t="n">
        <f aca="false">Assum!L300</f>
        <v>1.2</v>
      </c>
      <c r="M29" s="984" t="n">
        <f aca="false">Assum!M300</f>
        <v>1.2</v>
      </c>
      <c r="N29" s="984" t="n">
        <f aca="false">Assum!N300</f>
        <v>1.2</v>
      </c>
      <c r="O29" s="984" t="n">
        <f aca="false">Assum!O300</f>
        <v>1.2</v>
      </c>
      <c r="P29" s="984" t="n">
        <f aca="false">Assum!P300</f>
        <v>1.2</v>
      </c>
      <c r="Q29" s="984" t="n">
        <f aca="false">Assum!Q300</f>
        <v>1.2</v>
      </c>
      <c r="R29" s="984" t="n">
        <f aca="false">Assum!R300</f>
        <v>1.2</v>
      </c>
      <c r="S29" s="984" t="n">
        <f aca="false">Assum!S300</f>
        <v>1.2</v>
      </c>
      <c r="T29" s="984" t="n">
        <f aca="false">Assum!T300</f>
        <v>1.2</v>
      </c>
      <c r="U29" s="984" t="n">
        <f aca="false">Assum!U300</f>
        <v>1.2</v>
      </c>
      <c r="V29" s="984" t="n">
        <f aca="false">Assum!V300</f>
        <v>1.2</v>
      </c>
      <c r="W29" s="984" t="n">
        <f aca="false">Assum!W300</f>
        <v>1.2</v>
      </c>
      <c r="X29" s="984" t="n">
        <f aca="false">Assum!X300</f>
        <v>1.2</v>
      </c>
      <c r="Y29" s="984" t="n">
        <f aca="false">Assum!Y300</f>
        <v>1.2</v>
      </c>
      <c r="Z29" s="984" t="n">
        <f aca="false">Assum!Z300</f>
        <v>1.2</v>
      </c>
      <c r="AA29" s="984" t="n">
        <f aca="false">Assum!AA300</f>
        <v>1.2</v>
      </c>
      <c r="AB29" s="984" t="n">
        <f aca="false">Assum!AB300</f>
        <v>1.2</v>
      </c>
      <c r="AC29" s="984" t="n">
        <f aca="false">Assum!AC300</f>
        <v>1.2</v>
      </c>
      <c r="AD29" s="984" t="n">
        <f aca="false">Assum!AD300</f>
        <v>1.2</v>
      </c>
      <c r="AE29" s="984" t="n">
        <f aca="false">Assum!AE300</f>
        <v>1.2</v>
      </c>
      <c r="AF29" s="984" t="n">
        <f aca="false">Assum!AF300</f>
        <v>1.2</v>
      </c>
      <c r="AG29" s="984" t="n">
        <f aca="false">Assum!AG300</f>
        <v>1.2</v>
      </c>
      <c r="AH29" s="984" t="n">
        <f aca="false">Assum!AH300</f>
        <v>1.2</v>
      </c>
      <c r="AI29" s="984" t="n">
        <f aca="false">Assum!AI300</f>
        <v>1.2</v>
      </c>
      <c r="AJ29" s="373"/>
      <c r="AK29" s="373"/>
      <c r="AL29" s="373"/>
      <c r="AM29" s="753"/>
      <c r="AN29" s="753"/>
      <c r="AO29" s="753"/>
      <c r="AP29" s="753"/>
    </row>
    <row r="30" customFormat="false" ht="12.75" hidden="false" customHeight="false" outlineLevel="0" collapsed="false">
      <c r="A30" s="751"/>
      <c r="B30" s="752" t="s">
        <v>569</v>
      </c>
      <c r="C30" s="828"/>
      <c r="D30" s="752"/>
      <c r="E30" s="984" t="str">
        <f aca="false">IF(E58&gt;0,+E26/E58,"")</f>
        <v/>
      </c>
      <c r="F30" s="984" t="str">
        <f aca="false">IF(F58&gt;0,+F26/F58,"")</f>
        <v/>
      </c>
      <c r="G30" s="984" t="str">
        <f aca="false">IF(G58&gt;0,+G26/G58,"")</f>
        <v/>
      </c>
      <c r="H30" s="984" t="str">
        <f aca="false">IF(H58&gt;0,+H26/H58,"")</f>
        <v/>
      </c>
      <c r="I30" s="984" t="str">
        <f aca="false">IF(I58&gt;0,+I26/I58,"")</f>
        <v/>
      </c>
      <c r="J30" s="984" t="str">
        <f aca="false">IF(J58&gt;0,+J26/J58,"")</f>
        <v/>
      </c>
      <c r="K30" s="984" t="str">
        <f aca="false">IF(K58&gt;0,+K26/K58,"")</f>
        <v/>
      </c>
      <c r="L30" s="984" t="str">
        <f aca="false">IF(L58&gt;0,+L26/L58,"")</f>
        <v/>
      </c>
      <c r="M30" s="984" t="str">
        <f aca="false">IF(M58&gt;0,+M26/M58,"")</f>
        <v/>
      </c>
      <c r="N30" s="984" t="str">
        <f aca="false">IF(N58&gt;0,+N26/N58,"")</f>
        <v/>
      </c>
      <c r="O30" s="984" t="str">
        <f aca="false">IF(O58&gt;0,+O26/O58,"")</f>
        <v/>
      </c>
      <c r="P30" s="984" t="str">
        <f aca="false">IF(P58&gt;0,+P26/P58,"")</f>
        <v/>
      </c>
      <c r="Q30" s="984" t="str">
        <f aca="false">IF(Q58&gt;0,+Q26/Q58,"")</f>
        <v/>
      </c>
      <c r="R30" s="984" t="str">
        <f aca="false">IF(R58&gt;0,+R26/R58,"")</f>
        <v/>
      </c>
      <c r="S30" s="984" t="str">
        <f aca="false">IF(S58&gt;0,+S26/S58,"")</f>
        <v/>
      </c>
      <c r="T30" s="984" t="str">
        <f aca="false">IF(T58&gt;0,+T26/T58,"")</f>
        <v/>
      </c>
      <c r="U30" s="984" t="str">
        <f aca="false">IF(U58&gt;0,+U26/U58,"")</f>
        <v/>
      </c>
      <c r="V30" s="984" t="str">
        <f aca="false">IF(V58&gt;0,+V26/V58,"")</f>
        <v/>
      </c>
      <c r="W30" s="984" t="str">
        <f aca="false">IF(W58&gt;0,+W26/W58,"")</f>
        <v/>
      </c>
      <c r="X30" s="984" t="str">
        <f aca="false">IF(X58&gt;0,+X26/X58,"")</f>
        <v/>
      </c>
      <c r="Y30" s="984" t="str">
        <f aca="false">IF(Y58&gt;0,+Y26/Y58,"")</f>
        <v/>
      </c>
      <c r="Z30" s="984" t="str">
        <f aca="false">IF(Z58&gt;0,+Z26/Z58,"")</f>
        <v/>
      </c>
      <c r="AA30" s="984" t="str">
        <f aca="false">IF(AA58&gt;0,+AA26/AA58,"")</f>
        <v/>
      </c>
      <c r="AB30" s="984" t="str">
        <f aca="false">IF(AB58&gt;0,+AB26/AB58,"")</f>
        <v/>
      </c>
      <c r="AC30" s="984" t="str">
        <f aca="false">IF(AC58&gt;0,+AC26/AC58,"")</f>
        <v/>
      </c>
      <c r="AD30" s="984" t="str">
        <f aca="false">IF(AD58&gt;0,+AD26/AD58,"")</f>
        <v/>
      </c>
      <c r="AE30" s="984" t="str">
        <f aca="false">IF(AE58&gt;0,+AE26/AE58,"")</f>
        <v/>
      </c>
      <c r="AF30" s="984" t="str">
        <f aca="false">IF(AF58&gt;0,+AF26/AF58,"")</f>
        <v/>
      </c>
      <c r="AG30" s="984" t="str">
        <f aca="false">IF(AG58&gt;0,+AG26/AG58,"")</f>
        <v/>
      </c>
      <c r="AH30" s="984" t="str">
        <f aca="false">IF(AH58&gt;0,+AH26/AH58,"")</f>
        <v/>
      </c>
      <c r="AI30" s="984" t="str">
        <f aca="false">IF(AI58&gt;0,+AI26/AI58,"")</f>
        <v/>
      </c>
      <c r="AJ30" s="373"/>
      <c r="AK30" s="373"/>
      <c r="AL30" s="373"/>
      <c r="AM30" s="753"/>
      <c r="AN30" s="753"/>
      <c r="AO30" s="753"/>
      <c r="AP30" s="753"/>
    </row>
    <row r="31" customFormat="false" ht="12.75" hidden="false" customHeight="false" outlineLevel="0" collapsed="false">
      <c r="A31" s="751"/>
      <c r="B31" s="752"/>
      <c r="C31" s="828"/>
      <c r="D31" s="752"/>
      <c r="E31" s="984"/>
      <c r="F31" s="984"/>
      <c r="G31" s="984"/>
      <c r="H31" s="984"/>
      <c r="I31" s="984"/>
      <c r="J31" s="984"/>
      <c r="K31" s="984"/>
      <c r="L31" s="984"/>
      <c r="M31" s="984"/>
      <c r="N31" s="984"/>
      <c r="O31" s="984"/>
      <c r="P31" s="984"/>
      <c r="Q31" s="984"/>
      <c r="R31" s="984"/>
      <c r="S31" s="984"/>
      <c r="T31" s="984"/>
      <c r="U31" s="984"/>
      <c r="V31" s="984"/>
      <c r="W31" s="984"/>
      <c r="X31" s="984"/>
      <c r="Y31" s="984"/>
      <c r="Z31" s="984"/>
      <c r="AA31" s="984"/>
      <c r="AB31" s="984"/>
      <c r="AC31" s="984"/>
      <c r="AD31" s="984"/>
      <c r="AE31" s="984"/>
      <c r="AF31" s="984"/>
      <c r="AG31" s="984"/>
      <c r="AH31" s="984"/>
      <c r="AI31" s="984"/>
      <c r="AJ31" s="373"/>
      <c r="AK31" s="373"/>
      <c r="AL31" s="373"/>
      <c r="AM31" s="753"/>
      <c r="AN31" s="753"/>
      <c r="AO31" s="753"/>
      <c r="AP31" s="753"/>
    </row>
    <row r="32" customFormat="false" ht="12.75" hidden="false" customHeight="false" outlineLevel="0" collapsed="false">
      <c r="A32" s="751"/>
      <c r="B32" s="755" t="s">
        <v>624</v>
      </c>
      <c r="C32" s="983"/>
      <c r="D32" s="755"/>
      <c r="E32" s="768" t="n">
        <f aca="false">Assum!E295</f>
        <v>0.08</v>
      </c>
      <c r="F32" s="768" t="n">
        <f aca="false">Assum!F295</f>
        <v>0.08</v>
      </c>
      <c r="G32" s="768" t="n">
        <f aca="false">Assum!G295</f>
        <v>0.08</v>
      </c>
      <c r="H32" s="768" t="n">
        <f aca="false">Assum!H295</f>
        <v>0.08</v>
      </c>
      <c r="I32" s="768" t="n">
        <f aca="false">Assum!I295</f>
        <v>0.08</v>
      </c>
      <c r="J32" s="768" t="n">
        <f aca="false">Assum!J295</f>
        <v>0.08</v>
      </c>
      <c r="K32" s="768" t="n">
        <f aca="false">Assum!K295</f>
        <v>0.08</v>
      </c>
      <c r="L32" s="768" t="n">
        <f aca="false">Assum!L295</f>
        <v>0.08</v>
      </c>
      <c r="M32" s="768" t="n">
        <f aca="false">Assum!M295</f>
        <v>0.08</v>
      </c>
      <c r="N32" s="768" t="n">
        <f aca="false">Assum!N295</f>
        <v>0.08</v>
      </c>
      <c r="O32" s="768" t="n">
        <f aca="false">Assum!O295</f>
        <v>0.08</v>
      </c>
      <c r="P32" s="768" t="n">
        <f aca="false">Assum!P295</f>
        <v>0.08</v>
      </c>
      <c r="Q32" s="768" t="n">
        <f aca="false">Assum!Q295</f>
        <v>0.08</v>
      </c>
      <c r="R32" s="768" t="n">
        <f aca="false">Assum!R295</f>
        <v>0.08</v>
      </c>
      <c r="S32" s="768" t="n">
        <f aca="false">Assum!S295</f>
        <v>0.08</v>
      </c>
      <c r="T32" s="768" t="n">
        <f aca="false">Assum!T295</f>
        <v>0.08</v>
      </c>
      <c r="U32" s="768" t="n">
        <f aca="false">Assum!U295</f>
        <v>0.08</v>
      </c>
      <c r="V32" s="768" t="n">
        <f aca="false">Assum!V295</f>
        <v>0.08</v>
      </c>
      <c r="W32" s="768" t="n">
        <f aca="false">Assum!W295</f>
        <v>0.08</v>
      </c>
      <c r="X32" s="768" t="n">
        <f aca="false">Assum!X295</f>
        <v>0.08</v>
      </c>
      <c r="Y32" s="768" t="n">
        <f aca="false">Assum!Y295</f>
        <v>0.08</v>
      </c>
      <c r="Z32" s="768" t="n">
        <f aca="false">Assum!Z295</f>
        <v>0.08</v>
      </c>
      <c r="AA32" s="768" t="n">
        <f aca="false">Assum!AA295</f>
        <v>0.08</v>
      </c>
      <c r="AB32" s="768" t="n">
        <f aca="false">Assum!AB295</f>
        <v>0.08</v>
      </c>
      <c r="AC32" s="768" t="n">
        <f aca="false">Assum!AC295</f>
        <v>0.08</v>
      </c>
      <c r="AD32" s="768" t="n">
        <f aca="false">Assum!AD295</f>
        <v>0.08</v>
      </c>
      <c r="AE32" s="768" t="n">
        <f aca="false">Assum!AE295</f>
        <v>0.08</v>
      </c>
      <c r="AF32" s="768" t="n">
        <f aca="false">Assum!AF295</f>
        <v>0.08</v>
      </c>
      <c r="AG32" s="768" t="n">
        <f aca="false">Assum!AG295</f>
        <v>0.08</v>
      </c>
      <c r="AH32" s="768" t="n">
        <f aca="false">Assum!AH295</f>
        <v>0.08</v>
      </c>
      <c r="AI32" s="768" t="n">
        <f aca="false">Assum!AI295</f>
        <v>0.08</v>
      </c>
      <c r="AJ32" s="755"/>
      <c r="AK32" s="755"/>
      <c r="AL32" s="755"/>
      <c r="AM32" s="755"/>
      <c r="AN32" s="755"/>
      <c r="AO32" s="755"/>
      <c r="AP32" s="755"/>
    </row>
    <row r="33" customFormat="false" ht="12.75" hidden="false" customHeight="false" outlineLevel="0" collapsed="false">
      <c r="A33" s="985"/>
      <c r="B33" s="769" t="s">
        <v>570</v>
      </c>
      <c r="C33" s="985"/>
      <c r="D33" s="769"/>
      <c r="E33" s="770" t="n">
        <f aca="false">PV(E32,E1,0,-1,0)</f>
        <v>0.925925925925926</v>
      </c>
      <c r="F33" s="770" t="n">
        <f aca="false">PV(F32,F1,0,-1,0)</f>
        <v>0.857338820301783</v>
      </c>
      <c r="G33" s="770" t="n">
        <f aca="false">PV(G32,G1,0,-1,0)</f>
        <v>0.79383224102017</v>
      </c>
      <c r="H33" s="770" t="n">
        <f aca="false">PV(H32,H1,0,-1,0)</f>
        <v>0.735029852796453</v>
      </c>
      <c r="I33" s="770" t="n">
        <f aca="false">PV(I32,I1,0,-1,0)</f>
        <v>0.680583197033753</v>
      </c>
      <c r="J33" s="770" t="n">
        <f aca="false">PV(J32,J1,0,-1,0)</f>
        <v>0.630169626883105</v>
      </c>
      <c r="K33" s="770" t="n">
        <f aca="false">PV(K32,K1,0,-1,0)</f>
        <v>0.583490395262134</v>
      </c>
      <c r="L33" s="770" t="n">
        <f aca="false">PV(L32,L1,0,-1,0)</f>
        <v>0.540268884501976</v>
      </c>
      <c r="M33" s="770" t="n">
        <f aca="false">PV(M32,M1,0,-1,0)</f>
        <v>0.500248967131459</v>
      </c>
      <c r="N33" s="770" t="n">
        <f aca="false">PV(N32,N1,0,-1,0)</f>
        <v>0.463193488084684</v>
      </c>
      <c r="O33" s="770" t="n">
        <f aca="false">PV(O32,O1,0,-1,0)</f>
        <v>0.428882859337671</v>
      </c>
      <c r="P33" s="770" t="n">
        <f aca="false">PV(P32,P1,0,-1,0)</f>
        <v>0.397113758645991</v>
      </c>
      <c r="Q33" s="770" t="n">
        <f aca="false">PV(Q32,Q1,0,-1,0)</f>
        <v>0.367697924672214</v>
      </c>
      <c r="R33" s="770" t="n">
        <f aca="false">PV(R32,R1,0,-1,0)</f>
        <v>0.340461041363161</v>
      </c>
      <c r="S33" s="770" t="n">
        <f aca="false">PV(S32,S1,0,-1,0)</f>
        <v>0.31524170496589</v>
      </c>
      <c r="T33" s="770" t="n">
        <f aca="false">PV(T32,T1,0,-1,0)</f>
        <v>0.291890467561009</v>
      </c>
      <c r="U33" s="770" t="n">
        <f aca="false">PV(U32,U1,0,-1,0)</f>
        <v>0.270268951445379</v>
      </c>
      <c r="V33" s="770" t="n">
        <f aca="false">PV(V32,V1,0,-1,0)</f>
        <v>0.250249029116092</v>
      </c>
      <c r="W33" s="770" t="n">
        <f aca="false">PV(W32,W1,0,-1,0)</f>
        <v>0.231712063996381</v>
      </c>
      <c r="X33" s="770" t="n">
        <f aca="false">PV(X32,X1,0,-1,0)</f>
        <v>0.214548207404056</v>
      </c>
      <c r="Y33" s="770" t="n">
        <f aca="false">PV(Y32,Y1,0,-1,0)</f>
        <v>0.198655747596349</v>
      </c>
      <c r="Z33" s="770" t="n">
        <f aca="false">PV(Z32,Z1,0,-1,0)</f>
        <v>0.183940507033656</v>
      </c>
      <c r="AA33" s="770" t="n">
        <f aca="false">PV(AA32,AA1,0,-1,0)</f>
        <v>0.170315284290422</v>
      </c>
      <c r="AB33" s="770" t="n">
        <f aca="false">PV(AB32,AB1,0,-1,0)</f>
        <v>0.157699337305947</v>
      </c>
      <c r="AC33" s="770" t="n">
        <f aca="false">PV(AC32,AC1,0,-1,0)</f>
        <v>0.146017904912913</v>
      </c>
      <c r="AD33" s="770" t="n">
        <f aca="false">PV(AD32,AD1,0,-1,0)</f>
        <v>0.135201763808253</v>
      </c>
      <c r="AE33" s="770" t="n">
        <f aca="false">PV(AE32,AE1,0,-1,0)</f>
        <v>0.125186818340975</v>
      </c>
      <c r="AF33" s="770" t="n">
        <f aca="false">PV(AF32,AF1,0,-1,0)</f>
        <v>0.115913720686088</v>
      </c>
      <c r="AG33" s="770" t="n">
        <f aca="false">PV(AG32,AG1,0,-1,0)</f>
        <v>0.107327519153785</v>
      </c>
      <c r="AH33" s="770" t="n">
        <f aca="false">PV(AH32,AH1,0,-1,0)</f>
        <v>0.0993773325498012</v>
      </c>
      <c r="AI33" s="770" t="n">
        <f aca="false">PV(AI32,AI1,0,-1,0)</f>
        <v>0.0920160486572233</v>
      </c>
      <c r="AJ33" s="769"/>
      <c r="AK33" s="769"/>
      <c r="AL33" s="769"/>
      <c r="AM33" s="772"/>
      <c r="AN33" s="772"/>
      <c r="AO33" s="772"/>
      <c r="AP33" s="772"/>
      <c r="AQ33" s="773"/>
      <c r="AR33" s="773"/>
      <c r="AS33" s="773"/>
      <c r="AT33" s="773"/>
      <c r="AU33" s="773"/>
      <c r="AV33" s="773"/>
      <c r="AW33" s="773"/>
      <c r="AX33" s="773"/>
      <c r="AY33" s="773"/>
      <c r="AZ33" s="773"/>
      <c r="BA33" s="773"/>
      <c r="BB33" s="773"/>
      <c r="BC33" s="773"/>
      <c r="BD33" s="773"/>
      <c r="BE33" s="773"/>
      <c r="BF33" s="773"/>
      <c r="BG33" s="773"/>
      <c r="BH33" s="773"/>
      <c r="BI33" s="773"/>
      <c r="BJ33" s="773"/>
      <c r="BK33" s="773"/>
      <c r="BL33" s="773"/>
      <c r="BM33" s="773"/>
      <c r="BN33" s="773"/>
      <c r="BO33" s="773"/>
      <c r="BP33" s="773"/>
      <c r="BQ33" s="773"/>
      <c r="BR33" s="773"/>
      <c r="BS33" s="773"/>
      <c r="BT33" s="773"/>
      <c r="BU33" s="773"/>
      <c r="BV33" s="773"/>
      <c r="BW33" s="773"/>
      <c r="BX33" s="773"/>
      <c r="BY33" s="773"/>
      <c r="BZ33" s="773"/>
      <c r="CA33" s="773"/>
      <c r="CB33" s="773"/>
      <c r="CC33" s="773"/>
      <c r="CD33" s="773"/>
      <c r="CE33" s="773"/>
      <c r="CF33" s="773"/>
      <c r="CG33" s="773"/>
      <c r="CH33" s="773"/>
      <c r="CI33" s="773"/>
      <c r="CJ33" s="773"/>
      <c r="CK33" s="773"/>
      <c r="CL33" s="773"/>
      <c r="CM33" s="773"/>
      <c r="CN33" s="773"/>
      <c r="CO33" s="773"/>
      <c r="CP33" s="773"/>
      <c r="CQ33" s="773"/>
      <c r="CR33" s="773"/>
      <c r="CS33" s="773"/>
      <c r="CT33" s="773"/>
      <c r="CU33" s="773"/>
      <c r="CV33" s="773"/>
      <c r="CW33" s="773"/>
      <c r="CX33" s="773"/>
      <c r="CY33" s="773"/>
      <c r="CZ33" s="773"/>
      <c r="DA33" s="773"/>
      <c r="DB33" s="773"/>
      <c r="DC33" s="773"/>
      <c r="DD33" s="773"/>
      <c r="DE33" s="773"/>
      <c r="DF33" s="773"/>
      <c r="DG33" s="773"/>
      <c r="DH33" s="773"/>
      <c r="DI33" s="773"/>
      <c r="DJ33" s="773"/>
      <c r="DK33" s="773"/>
      <c r="DL33" s="773"/>
      <c r="DM33" s="773"/>
      <c r="DN33" s="773"/>
      <c r="DO33" s="773"/>
      <c r="DP33" s="773"/>
      <c r="DQ33" s="773"/>
      <c r="DR33" s="773"/>
      <c r="DS33" s="773"/>
      <c r="DT33" s="773"/>
      <c r="DU33" s="773"/>
      <c r="DV33" s="773"/>
      <c r="DW33" s="773"/>
      <c r="DX33" s="773"/>
      <c r="DY33" s="773"/>
      <c r="DZ33" s="773"/>
      <c r="EA33" s="773"/>
      <c r="EB33" s="773"/>
      <c r="EC33" s="773"/>
      <c r="ED33" s="773"/>
      <c r="EE33" s="773"/>
      <c r="EF33" s="773"/>
      <c r="EG33" s="773"/>
      <c r="EH33" s="773"/>
      <c r="EI33" s="773"/>
      <c r="EJ33" s="773"/>
      <c r="EK33" s="773"/>
      <c r="EL33" s="773"/>
      <c r="EM33" s="773"/>
      <c r="EN33" s="773"/>
      <c r="EO33" s="773"/>
      <c r="EP33" s="773"/>
      <c r="EQ33" s="773"/>
      <c r="ER33" s="773"/>
      <c r="ES33" s="773"/>
      <c r="ET33" s="773"/>
      <c r="EU33" s="773"/>
      <c r="EV33" s="773"/>
      <c r="EW33" s="773"/>
      <c r="EX33" s="773"/>
      <c r="EY33" s="773"/>
      <c r="EZ33" s="773"/>
      <c r="FA33" s="773"/>
      <c r="FB33" s="773"/>
      <c r="FC33" s="773"/>
      <c r="FD33" s="773"/>
      <c r="FE33" s="773"/>
      <c r="FF33" s="773"/>
      <c r="FG33" s="773"/>
      <c r="FH33" s="773"/>
      <c r="FI33" s="773"/>
      <c r="FJ33" s="773"/>
      <c r="FK33" s="773"/>
      <c r="FL33" s="773"/>
      <c r="FM33" s="773"/>
      <c r="FN33" s="773"/>
      <c r="FO33" s="773"/>
      <c r="FP33" s="773"/>
      <c r="FQ33" s="773"/>
      <c r="FR33" s="773"/>
      <c r="FS33" s="773"/>
      <c r="FT33" s="773"/>
      <c r="FU33" s="773"/>
      <c r="FV33" s="773"/>
      <c r="FW33" s="773"/>
      <c r="FX33" s="773"/>
      <c r="FY33" s="773"/>
      <c r="FZ33" s="773"/>
      <c r="GA33" s="773"/>
      <c r="GB33" s="773"/>
      <c r="GC33" s="773"/>
      <c r="GD33" s="773"/>
      <c r="GE33" s="773"/>
      <c r="GF33" s="773"/>
      <c r="GG33" s="773"/>
      <c r="GH33" s="773"/>
      <c r="GI33" s="773"/>
      <c r="GJ33" s="773"/>
      <c r="GK33" s="773"/>
      <c r="GL33" s="773"/>
      <c r="GM33" s="773"/>
      <c r="GN33" s="773"/>
      <c r="GO33" s="773"/>
      <c r="GP33" s="773"/>
      <c r="GQ33" s="773"/>
      <c r="GR33" s="773"/>
      <c r="GS33" s="773"/>
      <c r="GT33" s="773"/>
      <c r="GU33" s="773"/>
      <c r="GV33" s="773"/>
      <c r="GW33" s="773"/>
      <c r="GX33" s="773"/>
      <c r="GY33" s="773"/>
      <c r="GZ33" s="773"/>
      <c r="HA33" s="773"/>
      <c r="HB33" s="773"/>
      <c r="HC33" s="773"/>
      <c r="HD33" s="773"/>
      <c r="HE33" s="773"/>
      <c r="HF33" s="773"/>
      <c r="HG33" s="773"/>
      <c r="HH33" s="773"/>
      <c r="HI33" s="773"/>
      <c r="HJ33" s="773"/>
      <c r="HK33" s="773"/>
      <c r="HL33" s="773"/>
      <c r="HM33" s="773"/>
      <c r="HN33" s="773"/>
      <c r="HO33" s="773"/>
      <c r="HP33" s="773"/>
      <c r="HQ33" s="773"/>
      <c r="HR33" s="773"/>
      <c r="HS33" s="773"/>
      <c r="HT33" s="773"/>
      <c r="HU33" s="773"/>
      <c r="HV33" s="773"/>
      <c r="HW33" s="773"/>
      <c r="HX33" s="773"/>
      <c r="HY33" s="773"/>
      <c r="HZ33" s="773"/>
      <c r="IA33" s="773"/>
      <c r="IB33" s="773"/>
      <c r="IC33" s="773"/>
      <c r="ID33" s="773"/>
      <c r="IE33" s="773"/>
      <c r="IF33" s="773"/>
      <c r="IG33" s="773"/>
      <c r="IH33" s="773"/>
      <c r="II33" s="773"/>
      <c r="IJ33" s="773"/>
      <c r="IK33" s="773"/>
      <c r="IL33" s="773"/>
      <c r="IM33" s="773"/>
      <c r="IN33" s="773"/>
      <c r="IO33" s="773"/>
      <c r="IP33" s="773"/>
      <c r="IQ33" s="773"/>
      <c r="IR33" s="773"/>
      <c r="IS33" s="773"/>
      <c r="IT33" s="773"/>
      <c r="IU33" s="773"/>
      <c r="IV33" s="773"/>
      <c r="IW33" s="773"/>
    </row>
    <row r="34" customFormat="false" ht="12.75" hidden="false" customHeight="false" outlineLevel="0" collapsed="false">
      <c r="A34" s="751"/>
      <c r="F34" s="765"/>
      <c r="G34" s="765"/>
      <c r="H34" s="765"/>
      <c r="I34" s="765"/>
      <c r="J34" s="765"/>
      <c r="K34" s="765"/>
      <c r="L34" s="765"/>
      <c r="M34" s="765"/>
      <c r="N34" s="765"/>
      <c r="O34" s="765"/>
      <c r="P34" s="765"/>
      <c r="Q34" s="765"/>
      <c r="R34" s="765"/>
      <c r="S34" s="765"/>
      <c r="T34" s="765"/>
      <c r="U34" s="765"/>
      <c r="V34" s="765"/>
      <c r="W34" s="765"/>
      <c r="X34" s="765"/>
      <c r="Y34" s="765"/>
      <c r="Z34" s="765"/>
      <c r="AA34" s="765"/>
      <c r="AB34" s="765"/>
      <c r="AC34" s="765"/>
      <c r="AD34" s="765"/>
      <c r="AE34" s="765"/>
      <c r="AF34" s="765"/>
      <c r="AG34" s="765"/>
      <c r="AH34" s="765"/>
      <c r="AI34" s="765"/>
      <c r="AJ34" s="373"/>
      <c r="AK34" s="373"/>
      <c r="AL34" s="373"/>
      <c r="AM34" s="753"/>
      <c r="AN34" s="753"/>
      <c r="AO34" s="753"/>
      <c r="AP34" s="753"/>
    </row>
    <row r="35" customFormat="false" ht="12.75" hidden="false" customHeight="false" outlineLevel="0" collapsed="false">
      <c r="A35" s="751"/>
      <c r="B35" s="904" t="s">
        <v>625</v>
      </c>
      <c r="C35" s="683" t="n">
        <f aca="false">SUM(E35:AI35)</f>
        <v>4672.75902652019</v>
      </c>
      <c r="D35" s="757" t="e">
        <f aca="false">IF(MIN(D19,D26/D29)&lt;0,0,MIN(D19,D26/D29))</f>
        <v>#DIV/0!</v>
      </c>
      <c r="E35" s="757" t="n">
        <f aca="false">IF(MIN(E19,E26/E29)&lt;0,0,MIN(E19,E26/E29))</f>
        <v>477.750780477467</v>
      </c>
      <c r="F35" s="757" t="n">
        <f aca="false">IF(MIN(F19,F26/F29)&lt;0,0,MIN(F19,F26/F29))</f>
        <v>476.339627820269</v>
      </c>
      <c r="G35" s="757" t="n">
        <f aca="false">IF(MIN(G19,G26/G29)&lt;0,0,MIN(G19,G26/G29))</f>
        <v>474.781681932594</v>
      </c>
      <c r="H35" s="757" t="n">
        <f aca="false">IF(MIN(H19,H26/H29)&lt;0,0,MIN(H19,H26/H29))</f>
        <v>473.022454055884</v>
      </c>
      <c r="I35" s="757" t="n">
        <f aca="false">IF(MIN(I19,I26/I29)&lt;0,0,MIN(I19,I26/I29))</f>
        <v>471.091821360477</v>
      </c>
      <c r="J35" s="757" t="n">
        <f aca="false">IF(MIN(J19,J26/J29)&lt;0,0,MIN(J19,J26/J29))</f>
        <v>469.066239664262</v>
      </c>
      <c r="K35" s="757" t="n">
        <f aca="false">IF(MIN(K19,K26/K29)&lt;0,0,MIN(K19,K26/K29))</f>
        <v>464.721491439448</v>
      </c>
      <c r="L35" s="757" t="n">
        <f aca="false">IF(MIN(L19,L26/L29)&lt;0,0,MIN(L19,L26/L29))</f>
        <v>460.19006458935</v>
      </c>
      <c r="M35" s="757" t="n">
        <f aca="false">IF(MIN(M19,M26/M29)&lt;0,0,MIN(M19,M26/M29))</f>
        <v>455.466899864126</v>
      </c>
      <c r="N35" s="757" t="n">
        <f aca="false">IF(MIN(N19,N26/N29)&lt;0,0,MIN(N19,N26/N29))</f>
        <v>450.327965316312</v>
      </c>
      <c r="O35" s="757" t="n">
        <f aca="false">IF(MIN(O19,O26/O29)&lt;0,0,MIN(O19,O26/O29))</f>
        <v>0</v>
      </c>
      <c r="P35" s="757" t="n">
        <f aca="false">IF(MIN(P19,P26/P29)&lt;0,0,MIN(P19,P26/P29))</f>
        <v>0</v>
      </c>
      <c r="Q35" s="757" t="n">
        <f aca="false">IF(MIN(Q19,Q26/Q29)&lt;0,0,MIN(Q19,Q26/Q29))</f>
        <v>0</v>
      </c>
      <c r="R35" s="757" t="n">
        <f aca="false">IF(MIN(R19,R26/R29)&lt;0,0,MIN(R19,R26/R29))</f>
        <v>0</v>
      </c>
      <c r="S35" s="757" t="n">
        <f aca="false">IF(MIN(S19,S26/S29)&lt;0,0,MIN(S19,S26/S29))</f>
        <v>0</v>
      </c>
      <c r="T35" s="757" t="n">
        <f aca="false">IF(MIN(T19,T26/T29)&lt;0,0,MIN(T19,T26/T29))</f>
        <v>0</v>
      </c>
      <c r="U35" s="757" t="n">
        <f aca="false">IF(MIN(U19,U26/U29)&lt;0,0,MIN(U19,U26/U29))</f>
        <v>0</v>
      </c>
      <c r="V35" s="757" t="n">
        <f aca="false">IF(MIN(V19,V26/V29)&lt;0,0,MIN(V19,V26/V29))</f>
        <v>0</v>
      </c>
      <c r="W35" s="757" t="n">
        <f aca="false">IF(MIN(W19,W26/W29)&lt;0,0,MIN(W19,W26/W29))</f>
        <v>0</v>
      </c>
      <c r="X35" s="757" t="n">
        <f aca="false">IF(MIN(X19,X26/X29)&lt;0,0,MIN(X19,X26/X29))</f>
        <v>0</v>
      </c>
      <c r="Y35" s="757" t="n">
        <f aca="false">IF(MIN(Y19,Y26/Y29)&lt;0,0,MIN(Y19,Y26/Y29))</f>
        <v>0</v>
      </c>
      <c r="Z35" s="757" t="n">
        <f aca="false">IF(MIN(Z19,Z26/Z29)&lt;0,0,MIN(Z19,Z26/Z29))</f>
        <v>0</v>
      </c>
      <c r="AA35" s="757" t="n">
        <f aca="false">IF(MIN(AA19,AA26/AA29)&lt;0,0,MIN(AA19,AA26/AA29))</f>
        <v>0</v>
      </c>
      <c r="AB35" s="757" t="n">
        <f aca="false">IF(MIN(AB19,AB26/AB29)&lt;0,0,MIN(AB19,AB26/AB29))</f>
        <v>0</v>
      </c>
      <c r="AC35" s="757" t="n">
        <f aca="false">IF(MIN(AC19,AC26/AC29)&lt;0,0,MIN(AC19,AC26/AC29))</f>
        <v>0</v>
      </c>
      <c r="AD35" s="757" t="n">
        <f aca="false">IF(MIN(AD19,AD26/AD29)&lt;0,0,MIN(AD19,AD26/AD29))</f>
        <v>0</v>
      </c>
      <c r="AE35" s="757" t="n">
        <f aca="false">IF(MIN(AE19,AE26/AE29)&lt;0,0,MIN(AE19,AE26/AE29))</f>
        <v>0</v>
      </c>
      <c r="AF35" s="757" t="n">
        <f aca="false">IF(MIN(AF19,AF26/AF29)&lt;0,0,MIN(AF19,AF26/AF29))</f>
        <v>0</v>
      </c>
      <c r="AG35" s="757" t="n">
        <f aca="false">IF(MIN(AG19,AG26/AG29)&lt;0,0,MIN(AG19,AG26/AG29))</f>
        <v>0</v>
      </c>
      <c r="AH35" s="757" t="n">
        <f aca="false">IF(MIN(AH19,AH26/AH29)&lt;0,0,MIN(AH19,AH26/AH29))</f>
        <v>0</v>
      </c>
      <c r="AI35" s="757" t="n">
        <f aca="false">IF(MIN(AI19,AI26/AI29)&lt;0,0,MIN(AI19,AI26/AI29))</f>
        <v>0</v>
      </c>
      <c r="AJ35" s="755"/>
      <c r="AK35" s="755"/>
      <c r="AL35" s="755"/>
      <c r="AM35" s="755"/>
      <c r="AN35" s="755"/>
      <c r="AO35" s="755"/>
      <c r="AP35" s="755"/>
    </row>
    <row r="36" customFormat="false" ht="12.75" hidden="false" customHeight="false" outlineLevel="0" collapsed="false">
      <c r="A36" s="985"/>
      <c r="B36" s="771" t="s">
        <v>573</v>
      </c>
      <c r="C36" s="986"/>
      <c r="D36" s="771"/>
      <c r="E36" s="987" t="n">
        <f aca="false">E35*E33</f>
        <v>442.361833775433</v>
      </c>
      <c r="F36" s="987" t="n">
        <f aca="false">F35*F33</f>
        <v>408.38445457842</v>
      </c>
      <c r="G36" s="987" t="n">
        <f aca="false">G35*G33</f>
        <v>376.897006563876</v>
      </c>
      <c r="H36" s="987" t="n">
        <f aca="false">H35*H33</f>
        <v>347.685624774114</v>
      </c>
      <c r="I36" s="987" t="n">
        <f aca="false">I35*I33</f>
        <v>320.617177877967</v>
      </c>
      <c r="J36" s="987" t="n">
        <f aca="false">J35*J33</f>
        <v>295.591297232689</v>
      </c>
      <c r="K36" s="987" t="n">
        <f aca="false">K35*K33</f>
        <v>271.160526726812</v>
      </c>
      <c r="L36" s="987" t="n">
        <f aca="false">L35*L33</f>
        <v>248.62637285458</v>
      </c>
      <c r="M36" s="987" t="n">
        <f aca="false">M35*M33</f>
        <v>227.846846219597</v>
      </c>
      <c r="N36" s="987" t="n">
        <f aca="false">N35*N33</f>
        <v>208.588981036941</v>
      </c>
      <c r="O36" s="987" t="n">
        <f aca="false">O35*O33</f>
        <v>0</v>
      </c>
      <c r="P36" s="987" t="n">
        <f aca="false">P35*P33</f>
        <v>0</v>
      </c>
      <c r="Q36" s="987" t="n">
        <f aca="false">Q35*Q33</f>
        <v>0</v>
      </c>
      <c r="R36" s="987" t="n">
        <f aca="false">R35*R33</f>
        <v>0</v>
      </c>
      <c r="S36" s="987" t="n">
        <f aca="false">S35*S33</f>
        <v>0</v>
      </c>
      <c r="T36" s="987" t="n">
        <f aca="false">T35*T33</f>
        <v>0</v>
      </c>
      <c r="U36" s="987" t="n">
        <f aca="false">U35*U33</f>
        <v>0</v>
      </c>
      <c r="V36" s="987" t="n">
        <f aca="false">V35*V33</f>
        <v>0</v>
      </c>
      <c r="W36" s="987" t="n">
        <f aca="false">W35*W33</f>
        <v>0</v>
      </c>
      <c r="X36" s="987" t="n">
        <f aca="false">X35*X33</f>
        <v>0</v>
      </c>
      <c r="Y36" s="987" t="n">
        <f aca="false">Y35*Y33</f>
        <v>0</v>
      </c>
      <c r="Z36" s="987" t="n">
        <f aca="false">Z35*Z33</f>
        <v>0</v>
      </c>
      <c r="AA36" s="987" t="n">
        <f aca="false">AA35*AA33</f>
        <v>0</v>
      </c>
      <c r="AB36" s="987" t="n">
        <f aca="false">AB35*AB33</f>
        <v>0</v>
      </c>
      <c r="AC36" s="987" t="n">
        <f aca="false">AC35*AC33</f>
        <v>0</v>
      </c>
      <c r="AD36" s="987" t="n">
        <f aca="false">AD35*AD33</f>
        <v>0</v>
      </c>
      <c r="AE36" s="987" t="n">
        <f aca="false">AE35*AE33</f>
        <v>0</v>
      </c>
      <c r="AF36" s="987" t="n">
        <f aca="false">AF35*AF33</f>
        <v>0</v>
      </c>
      <c r="AG36" s="987" t="n">
        <f aca="false">AG35*AG33</f>
        <v>0</v>
      </c>
      <c r="AH36" s="987" t="n">
        <f aca="false">AH35*AH33</f>
        <v>0</v>
      </c>
      <c r="AI36" s="987" t="n">
        <f aca="false">AI35*AI33</f>
        <v>0</v>
      </c>
      <c r="AJ36" s="769"/>
      <c r="AK36" s="769"/>
      <c r="AL36" s="769"/>
      <c r="AM36" s="772"/>
      <c r="AN36" s="772"/>
      <c r="AO36" s="772"/>
      <c r="AP36" s="772"/>
      <c r="AQ36" s="773"/>
      <c r="AR36" s="773"/>
      <c r="AS36" s="773"/>
      <c r="AT36" s="773"/>
      <c r="AU36" s="773"/>
      <c r="AV36" s="773"/>
      <c r="AW36" s="773"/>
      <c r="AX36" s="773"/>
      <c r="AY36" s="773"/>
      <c r="AZ36" s="773"/>
      <c r="BA36" s="773"/>
      <c r="BB36" s="773"/>
      <c r="BC36" s="773"/>
      <c r="BD36" s="773"/>
      <c r="BE36" s="773"/>
      <c r="BF36" s="773"/>
      <c r="BG36" s="773"/>
      <c r="BH36" s="773"/>
      <c r="BI36" s="773"/>
      <c r="BJ36" s="773"/>
      <c r="BK36" s="773"/>
      <c r="BL36" s="773"/>
      <c r="BM36" s="773"/>
      <c r="BN36" s="773"/>
      <c r="BO36" s="773"/>
      <c r="BP36" s="773"/>
      <c r="BQ36" s="773"/>
      <c r="BR36" s="773"/>
      <c r="BS36" s="773"/>
      <c r="BT36" s="773"/>
      <c r="BU36" s="773"/>
      <c r="BV36" s="773"/>
      <c r="BW36" s="773"/>
      <c r="BX36" s="773"/>
      <c r="BY36" s="773"/>
      <c r="BZ36" s="773"/>
      <c r="CA36" s="773"/>
      <c r="CB36" s="773"/>
      <c r="CC36" s="773"/>
      <c r="CD36" s="773"/>
      <c r="CE36" s="773"/>
      <c r="CF36" s="773"/>
      <c r="CG36" s="773"/>
      <c r="CH36" s="773"/>
      <c r="CI36" s="773"/>
      <c r="CJ36" s="773"/>
      <c r="CK36" s="773"/>
      <c r="CL36" s="773"/>
      <c r="CM36" s="773"/>
      <c r="CN36" s="773"/>
      <c r="CO36" s="773"/>
      <c r="CP36" s="773"/>
      <c r="CQ36" s="773"/>
      <c r="CR36" s="773"/>
      <c r="CS36" s="773"/>
      <c r="CT36" s="773"/>
      <c r="CU36" s="773"/>
      <c r="CV36" s="773"/>
      <c r="CW36" s="773"/>
      <c r="CX36" s="773"/>
      <c r="CY36" s="773"/>
      <c r="CZ36" s="773"/>
      <c r="DA36" s="773"/>
      <c r="DB36" s="773"/>
      <c r="DC36" s="773"/>
      <c r="DD36" s="773"/>
      <c r="DE36" s="773"/>
      <c r="DF36" s="773"/>
      <c r="DG36" s="773"/>
      <c r="DH36" s="773"/>
      <c r="DI36" s="773"/>
      <c r="DJ36" s="773"/>
      <c r="DK36" s="773"/>
      <c r="DL36" s="773"/>
      <c r="DM36" s="773"/>
      <c r="DN36" s="773"/>
      <c r="DO36" s="773"/>
      <c r="DP36" s="773"/>
      <c r="DQ36" s="773"/>
      <c r="DR36" s="773"/>
      <c r="DS36" s="773"/>
      <c r="DT36" s="773"/>
      <c r="DU36" s="773"/>
      <c r="DV36" s="773"/>
      <c r="DW36" s="773"/>
      <c r="DX36" s="773"/>
      <c r="DY36" s="773"/>
      <c r="DZ36" s="773"/>
      <c r="EA36" s="773"/>
      <c r="EB36" s="773"/>
      <c r="EC36" s="773"/>
      <c r="ED36" s="773"/>
      <c r="EE36" s="773"/>
      <c r="EF36" s="773"/>
      <c r="EG36" s="773"/>
      <c r="EH36" s="773"/>
      <c r="EI36" s="773"/>
      <c r="EJ36" s="773"/>
      <c r="EK36" s="773"/>
      <c r="EL36" s="773"/>
      <c r="EM36" s="773"/>
      <c r="EN36" s="773"/>
      <c r="EO36" s="773"/>
      <c r="EP36" s="773"/>
      <c r="EQ36" s="773"/>
      <c r="ER36" s="773"/>
      <c r="ES36" s="773"/>
      <c r="ET36" s="773"/>
      <c r="EU36" s="773"/>
      <c r="EV36" s="773"/>
      <c r="EW36" s="773"/>
      <c r="EX36" s="773"/>
      <c r="EY36" s="773"/>
      <c r="EZ36" s="773"/>
      <c r="FA36" s="773"/>
      <c r="FB36" s="773"/>
      <c r="FC36" s="773"/>
      <c r="FD36" s="773"/>
      <c r="FE36" s="773"/>
      <c r="FF36" s="773"/>
      <c r="FG36" s="773"/>
      <c r="FH36" s="773"/>
      <c r="FI36" s="773"/>
      <c r="FJ36" s="773"/>
      <c r="FK36" s="773"/>
      <c r="FL36" s="773"/>
      <c r="FM36" s="773"/>
      <c r="FN36" s="773"/>
      <c r="FO36" s="773"/>
      <c r="FP36" s="773"/>
      <c r="FQ36" s="773"/>
      <c r="FR36" s="773"/>
      <c r="FS36" s="773"/>
      <c r="FT36" s="773"/>
      <c r="FU36" s="773"/>
      <c r="FV36" s="773"/>
      <c r="FW36" s="773"/>
      <c r="FX36" s="773"/>
      <c r="FY36" s="773"/>
      <c r="FZ36" s="773"/>
      <c r="GA36" s="773"/>
      <c r="GB36" s="773"/>
      <c r="GC36" s="773"/>
      <c r="GD36" s="773"/>
      <c r="GE36" s="773"/>
      <c r="GF36" s="773"/>
      <c r="GG36" s="773"/>
      <c r="GH36" s="773"/>
      <c r="GI36" s="773"/>
      <c r="GJ36" s="773"/>
      <c r="GK36" s="773"/>
      <c r="GL36" s="773"/>
      <c r="GM36" s="773"/>
      <c r="GN36" s="773"/>
      <c r="GO36" s="773"/>
      <c r="GP36" s="773"/>
      <c r="GQ36" s="773"/>
      <c r="GR36" s="773"/>
      <c r="GS36" s="773"/>
      <c r="GT36" s="773"/>
      <c r="GU36" s="773"/>
      <c r="GV36" s="773"/>
      <c r="GW36" s="773"/>
      <c r="GX36" s="773"/>
      <c r="GY36" s="773"/>
      <c r="GZ36" s="773"/>
      <c r="HA36" s="773"/>
      <c r="HB36" s="773"/>
      <c r="HC36" s="773"/>
      <c r="HD36" s="773"/>
      <c r="HE36" s="773"/>
      <c r="HF36" s="773"/>
      <c r="HG36" s="773"/>
      <c r="HH36" s="773"/>
      <c r="HI36" s="773"/>
      <c r="HJ36" s="773"/>
      <c r="HK36" s="773"/>
      <c r="HL36" s="773"/>
      <c r="HM36" s="773"/>
      <c r="HN36" s="773"/>
      <c r="HO36" s="773"/>
      <c r="HP36" s="773"/>
      <c r="HQ36" s="773"/>
      <c r="HR36" s="773"/>
      <c r="HS36" s="773"/>
      <c r="HT36" s="773"/>
      <c r="HU36" s="773"/>
      <c r="HV36" s="773"/>
      <c r="HW36" s="773"/>
      <c r="HX36" s="773"/>
      <c r="HY36" s="773"/>
      <c r="HZ36" s="773"/>
      <c r="IA36" s="773"/>
      <c r="IB36" s="773"/>
      <c r="IC36" s="773"/>
      <c r="ID36" s="773"/>
      <c r="IE36" s="773"/>
      <c r="IF36" s="773"/>
      <c r="IG36" s="773"/>
      <c r="IH36" s="773"/>
      <c r="II36" s="773"/>
      <c r="IJ36" s="773"/>
      <c r="IK36" s="773"/>
      <c r="IL36" s="773"/>
      <c r="IM36" s="773"/>
      <c r="IN36" s="773"/>
      <c r="IO36" s="773"/>
      <c r="IP36" s="773"/>
      <c r="IQ36" s="773"/>
      <c r="IR36" s="773"/>
      <c r="IS36" s="773"/>
      <c r="IT36" s="773"/>
      <c r="IU36" s="773"/>
      <c r="IV36" s="773"/>
      <c r="IW36" s="773"/>
    </row>
    <row r="37" customFormat="false" ht="12.75" hidden="false" customHeight="false" outlineLevel="0" collapsed="false">
      <c r="A37" s="985"/>
      <c r="B37" s="769" t="s">
        <v>574</v>
      </c>
      <c r="C37" s="986"/>
      <c r="D37" s="771"/>
      <c r="E37" s="987" t="n">
        <f aca="false">SUM(E36:AI36)+Assum!E284</f>
        <v>3047.76012164043</v>
      </c>
      <c r="F37" s="988"/>
      <c r="G37" s="988"/>
      <c r="H37" s="988"/>
      <c r="I37" s="988"/>
      <c r="J37" s="988"/>
      <c r="K37" s="988"/>
      <c r="L37" s="988"/>
      <c r="M37" s="988"/>
      <c r="N37" s="988"/>
      <c r="O37" s="988"/>
      <c r="P37" s="988"/>
      <c r="Q37" s="988"/>
      <c r="R37" s="988"/>
      <c r="S37" s="988"/>
      <c r="T37" s="988"/>
      <c r="U37" s="988"/>
      <c r="V37" s="988"/>
      <c r="W37" s="988"/>
      <c r="X37" s="988"/>
      <c r="Y37" s="988"/>
      <c r="Z37" s="988"/>
      <c r="AA37" s="988"/>
      <c r="AB37" s="988"/>
      <c r="AC37" s="988"/>
      <c r="AD37" s="988"/>
      <c r="AE37" s="988"/>
      <c r="AF37" s="988"/>
      <c r="AG37" s="988"/>
      <c r="AH37" s="988"/>
      <c r="AI37" s="988"/>
      <c r="AJ37" s="769"/>
      <c r="AK37" s="769"/>
      <c r="AL37" s="769"/>
      <c r="AM37" s="772"/>
      <c r="AN37" s="772"/>
      <c r="AO37" s="772"/>
      <c r="AP37" s="772"/>
      <c r="AQ37" s="773"/>
      <c r="AR37" s="773"/>
      <c r="AS37" s="773"/>
      <c r="AT37" s="773"/>
      <c r="AU37" s="773"/>
      <c r="AV37" s="773"/>
      <c r="AW37" s="773"/>
      <c r="AX37" s="773"/>
      <c r="AY37" s="773"/>
      <c r="AZ37" s="773"/>
      <c r="BA37" s="773"/>
      <c r="BB37" s="773"/>
      <c r="BC37" s="773"/>
      <c r="BD37" s="773"/>
      <c r="BE37" s="773"/>
      <c r="BF37" s="773"/>
      <c r="BG37" s="773"/>
      <c r="BH37" s="773"/>
      <c r="BI37" s="773"/>
      <c r="BJ37" s="773"/>
      <c r="BK37" s="773"/>
      <c r="BL37" s="773"/>
      <c r="BM37" s="773"/>
      <c r="BN37" s="773"/>
      <c r="BO37" s="773"/>
      <c r="BP37" s="773"/>
      <c r="BQ37" s="773"/>
      <c r="BR37" s="773"/>
      <c r="BS37" s="773"/>
      <c r="BT37" s="773"/>
      <c r="BU37" s="773"/>
      <c r="BV37" s="773"/>
      <c r="BW37" s="773"/>
      <c r="BX37" s="773"/>
      <c r="BY37" s="773"/>
      <c r="BZ37" s="773"/>
      <c r="CA37" s="773"/>
      <c r="CB37" s="773"/>
      <c r="CC37" s="773"/>
      <c r="CD37" s="773"/>
      <c r="CE37" s="773"/>
      <c r="CF37" s="773"/>
      <c r="CG37" s="773"/>
      <c r="CH37" s="773"/>
      <c r="CI37" s="773"/>
      <c r="CJ37" s="773"/>
      <c r="CK37" s="773"/>
      <c r="CL37" s="773"/>
      <c r="CM37" s="773"/>
      <c r="CN37" s="773"/>
      <c r="CO37" s="773"/>
      <c r="CP37" s="773"/>
      <c r="CQ37" s="773"/>
      <c r="CR37" s="773"/>
      <c r="CS37" s="773"/>
      <c r="CT37" s="773"/>
      <c r="CU37" s="773"/>
      <c r="CV37" s="773"/>
      <c r="CW37" s="773"/>
      <c r="CX37" s="773"/>
      <c r="CY37" s="773"/>
      <c r="CZ37" s="773"/>
      <c r="DA37" s="773"/>
      <c r="DB37" s="773"/>
      <c r="DC37" s="773"/>
      <c r="DD37" s="773"/>
      <c r="DE37" s="773"/>
      <c r="DF37" s="773"/>
      <c r="DG37" s="773"/>
      <c r="DH37" s="773"/>
      <c r="DI37" s="773"/>
      <c r="DJ37" s="773"/>
      <c r="DK37" s="773"/>
      <c r="DL37" s="773"/>
      <c r="DM37" s="773"/>
      <c r="DN37" s="773"/>
      <c r="DO37" s="773"/>
      <c r="DP37" s="773"/>
      <c r="DQ37" s="773"/>
      <c r="DR37" s="773"/>
      <c r="DS37" s="773"/>
      <c r="DT37" s="773"/>
      <c r="DU37" s="773"/>
      <c r="DV37" s="773"/>
      <c r="DW37" s="773"/>
      <c r="DX37" s="773"/>
      <c r="DY37" s="773"/>
      <c r="DZ37" s="773"/>
      <c r="EA37" s="773"/>
      <c r="EB37" s="773"/>
      <c r="EC37" s="773"/>
      <c r="ED37" s="773"/>
      <c r="EE37" s="773"/>
      <c r="EF37" s="773"/>
      <c r="EG37" s="773"/>
      <c r="EH37" s="773"/>
      <c r="EI37" s="773"/>
      <c r="EJ37" s="773"/>
      <c r="EK37" s="773"/>
      <c r="EL37" s="773"/>
      <c r="EM37" s="773"/>
      <c r="EN37" s="773"/>
      <c r="EO37" s="773"/>
      <c r="EP37" s="773"/>
      <c r="EQ37" s="773"/>
      <c r="ER37" s="773"/>
      <c r="ES37" s="773"/>
      <c r="ET37" s="773"/>
      <c r="EU37" s="773"/>
      <c r="EV37" s="773"/>
      <c r="EW37" s="773"/>
      <c r="EX37" s="773"/>
      <c r="EY37" s="773"/>
      <c r="EZ37" s="773"/>
      <c r="FA37" s="773"/>
      <c r="FB37" s="773"/>
      <c r="FC37" s="773"/>
      <c r="FD37" s="773"/>
      <c r="FE37" s="773"/>
      <c r="FF37" s="773"/>
      <c r="FG37" s="773"/>
      <c r="FH37" s="773"/>
      <c r="FI37" s="773"/>
      <c r="FJ37" s="773"/>
      <c r="FK37" s="773"/>
      <c r="FL37" s="773"/>
      <c r="FM37" s="773"/>
      <c r="FN37" s="773"/>
      <c r="FO37" s="773"/>
      <c r="FP37" s="773"/>
      <c r="FQ37" s="773"/>
      <c r="FR37" s="773"/>
      <c r="FS37" s="773"/>
      <c r="FT37" s="773"/>
      <c r="FU37" s="773"/>
      <c r="FV37" s="773"/>
      <c r="FW37" s="773"/>
      <c r="FX37" s="773"/>
      <c r="FY37" s="773"/>
      <c r="FZ37" s="773"/>
      <c r="GA37" s="773"/>
      <c r="GB37" s="773"/>
      <c r="GC37" s="773"/>
      <c r="GD37" s="773"/>
      <c r="GE37" s="773"/>
      <c r="GF37" s="773"/>
      <c r="GG37" s="773"/>
      <c r="GH37" s="773"/>
      <c r="GI37" s="773"/>
      <c r="GJ37" s="773"/>
      <c r="GK37" s="773"/>
      <c r="GL37" s="773"/>
      <c r="GM37" s="773"/>
      <c r="GN37" s="773"/>
      <c r="GO37" s="773"/>
      <c r="GP37" s="773"/>
      <c r="GQ37" s="773"/>
      <c r="GR37" s="773"/>
      <c r="GS37" s="773"/>
      <c r="GT37" s="773"/>
      <c r="GU37" s="773"/>
      <c r="GV37" s="773"/>
      <c r="GW37" s="773"/>
      <c r="GX37" s="773"/>
      <c r="GY37" s="773"/>
      <c r="GZ37" s="773"/>
      <c r="HA37" s="773"/>
      <c r="HB37" s="773"/>
      <c r="HC37" s="773"/>
      <c r="HD37" s="773"/>
      <c r="HE37" s="773"/>
      <c r="HF37" s="773"/>
      <c r="HG37" s="773"/>
      <c r="HH37" s="773"/>
      <c r="HI37" s="773"/>
      <c r="HJ37" s="773"/>
      <c r="HK37" s="773"/>
      <c r="HL37" s="773"/>
      <c r="HM37" s="773"/>
      <c r="HN37" s="773"/>
      <c r="HO37" s="773"/>
      <c r="HP37" s="773"/>
      <c r="HQ37" s="773"/>
      <c r="HR37" s="773"/>
      <c r="HS37" s="773"/>
      <c r="HT37" s="773"/>
      <c r="HU37" s="773"/>
      <c r="HV37" s="773"/>
      <c r="HW37" s="773"/>
      <c r="HX37" s="773"/>
      <c r="HY37" s="773"/>
      <c r="HZ37" s="773"/>
      <c r="IA37" s="773"/>
      <c r="IB37" s="773"/>
      <c r="IC37" s="773"/>
      <c r="ID37" s="773"/>
      <c r="IE37" s="773"/>
      <c r="IF37" s="773"/>
      <c r="IG37" s="773"/>
      <c r="IH37" s="773"/>
      <c r="II37" s="773"/>
      <c r="IJ37" s="773"/>
      <c r="IK37" s="773"/>
      <c r="IL37" s="773"/>
      <c r="IM37" s="773"/>
      <c r="IN37" s="773"/>
      <c r="IO37" s="773"/>
      <c r="IP37" s="773"/>
      <c r="IQ37" s="773"/>
      <c r="IR37" s="773"/>
      <c r="IS37" s="773"/>
      <c r="IT37" s="773"/>
      <c r="IU37" s="773"/>
      <c r="IV37" s="773"/>
      <c r="IW37" s="773"/>
    </row>
    <row r="38" customFormat="false" ht="12.75" hidden="false" customHeight="false" outlineLevel="0" collapsed="false">
      <c r="A38" s="985"/>
      <c r="B38" s="769" t="s">
        <v>575</v>
      </c>
      <c r="C38" s="985"/>
      <c r="D38" s="769"/>
      <c r="E38" s="780" t="n">
        <f aca="false">Assum!E283</f>
        <v>10</v>
      </c>
      <c r="F38" s="771"/>
      <c r="G38" s="989" t="n">
        <f aca="false">(SUM(E60:AH60)+SUM(E61:AH61))/2</f>
        <v>0</v>
      </c>
      <c r="H38" s="769" t="s">
        <v>576</v>
      </c>
      <c r="I38" s="771"/>
      <c r="J38" s="771"/>
      <c r="K38" s="771"/>
      <c r="L38" s="771"/>
      <c r="M38" s="771"/>
      <c r="N38" s="771"/>
      <c r="O38" s="771"/>
      <c r="P38" s="771"/>
      <c r="Q38" s="771"/>
      <c r="R38" s="771"/>
      <c r="S38" s="771"/>
      <c r="T38" s="771"/>
      <c r="U38" s="771"/>
      <c r="V38" s="771"/>
      <c r="W38" s="771"/>
      <c r="X38" s="771"/>
      <c r="Y38" s="771"/>
      <c r="Z38" s="771"/>
      <c r="AA38" s="771"/>
      <c r="AB38" s="771"/>
      <c r="AC38" s="771"/>
      <c r="AD38" s="771"/>
      <c r="AE38" s="771"/>
      <c r="AF38" s="771"/>
      <c r="AG38" s="771"/>
      <c r="AH38" s="771"/>
      <c r="AI38" s="771"/>
      <c r="AJ38" s="769"/>
      <c r="AK38" s="769"/>
      <c r="AL38" s="769"/>
      <c r="AM38" s="772"/>
      <c r="AN38" s="772"/>
      <c r="AO38" s="772"/>
      <c r="AP38" s="772"/>
      <c r="AQ38" s="773"/>
      <c r="AR38" s="773"/>
      <c r="AS38" s="773"/>
      <c r="AT38" s="773"/>
      <c r="AU38" s="773"/>
      <c r="AV38" s="773"/>
      <c r="AW38" s="773"/>
      <c r="AX38" s="773"/>
      <c r="AY38" s="773"/>
      <c r="AZ38" s="773"/>
      <c r="BA38" s="773"/>
      <c r="BB38" s="773"/>
      <c r="BC38" s="773"/>
      <c r="BD38" s="773"/>
      <c r="BE38" s="773"/>
      <c r="BF38" s="773"/>
      <c r="BG38" s="773"/>
      <c r="BH38" s="773"/>
      <c r="BI38" s="773"/>
      <c r="BJ38" s="773"/>
      <c r="BK38" s="773"/>
      <c r="BL38" s="773"/>
      <c r="BM38" s="773"/>
      <c r="BN38" s="773"/>
      <c r="BO38" s="773"/>
      <c r="BP38" s="773"/>
      <c r="BQ38" s="773"/>
      <c r="BR38" s="773"/>
      <c r="BS38" s="773"/>
      <c r="BT38" s="773"/>
      <c r="BU38" s="773"/>
      <c r="BV38" s="773"/>
      <c r="BW38" s="773"/>
      <c r="BX38" s="773"/>
      <c r="BY38" s="773"/>
      <c r="BZ38" s="773"/>
      <c r="CA38" s="773"/>
      <c r="CB38" s="773"/>
      <c r="CC38" s="773"/>
      <c r="CD38" s="773"/>
      <c r="CE38" s="773"/>
      <c r="CF38" s="773"/>
      <c r="CG38" s="773"/>
      <c r="CH38" s="773"/>
      <c r="CI38" s="773"/>
      <c r="CJ38" s="773"/>
      <c r="CK38" s="773"/>
      <c r="CL38" s="773"/>
      <c r="CM38" s="773"/>
      <c r="CN38" s="773"/>
      <c r="CO38" s="773"/>
      <c r="CP38" s="773"/>
      <c r="CQ38" s="773"/>
      <c r="CR38" s="773"/>
      <c r="CS38" s="773"/>
      <c r="CT38" s="773"/>
      <c r="CU38" s="773"/>
      <c r="CV38" s="773"/>
      <c r="CW38" s="773"/>
      <c r="CX38" s="773"/>
      <c r="CY38" s="773"/>
      <c r="CZ38" s="773"/>
      <c r="DA38" s="773"/>
      <c r="DB38" s="773"/>
      <c r="DC38" s="773"/>
      <c r="DD38" s="773"/>
      <c r="DE38" s="773"/>
      <c r="DF38" s="773"/>
      <c r="DG38" s="773"/>
      <c r="DH38" s="773"/>
      <c r="DI38" s="773"/>
      <c r="DJ38" s="773"/>
      <c r="DK38" s="773"/>
      <c r="DL38" s="773"/>
      <c r="DM38" s="773"/>
      <c r="DN38" s="773"/>
      <c r="DO38" s="773"/>
      <c r="DP38" s="773"/>
      <c r="DQ38" s="773"/>
      <c r="DR38" s="773"/>
      <c r="DS38" s="773"/>
      <c r="DT38" s="773"/>
      <c r="DU38" s="773"/>
      <c r="DV38" s="773"/>
      <c r="DW38" s="773"/>
      <c r="DX38" s="773"/>
      <c r="DY38" s="773"/>
      <c r="DZ38" s="773"/>
      <c r="EA38" s="773"/>
      <c r="EB38" s="773"/>
      <c r="EC38" s="773"/>
      <c r="ED38" s="773"/>
      <c r="EE38" s="773"/>
      <c r="EF38" s="773"/>
      <c r="EG38" s="773"/>
      <c r="EH38" s="773"/>
      <c r="EI38" s="773"/>
      <c r="EJ38" s="773"/>
      <c r="EK38" s="773"/>
      <c r="EL38" s="773"/>
      <c r="EM38" s="773"/>
      <c r="EN38" s="773"/>
      <c r="EO38" s="773"/>
      <c r="EP38" s="773"/>
      <c r="EQ38" s="773"/>
      <c r="ER38" s="773"/>
      <c r="ES38" s="773"/>
      <c r="ET38" s="773"/>
      <c r="EU38" s="773"/>
      <c r="EV38" s="773"/>
      <c r="EW38" s="773"/>
      <c r="EX38" s="773"/>
      <c r="EY38" s="773"/>
      <c r="EZ38" s="773"/>
      <c r="FA38" s="773"/>
      <c r="FB38" s="773"/>
      <c r="FC38" s="773"/>
      <c r="FD38" s="773"/>
      <c r="FE38" s="773"/>
      <c r="FF38" s="773"/>
      <c r="FG38" s="773"/>
      <c r="FH38" s="773"/>
      <c r="FI38" s="773"/>
      <c r="FJ38" s="773"/>
      <c r="FK38" s="773"/>
      <c r="FL38" s="773"/>
      <c r="FM38" s="773"/>
      <c r="FN38" s="773"/>
      <c r="FO38" s="773"/>
      <c r="FP38" s="773"/>
      <c r="FQ38" s="773"/>
      <c r="FR38" s="773"/>
      <c r="FS38" s="773"/>
      <c r="FT38" s="773"/>
      <c r="FU38" s="773"/>
      <c r="FV38" s="773"/>
      <c r="FW38" s="773"/>
      <c r="FX38" s="773"/>
      <c r="FY38" s="773"/>
      <c r="FZ38" s="773"/>
      <c r="GA38" s="773"/>
      <c r="GB38" s="773"/>
      <c r="GC38" s="773"/>
      <c r="GD38" s="773"/>
      <c r="GE38" s="773"/>
      <c r="GF38" s="773"/>
      <c r="GG38" s="773"/>
      <c r="GH38" s="773"/>
      <c r="GI38" s="773"/>
      <c r="GJ38" s="773"/>
      <c r="GK38" s="773"/>
      <c r="GL38" s="773"/>
      <c r="GM38" s="773"/>
      <c r="GN38" s="773"/>
      <c r="GO38" s="773"/>
      <c r="GP38" s="773"/>
      <c r="GQ38" s="773"/>
      <c r="GR38" s="773"/>
      <c r="GS38" s="773"/>
      <c r="GT38" s="773"/>
      <c r="GU38" s="773"/>
      <c r="GV38" s="773"/>
      <c r="GW38" s="773"/>
      <c r="GX38" s="773"/>
      <c r="GY38" s="773"/>
      <c r="GZ38" s="773"/>
      <c r="HA38" s="773"/>
      <c r="HB38" s="773"/>
      <c r="HC38" s="773"/>
      <c r="HD38" s="773"/>
      <c r="HE38" s="773"/>
      <c r="HF38" s="773"/>
      <c r="HG38" s="773"/>
      <c r="HH38" s="773"/>
      <c r="HI38" s="773"/>
      <c r="HJ38" s="773"/>
      <c r="HK38" s="773"/>
      <c r="HL38" s="773"/>
      <c r="HM38" s="773"/>
      <c r="HN38" s="773"/>
      <c r="HO38" s="773"/>
      <c r="HP38" s="773"/>
      <c r="HQ38" s="773"/>
      <c r="HR38" s="773"/>
      <c r="HS38" s="773"/>
      <c r="HT38" s="773"/>
      <c r="HU38" s="773"/>
      <c r="HV38" s="773"/>
      <c r="HW38" s="773"/>
      <c r="HX38" s="773"/>
      <c r="HY38" s="773"/>
      <c r="HZ38" s="773"/>
      <c r="IA38" s="773"/>
      <c r="IB38" s="773"/>
      <c r="IC38" s="773"/>
      <c r="ID38" s="773"/>
      <c r="IE38" s="773"/>
      <c r="IF38" s="773"/>
      <c r="IG38" s="773"/>
      <c r="IH38" s="773"/>
      <c r="II38" s="773"/>
      <c r="IJ38" s="773"/>
      <c r="IK38" s="773"/>
      <c r="IL38" s="773"/>
      <c r="IM38" s="773"/>
      <c r="IN38" s="773"/>
      <c r="IO38" s="773"/>
      <c r="IP38" s="773"/>
      <c r="IQ38" s="773"/>
      <c r="IR38" s="773"/>
      <c r="IS38" s="773"/>
      <c r="IT38" s="773"/>
      <c r="IU38" s="773"/>
      <c r="IV38" s="773"/>
      <c r="IW38" s="773"/>
    </row>
    <row r="39" customFormat="false" ht="13.5" hidden="false" customHeight="false" outlineLevel="0" collapsed="false">
      <c r="A39" s="751"/>
      <c r="B39" s="752"/>
      <c r="C39" s="828"/>
      <c r="D39" s="752"/>
      <c r="E39" s="752"/>
      <c r="F39" s="752"/>
      <c r="G39" s="752"/>
      <c r="H39" s="752"/>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373"/>
      <c r="AK39" s="373"/>
      <c r="AL39" s="373"/>
      <c r="AM39" s="753"/>
      <c r="AN39" s="753"/>
      <c r="AO39" s="753"/>
      <c r="AP39" s="753"/>
    </row>
    <row r="40" customFormat="false" ht="12.75" hidden="false" customHeight="false" outlineLevel="0" collapsed="false">
      <c r="A40" s="751"/>
      <c r="B40" s="990"/>
      <c r="C40" s="991"/>
      <c r="D40" s="992" t="s">
        <v>579</v>
      </c>
      <c r="E40" s="992" t="n">
        <v>1</v>
      </c>
      <c r="F40" s="992" t="n">
        <v>2</v>
      </c>
      <c r="G40" s="992" t="n">
        <v>3</v>
      </c>
      <c r="H40" s="992" t="n">
        <v>4</v>
      </c>
      <c r="I40" s="992" t="n">
        <v>5</v>
      </c>
      <c r="J40" s="992" t="n">
        <v>6</v>
      </c>
      <c r="K40" s="992" t="n">
        <v>7</v>
      </c>
      <c r="L40" s="992" t="n">
        <v>8</v>
      </c>
      <c r="M40" s="992" t="n">
        <v>9</v>
      </c>
      <c r="N40" s="992" t="n">
        <v>10</v>
      </c>
      <c r="O40" s="992" t="n">
        <v>11</v>
      </c>
      <c r="P40" s="992" t="n">
        <v>12</v>
      </c>
      <c r="Q40" s="992" t="n">
        <v>13</v>
      </c>
      <c r="R40" s="992" t="n">
        <v>14</v>
      </c>
      <c r="S40" s="992" t="n">
        <v>15</v>
      </c>
      <c r="T40" s="992" t="n">
        <v>16</v>
      </c>
      <c r="U40" s="992" t="n">
        <v>17</v>
      </c>
      <c r="V40" s="992" t="n">
        <v>18</v>
      </c>
      <c r="W40" s="992" t="n">
        <v>19</v>
      </c>
      <c r="X40" s="992" t="n">
        <v>20</v>
      </c>
      <c r="Y40" s="992" t="n">
        <v>21</v>
      </c>
      <c r="Z40" s="992" t="n">
        <v>22</v>
      </c>
      <c r="AA40" s="992" t="n">
        <v>23</v>
      </c>
      <c r="AB40" s="992" t="n">
        <v>24</v>
      </c>
      <c r="AC40" s="992" t="n">
        <v>25</v>
      </c>
      <c r="AD40" s="992" t="n">
        <v>26</v>
      </c>
      <c r="AE40" s="992" t="n">
        <v>27</v>
      </c>
      <c r="AF40" s="992" t="n">
        <v>28</v>
      </c>
      <c r="AG40" s="992" t="n">
        <v>29</v>
      </c>
      <c r="AH40" s="992" t="n">
        <v>30</v>
      </c>
      <c r="AI40" s="993" t="n">
        <v>30</v>
      </c>
      <c r="AJ40" s="994"/>
      <c r="AK40" s="373"/>
      <c r="AL40" s="373"/>
      <c r="AM40" s="753"/>
      <c r="AN40" s="753"/>
      <c r="AO40" s="753"/>
      <c r="AP40" s="753"/>
    </row>
    <row r="41" customFormat="false" ht="12.75" hidden="false" customHeight="false" outlineLevel="0" collapsed="false">
      <c r="A41" s="751"/>
      <c r="B41" s="995" t="s">
        <v>580</v>
      </c>
      <c r="C41" s="611"/>
      <c r="D41" s="996"/>
      <c r="E41" s="996" t="n">
        <f aca="false">Assum!F24</f>
        <v>35795</v>
      </c>
      <c r="F41" s="996" t="n">
        <f aca="false">E53</f>
        <v>36160</v>
      </c>
      <c r="G41" s="996" t="n">
        <f aca="false">F53</f>
        <v>36525</v>
      </c>
      <c r="H41" s="996" t="n">
        <f aca="false">G53</f>
        <v>36891</v>
      </c>
      <c r="I41" s="996" t="n">
        <f aca="false">H53</f>
        <v>37256</v>
      </c>
      <c r="J41" s="996" t="n">
        <f aca="false">I53</f>
        <v>37621</v>
      </c>
      <c r="K41" s="996" t="n">
        <f aca="false">J53</f>
        <v>37986</v>
      </c>
      <c r="L41" s="996" t="n">
        <f aca="false">K53</f>
        <v>38352</v>
      </c>
      <c r="M41" s="996" t="n">
        <f aca="false">L53</f>
        <v>38717</v>
      </c>
      <c r="N41" s="996" t="n">
        <f aca="false">M53</f>
        <v>39082</v>
      </c>
      <c r="O41" s="996" t="n">
        <f aca="false">N53</f>
        <v>39447</v>
      </c>
      <c r="P41" s="996" t="n">
        <f aca="false">O53</f>
        <v>39813</v>
      </c>
      <c r="Q41" s="996" t="n">
        <f aca="false">P53</f>
        <v>40178</v>
      </c>
      <c r="R41" s="996" t="n">
        <f aca="false">Q53</f>
        <v>40543</v>
      </c>
      <c r="S41" s="996" t="n">
        <f aca="false">R53</f>
        <v>40908</v>
      </c>
      <c r="T41" s="996" t="n">
        <f aca="false">S53</f>
        <v>41274</v>
      </c>
      <c r="U41" s="996" t="n">
        <f aca="false">T53</f>
        <v>41639</v>
      </c>
      <c r="V41" s="996" t="n">
        <f aca="false">U53</f>
        <v>42004</v>
      </c>
      <c r="W41" s="996" t="n">
        <f aca="false">V53</f>
        <v>42369</v>
      </c>
      <c r="X41" s="996" t="n">
        <f aca="false">W53</f>
        <v>42735</v>
      </c>
      <c r="Y41" s="996" t="n">
        <f aca="false">X53</f>
        <v>43100</v>
      </c>
      <c r="Z41" s="996" t="n">
        <f aca="false">Y53</f>
        <v>43465</v>
      </c>
      <c r="AA41" s="996" t="n">
        <f aca="false">Z53</f>
        <v>43830</v>
      </c>
      <c r="AB41" s="996" t="n">
        <f aca="false">AA53</f>
        <v>44196</v>
      </c>
      <c r="AC41" s="996" t="n">
        <f aca="false">AB53</f>
        <v>44561</v>
      </c>
      <c r="AD41" s="996" t="n">
        <f aca="false">AC53</f>
        <v>44926</v>
      </c>
      <c r="AE41" s="996" t="n">
        <f aca="false">AD53</f>
        <v>45291</v>
      </c>
      <c r="AF41" s="996" t="n">
        <f aca="false">AE53</f>
        <v>45657</v>
      </c>
      <c r="AG41" s="996" t="n">
        <f aca="false">AF53</f>
        <v>46022</v>
      </c>
      <c r="AH41" s="996" t="n">
        <f aca="false">AG53</f>
        <v>46387</v>
      </c>
      <c r="AI41" s="996" t="n">
        <f aca="false">AH53</f>
        <v>46752</v>
      </c>
      <c r="AJ41" s="996" t="n">
        <f aca="false">AI53</f>
        <v>47118</v>
      </c>
      <c r="AK41" s="997"/>
      <c r="AL41" s="997"/>
      <c r="AM41" s="997"/>
      <c r="AN41" s="997"/>
      <c r="AO41" s="997"/>
      <c r="AP41" s="997"/>
    </row>
    <row r="42" customFormat="false" ht="12.75" hidden="false" customHeight="false" outlineLevel="0" collapsed="false">
      <c r="A42" s="751"/>
      <c r="B42" s="998" t="s">
        <v>581</v>
      </c>
      <c r="C42" s="999"/>
      <c r="D42" s="1000"/>
      <c r="E42" s="1000" t="n">
        <f aca="false">IF(Assum!$E$290=2,E47-E41,0)</f>
        <v>0</v>
      </c>
      <c r="F42" s="1000" t="n">
        <f aca="false">IF(Assum!$E$290=2,F47-F41,0)</f>
        <v>0</v>
      </c>
      <c r="G42" s="1000" t="n">
        <f aca="false">IF(Assum!$E$290=2,G47-G41,0)</f>
        <v>0</v>
      </c>
      <c r="H42" s="1000" t="n">
        <f aca="false">IF(Assum!$E$290=2,H47-H41,0)</f>
        <v>0</v>
      </c>
      <c r="I42" s="1000" t="n">
        <f aca="false">IF(Assum!$E$290=2,I47-I41,0)</f>
        <v>0</v>
      </c>
      <c r="J42" s="1000" t="n">
        <f aca="false">IF(Assum!$E$290=2,J47-J41,0)</f>
        <v>0</v>
      </c>
      <c r="K42" s="1000" t="n">
        <f aca="false">IF(Assum!$E$290=2,K47-K41,0)</f>
        <v>0</v>
      </c>
      <c r="L42" s="1000" t="n">
        <f aca="false">IF(Assum!$E$290=2,L47-L41,0)</f>
        <v>0</v>
      </c>
      <c r="M42" s="1000" t="n">
        <f aca="false">IF(Assum!$E$290=2,M47-M41,0)</f>
        <v>0</v>
      </c>
      <c r="N42" s="1000" t="n">
        <f aca="false">IF(Assum!$E$290=2,N47-N41,0)</f>
        <v>0</v>
      </c>
      <c r="O42" s="1000" t="n">
        <f aca="false">IF(Assum!$E$290=2,O47-O41,0)</f>
        <v>0</v>
      </c>
      <c r="P42" s="1000" t="n">
        <f aca="false">IF(Assum!$E$290=2,P47-P41,0)</f>
        <v>0</v>
      </c>
      <c r="Q42" s="1000" t="n">
        <f aca="false">IF(Assum!$E$290=2,Q47-Q41,0)</f>
        <v>0</v>
      </c>
      <c r="R42" s="1000" t="n">
        <f aca="false">IF(Assum!$E$290=2,R47-R41,0)</f>
        <v>0</v>
      </c>
      <c r="S42" s="1000" t="n">
        <f aca="false">IF(Assum!$E$290=2,S47-S41,0)</f>
        <v>0</v>
      </c>
      <c r="T42" s="1000" t="n">
        <f aca="false">IF(Assum!$E$290=2,T47-T41,0)</f>
        <v>0</v>
      </c>
      <c r="U42" s="1000" t="n">
        <f aca="false">IF(Assum!$E$290=2,U47-U41,0)</f>
        <v>0</v>
      </c>
      <c r="V42" s="1000" t="n">
        <f aca="false">IF(Assum!$E$290=2,V47-V41,0)</f>
        <v>0</v>
      </c>
      <c r="W42" s="1000" t="n">
        <f aca="false">IF(Assum!$E$290=2,W47-W41,0)</f>
        <v>0</v>
      </c>
      <c r="X42" s="1000" t="n">
        <f aca="false">IF(Assum!$E$290=2,X47-X41,0)</f>
        <v>0</v>
      </c>
      <c r="Y42" s="1000" t="n">
        <f aca="false">IF(Assum!$E$290=2,Y47-Y41,0)</f>
        <v>0</v>
      </c>
      <c r="Z42" s="1000" t="n">
        <f aca="false">IF(Assum!$E$290=2,Z47-Z41,0)</f>
        <v>0</v>
      </c>
      <c r="AA42" s="1000" t="n">
        <f aca="false">IF(Assum!$E$290=2,AA47-AA41,0)</f>
        <v>0</v>
      </c>
      <c r="AB42" s="1000" t="n">
        <f aca="false">IF(Assum!$E$290=2,AB47-AB41,0)</f>
        <v>0</v>
      </c>
      <c r="AC42" s="1000" t="n">
        <f aca="false">IF(Assum!$E$290=2,AC47-AC41,0)</f>
        <v>0</v>
      </c>
      <c r="AD42" s="1000" t="n">
        <f aca="false">IF(Assum!$E$290=2,AD47-AD41,0)</f>
        <v>0</v>
      </c>
      <c r="AE42" s="1000" t="n">
        <f aca="false">IF(Assum!$E$290=2,AE47-AE41,0)</f>
        <v>0</v>
      </c>
      <c r="AF42" s="1000" t="n">
        <f aca="false">IF(Assum!$E$290=2,AF47-AF41,0)</f>
        <v>0</v>
      </c>
      <c r="AG42" s="1000" t="n">
        <f aca="false">IF(Assum!$E$290=2,AG47-AG41,0)</f>
        <v>0</v>
      </c>
      <c r="AH42" s="1000" t="n">
        <f aca="false">IF(Assum!$E$290=2,AH47-AH41,0)</f>
        <v>0</v>
      </c>
      <c r="AI42" s="1001" t="n">
        <f aca="false">IF(Assum!$E$290=2,AI47-AI41,0)</f>
        <v>0</v>
      </c>
      <c r="AJ42" s="1002"/>
      <c r="AK42" s="997"/>
      <c r="AL42" s="997"/>
      <c r="AM42" s="997"/>
      <c r="AN42" s="997"/>
      <c r="AO42" s="997"/>
      <c r="AP42" s="997"/>
    </row>
    <row r="43" customFormat="false" ht="12.75" hidden="false" customHeight="false" outlineLevel="0" collapsed="false">
      <c r="A43" s="751"/>
      <c r="B43" s="803" t="s">
        <v>582</v>
      </c>
      <c r="C43" s="959"/>
      <c r="D43" s="776"/>
      <c r="E43" s="776" t="n">
        <f aca="false">E37*Assum!E281</f>
        <v>0</v>
      </c>
      <c r="F43" s="776" t="n">
        <f aca="false">E52</f>
        <v>0</v>
      </c>
      <c r="G43" s="776" t="n">
        <f aca="false">F52</f>
        <v>0</v>
      </c>
      <c r="H43" s="776" t="n">
        <f aca="false">G52</f>
        <v>0</v>
      </c>
      <c r="I43" s="776" t="n">
        <f aca="false">H52</f>
        <v>0</v>
      </c>
      <c r="J43" s="776" t="n">
        <f aca="false">I52</f>
        <v>0</v>
      </c>
      <c r="K43" s="776" t="n">
        <f aca="false">J52</f>
        <v>0</v>
      </c>
      <c r="L43" s="776" t="n">
        <f aca="false">K52</f>
        <v>0</v>
      </c>
      <c r="M43" s="776" t="n">
        <f aca="false">L52</f>
        <v>0</v>
      </c>
      <c r="N43" s="776" t="n">
        <f aca="false">M52</f>
        <v>0</v>
      </c>
      <c r="O43" s="776" t="n">
        <f aca="false">N52</f>
        <v>0</v>
      </c>
      <c r="P43" s="776" t="n">
        <f aca="false">O52</f>
        <v>0</v>
      </c>
      <c r="Q43" s="776" t="n">
        <f aca="false">P52</f>
        <v>0</v>
      </c>
      <c r="R43" s="776" t="n">
        <f aca="false">Q52</f>
        <v>0</v>
      </c>
      <c r="S43" s="776" t="n">
        <f aca="false">R52</f>
        <v>0</v>
      </c>
      <c r="T43" s="776" t="n">
        <f aca="false">S52</f>
        <v>0</v>
      </c>
      <c r="U43" s="776" t="n">
        <f aca="false">T52</f>
        <v>0</v>
      </c>
      <c r="V43" s="776" t="n">
        <f aca="false">U52</f>
        <v>0</v>
      </c>
      <c r="W43" s="776" t="n">
        <f aca="false">V52</f>
        <v>0</v>
      </c>
      <c r="X43" s="776" t="n">
        <f aca="false">W52</f>
        <v>0</v>
      </c>
      <c r="Y43" s="776" t="n">
        <f aca="false">X52</f>
        <v>0</v>
      </c>
      <c r="Z43" s="776" t="n">
        <f aca="false">Y52</f>
        <v>0</v>
      </c>
      <c r="AA43" s="776" t="n">
        <f aca="false">Z52</f>
        <v>0</v>
      </c>
      <c r="AB43" s="776" t="n">
        <f aca="false">AA52</f>
        <v>0</v>
      </c>
      <c r="AC43" s="776" t="n">
        <f aca="false">AB52</f>
        <v>0</v>
      </c>
      <c r="AD43" s="776" t="n">
        <f aca="false">AC52</f>
        <v>0</v>
      </c>
      <c r="AE43" s="776" t="n">
        <f aca="false">AD52</f>
        <v>0</v>
      </c>
      <c r="AF43" s="776" t="n">
        <f aca="false">AE52</f>
        <v>0</v>
      </c>
      <c r="AG43" s="776" t="n">
        <f aca="false">AF52</f>
        <v>0</v>
      </c>
      <c r="AH43" s="776" t="n">
        <f aca="false">AG52</f>
        <v>0</v>
      </c>
      <c r="AI43" s="960" t="n">
        <f aca="false">AH52</f>
        <v>0</v>
      </c>
      <c r="AJ43" s="804"/>
      <c r="AK43" s="755"/>
      <c r="AL43" s="755"/>
      <c r="AM43" s="755"/>
      <c r="AN43" s="755"/>
      <c r="AO43" s="755"/>
      <c r="AP43" s="755"/>
    </row>
    <row r="44" customFormat="false" ht="12.75" hidden="false" customHeight="false" outlineLevel="0" collapsed="false">
      <c r="A44" s="751"/>
      <c r="B44" s="805" t="s">
        <v>559</v>
      </c>
      <c r="C44" s="828"/>
      <c r="D44" s="752"/>
      <c r="E44" s="752" t="n">
        <f aca="false">E43*E32*E42/Assum!$E$285</f>
        <v>0</v>
      </c>
      <c r="F44" s="752" t="n">
        <f aca="false">F43*F32*F42/Assum!$E$285</f>
        <v>0</v>
      </c>
      <c r="G44" s="752" t="n">
        <f aca="false">G43*G32*G42/Assum!$E$285</f>
        <v>0</v>
      </c>
      <c r="H44" s="752" t="n">
        <f aca="false">H43*H32*H42/Assum!$E$285</f>
        <v>0</v>
      </c>
      <c r="I44" s="752" t="n">
        <f aca="false">I43*I32*I42/Assum!$E$285</f>
        <v>0</v>
      </c>
      <c r="J44" s="752" t="n">
        <f aca="false">J43*J32*J42/Assum!$E$285</f>
        <v>0</v>
      </c>
      <c r="K44" s="752" t="n">
        <f aca="false">K43*K32*K42/Assum!$E$285</f>
        <v>0</v>
      </c>
      <c r="L44" s="752" t="n">
        <f aca="false">L43*L32*L42/Assum!$E$285</f>
        <v>0</v>
      </c>
      <c r="M44" s="752" t="n">
        <f aca="false">M43*M32*M42/Assum!$E$285</f>
        <v>0</v>
      </c>
      <c r="N44" s="752" t="n">
        <f aca="false">N43*N32*N42/Assum!$E$285</f>
        <v>0</v>
      </c>
      <c r="O44" s="752" t="n">
        <f aca="false">O43*O32*O42/Assum!$E$285</f>
        <v>0</v>
      </c>
      <c r="P44" s="752" t="n">
        <f aca="false">P43*P32*P42/Assum!$E$285</f>
        <v>0</v>
      </c>
      <c r="Q44" s="752" t="n">
        <f aca="false">Q43*Q32*Q42/Assum!$E$285</f>
        <v>0</v>
      </c>
      <c r="R44" s="752" t="n">
        <f aca="false">R43*R32*R42/Assum!$E$285</f>
        <v>0</v>
      </c>
      <c r="S44" s="752" t="n">
        <f aca="false">S43*S32*S42/Assum!$E$285</f>
        <v>0</v>
      </c>
      <c r="T44" s="752" t="n">
        <f aca="false">T43*T32*T42/Assum!$E$285</f>
        <v>0</v>
      </c>
      <c r="U44" s="752" t="n">
        <f aca="false">U43*U32*U42/Assum!$E$285</f>
        <v>0</v>
      </c>
      <c r="V44" s="752" t="n">
        <f aca="false">V43*V32*V42/Assum!$E$285</f>
        <v>0</v>
      </c>
      <c r="W44" s="752" t="n">
        <f aca="false">W43*W32*W42/Assum!$E$285</f>
        <v>0</v>
      </c>
      <c r="X44" s="752" t="n">
        <f aca="false">X43*X32*X42/Assum!$E$285</f>
        <v>0</v>
      </c>
      <c r="Y44" s="752" t="n">
        <f aca="false">Y43*Y32*Y42/Assum!$E$285</f>
        <v>0</v>
      </c>
      <c r="Z44" s="752" t="n">
        <f aca="false">Z43*Z32*Z42/Assum!$E$285</f>
        <v>0</v>
      </c>
      <c r="AA44" s="752" t="n">
        <f aca="false">AA43*AA32*AA42/Assum!$E$285</f>
        <v>0</v>
      </c>
      <c r="AB44" s="752" t="n">
        <f aca="false">AB43*AB32*AB42/Assum!$E$285</f>
        <v>0</v>
      </c>
      <c r="AC44" s="752" t="n">
        <f aca="false">AC43*AC32*AC42/Assum!$E$285</f>
        <v>0</v>
      </c>
      <c r="AD44" s="752" t="n">
        <f aca="false">AD43*AD32*AD42/Assum!$E$285</f>
        <v>0</v>
      </c>
      <c r="AE44" s="752" t="n">
        <f aca="false">AE43*AE32*AE42/Assum!$E$285</f>
        <v>0</v>
      </c>
      <c r="AF44" s="752" t="n">
        <f aca="false">AF43*AF32*AF42/Assum!$E$285</f>
        <v>0</v>
      </c>
      <c r="AG44" s="752" t="n">
        <f aca="false">AG43*AG32*AG42/Assum!$E$285</f>
        <v>0</v>
      </c>
      <c r="AH44" s="752" t="n">
        <f aca="false">AH43*AH32*AH42/Assum!$E$285</f>
        <v>0</v>
      </c>
      <c r="AI44" s="948" t="n">
        <f aca="false">AI43*AI32*AI42/Assum!$E$285</f>
        <v>0</v>
      </c>
      <c r="AJ44" s="807"/>
      <c r="AK44" s="373"/>
      <c r="AL44" s="373"/>
      <c r="AM44" s="753"/>
      <c r="AN44" s="753"/>
      <c r="AO44" s="753"/>
      <c r="AP44" s="753"/>
    </row>
    <row r="45" customFormat="false" ht="12.75" hidden="false" customHeight="false" outlineLevel="0" collapsed="false">
      <c r="A45" s="751"/>
      <c r="B45" s="805" t="s">
        <v>583</v>
      </c>
      <c r="C45" s="828"/>
      <c r="D45" s="752"/>
      <c r="E45" s="752" t="n">
        <f aca="false">IF(E35*E42/Assum!$E$285-E44&lt;E43,E35*E42/Assum!$E$285-E44,E43)*Assum!E288</f>
        <v>0</v>
      </c>
      <c r="F45" s="752" t="n">
        <f aca="false">IF(F35*Assum!$E$289-F44&lt;F43,F35*Assum!$E$289-F44,F43)*(Assum!$E$290-1)</f>
        <v>0</v>
      </c>
      <c r="G45" s="752" t="n">
        <f aca="false">IF(G35*Assum!$E$289-G44&lt;G43,G35*Assum!$E$289-G44,G43)*(Assum!$E$290-1)</f>
        <v>0</v>
      </c>
      <c r="H45" s="752" t="n">
        <f aca="false">IF(H35*Assum!$E$289-H44&lt;H43,H35*Assum!$E$289-H44,H43)*(Assum!$E$290-1)</f>
        <v>0</v>
      </c>
      <c r="I45" s="752" t="n">
        <f aca="false">IF(I35*Assum!$E$289-I44&lt;I43,I35*Assum!$E$289-I44,I43)*(Assum!$E$290-1)</f>
        <v>0</v>
      </c>
      <c r="J45" s="752" t="n">
        <f aca="false">IF(J35*Assum!$E$289-J44&lt;J43,J35*Assum!$E$289-J44,J43)*(Assum!$E$290-1)</f>
        <v>0</v>
      </c>
      <c r="K45" s="752" t="n">
        <f aca="false">IF(K35*Assum!$E$289-K44&lt;K43,K35*Assum!$E$289-K44,K43)*(Assum!$E$290-1)</f>
        <v>0</v>
      </c>
      <c r="L45" s="752" t="n">
        <f aca="false">IF(L35*Assum!$E$289-L44&lt;L43,L35*Assum!$E$289-L44,L43)*(Assum!$E$290-1)</f>
        <v>0</v>
      </c>
      <c r="M45" s="752" t="n">
        <f aca="false">IF(M35*Assum!$E$289-M44&lt;M43,M35*Assum!$E$289-M44,M43)*(Assum!$E$290-1)</f>
        <v>0</v>
      </c>
      <c r="N45" s="752" t="n">
        <f aca="false">IF(N35*Assum!$E$289-N44&lt;N43,N35*Assum!$E$289-N44,N43)*(Assum!$E$290-1)</f>
        <v>0</v>
      </c>
      <c r="O45" s="752" t="n">
        <f aca="false">IF(O35*Assum!$E$289-O44&lt;O43,O35*Assum!$E$289-O44,O43)*(Assum!$E$290-1)</f>
        <v>0</v>
      </c>
      <c r="P45" s="752" t="n">
        <f aca="false">IF(P35*Assum!$E$289-P44&lt;P43,P35*Assum!$E$289-P44,P43)*(Assum!$E$290-1)</f>
        <v>0</v>
      </c>
      <c r="Q45" s="752" t="n">
        <f aca="false">IF(Q35*Assum!$E$289-Q44&lt;Q43,Q35*Assum!$E$289-Q44,Q43)*(Assum!$E$290-1)</f>
        <v>0</v>
      </c>
      <c r="R45" s="752" t="n">
        <f aca="false">IF(R35*Assum!$E$289-R44&lt;R43,R35*Assum!$E$289-R44,R43)*(Assum!$E$290-1)</f>
        <v>0</v>
      </c>
      <c r="S45" s="752" t="n">
        <f aca="false">IF(S35*Assum!$E$289-S44&lt;S43,S35*Assum!$E$289-S44,S43)*(Assum!$E$290-1)</f>
        <v>0</v>
      </c>
      <c r="T45" s="752" t="n">
        <f aca="false">IF(T35*Assum!$E$289-T44&lt;T43,T35*Assum!$E$289-T44,T43)*(Assum!$E$290-1)</f>
        <v>0</v>
      </c>
      <c r="U45" s="752" t="n">
        <f aca="false">IF(U35*Assum!$E$289-U44&lt;U43,U35*Assum!$E$289-U44,U43)*(Assum!$E$290-1)</f>
        <v>0</v>
      </c>
      <c r="V45" s="752" t="n">
        <f aca="false">IF(V35*Assum!$E$289-V44&lt;V43,V35*Assum!$E$289-V44,V43)*(Assum!$E$290-1)</f>
        <v>0</v>
      </c>
      <c r="W45" s="752" t="n">
        <f aca="false">IF(W35*Assum!$E$289-W44&lt;W43,W35*Assum!$E$289-W44,W43)*(Assum!$E$290-1)</f>
        <v>0</v>
      </c>
      <c r="X45" s="752" t="n">
        <f aca="false">IF(X35*Assum!$E$289-X44&lt;X43,X35*Assum!$E$289-X44,X43)*(Assum!$E$290-1)</f>
        <v>0</v>
      </c>
      <c r="Y45" s="752" t="n">
        <f aca="false">IF(Y35*Assum!$E$289-Y44&lt;Y43,Y35*Assum!$E$289-Y44,Y43)*(Assum!$E$290-1)</f>
        <v>0</v>
      </c>
      <c r="Z45" s="752" t="n">
        <f aca="false">IF(Z35*Assum!$E$289-Z44&lt;Z43,Z35*Assum!$E$289-Z44,Z43)*(Assum!$E$290-1)</f>
        <v>0</v>
      </c>
      <c r="AA45" s="752" t="n">
        <f aca="false">IF(AA35*Assum!$E$289-AA44&lt;AA43,AA35*Assum!$E$289-AA44,AA43)*(Assum!$E$290-1)</f>
        <v>0</v>
      </c>
      <c r="AB45" s="752" t="n">
        <f aca="false">IF(AB35*Assum!$E$289-AB44&lt;AB43,AB35*Assum!$E$289-AB44,AB43)*(Assum!$E$290-1)</f>
        <v>0</v>
      </c>
      <c r="AC45" s="752" t="n">
        <f aca="false">IF(AC35*Assum!$E$289-AC44&lt;AC43,AC35*Assum!$E$289-AC44,AC43)*(Assum!$E$290-1)</f>
        <v>0</v>
      </c>
      <c r="AD45" s="752" t="n">
        <f aca="false">IF(AD35*Assum!$E$289-AD44&lt;AD43,AD35*Assum!$E$289-AD44,AD43)*(Assum!$E$290-1)</f>
        <v>0</v>
      </c>
      <c r="AE45" s="752" t="n">
        <f aca="false">IF(AE35*Assum!$E$289-AE44&lt;AE43,AE35*Assum!$E$289-AE44,AE43)*(Assum!$E$290-1)</f>
        <v>0</v>
      </c>
      <c r="AF45" s="752" t="n">
        <f aca="false">IF(AF35*Assum!$E$289-AF44&lt;AF43,AF35*Assum!$E$289-AF44,AF43)*(Assum!$E$290-1)</f>
        <v>0</v>
      </c>
      <c r="AG45" s="752" t="n">
        <f aca="false">IF(AG35*Assum!$E$289-AG44&lt;AG43,AG35*Assum!$E$289-AG44,AG43)*(Assum!$E$290-1)</f>
        <v>0</v>
      </c>
      <c r="AH45" s="752" t="n">
        <f aca="false">IF(AH35*Assum!$E$289-AH44&lt;AH43,AH35*Assum!$E$289-AH44,AH43)*(Assum!$E$290-1)</f>
        <v>0</v>
      </c>
      <c r="AI45" s="752" t="n">
        <f aca="false">IF(AI35*Assum!$E$289-AI44&lt;AI43,AI35*Assum!$E$289-AI44,AI43)*(Assum!$E$290-1)</f>
        <v>0</v>
      </c>
      <c r="AJ45" s="807"/>
      <c r="AK45" s="373"/>
      <c r="AL45" s="373"/>
      <c r="AM45" s="753"/>
      <c r="AN45" s="753"/>
      <c r="AO45" s="753"/>
      <c r="AP45" s="753"/>
    </row>
    <row r="46" customFormat="false" ht="12.75" hidden="false" customHeight="false" outlineLevel="0" collapsed="false">
      <c r="A46" s="751"/>
      <c r="B46" s="803" t="s">
        <v>561</v>
      </c>
      <c r="C46" s="959"/>
      <c r="D46" s="776"/>
      <c r="E46" s="776" t="n">
        <f aca="false">E43-E45</f>
        <v>0</v>
      </c>
      <c r="F46" s="776" t="n">
        <f aca="false">F43-F45</f>
        <v>0</v>
      </c>
      <c r="G46" s="776" t="n">
        <f aca="false">G43-G45</f>
        <v>0</v>
      </c>
      <c r="H46" s="776" t="n">
        <f aca="false">H43-H45</f>
        <v>0</v>
      </c>
      <c r="I46" s="776" t="n">
        <f aca="false">I43-I45</f>
        <v>0</v>
      </c>
      <c r="J46" s="776" t="n">
        <f aca="false">J43-J45</f>
        <v>0</v>
      </c>
      <c r="K46" s="776" t="n">
        <f aca="false">K43-K45</f>
        <v>0</v>
      </c>
      <c r="L46" s="776" t="n">
        <f aca="false">L43-L45</f>
        <v>0</v>
      </c>
      <c r="M46" s="776" t="n">
        <f aca="false">M43-M45</f>
        <v>0</v>
      </c>
      <c r="N46" s="776" t="n">
        <f aca="false">N43-N45</f>
        <v>0</v>
      </c>
      <c r="O46" s="776" t="n">
        <f aca="false">O43-O45</f>
        <v>0</v>
      </c>
      <c r="P46" s="776" t="n">
        <f aca="false">P43-P45</f>
        <v>0</v>
      </c>
      <c r="Q46" s="776" t="n">
        <f aca="false">Q43-Q45</f>
        <v>0</v>
      </c>
      <c r="R46" s="776" t="n">
        <f aca="false">R43-R45</f>
        <v>0</v>
      </c>
      <c r="S46" s="776" t="n">
        <f aca="false">S43-S45</f>
        <v>0</v>
      </c>
      <c r="T46" s="776" t="n">
        <f aca="false">T43-T45</f>
        <v>0</v>
      </c>
      <c r="U46" s="776" t="n">
        <f aca="false">U43-U45</f>
        <v>0</v>
      </c>
      <c r="V46" s="776" t="n">
        <f aca="false">V43-V45</f>
        <v>0</v>
      </c>
      <c r="W46" s="776" t="n">
        <f aca="false">W43-W45</f>
        <v>0</v>
      </c>
      <c r="X46" s="776" t="n">
        <f aca="false">X43-X45</f>
        <v>0</v>
      </c>
      <c r="Y46" s="776" t="n">
        <f aca="false">Y43-Y45</f>
        <v>0</v>
      </c>
      <c r="Z46" s="776" t="n">
        <f aca="false">Z43-Z45</f>
        <v>0</v>
      </c>
      <c r="AA46" s="776" t="n">
        <f aca="false">AA43-AA45</f>
        <v>0</v>
      </c>
      <c r="AB46" s="776" t="n">
        <f aca="false">AB43-AB45</f>
        <v>0</v>
      </c>
      <c r="AC46" s="776" t="n">
        <f aca="false">AC43-AC45</f>
        <v>0</v>
      </c>
      <c r="AD46" s="776" t="n">
        <f aca="false">AD43-AD45</f>
        <v>0</v>
      </c>
      <c r="AE46" s="776" t="n">
        <f aca="false">AE43-AE45</f>
        <v>0</v>
      </c>
      <c r="AF46" s="776" t="n">
        <f aca="false">AF43-AF45</f>
        <v>0</v>
      </c>
      <c r="AG46" s="776" t="n">
        <f aca="false">AG43-AG45</f>
        <v>0</v>
      </c>
      <c r="AH46" s="776" t="n">
        <f aca="false">AH43-AH45</f>
        <v>0</v>
      </c>
      <c r="AI46" s="960" t="n">
        <f aca="false">AI43-AI45</f>
        <v>0</v>
      </c>
      <c r="AJ46" s="804"/>
      <c r="AK46" s="755"/>
      <c r="AL46" s="755"/>
      <c r="AM46" s="755"/>
      <c r="AN46" s="755"/>
      <c r="AO46" s="755"/>
      <c r="AP46" s="755"/>
    </row>
    <row r="47" customFormat="false" ht="12.75" hidden="false" customHeight="false" outlineLevel="0" collapsed="false">
      <c r="A47" s="751"/>
      <c r="B47" s="995" t="s">
        <v>584</v>
      </c>
      <c r="C47" s="1003"/>
      <c r="D47" s="1004"/>
      <c r="E47" s="996" t="n">
        <f aca="false">Assum!E286</f>
        <v>35976</v>
      </c>
      <c r="F47" s="996" t="n">
        <f aca="false">EDATE(E47,12)</f>
        <v>36341</v>
      </c>
      <c r="G47" s="996" t="n">
        <f aca="false">EDATE(F47,12)</f>
        <v>36707</v>
      </c>
      <c r="H47" s="996" t="n">
        <f aca="false">EDATE(G47,12)</f>
        <v>37072</v>
      </c>
      <c r="I47" s="996" t="n">
        <f aca="false">EDATE(H47,12)</f>
        <v>37437</v>
      </c>
      <c r="J47" s="996" t="n">
        <f aca="false">EDATE(I47,12)</f>
        <v>37802</v>
      </c>
      <c r="K47" s="996" t="n">
        <f aca="false">EDATE(J47,12)</f>
        <v>38168</v>
      </c>
      <c r="L47" s="996" t="n">
        <f aca="false">EDATE(K47,12)</f>
        <v>38533</v>
      </c>
      <c r="M47" s="996" t="n">
        <f aca="false">EDATE(L47,12)</f>
        <v>38898</v>
      </c>
      <c r="N47" s="996" t="n">
        <f aca="false">EDATE(M47,12)</f>
        <v>39263</v>
      </c>
      <c r="O47" s="996" t="n">
        <f aca="false">EDATE(N47,12)</f>
        <v>39629</v>
      </c>
      <c r="P47" s="996" t="n">
        <f aca="false">EDATE(O47,12)</f>
        <v>39994</v>
      </c>
      <c r="Q47" s="996" t="n">
        <f aca="false">EDATE(P47,12)</f>
        <v>40359</v>
      </c>
      <c r="R47" s="996" t="n">
        <f aca="false">EDATE(Q47,12)</f>
        <v>40724</v>
      </c>
      <c r="S47" s="996" t="n">
        <f aca="false">EDATE(R47,12)</f>
        <v>41090</v>
      </c>
      <c r="T47" s="996" t="n">
        <f aca="false">EDATE(S47,12)</f>
        <v>41455</v>
      </c>
      <c r="U47" s="996" t="n">
        <f aca="false">EDATE(T47,12)</f>
        <v>41820</v>
      </c>
      <c r="V47" s="996" t="n">
        <f aca="false">EDATE(U47,12)</f>
        <v>42185</v>
      </c>
      <c r="W47" s="996" t="n">
        <f aca="false">EDATE(V47,12)</f>
        <v>42551</v>
      </c>
      <c r="X47" s="996" t="n">
        <f aca="false">EDATE(W47,12)</f>
        <v>42916</v>
      </c>
      <c r="Y47" s="996" t="n">
        <f aca="false">EDATE(X47,12)</f>
        <v>43281</v>
      </c>
      <c r="Z47" s="996" t="n">
        <f aca="false">EDATE(Y47,12)</f>
        <v>43646</v>
      </c>
      <c r="AA47" s="996" t="n">
        <f aca="false">EDATE(Z47,12)</f>
        <v>44012</v>
      </c>
      <c r="AB47" s="996" t="n">
        <f aca="false">EDATE(AA47,12)</f>
        <v>44377</v>
      </c>
      <c r="AC47" s="996" t="n">
        <f aca="false">EDATE(AB47,12)</f>
        <v>44742</v>
      </c>
      <c r="AD47" s="996" t="n">
        <f aca="false">EDATE(AC47,12)</f>
        <v>45107</v>
      </c>
      <c r="AE47" s="996" t="n">
        <f aca="false">EDATE(AD47,12)</f>
        <v>45473</v>
      </c>
      <c r="AF47" s="996" t="n">
        <f aca="false">EDATE(AE47,12)</f>
        <v>45838</v>
      </c>
      <c r="AG47" s="996" t="n">
        <f aca="false">EDATE(AF47,12)</f>
        <v>46203</v>
      </c>
      <c r="AH47" s="996" t="n">
        <f aca="false">EDATE(AG47,12)</f>
        <v>46568</v>
      </c>
      <c r="AI47" s="996" t="n">
        <f aca="false">EDATE(AH47,12)</f>
        <v>46934</v>
      </c>
      <c r="AJ47" s="996" t="n">
        <f aca="false">EDATE(AI47,12)</f>
        <v>47299</v>
      </c>
      <c r="AK47" s="373"/>
      <c r="AL47" s="373"/>
      <c r="AM47" s="753"/>
      <c r="AN47" s="753"/>
      <c r="AO47" s="753"/>
      <c r="AP47" s="753"/>
    </row>
    <row r="48" customFormat="false" ht="12.75" hidden="false" customHeight="false" outlineLevel="0" collapsed="false">
      <c r="A48" s="751"/>
      <c r="B48" s="998" t="s">
        <v>581</v>
      </c>
      <c r="C48" s="1005"/>
      <c r="D48" s="1006"/>
      <c r="E48" s="1007" t="n">
        <f aca="false">IF(Assum!$E$290=2,E53-E47,E53-E41)</f>
        <v>365</v>
      </c>
      <c r="F48" s="1007" t="n">
        <f aca="false">IF(Assum!$E$290=2,F53-F47,G47-F47)</f>
        <v>366</v>
      </c>
      <c r="G48" s="1007" t="n">
        <f aca="false">IF(Assum!$E$290=2,G53-G47,H47-G47)</f>
        <v>365</v>
      </c>
      <c r="H48" s="1007" t="n">
        <f aca="false">IF(Assum!$E$290=2,H53-H47,I47-H47)</f>
        <v>365</v>
      </c>
      <c r="I48" s="1007" t="n">
        <f aca="false">IF(Assum!$E$290=2,I53-I47,J47-I47)</f>
        <v>365</v>
      </c>
      <c r="J48" s="1007" t="n">
        <f aca="false">IF(Assum!$E$290=2,J53-J47,K47-J47)</f>
        <v>366</v>
      </c>
      <c r="K48" s="1007" t="n">
        <f aca="false">IF(Assum!$E$290=2,K53-K47,L47-K47)</f>
        <v>365</v>
      </c>
      <c r="L48" s="1007" t="n">
        <f aca="false">IF(Assum!$E$290=2,L53-L47,M47-L47)</f>
        <v>365</v>
      </c>
      <c r="M48" s="1007" t="n">
        <f aca="false">IF(Assum!$E$290=2,M53-M47,N47-M47)</f>
        <v>365</v>
      </c>
      <c r="N48" s="1007" t="n">
        <f aca="false">IF(Assum!$E$290=2,N53-N47,O47-N47)</f>
        <v>366</v>
      </c>
      <c r="O48" s="1007" t="n">
        <f aca="false">IF(Assum!$E$290=2,O53-O47,P47-O47)</f>
        <v>365</v>
      </c>
      <c r="P48" s="1007" t="n">
        <f aca="false">IF(Assum!$E$290=2,P53-P47,Q47-P47)</f>
        <v>365</v>
      </c>
      <c r="Q48" s="1007" t="n">
        <f aca="false">IF(Assum!$E$290=2,Q53-Q47,R47-Q47)</f>
        <v>365</v>
      </c>
      <c r="R48" s="1007" t="n">
        <f aca="false">IF(Assum!$E$290=2,R53-R47,S47-R47)</f>
        <v>366</v>
      </c>
      <c r="S48" s="1007" t="n">
        <f aca="false">IF(Assum!$E$290=2,S53-S47,T47-S47)</f>
        <v>365</v>
      </c>
      <c r="T48" s="1007" t="n">
        <f aca="false">IF(Assum!$E$290=2,T53-T47,U47-T47)</f>
        <v>365</v>
      </c>
      <c r="U48" s="1007" t="n">
        <f aca="false">IF(Assum!$E$290=2,U53-U47,V47-U47)</f>
        <v>365</v>
      </c>
      <c r="V48" s="1007" t="n">
        <f aca="false">IF(Assum!$E$290=2,V53-V47,W47-V47)</f>
        <v>366</v>
      </c>
      <c r="W48" s="1007" t="n">
        <f aca="false">IF(Assum!$E$290=2,W53-W47,X47-W47)</f>
        <v>365</v>
      </c>
      <c r="X48" s="1007" t="n">
        <f aca="false">IF(Assum!$E$290=2,X53-X47,Y47-X47)</f>
        <v>365</v>
      </c>
      <c r="Y48" s="1007" t="n">
        <f aca="false">IF(Assum!$E$290=2,Y53-Y47,Z47-Y47)</f>
        <v>365</v>
      </c>
      <c r="Z48" s="1007" t="n">
        <f aca="false">IF(Assum!$E$290=2,Z53-Z47,AA47-Z47)</f>
        <v>366</v>
      </c>
      <c r="AA48" s="1007" t="n">
        <f aca="false">IF(Assum!$E$290=2,AA53-AA47,AB47-AA47)</f>
        <v>365</v>
      </c>
      <c r="AB48" s="1007" t="n">
        <f aca="false">IF(Assum!$E$290=2,AB53-AB47,AC47-AB47)</f>
        <v>365</v>
      </c>
      <c r="AC48" s="1007" t="n">
        <f aca="false">IF(Assum!$E$290=2,AC53-AC47,AD47-AC47)</f>
        <v>365</v>
      </c>
      <c r="AD48" s="1007" t="n">
        <f aca="false">IF(Assum!$E$290=2,AD53-AD47,AE47-AD47)</f>
        <v>366</v>
      </c>
      <c r="AE48" s="1007" t="n">
        <f aca="false">IF(Assum!$E$290=2,AE53-AE47,AF47-AE47)</f>
        <v>365</v>
      </c>
      <c r="AF48" s="1007" t="n">
        <f aca="false">IF(Assum!$E$290=2,AF53-AF47,AG47-AF47)</f>
        <v>365</v>
      </c>
      <c r="AG48" s="1007" t="n">
        <f aca="false">IF(Assum!$E$290=2,AG53-AG47,AH47-AG47)</f>
        <v>365</v>
      </c>
      <c r="AH48" s="1007" t="n">
        <f aca="false">IF(Assum!$E$290=2,AH53-AH47,AI47-AH47)</f>
        <v>366</v>
      </c>
      <c r="AI48" s="1007" t="n">
        <f aca="false">IF(Assum!$E$290=2,AI53-AI47,AJ47-AI47)</f>
        <v>365</v>
      </c>
      <c r="AJ48" s="1002"/>
      <c r="AK48" s="373"/>
      <c r="AL48" s="373"/>
      <c r="AM48" s="753"/>
      <c r="AN48" s="753"/>
      <c r="AO48" s="753"/>
      <c r="AP48" s="753"/>
    </row>
    <row r="49" customFormat="false" ht="12.75" hidden="false" customHeight="false" outlineLevel="0" collapsed="false">
      <c r="A49" s="751"/>
      <c r="B49" s="803" t="s">
        <v>585</v>
      </c>
      <c r="C49" s="959"/>
      <c r="D49" s="776"/>
      <c r="E49" s="776" t="n">
        <f aca="false">E46</f>
        <v>0</v>
      </c>
      <c r="F49" s="776" t="n">
        <f aca="false">F46</f>
        <v>0</v>
      </c>
      <c r="G49" s="776" t="n">
        <f aca="false">G46</f>
        <v>0</v>
      </c>
      <c r="H49" s="776" t="n">
        <f aca="false">H46</f>
        <v>0</v>
      </c>
      <c r="I49" s="776" t="n">
        <f aca="false">I46</f>
        <v>0</v>
      </c>
      <c r="J49" s="776" t="n">
        <f aca="false">J46</f>
        <v>0</v>
      </c>
      <c r="K49" s="776" t="n">
        <f aca="false">K46</f>
        <v>0</v>
      </c>
      <c r="L49" s="776" t="n">
        <f aca="false">L46</f>
        <v>0</v>
      </c>
      <c r="M49" s="776" t="n">
        <f aca="false">M46</f>
        <v>0</v>
      </c>
      <c r="N49" s="776" t="n">
        <f aca="false">N46</f>
        <v>0</v>
      </c>
      <c r="O49" s="776" t="n">
        <f aca="false">O46</f>
        <v>0</v>
      </c>
      <c r="P49" s="776" t="n">
        <f aca="false">P46</f>
        <v>0</v>
      </c>
      <c r="Q49" s="776" t="n">
        <f aca="false">Q46</f>
        <v>0</v>
      </c>
      <c r="R49" s="776" t="n">
        <f aca="false">R46</f>
        <v>0</v>
      </c>
      <c r="S49" s="776" t="n">
        <f aca="false">S46</f>
        <v>0</v>
      </c>
      <c r="T49" s="776" t="n">
        <f aca="false">T46</f>
        <v>0</v>
      </c>
      <c r="U49" s="776" t="n">
        <f aca="false">U46</f>
        <v>0</v>
      </c>
      <c r="V49" s="776" t="n">
        <f aca="false">V46</f>
        <v>0</v>
      </c>
      <c r="W49" s="776" t="n">
        <f aca="false">W46</f>
        <v>0</v>
      </c>
      <c r="X49" s="776" t="n">
        <f aca="false">X46</f>
        <v>0</v>
      </c>
      <c r="Y49" s="776" t="n">
        <f aca="false">Y46</f>
        <v>0</v>
      </c>
      <c r="Z49" s="776" t="n">
        <f aca="false">Z46</f>
        <v>0</v>
      </c>
      <c r="AA49" s="776" t="n">
        <f aca="false">AA46</f>
        <v>0</v>
      </c>
      <c r="AB49" s="776" t="n">
        <f aca="false">AB46</f>
        <v>0</v>
      </c>
      <c r="AC49" s="776" t="n">
        <f aca="false">AC46</f>
        <v>0</v>
      </c>
      <c r="AD49" s="776" t="n">
        <f aca="false">AD46</f>
        <v>0</v>
      </c>
      <c r="AE49" s="776" t="n">
        <f aca="false">AE46</f>
        <v>0</v>
      </c>
      <c r="AF49" s="776" t="n">
        <f aca="false">AF46</f>
        <v>0</v>
      </c>
      <c r="AG49" s="776" t="n">
        <f aca="false">AG46</f>
        <v>0</v>
      </c>
      <c r="AH49" s="776" t="n">
        <f aca="false">AH46</f>
        <v>0</v>
      </c>
      <c r="AI49" s="960" t="n">
        <f aca="false">AI46</f>
        <v>0</v>
      </c>
      <c r="AJ49" s="804"/>
      <c r="AK49" s="755"/>
      <c r="AL49" s="755"/>
      <c r="AM49" s="755"/>
      <c r="AN49" s="755"/>
      <c r="AO49" s="755"/>
      <c r="AP49" s="755"/>
    </row>
    <row r="50" customFormat="false" ht="12.75" hidden="false" customHeight="false" outlineLevel="0" collapsed="false">
      <c r="A50" s="751"/>
      <c r="B50" s="805" t="s">
        <v>559</v>
      </c>
      <c r="C50" s="828"/>
      <c r="D50" s="752"/>
      <c r="E50" s="752" t="n">
        <f aca="false">E49*E32*E48/Assum!$E$285</f>
        <v>0</v>
      </c>
      <c r="F50" s="752" t="n">
        <f aca="false">F49*F32*F48/Assum!$E$285</f>
        <v>0</v>
      </c>
      <c r="G50" s="752" t="n">
        <f aca="false">G49*G32*G48/Assum!$E$285</f>
        <v>0</v>
      </c>
      <c r="H50" s="752" t="n">
        <f aca="false">H49*H32*H48/Assum!$E$285</f>
        <v>0</v>
      </c>
      <c r="I50" s="752" t="n">
        <f aca="false">I49*I32*I48/Assum!$E$285</f>
        <v>0</v>
      </c>
      <c r="J50" s="752" t="n">
        <f aca="false">J49*J32*J48/Assum!$E$285</f>
        <v>0</v>
      </c>
      <c r="K50" s="752" t="n">
        <f aca="false">K49*K32*K48/Assum!$E$285</f>
        <v>0</v>
      </c>
      <c r="L50" s="752" t="n">
        <f aca="false">L49*L32*L48/Assum!$E$285</f>
        <v>0</v>
      </c>
      <c r="M50" s="752" t="n">
        <f aca="false">M49*M32*M48/Assum!$E$285</f>
        <v>0</v>
      </c>
      <c r="N50" s="752" t="n">
        <f aca="false">N49*N32*N48/Assum!$E$285</f>
        <v>0</v>
      </c>
      <c r="O50" s="752" t="n">
        <f aca="false">O49*O32*O48/Assum!$E$285</f>
        <v>0</v>
      </c>
      <c r="P50" s="752" t="n">
        <f aca="false">P49*P32*P48/Assum!$E$285</f>
        <v>0</v>
      </c>
      <c r="Q50" s="752" t="n">
        <f aca="false">Q49*Q32*Q48/Assum!$E$285</f>
        <v>0</v>
      </c>
      <c r="R50" s="752" t="n">
        <f aca="false">R49*R32*R48/Assum!$E$285</f>
        <v>0</v>
      </c>
      <c r="S50" s="752" t="n">
        <f aca="false">S49*S32*S48/Assum!$E$285</f>
        <v>0</v>
      </c>
      <c r="T50" s="752" t="n">
        <f aca="false">T49*T32*T48/Assum!$E$285</f>
        <v>0</v>
      </c>
      <c r="U50" s="752" t="n">
        <f aca="false">U49*U32*U48/Assum!$E$285</f>
        <v>0</v>
      </c>
      <c r="V50" s="752" t="n">
        <f aca="false">V49*V32*V48/Assum!$E$285</f>
        <v>0</v>
      </c>
      <c r="W50" s="752" t="n">
        <f aca="false">W49*W32*W48/Assum!$E$285</f>
        <v>0</v>
      </c>
      <c r="X50" s="752" t="n">
        <f aca="false">X49*X32*X48/Assum!$E$285</f>
        <v>0</v>
      </c>
      <c r="Y50" s="752" t="n">
        <f aca="false">Y49*Y32*Y48/Assum!$E$285</f>
        <v>0</v>
      </c>
      <c r="Z50" s="752" t="n">
        <f aca="false">Z49*Z32*Z48/Assum!$E$285</f>
        <v>0</v>
      </c>
      <c r="AA50" s="752" t="n">
        <f aca="false">AA49*AA32*AA48/Assum!$E$285</f>
        <v>0</v>
      </c>
      <c r="AB50" s="752" t="n">
        <f aca="false">AB49*AB32*AB48/Assum!$E$285</f>
        <v>0</v>
      </c>
      <c r="AC50" s="752" t="n">
        <f aca="false">AC49*AC32*AC48/Assum!$E$285</f>
        <v>0</v>
      </c>
      <c r="AD50" s="752" t="n">
        <f aca="false">AD49*AD32*AD48/Assum!$E$285</f>
        <v>0</v>
      </c>
      <c r="AE50" s="752" t="n">
        <f aca="false">AE49*AE32*AE48/Assum!$E$285</f>
        <v>0</v>
      </c>
      <c r="AF50" s="752" t="n">
        <f aca="false">AF49*AF32*AF48/Assum!$E$285</f>
        <v>0</v>
      </c>
      <c r="AG50" s="752" t="n">
        <f aca="false">AG49*AG32*AG48/Assum!$E$285</f>
        <v>0</v>
      </c>
      <c r="AH50" s="752" t="n">
        <f aca="false">AH49*AH32*AH48/Assum!$E$285</f>
        <v>0</v>
      </c>
      <c r="AI50" s="752" t="n">
        <f aca="false">AI49*AI32*AI48/Assum!$E$285</f>
        <v>0</v>
      </c>
      <c r="AJ50" s="807"/>
      <c r="AK50" s="373"/>
      <c r="AL50" s="373"/>
      <c r="AM50" s="753"/>
      <c r="AN50" s="753"/>
      <c r="AO50" s="753"/>
      <c r="AP50" s="753"/>
    </row>
    <row r="51" customFormat="false" ht="12.75" hidden="false" customHeight="false" outlineLevel="0" collapsed="false">
      <c r="A51" s="751"/>
      <c r="B51" s="805" t="s">
        <v>583</v>
      </c>
      <c r="C51" s="828"/>
      <c r="D51" s="752"/>
      <c r="E51" s="752" t="n">
        <f aca="false">IF(E35-SUM(E44:E45)-E50&lt;E49,E35-SUM(E44:E45)-E50,E49)</f>
        <v>0</v>
      </c>
      <c r="F51" s="752" t="n">
        <f aca="false">IF(F35-SUM(F44:F45)-F50&lt;F49,F35-SUM(F44:F45)-F50,F49)</f>
        <v>0</v>
      </c>
      <c r="G51" s="752" t="n">
        <f aca="false">IF(G35-SUM(G44:G45)-G50&lt;G49,G35-SUM(G44:G45)-G50,G49)</f>
        <v>0</v>
      </c>
      <c r="H51" s="752" t="n">
        <f aca="false">IF(H35-SUM(H44:H45)-H50&lt;H49,H35-SUM(H44:H45)-H50,H49)</f>
        <v>0</v>
      </c>
      <c r="I51" s="752" t="n">
        <f aca="false">IF(I35-SUM(I44:I45)-I50&lt;I49,I35-SUM(I44:I45)-I50,I49)</f>
        <v>0</v>
      </c>
      <c r="J51" s="752" t="n">
        <f aca="false">IF(J35-SUM(J44:J45)-J50&lt;J49,J35-SUM(J44:J45)-J50,J49)</f>
        <v>0</v>
      </c>
      <c r="K51" s="752" t="n">
        <f aca="false">IF(K35-SUM(K44:K45)-K50&lt;K49,K35-SUM(K44:K45)-K50,K49)</f>
        <v>0</v>
      </c>
      <c r="L51" s="752" t="n">
        <f aca="false">IF(L35-SUM(L44:L45)-L50&lt;L49,L35-SUM(L44:L45)-L50,L49)</f>
        <v>0</v>
      </c>
      <c r="M51" s="752" t="n">
        <f aca="false">IF(M35-SUM(M44:M45)-M50&lt;M49,M35-SUM(M44:M45)-M50,M49)</f>
        <v>0</v>
      </c>
      <c r="N51" s="752" t="n">
        <f aca="false">IF(N35-SUM(N44:N45)-N50&lt;N49,N35-SUM(N44:N45)-N50,N49)</f>
        <v>0</v>
      </c>
      <c r="O51" s="752" t="n">
        <f aca="false">IF(O35-SUM(O44:O45)-O50&lt;O49,O35-SUM(O44:O45)-O50,O49)</f>
        <v>0</v>
      </c>
      <c r="P51" s="752" t="n">
        <f aca="false">IF(P35-SUM(P44:P45)-P50&lt;P49,P35-SUM(P44:P45)-P50,P49)</f>
        <v>0</v>
      </c>
      <c r="Q51" s="752" t="n">
        <f aca="false">IF(Q35-SUM(Q44:Q45)-Q50&lt;Q49,Q35-SUM(Q44:Q45)-Q50,Q49)</f>
        <v>0</v>
      </c>
      <c r="R51" s="752" t="n">
        <f aca="false">IF(R35-SUM(R44:R45)-R50&lt;R49,R35-SUM(R44:R45)-R50,R49)</f>
        <v>0</v>
      </c>
      <c r="S51" s="752" t="n">
        <f aca="false">IF(S35-SUM(S44:S45)-S50&lt;S49,S35-SUM(S44:S45)-S50,S49)</f>
        <v>0</v>
      </c>
      <c r="T51" s="752" t="n">
        <f aca="false">IF(T35-SUM(T44:T45)-T50&lt;T49,T35-SUM(T44:T45)-T50,T49)</f>
        <v>0</v>
      </c>
      <c r="U51" s="752" t="n">
        <f aca="false">IF(U35-SUM(U44:U45)-U50&lt;U49,U35-SUM(U44:U45)-U50,U49)</f>
        <v>0</v>
      </c>
      <c r="V51" s="752" t="n">
        <f aca="false">IF(V35-SUM(V44:V45)-V50&lt;V49,V35-SUM(V44:V45)-V50,V49)</f>
        <v>0</v>
      </c>
      <c r="W51" s="752" t="n">
        <f aca="false">IF(W35-SUM(W44:W45)-W50&lt;W49,W35-SUM(W44:W45)-W50,W49)</f>
        <v>0</v>
      </c>
      <c r="X51" s="752" t="n">
        <f aca="false">IF(X35-SUM(X44:X45)-X50&lt;X49,X35-SUM(X44:X45)-X50,X49)</f>
        <v>0</v>
      </c>
      <c r="Y51" s="752" t="n">
        <f aca="false">IF(Y35-SUM(Y44:Y45)-Y50&lt;Y49,Y35-SUM(Y44:Y45)-Y50,Y49)</f>
        <v>0</v>
      </c>
      <c r="Z51" s="752" t="n">
        <f aca="false">IF(Z35-SUM(Z44:Z45)-Z50&lt;Z49,Z35-SUM(Z44:Z45)-Z50,Z49)</f>
        <v>0</v>
      </c>
      <c r="AA51" s="752" t="n">
        <f aca="false">IF(AA35-SUM(AA44:AA45)-AA50&lt;AA49,AA35-SUM(AA44:AA45)-AA50,AA49)</f>
        <v>0</v>
      </c>
      <c r="AB51" s="752" t="n">
        <f aca="false">IF(AB35-SUM(AB44:AB45)-AB50&lt;AB49,AB35-SUM(AB44:AB45)-AB50,AB49)</f>
        <v>0</v>
      </c>
      <c r="AC51" s="752" t="n">
        <f aca="false">IF(AC35-SUM(AC44:AC45)-AC50&lt;AC49,AC35-SUM(AC44:AC45)-AC50,AC49)</f>
        <v>0</v>
      </c>
      <c r="AD51" s="752" t="n">
        <f aca="false">IF(AD35-SUM(AD44:AD45)-AD50&lt;AD49,AD35-SUM(AD44:AD45)-AD50,AD49)</f>
        <v>0</v>
      </c>
      <c r="AE51" s="752" t="n">
        <f aca="false">IF(AE35-SUM(AE44:AE45)-AE50&lt;AE49,AE35-SUM(AE44:AE45)-AE50,AE49)</f>
        <v>0</v>
      </c>
      <c r="AF51" s="752" t="n">
        <f aca="false">IF(AF35-SUM(AF44:AF45)-AF50&lt;AF49,AF35-SUM(AF44:AF45)-AF50,AF49)</f>
        <v>0</v>
      </c>
      <c r="AG51" s="752" t="n">
        <f aca="false">IF(AG35-SUM(AG44:AG45)-AG50&lt;AG49,AG35-SUM(AG44:AG45)-AG50,AG49)</f>
        <v>0</v>
      </c>
      <c r="AH51" s="752" t="n">
        <f aca="false">IF(AH35-SUM(AH44:AH45)-AH50&lt;AH49,AH35-SUM(AH44:AH45)-AH50,AH49)</f>
        <v>0</v>
      </c>
      <c r="AI51" s="752" t="n">
        <f aca="false">IF(AI35-SUM(AI44:AI45)-AI50&lt;AI49,AI35-SUM(AI44:AI45)-AI50,AI49)</f>
        <v>0</v>
      </c>
      <c r="AJ51" s="807"/>
      <c r="AK51" s="373"/>
      <c r="AL51" s="373"/>
      <c r="AM51" s="753"/>
      <c r="AN51" s="753"/>
      <c r="AO51" s="753"/>
      <c r="AP51" s="753"/>
    </row>
    <row r="52" customFormat="false" ht="12.75" hidden="false" customHeight="false" outlineLevel="0" collapsed="false">
      <c r="A52" s="751"/>
      <c r="B52" s="803" t="s">
        <v>561</v>
      </c>
      <c r="C52" s="959"/>
      <c r="D52" s="776"/>
      <c r="E52" s="776" t="n">
        <f aca="false">E49-E51</f>
        <v>0</v>
      </c>
      <c r="F52" s="776" t="n">
        <f aca="false">F49-F51</f>
        <v>0</v>
      </c>
      <c r="G52" s="776" t="n">
        <f aca="false">G49-G51</f>
        <v>0</v>
      </c>
      <c r="H52" s="776" t="n">
        <f aca="false">H49-H51</f>
        <v>0</v>
      </c>
      <c r="I52" s="776" t="n">
        <f aca="false">I49-I51</f>
        <v>0</v>
      </c>
      <c r="J52" s="776" t="n">
        <f aca="false">J49-J51</f>
        <v>0</v>
      </c>
      <c r="K52" s="776" t="n">
        <f aca="false">K49-K51</f>
        <v>0</v>
      </c>
      <c r="L52" s="776" t="n">
        <f aca="false">L49-L51</f>
        <v>0</v>
      </c>
      <c r="M52" s="776" t="n">
        <f aca="false">M49-M51</f>
        <v>0</v>
      </c>
      <c r="N52" s="776" t="n">
        <f aca="false">N49-N51</f>
        <v>0</v>
      </c>
      <c r="O52" s="776" t="n">
        <f aca="false">O49-O51</f>
        <v>0</v>
      </c>
      <c r="P52" s="776" t="n">
        <f aca="false">P49-P51</f>
        <v>0</v>
      </c>
      <c r="Q52" s="776" t="n">
        <f aca="false">Q49-Q51</f>
        <v>0</v>
      </c>
      <c r="R52" s="776" t="n">
        <f aca="false">R49-R51</f>
        <v>0</v>
      </c>
      <c r="S52" s="776" t="n">
        <f aca="false">S49-S51</f>
        <v>0</v>
      </c>
      <c r="T52" s="776" t="n">
        <f aca="false">T49-T51</f>
        <v>0</v>
      </c>
      <c r="U52" s="776" t="n">
        <f aca="false">U49-U51</f>
        <v>0</v>
      </c>
      <c r="V52" s="776" t="n">
        <f aca="false">V49-V51</f>
        <v>0</v>
      </c>
      <c r="W52" s="776" t="n">
        <f aca="false">W49-W51</f>
        <v>0</v>
      </c>
      <c r="X52" s="776" t="n">
        <f aca="false">X49-X51</f>
        <v>0</v>
      </c>
      <c r="Y52" s="776" t="n">
        <f aca="false">Y49-Y51</f>
        <v>0</v>
      </c>
      <c r="Z52" s="776" t="n">
        <f aca="false">Z49-Z51</f>
        <v>0</v>
      </c>
      <c r="AA52" s="776" t="n">
        <f aca="false">AA49-AA51</f>
        <v>0</v>
      </c>
      <c r="AB52" s="776" t="n">
        <f aca="false">AB49-AB51</f>
        <v>0</v>
      </c>
      <c r="AC52" s="776" t="n">
        <f aca="false">AC49-AC51</f>
        <v>0</v>
      </c>
      <c r="AD52" s="776" t="n">
        <f aca="false">AD49-AD51</f>
        <v>0</v>
      </c>
      <c r="AE52" s="776" t="n">
        <f aca="false">AE49-AE51</f>
        <v>0</v>
      </c>
      <c r="AF52" s="776" t="n">
        <f aca="false">AF49-AF51</f>
        <v>0</v>
      </c>
      <c r="AG52" s="776" t="n">
        <f aca="false">AG49-AG51</f>
        <v>0</v>
      </c>
      <c r="AH52" s="776" t="n">
        <f aca="false">AH49-AH51</f>
        <v>0</v>
      </c>
      <c r="AI52" s="960" t="n">
        <f aca="false">AI49-AI51</f>
        <v>0</v>
      </c>
      <c r="AJ52" s="804"/>
      <c r="AK52" s="755"/>
      <c r="AL52" s="755"/>
      <c r="AM52" s="755"/>
      <c r="AN52" s="755"/>
      <c r="AO52" s="755"/>
      <c r="AP52" s="755"/>
    </row>
    <row r="53" customFormat="false" ht="12.75" hidden="false" customHeight="false" outlineLevel="0" collapsed="false">
      <c r="A53" s="751"/>
      <c r="B53" s="995" t="s">
        <v>586</v>
      </c>
      <c r="C53" s="1008"/>
      <c r="D53" s="1009"/>
      <c r="E53" s="996" t="n">
        <f aca="false">Assum!E287</f>
        <v>36160</v>
      </c>
      <c r="F53" s="996" t="n">
        <f aca="false">EDATE(E53,12)</f>
        <v>36525</v>
      </c>
      <c r="G53" s="996" t="n">
        <f aca="false">EDATE(F53,12)</f>
        <v>36891</v>
      </c>
      <c r="H53" s="996" t="n">
        <f aca="false">EDATE(G53,12)</f>
        <v>37256</v>
      </c>
      <c r="I53" s="996" t="n">
        <f aca="false">EDATE(H53,12)</f>
        <v>37621</v>
      </c>
      <c r="J53" s="996" t="n">
        <f aca="false">EDATE(I53,12)</f>
        <v>37986</v>
      </c>
      <c r="K53" s="996" t="n">
        <f aca="false">EDATE(J53,12)</f>
        <v>38352</v>
      </c>
      <c r="L53" s="996" t="n">
        <f aca="false">EDATE(K53,12)</f>
        <v>38717</v>
      </c>
      <c r="M53" s="996" t="n">
        <f aca="false">EDATE(L53,12)</f>
        <v>39082</v>
      </c>
      <c r="N53" s="996" t="n">
        <f aca="false">EDATE(M53,12)</f>
        <v>39447</v>
      </c>
      <c r="O53" s="996" t="n">
        <f aca="false">EDATE(N53,12)</f>
        <v>39813</v>
      </c>
      <c r="P53" s="996" t="n">
        <f aca="false">EDATE(O53,12)</f>
        <v>40178</v>
      </c>
      <c r="Q53" s="996" t="n">
        <f aca="false">EDATE(P53,12)</f>
        <v>40543</v>
      </c>
      <c r="R53" s="996" t="n">
        <f aca="false">EDATE(Q53,12)</f>
        <v>40908</v>
      </c>
      <c r="S53" s="996" t="n">
        <f aca="false">EDATE(R53,12)</f>
        <v>41274</v>
      </c>
      <c r="T53" s="996" t="n">
        <f aca="false">EDATE(S53,12)</f>
        <v>41639</v>
      </c>
      <c r="U53" s="996" t="n">
        <f aca="false">EDATE(T53,12)</f>
        <v>42004</v>
      </c>
      <c r="V53" s="996" t="n">
        <f aca="false">EDATE(U53,12)</f>
        <v>42369</v>
      </c>
      <c r="W53" s="996" t="n">
        <f aca="false">EDATE(V53,12)</f>
        <v>42735</v>
      </c>
      <c r="X53" s="996" t="n">
        <f aca="false">EDATE(W53,12)</f>
        <v>43100</v>
      </c>
      <c r="Y53" s="996" t="n">
        <f aca="false">EDATE(X53,12)</f>
        <v>43465</v>
      </c>
      <c r="Z53" s="996" t="n">
        <f aca="false">EDATE(Y53,12)</f>
        <v>43830</v>
      </c>
      <c r="AA53" s="996" t="n">
        <f aca="false">EDATE(Z53,12)</f>
        <v>44196</v>
      </c>
      <c r="AB53" s="996" t="n">
        <f aca="false">EDATE(AA53,12)</f>
        <v>44561</v>
      </c>
      <c r="AC53" s="996" t="n">
        <f aca="false">EDATE(AB53,12)</f>
        <v>44926</v>
      </c>
      <c r="AD53" s="996" t="n">
        <f aca="false">EDATE(AC53,12)</f>
        <v>45291</v>
      </c>
      <c r="AE53" s="996" t="n">
        <f aca="false">EDATE(AD53,12)</f>
        <v>45657</v>
      </c>
      <c r="AF53" s="996" t="n">
        <f aca="false">EDATE(AE53,12)</f>
        <v>46022</v>
      </c>
      <c r="AG53" s="996" t="n">
        <f aca="false">EDATE(AF53,12)</f>
        <v>46387</v>
      </c>
      <c r="AH53" s="996" t="n">
        <f aca="false">EDATE(AG53,12)</f>
        <v>46752</v>
      </c>
      <c r="AI53" s="996" t="n">
        <f aca="false">EDATE(AH53,12)</f>
        <v>47118</v>
      </c>
      <c r="AJ53" s="996" t="n">
        <f aca="false">EDATE(AI53,12)</f>
        <v>47483</v>
      </c>
      <c r="AK53" s="373"/>
      <c r="AL53" s="373"/>
      <c r="AM53" s="753"/>
      <c r="AN53" s="753"/>
      <c r="AO53" s="753"/>
      <c r="AP53" s="753"/>
    </row>
    <row r="54" customFormat="false" ht="13.5" hidden="false" customHeight="false" outlineLevel="0" collapsed="false">
      <c r="A54" s="831"/>
      <c r="B54" s="597"/>
      <c r="C54" s="1010"/>
      <c r="D54" s="841"/>
      <c r="E54" s="832"/>
      <c r="F54" s="832"/>
      <c r="G54" s="832"/>
      <c r="H54" s="832"/>
      <c r="I54" s="832"/>
      <c r="J54" s="832"/>
      <c r="K54" s="832"/>
      <c r="L54" s="832"/>
      <c r="M54" s="832"/>
      <c r="N54" s="832"/>
      <c r="O54" s="832"/>
      <c r="P54" s="832"/>
      <c r="Q54" s="832"/>
      <c r="R54" s="832"/>
      <c r="S54" s="832"/>
      <c r="T54" s="832"/>
      <c r="U54" s="832"/>
      <c r="V54" s="832"/>
      <c r="W54" s="832"/>
      <c r="X54" s="832"/>
      <c r="Y54" s="832"/>
      <c r="Z54" s="832"/>
      <c r="AA54" s="832"/>
      <c r="AB54" s="832"/>
      <c r="AC54" s="832"/>
      <c r="AD54" s="832"/>
      <c r="AE54" s="832"/>
      <c r="AF54" s="832"/>
      <c r="AG54" s="832"/>
      <c r="AH54" s="832"/>
      <c r="AI54" s="832"/>
      <c r="AJ54" s="832"/>
      <c r="AK54" s="374"/>
      <c r="AL54" s="374"/>
      <c r="AM54" s="809"/>
      <c r="AN54" s="809"/>
      <c r="AO54" s="809"/>
      <c r="AP54" s="809"/>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1"/>
      <c r="FR54" s="21"/>
      <c r="FS54" s="21"/>
      <c r="FT54" s="21"/>
      <c r="FU54" s="21"/>
      <c r="FV54" s="21"/>
      <c r="FW54" s="21"/>
      <c r="FX54" s="21"/>
      <c r="FY54" s="21"/>
      <c r="FZ54" s="21"/>
      <c r="GA54" s="21"/>
      <c r="GB54" s="21"/>
      <c r="GC54" s="21"/>
      <c r="GD54" s="21"/>
      <c r="GE54" s="21"/>
      <c r="GF54" s="21"/>
      <c r="GG54" s="21"/>
      <c r="GH54" s="21"/>
      <c r="GI54" s="21"/>
      <c r="GJ54" s="21"/>
      <c r="GK54" s="21"/>
      <c r="GL54" s="21"/>
      <c r="GM54" s="21"/>
      <c r="GN54" s="21"/>
      <c r="GO54" s="21"/>
      <c r="GP54" s="21"/>
      <c r="GQ54" s="21"/>
      <c r="GR54" s="21"/>
      <c r="GS54" s="21"/>
      <c r="GT54" s="21"/>
      <c r="GU54" s="21"/>
      <c r="GV54" s="21"/>
      <c r="GW54" s="21"/>
      <c r="GX54" s="21"/>
      <c r="GY54" s="21"/>
      <c r="GZ54" s="21"/>
      <c r="HA54" s="21"/>
      <c r="HB54" s="21"/>
      <c r="HC54" s="21"/>
      <c r="HD54" s="21"/>
      <c r="HE54" s="21"/>
      <c r="HF54" s="21"/>
      <c r="HG54" s="21"/>
      <c r="HH54" s="21"/>
      <c r="HI54" s="21"/>
      <c r="HJ54" s="21"/>
      <c r="HK54" s="21"/>
      <c r="HL54" s="21"/>
      <c r="HM54" s="21"/>
      <c r="HN54" s="21"/>
      <c r="HO54" s="21"/>
      <c r="HP54" s="21"/>
      <c r="HQ54" s="21"/>
      <c r="HR54" s="21"/>
      <c r="HS54" s="21"/>
      <c r="HT54" s="21"/>
      <c r="HU54" s="21"/>
      <c r="HV54" s="21"/>
      <c r="HW54" s="21"/>
      <c r="HX54" s="21"/>
      <c r="HY54" s="21"/>
      <c r="HZ54" s="21"/>
      <c r="IA54" s="21"/>
      <c r="IB54" s="21"/>
      <c r="IC54" s="21"/>
      <c r="ID54" s="21"/>
      <c r="IE54" s="21"/>
      <c r="IF54" s="21"/>
      <c r="IG54" s="21"/>
      <c r="IH54" s="21"/>
      <c r="II54" s="21"/>
      <c r="IJ54" s="21"/>
      <c r="IK54" s="21"/>
      <c r="IL54" s="21"/>
      <c r="IM54" s="21"/>
      <c r="IN54" s="21"/>
      <c r="IO54" s="21"/>
      <c r="IP54" s="21"/>
      <c r="IQ54" s="21"/>
      <c r="IR54" s="21"/>
      <c r="IS54" s="21"/>
      <c r="IT54" s="21"/>
      <c r="IU54" s="21"/>
      <c r="IV54" s="21"/>
      <c r="IW54" s="21"/>
    </row>
    <row r="55" customFormat="false" ht="13.5" hidden="false" customHeight="false" outlineLevel="0" collapsed="false">
      <c r="A55" s="751"/>
      <c r="B55" s="885" t="s">
        <v>626</v>
      </c>
      <c r="C55" s="1011"/>
      <c r="D55" s="1012"/>
      <c r="E55" s="887"/>
      <c r="F55" s="887"/>
      <c r="G55" s="887"/>
      <c r="H55" s="887"/>
      <c r="I55" s="887"/>
      <c r="J55" s="887"/>
      <c r="K55" s="887"/>
      <c r="L55" s="887"/>
      <c r="M55" s="887"/>
      <c r="N55" s="887"/>
      <c r="O55" s="887"/>
      <c r="P55" s="887"/>
      <c r="Q55" s="887"/>
      <c r="R55" s="887"/>
      <c r="S55" s="887"/>
      <c r="T55" s="887"/>
      <c r="U55" s="887"/>
      <c r="V55" s="887"/>
      <c r="W55" s="887"/>
      <c r="X55" s="887"/>
      <c r="Y55" s="887"/>
      <c r="Z55" s="887"/>
      <c r="AA55" s="887"/>
      <c r="AB55" s="887"/>
      <c r="AC55" s="887"/>
      <c r="AD55" s="887"/>
      <c r="AE55" s="887"/>
      <c r="AF55" s="887"/>
      <c r="AG55" s="887"/>
      <c r="AH55" s="887"/>
      <c r="AI55" s="887"/>
      <c r="AJ55" s="888"/>
      <c r="AK55" s="373"/>
      <c r="AL55" s="373"/>
      <c r="AM55" s="753"/>
      <c r="AN55" s="753"/>
      <c r="AO55" s="753"/>
      <c r="AP55" s="753"/>
    </row>
    <row r="56" customFormat="false" ht="12.75" hidden="false" customHeight="false" outlineLevel="0" collapsed="false">
      <c r="A56" s="751"/>
      <c r="B56" s="819" t="s">
        <v>591</v>
      </c>
      <c r="C56" s="752" t="n">
        <f aca="false">SUM(E56:AI56)</f>
        <v>0</v>
      </c>
      <c r="D56" s="752"/>
      <c r="E56" s="752" t="n">
        <f aca="false">E44+E50</f>
        <v>0</v>
      </c>
      <c r="F56" s="752" t="n">
        <f aca="false">F44+F50</f>
        <v>0</v>
      </c>
      <c r="G56" s="752" t="n">
        <f aca="false">G44+G50</f>
        <v>0</v>
      </c>
      <c r="H56" s="752" t="n">
        <f aca="false">H44+H50</f>
        <v>0</v>
      </c>
      <c r="I56" s="752" t="n">
        <f aca="false">I44+I50</f>
        <v>0</v>
      </c>
      <c r="J56" s="752" t="n">
        <f aca="false">J44+J50</f>
        <v>0</v>
      </c>
      <c r="K56" s="752" t="n">
        <f aca="false">K44+K50</f>
        <v>0</v>
      </c>
      <c r="L56" s="752" t="n">
        <f aca="false">L44+L50</f>
        <v>0</v>
      </c>
      <c r="M56" s="752" t="n">
        <f aca="false">M44+M50</f>
        <v>0</v>
      </c>
      <c r="N56" s="752" t="n">
        <f aca="false">N44+N50</f>
        <v>0</v>
      </c>
      <c r="O56" s="752" t="n">
        <f aca="false">O44+O50</f>
        <v>0</v>
      </c>
      <c r="P56" s="752" t="n">
        <f aca="false">P44+P50</f>
        <v>0</v>
      </c>
      <c r="Q56" s="752" t="n">
        <f aca="false">Q44+Q50</f>
        <v>0</v>
      </c>
      <c r="R56" s="752" t="n">
        <f aca="false">R44+R50</f>
        <v>0</v>
      </c>
      <c r="S56" s="752" t="n">
        <f aca="false">S44+S50</f>
        <v>0</v>
      </c>
      <c r="T56" s="752" t="n">
        <f aca="false">T44+T50</f>
        <v>0</v>
      </c>
      <c r="U56" s="752" t="n">
        <f aca="false">U44+U50</f>
        <v>0</v>
      </c>
      <c r="V56" s="752" t="n">
        <f aca="false">V44+V50</f>
        <v>0</v>
      </c>
      <c r="W56" s="752" t="n">
        <f aca="false">W44+W50</f>
        <v>0</v>
      </c>
      <c r="X56" s="752" t="n">
        <f aca="false">X44+X50</f>
        <v>0</v>
      </c>
      <c r="Y56" s="752" t="n">
        <f aca="false">Y44+Y50</f>
        <v>0</v>
      </c>
      <c r="Z56" s="752" t="n">
        <f aca="false">Z44+Z50</f>
        <v>0</v>
      </c>
      <c r="AA56" s="752" t="n">
        <f aca="false">AA44+AA50</f>
        <v>0</v>
      </c>
      <c r="AB56" s="752" t="n">
        <f aca="false">AB44+AB50</f>
        <v>0</v>
      </c>
      <c r="AC56" s="752" t="n">
        <f aca="false">AC44+AC50</f>
        <v>0</v>
      </c>
      <c r="AD56" s="752" t="n">
        <f aca="false">AD44+AD50</f>
        <v>0</v>
      </c>
      <c r="AE56" s="752" t="n">
        <f aca="false">AE44+AE50</f>
        <v>0</v>
      </c>
      <c r="AF56" s="752" t="n">
        <f aca="false">AF44+AF50</f>
        <v>0</v>
      </c>
      <c r="AG56" s="752" t="n">
        <f aca="false">AG44+AG50</f>
        <v>0</v>
      </c>
      <c r="AH56" s="752" t="n">
        <f aca="false">AH44+AH50</f>
        <v>0</v>
      </c>
      <c r="AI56" s="948" t="n">
        <f aca="false">AI44+AI50</f>
        <v>0</v>
      </c>
      <c r="AJ56" s="807"/>
      <c r="AK56" s="373"/>
      <c r="AL56" s="373"/>
      <c r="AM56" s="753"/>
      <c r="AN56" s="753"/>
      <c r="AO56" s="753"/>
      <c r="AP56" s="753"/>
    </row>
    <row r="57" customFormat="false" ht="12.75" hidden="false" customHeight="false" outlineLevel="0" collapsed="false">
      <c r="A57" s="751"/>
      <c r="B57" s="890" t="s">
        <v>592</v>
      </c>
      <c r="C57" s="752" t="n">
        <f aca="false">SUM(E57:AI57)</f>
        <v>0</v>
      </c>
      <c r="D57" s="752"/>
      <c r="E57" s="752" t="n">
        <f aca="false">E45+E51</f>
        <v>0</v>
      </c>
      <c r="F57" s="752" t="n">
        <f aca="false">F45+F51</f>
        <v>0</v>
      </c>
      <c r="G57" s="752" t="n">
        <f aca="false">G45+G51</f>
        <v>0</v>
      </c>
      <c r="H57" s="752" t="n">
        <f aca="false">H45+H51</f>
        <v>0</v>
      </c>
      <c r="I57" s="752" t="n">
        <f aca="false">I45+I51</f>
        <v>0</v>
      </c>
      <c r="J57" s="752" t="n">
        <f aca="false">J45+J51</f>
        <v>0</v>
      </c>
      <c r="K57" s="752" t="n">
        <f aca="false">K45+K51</f>
        <v>0</v>
      </c>
      <c r="L57" s="752" t="n">
        <f aca="false">L45+L51</f>
        <v>0</v>
      </c>
      <c r="M57" s="752" t="n">
        <f aca="false">M45+M51</f>
        <v>0</v>
      </c>
      <c r="N57" s="752" t="n">
        <f aca="false">N45+N51</f>
        <v>0</v>
      </c>
      <c r="O57" s="752" t="n">
        <f aca="false">O45+O51</f>
        <v>0</v>
      </c>
      <c r="P57" s="752" t="n">
        <f aca="false">P45+P51</f>
        <v>0</v>
      </c>
      <c r="Q57" s="752" t="n">
        <f aca="false">Q45+Q51</f>
        <v>0</v>
      </c>
      <c r="R57" s="752" t="n">
        <f aca="false">R45+R51</f>
        <v>0</v>
      </c>
      <c r="S57" s="752" t="n">
        <f aca="false">S45+S51</f>
        <v>0</v>
      </c>
      <c r="T57" s="752" t="n">
        <f aca="false">T45+T51</f>
        <v>0</v>
      </c>
      <c r="U57" s="752" t="n">
        <f aca="false">U45+U51</f>
        <v>0</v>
      </c>
      <c r="V57" s="752" t="n">
        <f aca="false">V45+V51</f>
        <v>0</v>
      </c>
      <c r="W57" s="752" t="n">
        <f aca="false">W45+W51</f>
        <v>0</v>
      </c>
      <c r="X57" s="752" t="n">
        <f aca="false">X45+X51</f>
        <v>0</v>
      </c>
      <c r="Y57" s="752" t="n">
        <f aca="false">Y45+Y51</f>
        <v>0</v>
      </c>
      <c r="Z57" s="752" t="n">
        <f aca="false">Z45+Z51</f>
        <v>0</v>
      </c>
      <c r="AA57" s="752" t="n">
        <f aca="false">AA45+AA51</f>
        <v>0</v>
      </c>
      <c r="AB57" s="752" t="n">
        <f aca="false">AB45+AB51</f>
        <v>0</v>
      </c>
      <c r="AC57" s="752" t="n">
        <f aca="false">AC45+AC51</f>
        <v>0</v>
      </c>
      <c r="AD57" s="752" t="n">
        <f aca="false">AD45+AD51</f>
        <v>0</v>
      </c>
      <c r="AE57" s="752" t="n">
        <f aca="false">AE45+AE51</f>
        <v>0</v>
      </c>
      <c r="AF57" s="752" t="n">
        <f aca="false">AF45+AF51</f>
        <v>0</v>
      </c>
      <c r="AG57" s="752" t="n">
        <f aca="false">AG45+AG51</f>
        <v>0</v>
      </c>
      <c r="AH57" s="752" t="n">
        <f aca="false">AH45+AH51</f>
        <v>0</v>
      </c>
      <c r="AI57" s="948" t="n">
        <f aca="false">AI45+AI51</f>
        <v>0</v>
      </c>
      <c r="AJ57" s="807"/>
      <c r="AK57" s="373"/>
      <c r="AL57" s="373"/>
      <c r="AM57" s="753"/>
      <c r="AN57" s="753"/>
      <c r="AO57" s="753"/>
      <c r="AP57" s="753"/>
    </row>
    <row r="58" customFormat="false" ht="13.5" hidden="false" customHeight="false" outlineLevel="0" collapsed="false">
      <c r="A58" s="751"/>
      <c r="B58" s="824" t="s">
        <v>593</v>
      </c>
      <c r="C58" s="1013"/>
      <c r="D58" s="883"/>
      <c r="E58" s="882" t="n">
        <f aca="false">E57+E56</f>
        <v>0</v>
      </c>
      <c r="F58" s="882" t="n">
        <f aca="false">F57+F56</f>
        <v>0</v>
      </c>
      <c r="G58" s="882" t="n">
        <f aca="false">G57+G56</f>
        <v>0</v>
      </c>
      <c r="H58" s="882" t="n">
        <f aca="false">H57+H56</f>
        <v>0</v>
      </c>
      <c r="I58" s="882" t="n">
        <f aca="false">I57+I56</f>
        <v>0</v>
      </c>
      <c r="J58" s="882" t="n">
        <f aca="false">J57+J56</f>
        <v>0</v>
      </c>
      <c r="K58" s="882" t="n">
        <f aca="false">K57+K56</f>
        <v>0</v>
      </c>
      <c r="L58" s="882" t="n">
        <f aca="false">L57+L56</f>
        <v>0</v>
      </c>
      <c r="M58" s="882" t="n">
        <f aca="false">M57+M56</f>
        <v>0</v>
      </c>
      <c r="N58" s="882" t="n">
        <f aca="false">N57+N56</f>
        <v>0</v>
      </c>
      <c r="O58" s="882" t="n">
        <f aca="false">O57+O56</f>
        <v>0</v>
      </c>
      <c r="P58" s="882" t="n">
        <f aca="false">P57+P56</f>
        <v>0</v>
      </c>
      <c r="Q58" s="882" t="n">
        <f aca="false">Q57+Q56</f>
        <v>0</v>
      </c>
      <c r="R58" s="882" t="n">
        <f aca="false">R57+R56</f>
        <v>0</v>
      </c>
      <c r="S58" s="882" t="n">
        <f aca="false">S57+S56</f>
        <v>0</v>
      </c>
      <c r="T58" s="882" t="n">
        <f aca="false">T57+T56</f>
        <v>0</v>
      </c>
      <c r="U58" s="882" t="n">
        <f aca="false">U57+U56</f>
        <v>0</v>
      </c>
      <c r="V58" s="882" t="n">
        <f aca="false">V57+V56</f>
        <v>0</v>
      </c>
      <c r="W58" s="882" t="n">
        <f aca="false">W57+W56</f>
        <v>0</v>
      </c>
      <c r="X58" s="882" t="n">
        <f aca="false">X57+X56</f>
        <v>0</v>
      </c>
      <c r="Y58" s="882" t="n">
        <f aca="false">Y57+Y56</f>
        <v>0</v>
      </c>
      <c r="Z58" s="882" t="n">
        <f aca="false">Z57+Z56</f>
        <v>0</v>
      </c>
      <c r="AA58" s="882" t="n">
        <f aca="false">AA57+AA56</f>
        <v>0</v>
      </c>
      <c r="AB58" s="882" t="n">
        <f aca="false">AB57+AB56</f>
        <v>0</v>
      </c>
      <c r="AC58" s="882" t="n">
        <f aca="false">AC57+AC56</f>
        <v>0</v>
      </c>
      <c r="AD58" s="882" t="n">
        <f aca="false">AD57+AD56</f>
        <v>0</v>
      </c>
      <c r="AE58" s="882" t="n">
        <f aca="false">AE57+AE56</f>
        <v>0</v>
      </c>
      <c r="AF58" s="882" t="n">
        <f aca="false">AF57+AF56</f>
        <v>0</v>
      </c>
      <c r="AG58" s="882" t="n">
        <f aca="false">AG57+AG56</f>
        <v>0</v>
      </c>
      <c r="AH58" s="882" t="n">
        <f aca="false">AH57+AH56</f>
        <v>0</v>
      </c>
      <c r="AI58" s="1014" t="n">
        <f aca="false">AI57+AI56</f>
        <v>0</v>
      </c>
      <c r="AJ58" s="827"/>
      <c r="AK58" s="755"/>
      <c r="AL58" s="755"/>
      <c r="AM58" s="755"/>
      <c r="AN58" s="755"/>
      <c r="AO58" s="755"/>
      <c r="AP58" s="755"/>
    </row>
    <row r="59" customFormat="false" ht="12.75" hidden="false" customHeight="false" outlineLevel="0" collapsed="false">
      <c r="A59" s="751"/>
      <c r="B59" s="905"/>
      <c r="C59" s="1015"/>
      <c r="D59" s="905"/>
      <c r="E59" s="905"/>
      <c r="F59" s="905"/>
      <c r="G59" s="905"/>
      <c r="H59" s="905"/>
      <c r="I59" s="905"/>
      <c r="J59" s="905"/>
      <c r="K59" s="905"/>
      <c r="L59" s="905"/>
      <c r="M59" s="905"/>
      <c r="N59" s="905"/>
      <c r="O59" s="905"/>
      <c r="P59" s="905"/>
      <c r="Q59" s="905"/>
      <c r="R59" s="905"/>
      <c r="S59" s="905"/>
      <c r="T59" s="905"/>
      <c r="U59" s="905"/>
      <c r="V59" s="905"/>
      <c r="W59" s="905"/>
      <c r="X59" s="905"/>
      <c r="Y59" s="905"/>
      <c r="Z59" s="905"/>
      <c r="AA59" s="905"/>
      <c r="AB59" s="905"/>
      <c r="AC59" s="905"/>
      <c r="AD59" s="905"/>
      <c r="AE59" s="905"/>
      <c r="AF59" s="905"/>
      <c r="AG59" s="905"/>
      <c r="AH59" s="905"/>
      <c r="AI59" s="905"/>
      <c r="AJ59" s="373"/>
      <c r="AK59" s="373"/>
      <c r="AL59" s="373"/>
      <c r="AM59" s="753"/>
      <c r="AN59" s="753"/>
      <c r="AO59" s="753"/>
      <c r="AP59" s="753"/>
    </row>
    <row r="60" customFormat="false" ht="12.75" hidden="false" customHeight="false" outlineLevel="0" collapsed="false">
      <c r="A60" s="751"/>
      <c r="B60" s="782" t="s">
        <v>587</v>
      </c>
      <c r="C60" s="1016"/>
      <c r="D60" s="782"/>
      <c r="E60" s="782" t="n">
        <f aca="false">IF(E43&gt;0.1,1,0)</f>
        <v>0</v>
      </c>
      <c r="F60" s="782" t="n">
        <f aca="false">IF(F43&gt;0.1,1,0)</f>
        <v>0</v>
      </c>
      <c r="G60" s="782" t="n">
        <f aca="false">IF(G43&gt;0.1,1,0)</f>
        <v>0</v>
      </c>
      <c r="H60" s="782" t="n">
        <f aca="false">IF(H43&gt;0.1,1,0)</f>
        <v>0</v>
      </c>
      <c r="I60" s="782" t="n">
        <f aca="false">IF(I43&gt;0.1,1,0)</f>
        <v>0</v>
      </c>
      <c r="J60" s="782" t="n">
        <f aca="false">IF(J43&gt;0.1,1,0)</f>
        <v>0</v>
      </c>
      <c r="K60" s="782" t="n">
        <f aca="false">IF(K43&gt;0.1,1,0)</f>
        <v>0</v>
      </c>
      <c r="L60" s="782" t="n">
        <f aca="false">IF(L43&gt;0.1,1,0)</f>
        <v>0</v>
      </c>
      <c r="M60" s="782" t="n">
        <f aca="false">IF(M43&gt;0.1,1,0)</f>
        <v>0</v>
      </c>
      <c r="N60" s="782" t="n">
        <f aca="false">IF(N43&gt;0.1,1,0)</f>
        <v>0</v>
      </c>
      <c r="O60" s="782" t="n">
        <f aca="false">IF(O43&gt;0.1,1,0)</f>
        <v>0</v>
      </c>
      <c r="P60" s="782" t="n">
        <f aca="false">IF(P43&gt;0.1,1,0)</f>
        <v>0</v>
      </c>
      <c r="Q60" s="782" t="n">
        <f aca="false">IF(Q43&gt;0.1,1,0)</f>
        <v>0</v>
      </c>
      <c r="R60" s="782" t="n">
        <f aca="false">IF(R43&gt;0.1,1,0)</f>
        <v>0</v>
      </c>
      <c r="S60" s="782" t="n">
        <f aca="false">IF(S43&gt;0.1,1,0)</f>
        <v>0</v>
      </c>
      <c r="T60" s="782" t="n">
        <f aca="false">IF(T43&gt;0.1,1,0)</f>
        <v>0</v>
      </c>
      <c r="U60" s="782" t="n">
        <f aca="false">IF(U43&gt;0.1,1,0)</f>
        <v>0</v>
      </c>
      <c r="V60" s="782" t="n">
        <f aca="false">IF(V43&gt;0.1,1,0)</f>
        <v>0</v>
      </c>
      <c r="W60" s="782" t="n">
        <f aca="false">IF(W43&gt;0.1,1,0)</f>
        <v>0</v>
      </c>
      <c r="X60" s="782" t="n">
        <f aca="false">IF(X43&gt;0.1,1,0)</f>
        <v>0</v>
      </c>
      <c r="Y60" s="782" t="n">
        <f aca="false">IF(Y43&gt;0.1,1,0)</f>
        <v>0</v>
      </c>
      <c r="Z60" s="782" t="n">
        <f aca="false">IF(Z43&gt;0.1,1,0)</f>
        <v>0</v>
      </c>
      <c r="AA60" s="782" t="n">
        <f aca="false">IF(AA43&gt;0.1,1,0)</f>
        <v>0</v>
      </c>
      <c r="AB60" s="782" t="n">
        <f aca="false">IF(AB43&gt;0.1,1,0)</f>
        <v>0</v>
      </c>
      <c r="AC60" s="782" t="n">
        <f aca="false">IF(AC43&gt;0.1,1,0)</f>
        <v>0</v>
      </c>
      <c r="AD60" s="782" t="n">
        <f aca="false">IF(AD43&gt;0.1,1,0)</f>
        <v>0</v>
      </c>
      <c r="AE60" s="782" t="n">
        <f aca="false">IF(AE43&gt;0.1,1,0)</f>
        <v>0</v>
      </c>
      <c r="AF60" s="782" t="n">
        <f aca="false">IF(AF43&gt;0.1,1,0)</f>
        <v>0</v>
      </c>
      <c r="AG60" s="782" t="n">
        <f aca="false">IF(AG43&gt;0.1,1,0)</f>
        <v>0</v>
      </c>
      <c r="AH60" s="782" t="n">
        <f aca="false">IF(AH43&gt;0.1,1,0)</f>
        <v>0</v>
      </c>
      <c r="AI60" s="782" t="n">
        <f aca="false">IF(AI43&gt;0.1,1,0)</f>
        <v>0</v>
      </c>
      <c r="AJ60" s="782"/>
      <c r="AK60" s="782"/>
      <c r="AL60" s="782"/>
      <c r="AM60" s="782"/>
      <c r="AN60" s="782"/>
      <c r="AO60" s="782"/>
      <c r="AP60" s="782"/>
    </row>
    <row r="61" customFormat="false" ht="12.75" hidden="false" customHeight="false" outlineLevel="0" collapsed="false">
      <c r="A61" s="751"/>
      <c r="B61" s="782" t="s">
        <v>588</v>
      </c>
      <c r="C61" s="1016"/>
      <c r="D61" s="782"/>
      <c r="E61" s="782" t="n">
        <f aca="false">IF(E49&gt;0.1,1,0)</f>
        <v>0</v>
      </c>
      <c r="F61" s="782" t="n">
        <f aca="false">IF(F49&gt;0.1,1,0)</f>
        <v>0</v>
      </c>
      <c r="G61" s="782" t="n">
        <f aca="false">IF(G49&gt;0.1,1,0)</f>
        <v>0</v>
      </c>
      <c r="H61" s="782" t="n">
        <f aca="false">IF(H49&gt;0.1,1,0)</f>
        <v>0</v>
      </c>
      <c r="I61" s="782" t="n">
        <f aca="false">IF(I49&gt;0.1,1,0)</f>
        <v>0</v>
      </c>
      <c r="J61" s="782" t="n">
        <f aca="false">IF(J49&gt;0.1,1,0)</f>
        <v>0</v>
      </c>
      <c r="K61" s="782" t="n">
        <f aca="false">IF(K49&gt;0.1,1,0)</f>
        <v>0</v>
      </c>
      <c r="L61" s="782" t="n">
        <f aca="false">IF(L49&gt;0.1,1,0)</f>
        <v>0</v>
      </c>
      <c r="M61" s="782" t="n">
        <f aca="false">IF(M49&gt;0.1,1,0)</f>
        <v>0</v>
      </c>
      <c r="N61" s="782" t="n">
        <f aca="false">IF(N49&gt;0.1,1,0)</f>
        <v>0</v>
      </c>
      <c r="O61" s="782" t="n">
        <f aca="false">IF(O49&gt;0.1,1,0)</f>
        <v>0</v>
      </c>
      <c r="P61" s="782" t="n">
        <f aca="false">IF(P49&gt;0.1,1,0)</f>
        <v>0</v>
      </c>
      <c r="Q61" s="782" t="n">
        <f aca="false">IF(Q49&gt;0.1,1,0)</f>
        <v>0</v>
      </c>
      <c r="R61" s="782" t="n">
        <f aca="false">IF(R49&gt;0.1,1,0)</f>
        <v>0</v>
      </c>
      <c r="S61" s="782" t="n">
        <f aca="false">IF(S49&gt;0.1,1,0)</f>
        <v>0</v>
      </c>
      <c r="T61" s="782" t="n">
        <f aca="false">IF(T49&gt;0.1,1,0)</f>
        <v>0</v>
      </c>
      <c r="U61" s="782" t="n">
        <f aca="false">IF(U49&gt;0.1,1,0)</f>
        <v>0</v>
      </c>
      <c r="V61" s="782" t="n">
        <f aca="false">IF(V49&gt;0.1,1,0)</f>
        <v>0</v>
      </c>
      <c r="W61" s="782" t="n">
        <f aca="false">IF(W49&gt;0.1,1,0)</f>
        <v>0</v>
      </c>
      <c r="X61" s="782" t="n">
        <f aca="false">IF(X49&gt;0.1,1,0)</f>
        <v>0</v>
      </c>
      <c r="Y61" s="782" t="n">
        <f aca="false">IF(Y49&gt;0.1,1,0)</f>
        <v>0</v>
      </c>
      <c r="Z61" s="782" t="n">
        <f aca="false">IF(Z49&gt;0.1,1,0)</f>
        <v>0</v>
      </c>
      <c r="AA61" s="782" t="n">
        <f aca="false">IF(AA49&gt;0.1,1,0)</f>
        <v>0</v>
      </c>
      <c r="AB61" s="782" t="n">
        <f aca="false">IF(AB49&gt;0.1,1,0)</f>
        <v>0</v>
      </c>
      <c r="AC61" s="782" t="n">
        <f aca="false">IF(AC49&gt;0.1,1,0)</f>
        <v>0</v>
      </c>
      <c r="AD61" s="782" t="n">
        <f aca="false">IF(AD49&gt;0.1,1,0)</f>
        <v>0</v>
      </c>
      <c r="AE61" s="782" t="n">
        <f aca="false">IF(AE49&gt;0.1,1,0)</f>
        <v>0</v>
      </c>
      <c r="AF61" s="782" t="n">
        <f aca="false">IF(AF49&gt;0.1,1,0)</f>
        <v>0</v>
      </c>
      <c r="AG61" s="782" t="n">
        <f aca="false">IF(AG49&gt;0.1,1,0)</f>
        <v>0</v>
      </c>
      <c r="AH61" s="782" t="n">
        <f aca="false">IF(AH49&gt;0.1,1,0)</f>
        <v>0</v>
      </c>
      <c r="AI61" s="782" t="n">
        <f aca="false">IF(AI49&gt;0.1,1,0)</f>
        <v>0</v>
      </c>
      <c r="AJ61" s="782"/>
      <c r="AK61" s="782"/>
      <c r="AL61" s="782"/>
      <c r="AM61" s="782"/>
      <c r="AN61" s="782"/>
      <c r="AO61" s="782"/>
      <c r="AP61" s="782"/>
    </row>
    <row r="62" customFormat="false" ht="12.75" hidden="false" customHeight="false" outlineLevel="0" collapsed="false">
      <c r="A62" s="751"/>
      <c r="B62" s="782" t="s">
        <v>589</v>
      </c>
      <c r="C62" s="1016"/>
      <c r="D62" s="782"/>
      <c r="E62" s="782" t="e">
        <f aca="false">SUM(E49:AI49)/E49</f>
        <v>#DIV/0!</v>
      </c>
      <c r="F62" s="373"/>
      <c r="G62" s="1017"/>
      <c r="H62" s="782"/>
      <c r="I62" s="373"/>
      <c r="J62" s="373"/>
      <c r="K62" s="373"/>
      <c r="L62" s="373"/>
      <c r="M62" s="373"/>
      <c r="N62" s="373"/>
      <c r="O62" s="373"/>
      <c r="P62" s="373"/>
      <c r="Q62" s="373"/>
      <c r="R62" s="373"/>
      <c r="S62" s="373"/>
      <c r="T62" s="373"/>
      <c r="U62" s="373"/>
      <c r="V62" s="373"/>
      <c r="W62" s="373"/>
      <c r="X62" s="373"/>
      <c r="Y62" s="373"/>
      <c r="Z62" s="373"/>
      <c r="AA62" s="373"/>
      <c r="AB62" s="373"/>
      <c r="AC62" s="373"/>
      <c r="AD62" s="373"/>
      <c r="AE62" s="373"/>
      <c r="AF62" s="373"/>
      <c r="AG62" s="373"/>
      <c r="AH62" s="373"/>
      <c r="AI62" s="373"/>
      <c r="AJ62" s="373"/>
      <c r="AK62" s="373"/>
      <c r="AL62" s="373"/>
      <c r="AM62" s="753"/>
      <c r="AN62" s="753"/>
      <c r="AO62" s="753"/>
      <c r="AP62" s="753"/>
    </row>
    <row r="63" customFormat="false" ht="12.75" hidden="false" customHeight="false" outlineLevel="0" collapsed="false">
      <c r="A63" s="751"/>
      <c r="B63" s="782"/>
      <c r="C63" s="1016"/>
      <c r="D63" s="782"/>
      <c r="E63" s="782"/>
      <c r="F63" s="373"/>
      <c r="G63" s="1017"/>
      <c r="H63" s="782"/>
      <c r="I63" s="373"/>
      <c r="J63" s="373"/>
      <c r="K63" s="373"/>
      <c r="L63" s="373"/>
      <c r="M63" s="373"/>
      <c r="N63" s="373"/>
      <c r="O63" s="373"/>
      <c r="P63" s="373"/>
      <c r="Q63" s="373"/>
      <c r="R63" s="373"/>
      <c r="S63" s="373"/>
      <c r="T63" s="373"/>
      <c r="U63" s="373"/>
      <c r="V63" s="373"/>
      <c r="W63" s="373"/>
      <c r="X63" s="373"/>
      <c r="Y63" s="373"/>
      <c r="Z63" s="373"/>
      <c r="AA63" s="373"/>
      <c r="AB63" s="373"/>
      <c r="AC63" s="373"/>
      <c r="AD63" s="373"/>
      <c r="AE63" s="373"/>
      <c r="AF63" s="373"/>
      <c r="AG63" s="373"/>
      <c r="AH63" s="373"/>
      <c r="AI63" s="373"/>
      <c r="AJ63" s="373"/>
      <c r="AK63" s="373"/>
      <c r="AL63" s="373"/>
      <c r="AM63" s="753"/>
      <c r="AN63" s="753"/>
      <c r="AO63" s="753"/>
      <c r="AP63" s="753"/>
    </row>
    <row r="64" customFormat="false" ht="12.75" hidden="false" customHeight="false" outlineLevel="0" collapsed="false">
      <c r="A64" s="751"/>
      <c r="B64" s="782" t="s">
        <v>627</v>
      </c>
      <c r="C64" s="782"/>
      <c r="D64" s="830" t="n">
        <f aca="false">1-E64</f>
        <v>1</v>
      </c>
      <c r="E64" s="830" t="n">
        <f aca="false">IF(E42=0,0,IF(YEAR(E47)=YEAR(E67),1,ROUND(((E67-E41)/E42),2)))</f>
        <v>0</v>
      </c>
      <c r="F64" s="373"/>
      <c r="G64" s="1017"/>
      <c r="H64" s="782"/>
      <c r="I64" s="373"/>
      <c r="J64" s="373"/>
      <c r="K64" s="373"/>
      <c r="L64" s="373"/>
      <c r="M64" s="373"/>
      <c r="N64" s="373"/>
      <c r="O64" s="373"/>
      <c r="P64" s="373"/>
      <c r="Q64" s="373"/>
      <c r="R64" s="373"/>
      <c r="S64" s="373"/>
      <c r="T64" s="373"/>
      <c r="U64" s="373"/>
      <c r="V64" s="373"/>
      <c r="W64" s="373"/>
      <c r="X64" s="373"/>
      <c r="Y64" s="373"/>
      <c r="Z64" s="373"/>
      <c r="AA64" s="373"/>
      <c r="AB64" s="373"/>
      <c r="AC64" s="373"/>
      <c r="AD64" s="373"/>
      <c r="AE64" s="373"/>
      <c r="AF64" s="373"/>
      <c r="AG64" s="373"/>
      <c r="AH64" s="373"/>
      <c r="AI64" s="373"/>
      <c r="AJ64" s="373"/>
      <c r="AK64" s="373"/>
      <c r="AL64" s="373"/>
      <c r="AM64" s="753"/>
      <c r="AN64" s="753"/>
      <c r="AO64" s="753"/>
      <c r="AP64" s="753"/>
    </row>
    <row r="65" customFormat="false" ht="12.75" hidden="false" customHeight="false" outlineLevel="0" collapsed="false">
      <c r="A65" s="751"/>
      <c r="B65" s="782"/>
      <c r="C65" s="782"/>
      <c r="D65" s="830" t="n">
        <f aca="false">1-E65</f>
        <v>0.00273972602739725</v>
      </c>
      <c r="E65" s="830" t="n">
        <f aca="false">IF(Assum!$E$290=1,(1-(ABS(E67-E53)/E48)),IF(YEAR(E53)=YEAR(E67),1,IF(F67-F47&lt;0,0,ROUND(((E67-E47)/E48),2))))</f>
        <v>0.997260273972603</v>
      </c>
      <c r="F65" s="830"/>
      <c r="G65" s="1017"/>
      <c r="H65" s="782"/>
      <c r="I65" s="373"/>
      <c r="J65" s="373"/>
      <c r="K65" s="373"/>
      <c r="L65" s="373"/>
      <c r="M65" s="373"/>
      <c r="N65" s="373"/>
      <c r="O65" s="373"/>
      <c r="P65" s="373"/>
      <c r="Q65" s="373"/>
      <c r="R65" s="373"/>
      <c r="S65" s="373"/>
      <c r="T65" s="373"/>
      <c r="U65" s="373"/>
      <c r="V65" s="373"/>
      <c r="W65" s="373"/>
      <c r="X65" s="373"/>
      <c r="Y65" s="373"/>
      <c r="Z65" s="373"/>
      <c r="AA65" s="373"/>
      <c r="AB65" s="373"/>
      <c r="AC65" s="373"/>
      <c r="AD65" s="373"/>
      <c r="AE65" s="373"/>
      <c r="AF65" s="373"/>
      <c r="AG65" s="373"/>
      <c r="AH65" s="373"/>
      <c r="AI65" s="373"/>
      <c r="AJ65" s="373"/>
      <c r="AK65" s="373"/>
      <c r="AL65" s="373"/>
      <c r="AM65" s="753"/>
      <c r="AN65" s="753"/>
      <c r="AO65" s="753"/>
      <c r="AP65" s="753"/>
    </row>
    <row r="66" customFormat="false" ht="13.5" hidden="false" customHeight="false" outlineLevel="0" collapsed="false">
      <c r="A66" s="751"/>
      <c r="B66" s="782"/>
      <c r="C66" s="1016"/>
      <c r="D66" s="830"/>
      <c r="E66" s="830"/>
      <c r="F66" s="830"/>
      <c r="G66" s="1017"/>
      <c r="H66" s="782"/>
      <c r="I66" s="373"/>
      <c r="J66" s="373"/>
      <c r="K66" s="373"/>
      <c r="L66" s="373"/>
      <c r="M66" s="373"/>
      <c r="N66" s="373"/>
      <c r="O66" s="373"/>
      <c r="P66" s="373"/>
      <c r="Q66" s="373"/>
      <c r="R66" s="373"/>
      <c r="S66" s="373"/>
      <c r="T66" s="373"/>
      <c r="U66" s="373"/>
      <c r="V66" s="373"/>
      <c r="W66" s="373"/>
      <c r="X66" s="373"/>
      <c r="Y66" s="373"/>
      <c r="Z66" s="373"/>
      <c r="AA66" s="373"/>
      <c r="AB66" s="373"/>
      <c r="AC66" s="373"/>
      <c r="AD66" s="373"/>
      <c r="AE66" s="373"/>
      <c r="AF66" s="373"/>
      <c r="AG66" s="373"/>
      <c r="AH66" s="373"/>
      <c r="AI66" s="373"/>
      <c r="AJ66" s="373"/>
      <c r="AK66" s="373"/>
      <c r="AL66" s="373"/>
      <c r="AM66" s="753"/>
      <c r="AN66" s="753"/>
      <c r="AO66" s="753"/>
      <c r="AP66" s="753"/>
    </row>
    <row r="67" customFormat="false" ht="13.5" hidden="false" customHeight="false" outlineLevel="0" collapsed="false">
      <c r="B67" s="915" t="s">
        <v>628</v>
      </c>
      <c r="C67" s="1018"/>
      <c r="D67" s="1019"/>
      <c r="E67" s="1020" t="n">
        <f aca="false">Assum!F25</f>
        <v>36159</v>
      </c>
      <c r="F67" s="1020" t="n">
        <f aca="false">EDATE(E67,12)</f>
        <v>36524</v>
      </c>
      <c r="G67" s="1020" t="n">
        <f aca="false">EDATE(F67,12)</f>
        <v>36890</v>
      </c>
      <c r="H67" s="1020" t="n">
        <f aca="false">EDATE(G67,12)</f>
        <v>37255</v>
      </c>
      <c r="I67" s="1020" t="n">
        <f aca="false">EDATE(H67,12)</f>
        <v>37620</v>
      </c>
      <c r="J67" s="1020" t="n">
        <f aca="false">EDATE(I67,12)</f>
        <v>37985</v>
      </c>
      <c r="K67" s="1020" t="n">
        <f aca="false">EDATE(J67,12)</f>
        <v>38351</v>
      </c>
      <c r="L67" s="1020" t="n">
        <f aca="false">EDATE(K67,12)</f>
        <v>38716</v>
      </c>
      <c r="M67" s="1020" t="n">
        <f aca="false">EDATE(L67,12)</f>
        <v>39081</v>
      </c>
      <c r="N67" s="1020" t="n">
        <f aca="false">EDATE(M67,12)</f>
        <v>39446</v>
      </c>
      <c r="O67" s="1020" t="n">
        <f aca="false">EDATE(N67,12)</f>
        <v>39812</v>
      </c>
      <c r="P67" s="1020" t="n">
        <f aca="false">EDATE(O67,12)</f>
        <v>40177</v>
      </c>
      <c r="Q67" s="1020" t="n">
        <f aca="false">EDATE(P67,12)</f>
        <v>40542</v>
      </c>
      <c r="R67" s="1020" t="n">
        <f aca="false">EDATE(Q67,12)</f>
        <v>40907</v>
      </c>
      <c r="S67" s="1020" t="n">
        <f aca="false">EDATE(R67,12)</f>
        <v>41273</v>
      </c>
      <c r="T67" s="1020" t="n">
        <f aca="false">EDATE(S67,12)</f>
        <v>41638</v>
      </c>
      <c r="U67" s="1020" t="n">
        <f aca="false">EDATE(T67,12)</f>
        <v>42003</v>
      </c>
      <c r="V67" s="1020" t="n">
        <f aca="false">EDATE(U67,12)</f>
        <v>42368</v>
      </c>
      <c r="W67" s="1020" t="n">
        <f aca="false">EDATE(V67,12)</f>
        <v>42734</v>
      </c>
      <c r="X67" s="1020" t="n">
        <f aca="false">EDATE(W67,12)</f>
        <v>43099</v>
      </c>
      <c r="Y67" s="1020" t="n">
        <f aca="false">EDATE(X67,12)</f>
        <v>43464</v>
      </c>
      <c r="Z67" s="1020" t="n">
        <f aca="false">EDATE(Y67,12)</f>
        <v>43829</v>
      </c>
      <c r="AA67" s="1020" t="n">
        <f aca="false">EDATE(Z67,12)</f>
        <v>44195</v>
      </c>
      <c r="AB67" s="1020" t="n">
        <f aca="false">EDATE(AA67,12)</f>
        <v>44560</v>
      </c>
      <c r="AC67" s="1020" t="n">
        <f aca="false">EDATE(AB67,12)</f>
        <v>44925</v>
      </c>
      <c r="AD67" s="1020" t="n">
        <f aca="false">EDATE(AC67,12)</f>
        <v>45290</v>
      </c>
      <c r="AE67" s="1020" t="n">
        <f aca="false">EDATE(AD67,12)</f>
        <v>45656</v>
      </c>
      <c r="AF67" s="1020" t="n">
        <f aca="false">EDATE(AE67,12)</f>
        <v>46021</v>
      </c>
      <c r="AG67" s="1020" t="n">
        <f aca="false">EDATE(AF67,12)</f>
        <v>46386</v>
      </c>
      <c r="AH67" s="1020" t="n">
        <f aca="false">EDATE(AG67,12)</f>
        <v>46751</v>
      </c>
      <c r="AI67" s="1020" t="n">
        <f aca="false">EDATE(AH67,12)</f>
        <v>47117</v>
      </c>
      <c r="AJ67" s="1021" t="n">
        <f aca="false">EDATE(AI67,12)</f>
        <v>47482</v>
      </c>
    </row>
    <row r="68" customFormat="false" ht="12.75" hidden="false" customHeight="false" outlineLevel="0" collapsed="false">
      <c r="B68" s="1022" t="s">
        <v>557</v>
      </c>
      <c r="C68" s="1023"/>
      <c r="D68" s="1023" t="n">
        <f aca="false">D43</f>
        <v>0</v>
      </c>
      <c r="E68" s="1023" t="n">
        <f aca="false">C57</f>
        <v>0</v>
      </c>
      <c r="F68" s="1023" t="n">
        <f aca="false">E71</f>
        <v>0</v>
      </c>
      <c r="G68" s="1023" t="n">
        <f aca="false">F71</f>
        <v>0</v>
      </c>
      <c r="H68" s="1023" t="n">
        <f aca="false">G71</f>
        <v>0</v>
      </c>
      <c r="I68" s="1023" t="n">
        <f aca="false">H71</f>
        <v>0</v>
      </c>
      <c r="J68" s="1023" t="n">
        <f aca="false">I71</f>
        <v>0</v>
      </c>
      <c r="K68" s="1023" t="n">
        <f aca="false">J71</f>
        <v>0</v>
      </c>
      <c r="L68" s="1023" t="n">
        <f aca="false">K71</f>
        <v>0</v>
      </c>
      <c r="M68" s="1023" t="n">
        <f aca="false">L71</f>
        <v>0</v>
      </c>
      <c r="N68" s="1023" t="n">
        <f aca="false">M71</f>
        <v>0</v>
      </c>
      <c r="O68" s="1023" t="n">
        <f aca="false">N71</f>
        <v>0</v>
      </c>
      <c r="P68" s="1023" t="n">
        <f aca="false">O71</f>
        <v>0</v>
      </c>
      <c r="Q68" s="1023" t="n">
        <f aca="false">P71</f>
        <v>0</v>
      </c>
      <c r="R68" s="1023" t="n">
        <f aca="false">Q71</f>
        <v>0</v>
      </c>
      <c r="S68" s="1023" t="n">
        <f aca="false">R71</f>
        <v>0</v>
      </c>
      <c r="T68" s="1023" t="n">
        <f aca="false">S71</f>
        <v>0</v>
      </c>
      <c r="U68" s="1023" t="n">
        <f aca="false">T71</f>
        <v>0</v>
      </c>
      <c r="V68" s="1023" t="n">
        <f aca="false">U71</f>
        <v>0</v>
      </c>
      <c r="W68" s="1023" t="n">
        <f aca="false">V71</f>
        <v>0</v>
      </c>
      <c r="X68" s="1023" t="n">
        <f aca="false">W71</f>
        <v>0</v>
      </c>
      <c r="Y68" s="1023" t="n">
        <f aca="false">X71</f>
        <v>0</v>
      </c>
      <c r="Z68" s="1023" t="n">
        <f aca="false">Y71</f>
        <v>0</v>
      </c>
      <c r="AA68" s="1023" t="n">
        <f aca="false">Z71</f>
        <v>0</v>
      </c>
      <c r="AB68" s="1023" t="n">
        <f aca="false">AA71</f>
        <v>0</v>
      </c>
      <c r="AC68" s="1023" t="n">
        <f aca="false">AB71</f>
        <v>0</v>
      </c>
      <c r="AD68" s="1023" t="n">
        <f aca="false">AC71</f>
        <v>0</v>
      </c>
      <c r="AE68" s="1023" t="n">
        <f aca="false">AD71</f>
        <v>0</v>
      </c>
      <c r="AF68" s="1023" t="n">
        <f aca="false">AE71</f>
        <v>0</v>
      </c>
      <c r="AG68" s="1023" t="n">
        <f aca="false">AF71</f>
        <v>0</v>
      </c>
      <c r="AH68" s="1023" t="n">
        <f aca="false">AG71</f>
        <v>0</v>
      </c>
      <c r="AI68" s="1023" t="n">
        <f aca="false">AH71</f>
        <v>0</v>
      </c>
      <c r="AJ68" s="1024" t="n">
        <f aca="false">AJ43</f>
        <v>0</v>
      </c>
    </row>
    <row r="69" customFormat="false" ht="12.75" hidden="false" customHeight="false" outlineLevel="0" collapsed="false">
      <c r="B69" s="890" t="s">
        <v>601</v>
      </c>
      <c r="C69" s="752" t="n">
        <f aca="false">SUM(E69:AI69)</f>
        <v>0</v>
      </c>
      <c r="D69" s="752" t="n">
        <f aca="false">$D$43*C44+$D$44*C50+$E$43*D44+$E$44*D50</f>
        <v>0</v>
      </c>
      <c r="E69" s="752" t="n">
        <f aca="false">$D$64*D44+$D$65*D50+$E$64*E44+$E$65*E50</f>
        <v>0</v>
      </c>
      <c r="F69" s="752" t="n">
        <f aca="false">$D$64*E44+$D$65*E50+$E$64*F44+$E$65*F50</f>
        <v>0</v>
      </c>
      <c r="G69" s="752" t="n">
        <f aca="false">$D$64*F44+$D$65*F50+$E$64*G44+$E$65*G50</f>
        <v>0</v>
      </c>
      <c r="H69" s="752" t="n">
        <f aca="false">$D$64*G44+$D$65*G50+$E$64*H44+$E$65*H50</f>
        <v>0</v>
      </c>
      <c r="I69" s="752" t="n">
        <f aca="false">$D$64*H44+$D$65*H50+$E$64*I44+$E$65*I50</f>
        <v>0</v>
      </c>
      <c r="J69" s="752" t="n">
        <f aca="false">$D$64*I44+$D$65*I50+$E$64*J44+$E$65*J50</f>
        <v>0</v>
      </c>
      <c r="K69" s="752" t="n">
        <f aca="false">$D$64*J44+$D$65*J50+$E$64*K44+$E$65*K50</f>
        <v>0</v>
      </c>
      <c r="L69" s="752" t="n">
        <f aca="false">$D$64*K44+$D$65*K50+$E$64*L44+$E$65*L50</f>
        <v>0</v>
      </c>
      <c r="M69" s="752" t="n">
        <f aca="false">$D$64*L44+$D$65*L50+$E$64*M44+$E$65*M50</f>
        <v>0</v>
      </c>
      <c r="N69" s="752" t="n">
        <f aca="false">$D$64*M44+$D$65*M50+$E$64*N44+$E$65*N50</f>
        <v>0</v>
      </c>
      <c r="O69" s="752" t="n">
        <f aca="false">$D$64*N44+$D$65*N50+$E$64*O44+$E$65*O50</f>
        <v>0</v>
      </c>
      <c r="P69" s="752" t="n">
        <f aca="false">$D$64*O44+$D$65*O50+$E$64*P44+$E$65*P50</f>
        <v>0</v>
      </c>
      <c r="Q69" s="752" t="n">
        <f aca="false">$D$64*P44+$D$65*P50+$E$64*Q44+$E$65*Q50</f>
        <v>0</v>
      </c>
      <c r="R69" s="752" t="n">
        <f aca="false">$D$64*Q44+$D$65*Q50+$E$64*R44+$E$65*R50</f>
        <v>0</v>
      </c>
      <c r="S69" s="752" t="n">
        <f aca="false">$D$64*R44+$D$65*R50+$E$64*S44+$E$65*S50</f>
        <v>0</v>
      </c>
      <c r="T69" s="752" t="n">
        <f aca="false">$D$64*S44+$D$65*S50+$E$64*T44+$E$65*T50</f>
        <v>0</v>
      </c>
      <c r="U69" s="752" t="n">
        <f aca="false">$D$64*T44+$D$65*T50+$E$64*U44+$E$65*U50</f>
        <v>0</v>
      </c>
      <c r="V69" s="752" t="n">
        <f aca="false">$D$64*U44+$D$65*U50+$E$64*V44+$E$65*V50</f>
        <v>0</v>
      </c>
      <c r="W69" s="752" t="n">
        <f aca="false">$D$64*V44+$D$65*V50+$E$64*W44+$E$65*W50</f>
        <v>0</v>
      </c>
      <c r="X69" s="752" t="n">
        <f aca="false">$D$64*W44+$D$65*W50+$E$64*X44+$E$65*X50</f>
        <v>0</v>
      </c>
      <c r="Y69" s="752" t="n">
        <f aca="false">$D$64*X44+$D$65*X50+$E$64*Y44+$E$65*Y50</f>
        <v>0</v>
      </c>
      <c r="Z69" s="752" t="n">
        <f aca="false">$D$64*Y44+$D$65*Y50+$E$64*Z44+$E$65*Z50</f>
        <v>0</v>
      </c>
      <c r="AA69" s="752" t="n">
        <f aca="false">$D$64*Z44+$D$65*Z50+$E$64*AA44+$E$65*AA50</f>
        <v>0</v>
      </c>
      <c r="AB69" s="752" t="n">
        <f aca="false">$D$64*AA44+$D$65*AA50+$E$64*AB44+$E$65*AB50</f>
        <v>0</v>
      </c>
      <c r="AC69" s="752" t="n">
        <f aca="false">$D$64*AB44+$D$65*AB50+$E$64*AC44+$E$65*AC50</f>
        <v>0</v>
      </c>
      <c r="AD69" s="752" t="n">
        <f aca="false">$D$64*AC44+$D$65*AC50+$E$64*AD44+$E$65*AD50</f>
        <v>0</v>
      </c>
      <c r="AE69" s="752" t="n">
        <f aca="false">$D$64*AD44+$D$65*AD50+$E$64*AE44+$E$65*AE50</f>
        <v>0</v>
      </c>
      <c r="AF69" s="752" t="n">
        <f aca="false">$D$64*AE44+$D$65*AE50+$E$64*AF44+$E$65*AF50</f>
        <v>0</v>
      </c>
      <c r="AG69" s="752" t="n">
        <f aca="false">$D$64*AF44+$D$65*AF50+$E$64*AG44+$E$65*AG50</f>
        <v>0</v>
      </c>
      <c r="AH69" s="752" t="n">
        <f aca="false">$D$64*AG44+$D$65*AG50+$E$64*AH44+$E$65*AH50</f>
        <v>0</v>
      </c>
      <c r="AI69" s="752" t="n">
        <f aca="false">$D$64*AH44+$D$65*AH50+$E$64*AI44+$E$65*AI50</f>
        <v>0</v>
      </c>
      <c r="AJ69" s="901" t="n">
        <f aca="false">$D$64*AI44+$D$65*AI50+$E$64*AJ44+$E$65*AJ50</f>
        <v>0</v>
      </c>
    </row>
    <row r="70" customFormat="false" ht="12.75" hidden="false" customHeight="false" outlineLevel="0" collapsed="false">
      <c r="B70" s="805" t="s">
        <v>602</v>
      </c>
      <c r="C70" s="752" t="n">
        <f aca="false">SUM(E70:AI70)</f>
        <v>0</v>
      </c>
      <c r="D70" s="752" t="n">
        <f aca="false">$D$43*C45+$D$44*C51+$E$43*D45+$E$44*D51</f>
        <v>0</v>
      </c>
      <c r="E70" s="752" t="n">
        <f aca="false">$D$64*D45+$D$65*D51+$E$64*E45+$E$65*E51</f>
        <v>0</v>
      </c>
      <c r="F70" s="752" t="n">
        <f aca="false">$D$64*E45+$D$65*E51+$E$64*F45+$E$65*F51</f>
        <v>0</v>
      </c>
      <c r="G70" s="752" t="n">
        <f aca="false">$D$64*F45+$D$65*F51+$E$64*G45+$E$65*G51</f>
        <v>0</v>
      </c>
      <c r="H70" s="752" t="n">
        <f aca="false">$D$64*G45+$D$65*G51+$E$64*H45+$E$65*H51</f>
        <v>0</v>
      </c>
      <c r="I70" s="752" t="n">
        <f aca="false">$D$64*H45+$D$65*H51+$E$64*I45+$E$65*I51</f>
        <v>0</v>
      </c>
      <c r="J70" s="752" t="n">
        <f aca="false">$D$64*I45+$D$65*I51+$E$64*J45+$E$65*J51</f>
        <v>0</v>
      </c>
      <c r="K70" s="752" t="n">
        <f aca="false">$D$64*J45+$D$65*J51+$E$64*K45+$E$65*K51</f>
        <v>0</v>
      </c>
      <c r="L70" s="752" t="n">
        <f aca="false">$D$64*K45+$D$65*K51+$E$64*L45+$E$65*L51</f>
        <v>0</v>
      </c>
      <c r="M70" s="752" t="n">
        <f aca="false">$D$64*L45+$D$65*L51+$E$64*M45+$E$65*M51</f>
        <v>0</v>
      </c>
      <c r="N70" s="752" t="n">
        <f aca="false">$D$64*M45+$D$65*M51+$E$64*N45+$E$65*N51</f>
        <v>0</v>
      </c>
      <c r="O70" s="752" t="n">
        <f aca="false">$D$64*N45+$D$65*N51+$E$64*O45+$E$65*O51</f>
        <v>0</v>
      </c>
      <c r="P70" s="752" t="n">
        <f aca="false">$D$64*O45+$D$65*O51+$E$64*P45+$E$65*P51</f>
        <v>0</v>
      </c>
      <c r="Q70" s="752" t="n">
        <f aca="false">$D$64*P45+$D$65*P51+$E$64*Q45+$E$65*Q51</f>
        <v>0</v>
      </c>
      <c r="R70" s="752" t="n">
        <f aca="false">$D$64*Q45+$D$65*Q51+$E$64*R45+$E$65*R51</f>
        <v>0</v>
      </c>
      <c r="S70" s="752" t="n">
        <f aca="false">$D$64*R45+$D$65*R51+$E$64*S45+$E$65*S51</f>
        <v>0</v>
      </c>
      <c r="T70" s="752" t="n">
        <f aca="false">$D$64*S45+$D$65*S51+$E$64*T45+$E$65*T51</f>
        <v>0</v>
      </c>
      <c r="U70" s="752" t="n">
        <f aca="false">$D$64*T45+$D$65*T51+$E$64*U45+$E$65*U51</f>
        <v>0</v>
      </c>
      <c r="V70" s="752" t="n">
        <f aca="false">$D$64*U45+$D$65*U51+$E$64*V45+$E$65*V51</f>
        <v>0</v>
      </c>
      <c r="W70" s="752" t="n">
        <f aca="false">$D$64*V45+$D$65*V51+$E$64*W45+$E$65*W51</f>
        <v>0</v>
      </c>
      <c r="X70" s="752" t="n">
        <f aca="false">$D$64*W45+$D$65*W51+$E$64*X45+$E$65*X51</f>
        <v>0</v>
      </c>
      <c r="Y70" s="752" t="n">
        <f aca="false">$D$64*X45+$D$65*X51+$E$64*Y45+$E$65*Y51</f>
        <v>0</v>
      </c>
      <c r="Z70" s="752" t="n">
        <f aca="false">$D$64*Y45+$D$65*Y51+$E$64*Z45+$E$65*Z51</f>
        <v>0</v>
      </c>
      <c r="AA70" s="752" t="n">
        <f aca="false">$D$64*Z45+$D$65*Z51+$E$64*AA45+$E$65*AA51</f>
        <v>0</v>
      </c>
      <c r="AB70" s="752" t="n">
        <f aca="false">$D$64*AA45+$D$65*AA51+$E$64*AB45+$E$65*AB51</f>
        <v>0</v>
      </c>
      <c r="AC70" s="752" t="n">
        <f aca="false">$D$64*AB45+$D$65*AB51+$E$64*AC45+$E$65*AC51</f>
        <v>0</v>
      </c>
      <c r="AD70" s="752" t="n">
        <f aca="false">$D$64*AC45+$D$65*AC51+$E$64*AD45+$E$65*AD51</f>
        <v>0</v>
      </c>
      <c r="AE70" s="752" t="n">
        <f aca="false">$D$64*AD45+$D$65*AD51+$E$64*AE45+$E$65*AE51</f>
        <v>0</v>
      </c>
      <c r="AF70" s="752" t="n">
        <f aca="false">$D$64*AE45+$D$65*AE51+$E$64*AF45+$E$65*AF51</f>
        <v>0</v>
      </c>
      <c r="AG70" s="752" t="n">
        <f aca="false">$D$64*AF45+$D$65*AF51+$E$64*AG45+$E$65*AG51</f>
        <v>0</v>
      </c>
      <c r="AH70" s="752" t="n">
        <f aca="false">$D$64*AG45+$D$65*AG51+$E$64*AH45+$E$65*AH51</f>
        <v>0</v>
      </c>
      <c r="AI70" s="752" t="n">
        <f aca="false">$D$64*AH45+$D$65*AH51+$E$64*AI45+$E$65*AI51</f>
        <v>0</v>
      </c>
      <c r="AJ70" s="901" t="n">
        <f aca="false">$D$64*AI45+$D$65*AI51+$E$64*AJ45+$E$65*AJ51</f>
        <v>0</v>
      </c>
    </row>
    <row r="71" customFormat="false" ht="12.75" hidden="false" customHeight="false" outlineLevel="0" collapsed="false">
      <c r="B71" s="1025" t="s">
        <v>561</v>
      </c>
      <c r="C71" s="904"/>
      <c r="D71" s="757" t="n">
        <f aca="false">D52</f>
        <v>0</v>
      </c>
      <c r="E71" s="757" t="n">
        <f aca="false">E68-E70</f>
        <v>0</v>
      </c>
      <c r="F71" s="757" t="n">
        <f aca="false">F68-F70</f>
        <v>0</v>
      </c>
      <c r="G71" s="757" t="n">
        <f aca="false">G68-G70</f>
        <v>0</v>
      </c>
      <c r="H71" s="757" t="n">
        <f aca="false">H68-H70</f>
        <v>0</v>
      </c>
      <c r="I71" s="757" t="n">
        <f aca="false">I68-I70</f>
        <v>0</v>
      </c>
      <c r="J71" s="757" t="n">
        <f aca="false">J68-J70</f>
        <v>0</v>
      </c>
      <c r="K71" s="757" t="n">
        <f aca="false">K68-K70</f>
        <v>0</v>
      </c>
      <c r="L71" s="757" t="n">
        <f aca="false">L68-L70</f>
        <v>0</v>
      </c>
      <c r="M71" s="757" t="n">
        <f aca="false">M68-M70</f>
        <v>0</v>
      </c>
      <c r="N71" s="757" t="n">
        <f aca="false">N68-N70</f>
        <v>0</v>
      </c>
      <c r="O71" s="757" t="n">
        <f aca="false">O68-O70</f>
        <v>0</v>
      </c>
      <c r="P71" s="757" t="n">
        <f aca="false">P68-P70</f>
        <v>0</v>
      </c>
      <c r="Q71" s="757" t="n">
        <f aca="false">Q68-Q70</f>
        <v>0</v>
      </c>
      <c r="R71" s="757" t="n">
        <f aca="false">R68-R70</f>
        <v>0</v>
      </c>
      <c r="S71" s="757" t="n">
        <f aca="false">S68-S70</f>
        <v>0</v>
      </c>
      <c r="T71" s="757" t="n">
        <f aca="false">T68-T70</f>
        <v>0</v>
      </c>
      <c r="U71" s="757" t="n">
        <f aca="false">U68-U70</f>
        <v>0</v>
      </c>
      <c r="V71" s="757" t="n">
        <f aca="false">V68-V70</f>
        <v>0</v>
      </c>
      <c r="W71" s="757" t="n">
        <f aca="false">W68-W70</f>
        <v>0</v>
      </c>
      <c r="X71" s="757" t="n">
        <f aca="false">X68-X70</f>
        <v>0</v>
      </c>
      <c r="Y71" s="757" t="n">
        <f aca="false">Y68-Y70</f>
        <v>0</v>
      </c>
      <c r="Z71" s="757" t="n">
        <f aca="false">Z68-Z70</f>
        <v>0</v>
      </c>
      <c r="AA71" s="757" t="n">
        <f aca="false">AA68-AA70</f>
        <v>0</v>
      </c>
      <c r="AB71" s="757" t="n">
        <f aca="false">AB68-AB70</f>
        <v>0</v>
      </c>
      <c r="AC71" s="757" t="n">
        <f aca="false">AC68-AC70</f>
        <v>0</v>
      </c>
      <c r="AD71" s="757" t="n">
        <f aca="false">AD68-AD70</f>
        <v>0</v>
      </c>
      <c r="AE71" s="757" t="n">
        <f aca="false">AE68-AE70</f>
        <v>0</v>
      </c>
      <c r="AF71" s="757" t="n">
        <f aca="false">AF68-AF70</f>
        <v>0</v>
      </c>
      <c r="AG71" s="757" t="n">
        <f aca="false">AG68-AG70</f>
        <v>0</v>
      </c>
      <c r="AH71" s="757" t="n">
        <f aca="false">AH68-AH70</f>
        <v>0</v>
      </c>
      <c r="AI71" s="757" t="n">
        <f aca="false">AI68-AI70</f>
        <v>0</v>
      </c>
      <c r="AJ71" s="804" t="n">
        <f aca="false">AJ52</f>
        <v>0</v>
      </c>
    </row>
    <row r="72" customFormat="false" ht="12.75" hidden="false" customHeight="false" outlineLevel="0" collapsed="false">
      <c r="B72" s="1025"/>
      <c r="C72" s="951"/>
      <c r="D72" s="757"/>
      <c r="E72" s="757"/>
      <c r="F72" s="757"/>
      <c r="G72" s="757"/>
      <c r="H72" s="757"/>
      <c r="I72" s="757"/>
      <c r="J72" s="757"/>
      <c r="K72" s="757"/>
      <c r="L72" s="757"/>
      <c r="M72" s="757"/>
      <c r="N72" s="757"/>
      <c r="O72" s="757"/>
      <c r="P72" s="757"/>
      <c r="Q72" s="757"/>
      <c r="R72" s="757"/>
      <c r="S72" s="757"/>
      <c r="T72" s="757"/>
      <c r="U72" s="757"/>
      <c r="V72" s="757"/>
      <c r="W72" s="757"/>
      <c r="X72" s="757"/>
      <c r="Y72" s="757"/>
      <c r="Z72" s="757"/>
      <c r="AA72" s="757"/>
      <c r="AB72" s="757"/>
      <c r="AC72" s="757"/>
      <c r="AD72" s="757"/>
      <c r="AE72" s="757"/>
      <c r="AF72" s="757"/>
      <c r="AG72" s="757"/>
      <c r="AH72" s="757"/>
      <c r="AI72" s="757"/>
      <c r="AJ72" s="804"/>
    </row>
    <row r="73" customFormat="false" ht="12.75" hidden="false" customHeight="false" outlineLevel="0" collapsed="false">
      <c r="B73" s="1026" t="s">
        <v>629</v>
      </c>
      <c r="C73" s="752" t="n">
        <f aca="false">SUM(E73:AI73)</f>
        <v>0</v>
      </c>
      <c r="D73" s="752" t="n">
        <f aca="false">SUMPRODUCT($D$65:$E$65,C14:D14)</f>
        <v>0</v>
      </c>
      <c r="E73" s="752" t="n">
        <f aca="false">SUMPRODUCT($D$65:$E$65,D14:E14)</f>
        <v>0</v>
      </c>
      <c r="F73" s="752" t="n">
        <f aca="false">SUMPRODUCT($D$65:$E$65,E14:F14)</f>
        <v>0</v>
      </c>
      <c r="G73" s="752" t="n">
        <f aca="false">SUMPRODUCT($D$65:$E$65,F14:G14)</f>
        <v>0</v>
      </c>
      <c r="H73" s="752" t="n">
        <f aca="false">SUMPRODUCT($D$65:$E$65,G14:H14)</f>
        <v>0</v>
      </c>
      <c r="I73" s="752" t="n">
        <f aca="false">SUMPRODUCT($D$65:$E$65,H14:I14)</f>
        <v>0</v>
      </c>
      <c r="J73" s="752" t="n">
        <f aca="false">SUMPRODUCT($D$65:$E$65,I14:J14)</f>
        <v>0</v>
      </c>
      <c r="K73" s="752" t="n">
        <f aca="false">SUMPRODUCT($D$65:$E$65,J14:K14)</f>
        <v>0</v>
      </c>
      <c r="L73" s="752" t="n">
        <f aca="false">SUMPRODUCT($D$65:$E$65,K14:L14)</f>
        <v>0</v>
      </c>
      <c r="M73" s="752" t="n">
        <f aca="false">SUMPRODUCT($D$65:$E$65,L14:M14)</f>
        <v>0</v>
      </c>
      <c r="N73" s="752" t="n">
        <f aca="false">SUMPRODUCT($D$65:$E$65,M14:N14)</f>
        <v>0</v>
      </c>
      <c r="O73" s="752" t="n">
        <f aca="false">SUMPRODUCT($D$65:$E$65,N14:O14)</f>
        <v>0</v>
      </c>
      <c r="P73" s="752" t="n">
        <f aca="false">SUMPRODUCT($D$65:$E$65,O14:P14)</f>
        <v>0</v>
      </c>
      <c r="Q73" s="752" t="n">
        <f aca="false">SUMPRODUCT($D$65:$E$65,P14:Q14)</f>
        <v>0</v>
      </c>
      <c r="R73" s="752" t="n">
        <f aca="false">SUMPRODUCT($D$65:$E$65,Q14:R14)</f>
        <v>0</v>
      </c>
      <c r="S73" s="752" t="n">
        <f aca="false">SUMPRODUCT($D$65:$E$65,R14:S14)</f>
        <v>0</v>
      </c>
      <c r="T73" s="752" t="n">
        <f aca="false">SUMPRODUCT($D$65:$E$65,S14:T14)</f>
        <v>0</v>
      </c>
      <c r="U73" s="752" t="n">
        <f aca="false">SUMPRODUCT($D$65:$E$65,T14:U14)</f>
        <v>0</v>
      </c>
      <c r="V73" s="752" t="n">
        <f aca="false">SUMPRODUCT($D$65:$E$65,U14:V14)</f>
        <v>0</v>
      </c>
      <c r="W73" s="752" t="n">
        <f aca="false">SUMPRODUCT($D$65:$E$65,V14:W14)</f>
        <v>0</v>
      </c>
      <c r="X73" s="752" t="n">
        <f aca="false">SUMPRODUCT($D$65:$E$65,W14:X14)</f>
        <v>0</v>
      </c>
      <c r="Y73" s="752" t="n">
        <f aca="false">SUMPRODUCT($D$65:$E$65,X14:Y14)</f>
        <v>0</v>
      </c>
      <c r="Z73" s="752" t="n">
        <f aca="false">SUMPRODUCT($D$65:$E$65,Y14:Z14)</f>
        <v>0</v>
      </c>
      <c r="AA73" s="752" t="n">
        <f aca="false">SUMPRODUCT($D$65:$E$65,Z14:AA14)</f>
        <v>0</v>
      </c>
      <c r="AB73" s="752" t="n">
        <f aca="false">SUMPRODUCT($D$65:$E$65,AA14:AB14)</f>
        <v>0</v>
      </c>
      <c r="AC73" s="752" t="n">
        <f aca="false">SUMPRODUCT($D$65:$E$65,AB14:AC14)</f>
        <v>0</v>
      </c>
      <c r="AD73" s="752" t="n">
        <f aca="false">SUMPRODUCT($D$65:$E$65,AC14:AD14)</f>
        <v>0</v>
      </c>
      <c r="AE73" s="752" t="n">
        <f aca="false">SUMPRODUCT($D$65:$E$65,AD14:AE14)</f>
        <v>0</v>
      </c>
      <c r="AF73" s="752" t="n">
        <f aca="false">SUMPRODUCT($D$65:$E$65,AE14:AF14)</f>
        <v>0</v>
      </c>
      <c r="AG73" s="752" t="n">
        <f aca="false">SUMPRODUCT($D$65:$E$65,AF14:AG14)</f>
        <v>0</v>
      </c>
      <c r="AH73" s="752" t="n">
        <f aca="false">SUMPRODUCT($D$65:$E$65,AG14:AH14)</f>
        <v>0</v>
      </c>
      <c r="AI73" s="752" t="n">
        <f aca="false">SUMPRODUCT($D$65:$E$65,AH14:AI14)</f>
        <v>0</v>
      </c>
      <c r="AJ73" s="901" t="n">
        <f aca="false">SUMPRODUCT($D$65:$E$65,AI14:AJ14)</f>
        <v>0</v>
      </c>
    </row>
    <row r="74" customFormat="false" ht="13.5" hidden="false" customHeight="false" outlineLevel="0" collapsed="false">
      <c r="B74" s="1027" t="s">
        <v>630</v>
      </c>
      <c r="C74" s="822" t="n">
        <f aca="false">SUM(E74:AI74)</f>
        <v>0</v>
      </c>
      <c r="D74" s="822" t="n">
        <f aca="false">SUMPRODUCT($D$65:$E$65,C15:D15)</f>
        <v>0</v>
      </c>
      <c r="E74" s="822" t="n">
        <f aca="false">SUMPRODUCT($D$65:$E$65,D15:E15)</f>
        <v>0</v>
      </c>
      <c r="F74" s="822" t="n">
        <f aca="false">SUMPRODUCT($D$65:$E$65,E15:F15)</f>
        <v>0</v>
      </c>
      <c r="G74" s="822" t="n">
        <f aca="false">SUMPRODUCT($D$65:$E$65,F15:G15)</f>
        <v>0</v>
      </c>
      <c r="H74" s="822" t="n">
        <f aca="false">SUMPRODUCT($D$65:$E$65,G15:H15)</f>
        <v>0</v>
      </c>
      <c r="I74" s="822" t="n">
        <f aca="false">SUMPRODUCT($D$65:$E$65,H15:I15)</f>
        <v>0</v>
      </c>
      <c r="J74" s="822" t="n">
        <f aca="false">SUMPRODUCT($D$65:$E$65,I15:J15)</f>
        <v>0</v>
      </c>
      <c r="K74" s="822" t="n">
        <f aca="false">SUMPRODUCT($D$65:$E$65,J15:K15)</f>
        <v>0</v>
      </c>
      <c r="L74" s="822" t="n">
        <f aca="false">SUMPRODUCT($D$65:$E$65,K15:L15)</f>
        <v>0</v>
      </c>
      <c r="M74" s="822" t="n">
        <f aca="false">SUMPRODUCT($D$65:$E$65,L15:M15)</f>
        <v>0</v>
      </c>
      <c r="N74" s="822" t="n">
        <f aca="false">SUMPRODUCT($D$65:$E$65,M15:N15)</f>
        <v>0</v>
      </c>
      <c r="O74" s="822" t="n">
        <f aca="false">SUMPRODUCT($D$65:$E$65,N15:O15)</f>
        <v>0</v>
      </c>
      <c r="P74" s="822" t="n">
        <f aca="false">SUMPRODUCT($D$65:$E$65,O15:P15)</f>
        <v>0</v>
      </c>
      <c r="Q74" s="822" t="n">
        <f aca="false">SUMPRODUCT($D$65:$E$65,P15:Q15)</f>
        <v>0</v>
      </c>
      <c r="R74" s="822" t="n">
        <f aca="false">SUMPRODUCT($D$65:$E$65,Q15:R15)</f>
        <v>0</v>
      </c>
      <c r="S74" s="822" t="n">
        <f aca="false">SUMPRODUCT($D$65:$E$65,R15:S15)</f>
        <v>0</v>
      </c>
      <c r="T74" s="822" t="n">
        <f aca="false">SUMPRODUCT($D$65:$E$65,S15:T15)</f>
        <v>0</v>
      </c>
      <c r="U74" s="822" t="n">
        <f aca="false">SUMPRODUCT($D$65:$E$65,T15:U15)</f>
        <v>0</v>
      </c>
      <c r="V74" s="822" t="n">
        <f aca="false">SUMPRODUCT($D$65:$E$65,U15:V15)</f>
        <v>0</v>
      </c>
      <c r="W74" s="822" t="n">
        <f aca="false">SUMPRODUCT($D$65:$E$65,V15:W15)</f>
        <v>0</v>
      </c>
      <c r="X74" s="822" t="n">
        <f aca="false">SUMPRODUCT($D$65:$E$65,W15:X15)</f>
        <v>0</v>
      </c>
      <c r="Y74" s="822" t="n">
        <f aca="false">SUMPRODUCT($D$65:$E$65,X15:Y15)</f>
        <v>0</v>
      </c>
      <c r="Z74" s="822" t="n">
        <f aca="false">SUMPRODUCT($D$65:$E$65,Y15:Z15)</f>
        <v>0</v>
      </c>
      <c r="AA74" s="822" t="n">
        <f aca="false">SUMPRODUCT($D$65:$E$65,Z15:AA15)</f>
        <v>0</v>
      </c>
      <c r="AB74" s="822" t="n">
        <f aca="false">SUMPRODUCT($D$65:$E$65,AA15:AB15)</f>
        <v>0</v>
      </c>
      <c r="AC74" s="822" t="n">
        <f aca="false">SUMPRODUCT($D$65:$E$65,AB15:AC15)</f>
        <v>0</v>
      </c>
      <c r="AD74" s="822" t="n">
        <f aca="false">SUMPRODUCT($D$65:$E$65,AC15:AD15)</f>
        <v>0</v>
      </c>
      <c r="AE74" s="822" t="n">
        <f aca="false">SUMPRODUCT($D$65:$E$65,AD15:AE15)</f>
        <v>0</v>
      </c>
      <c r="AF74" s="822" t="n">
        <f aca="false">SUMPRODUCT($D$65:$E$65,AE15:AF15)</f>
        <v>0</v>
      </c>
      <c r="AG74" s="822" t="n">
        <f aca="false">SUMPRODUCT($D$65:$E$65,AF15:AG15)</f>
        <v>0</v>
      </c>
      <c r="AH74" s="822" t="n">
        <f aca="false">SUMPRODUCT($D$65:$E$65,AG15:AH15)</f>
        <v>0</v>
      </c>
      <c r="AI74" s="822" t="n">
        <f aca="false">SUMPRODUCT($D$65:$E$65,AH15:AI15)</f>
        <v>0</v>
      </c>
      <c r="AJ74" s="1028" t="n">
        <f aca="false">SUMPRODUCT($D$65:$E$65,AI15:AJ15)</f>
        <v>0</v>
      </c>
    </row>
    <row r="76" customFormat="false" ht="12.75" hidden="false" customHeight="false" outlineLevel="0" collapsed="false">
      <c r="A76" s="17"/>
      <c r="B76" s="17"/>
      <c r="C76" s="1029"/>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17"/>
      <c r="BY76" s="17"/>
      <c r="BZ76" s="17"/>
      <c r="CA76" s="17"/>
      <c r="CB76" s="17"/>
      <c r="CC76" s="17"/>
      <c r="CD76" s="17"/>
      <c r="CE76" s="17"/>
      <c r="CF76" s="17"/>
      <c r="CG76" s="17"/>
      <c r="CH76" s="17"/>
      <c r="CI76" s="17"/>
      <c r="CJ76" s="17"/>
      <c r="CK76" s="17"/>
      <c r="CL76" s="17"/>
      <c r="CM76" s="17"/>
      <c r="CN76" s="17"/>
      <c r="CO76" s="17"/>
      <c r="CP76" s="17"/>
      <c r="CQ76" s="17"/>
      <c r="CR76" s="17"/>
      <c r="CS76" s="17"/>
      <c r="CT76" s="17"/>
      <c r="CU76" s="17"/>
      <c r="CV76" s="17"/>
      <c r="CW76" s="17"/>
      <c r="CX76" s="17"/>
      <c r="CY76" s="17"/>
      <c r="CZ76" s="17"/>
      <c r="DA76" s="17"/>
      <c r="DB76" s="17"/>
      <c r="DC76" s="17"/>
      <c r="DD76" s="17"/>
      <c r="DE76" s="17"/>
      <c r="DF76" s="17"/>
      <c r="DG76" s="17"/>
      <c r="DH76" s="17"/>
      <c r="DI76" s="17"/>
      <c r="DJ76" s="17"/>
      <c r="DK76" s="17"/>
      <c r="DL76" s="17"/>
      <c r="DM76" s="17"/>
      <c r="DN76" s="17"/>
      <c r="DO76" s="17"/>
      <c r="DP76" s="17"/>
      <c r="DQ76" s="17"/>
      <c r="DR76" s="17"/>
      <c r="DS76" s="17"/>
      <c r="DT76" s="17"/>
      <c r="DU76" s="17"/>
      <c r="DV76" s="17"/>
      <c r="DW76" s="17"/>
      <c r="DX76" s="17"/>
      <c r="DY76" s="17"/>
      <c r="DZ76" s="17"/>
      <c r="EA76" s="17"/>
      <c r="EB76" s="17"/>
      <c r="EC76" s="17"/>
      <c r="ED76" s="17"/>
      <c r="EE76" s="17"/>
      <c r="EF76" s="17"/>
      <c r="EG76" s="17"/>
      <c r="EH76" s="17"/>
      <c r="EI76" s="17"/>
      <c r="EJ76" s="17"/>
      <c r="EK76" s="17"/>
      <c r="EL76" s="17"/>
      <c r="EM76" s="17"/>
      <c r="EN76" s="17"/>
      <c r="EO76" s="17"/>
      <c r="EP76" s="17"/>
      <c r="EQ76" s="17"/>
      <c r="ER76" s="17"/>
      <c r="ES76" s="17"/>
      <c r="ET76" s="17"/>
      <c r="EU76" s="17"/>
      <c r="EV76" s="17"/>
      <c r="EW76" s="17"/>
      <c r="EX76" s="17"/>
      <c r="EY76" s="17"/>
      <c r="EZ76" s="17"/>
      <c r="FA76" s="17"/>
      <c r="FB76" s="17"/>
      <c r="FC76" s="17"/>
      <c r="FD76" s="17"/>
      <c r="FE76" s="17"/>
      <c r="FF76" s="17"/>
      <c r="FG76" s="17"/>
      <c r="FH76" s="17"/>
      <c r="FI76" s="17"/>
      <c r="FJ76" s="17"/>
      <c r="FK76" s="17"/>
      <c r="FL76" s="17"/>
      <c r="FM76" s="17"/>
      <c r="FN76" s="17"/>
      <c r="FO76" s="17"/>
      <c r="FP76" s="17"/>
      <c r="FQ76" s="17"/>
      <c r="FR76" s="17"/>
      <c r="FS76" s="17"/>
      <c r="FT76" s="17"/>
      <c r="FU76" s="17"/>
      <c r="FV76" s="17"/>
      <c r="FW76" s="17"/>
      <c r="FX76" s="17"/>
      <c r="FY76" s="17"/>
      <c r="FZ76" s="17"/>
      <c r="GA76" s="17"/>
      <c r="GB76" s="17"/>
      <c r="GC76" s="17"/>
      <c r="GD76" s="17"/>
      <c r="GE76" s="17"/>
      <c r="GF76" s="17"/>
      <c r="GG76" s="17"/>
      <c r="GH76" s="17"/>
      <c r="GI76" s="17"/>
      <c r="GJ76" s="17"/>
      <c r="GK76" s="17"/>
      <c r="GL76" s="17"/>
      <c r="GM76" s="17"/>
      <c r="GN76" s="17"/>
      <c r="GO76" s="17"/>
      <c r="GP76" s="17"/>
      <c r="GQ76" s="17"/>
      <c r="GR76" s="17"/>
      <c r="GS76" s="17"/>
      <c r="GT76" s="17"/>
      <c r="GU76" s="17"/>
      <c r="GV76" s="17"/>
      <c r="GW76" s="17"/>
      <c r="GX76" s="17"/>
      <c r="GY76" s="17"/>
      <c r="GZ76" s="17"/>
      <c r="HA76" s="17"/>
      <c r="HB76" s="17"/>
      <c r="HC76" s="17"/>
      <c r="HD76" s="17"/>
      <c r="HE76" s="17"/>
      <c r="HF76" s="17"/>
      <c r="HG76" s="17"/>
      <c r="HH76" s="17"/>
      <c r="HI76" s="17"/>
      <c r="HJ76" s="17"/>
      <c r="HK76" s="17"/>
      <c r="HL76" s="17"/>
      <c r="HM76" s="17"/>
      <c r="HN76" s="17"/>
      <c r="HO76" s="17"/>
      <c r="HP76" s="17"/>
      <c r="HQ76" s="17"/>
      <c r="HR76" s="17"/>
      <c r="HS76" s="17"/>
      <c r="HT76" s="17"/>
      <c r="HU76" s="17"/>
      <c r="HV76" s="17"/>
      <c r="HW76" s="17"/>
      <c r="HX76" s="17"/>
      <c r="HY76" s="17"/>
      <c r="HZ76" s="17"/>
      <c r="IA76" s="17"/>
      <c r="IB76" s="17"/>
      <c r="IC76" s="17"/>
      <c r="ID76" s="17"/>
      <c r="IE76" s="17"/>
      <c r="IF76" s="17"/>
      <c r="IG76" s="17"/>
      <c r="IH76" s="17"/>
      <c r="II76" s="17"/>
      <c r="IJ76" s="17"/>
      <c r="IK76" s="17"/>
      <c r="IL76" s="17"/>
      <c r="IM76" s="17"/>
      <c r="IN76" s="17"/>
      <c r="IO76" s="17"/>
      <c r="IP76" s="17"/>
      <c r="IQ76" s="17"/>
      <c r="IR76" s="17"/>
      <c r="IS76" s="17"/>
      <c r="IT76" s="17"/>
      <c r="IU76" s="17"/>
      <c r="IV76" s="17"/>
      <c r="IW76" s="17"/>
    </row>
  </sheetData>
  <printOptions headings="true" gridLines="false" gridLinesSet="true" horizontalCentered="false" verticalCentered="false"/>
  <pageMargins left="0.3" right="0.329861111111111" top="0.320138888888889" bottom="0.529861111111111"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1998-12-01T17:10:48Z</dcterms:created>
  <dc:creator>Eddie Moses</dc:creator>
  <dc:description/>
  <dc:language>en-US</dc:language>
  <cp:lastModifiedBy>EI</cp:lastModifiedBy>
  <cp:lastPrinted>2000-06-16T17:22:02Z</cp:lastPrinted>
  <cp:revision>0</cp:revision>
  <dc:subject/>
  <dc:title>USD LIBOR Curve</dc:title>
</cp:coreProperties>
</file>