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forma" sheetId="1" state="visible" r:id="rId3"/>
    <sheet name="Unit Costs" sheetId="2" state="visible" r:id="rId4"/>
    <sheet name="UCost AltA" sheetId="3" state="visible" r:id="rId5"/>
    <sheet name="Comps" sheetId="4" state="visible" r:id="rId6"/>
  </sheets>
  <definedNames>
    <definedName function="false" hidden="false" localSheetId="3" name="_xlnm.Print_Area" vbProcedure="false">Comps!$A$5:$AL$13</definedName>
    <definedName function="false" hidden="false" localSheetId="2" name="_xlnm.Print_Area" vbProcedure="false">'UCost AltA'!$Q$9:$AI$88</definedName>
    <definedName function="false" hidden="false" localSheetId="2" name="_xlnm.Print_Titles" vbProcedure="false">'UCost AltA'!$B:$B,'UCost AltA'!$5:$8</definedName>
    <definedName function="false" hidden="false" localSheetId="1" name="_xlnm.Print_Area" vbProcedure="false">'Unit Costs'!$P$9:$AD$88</definedName>
    <definedName function="false" hidden="false" localSheetId="1" name="_xlnm.Print_Titles" vbProcedure="false">'Unit Costs'!$B:$B,'Unit Costs'!$5:$8</definedName>
    <definedName function="false" hidden="false" name="CMF" vbProcedure="false">'Unit Costs'!$L$1</definedName>
    <definedName function="false" hidden="false" name="CTime" vbProcedure="false">#REF!</definedName>
    <definedName function="false" hidden="false" name="SM134Units" vbProcedure="false">'Unit Costs'!$Q$2</definedName>
    <definedName function="false" hidden="false" name="TRUnits" vbProcedure="false">'Unit Costs'!$L$2</definedName>
    <definedName function="false" hidden="false" localSheetId="2" name="CMF" vbProcedure="false">'UCost AltA'!$L$1</definedName>
    <definedName function="false" hidden="false" localSheetId="2" name="SM134Units" vbProcedure="false">'UCost AltA'!$R$2</definedName>
    <definedName function="false" hidden="false" localSheetId="2" name="TRUnits" vbProcedure="false">'UCost AltA'!$L$2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<sst xmlns="http://schemas.openxmlformats.org/spreadsheetml/2006/main" count="1557" uniqueCount="342">
  <si>
    <t xml:space="preserve">Plan 1198 ADA</t>
  </si>
  <si>
    <t xml:space="preserve">Plan 1107</t>
  </si>
  <si>
    <t xml:space="preserve">Plan 1287</t>
  </si>
  <si>
    <t xml:space="preserve">TOTAL</t>
  </si>
  <si>
    <t xml:space="preserve">Per Unit</t>
  </si>
  <si>
    <t xml:space="preserve">Per SF</t>
  </si>
  <si>
    <t xml:space="preserve">Bedrooms/Baths</t>
  </si>
  <si>
    <t xml:space="preserve">Square Feet</t>
  </si>
  <si>
    <t xml:space="preserve">Stories</t>
  </si>
  <si>
    <t xml:space="preserve">Single</t>
  </si>
  <si>
    <t xml:space="preserve">Two Story</t>
  </si>
  <si>
    <t xml:space="preserve">Unit Width</t>
  </si>
  <si>
    <t xml:space="preserve">LF</t>
  </si>
  <si>
    <t xml:space="preserve">Mix</t>
  </si>
  <si>
    <t xml:space="preserve">Rental Income</t>
  </si>
  <si>
    <t xml:space="preserve">Vacancy Allowance</t>
  </si>
  <si>
    <t xml:space="preserve">Management Fee</t>
  </si>
  <si>
    <t xml:space="preserve">Net Revenue</t>
  </si>
  <si>
    <t xml:space="preserve">Expenses</t>
  </si>
  <si>
    <t xml:space="preserve">Property Tax</t>
  </si>
  <si>
    <t xml:space="preserve">Insurance</t>
  </si>
  <si>
    <t xml:space="preserve">Maintenance</t>
  </si>
  <si>
    <t xml:space="preserve">Replacement Reserve</t>
  </si>
  <si>
    <t xml:space="preserve">/unit/year</t>
  </si>
  <si>
    <t xml:space="preserve">Utilities</t>
  </si>
  <si>
    <t xml:space="preserve">Per Mo</t>
  </si>
  <si>
    <t xml:space="preserve">Sub Total Expenses</t>
  </si>
  <si>
    <t xml:space="preserve">Net Operating Income</t>
  </si>
  <si>
    <t xml:space="preserve">Value @ 10% Capitalization Rate</t>
  </si>
  <si>
    <t xml:space="preserve">Mortgage</t>
  </si>
  <si>
    <t xml:space="preserve">LTV</t>
  </si>
  <si>
    <t xml:space="preserve">Principal &amp; Interest</t>
  </si>
  <si>
    <t xml:space="preserve">Per Yr/30Yr</t>
  </si>
  <si>
    <t xml:space="preserve">Monthly Net Income</t>
  </si>
  <si>
    <t xml:space="preserve">Annual Net Income</t>
  </si>
  <si>
    <t xml:space="preserve">Land</t>
  </si>
  <si>
    <t xml:space="preserve">Improvements</t>
  </si>
  <si>
    <t xml:space="preserve">Amenities</t>
  </si>
  <si>
    <t xml:space="preserve">Unit Cost</t>
  </si>
  <si>
    <t xml:space="preserve">Construction Profit</t>
  </si>
  <si>
    <t xml:space="preserve">Fianance Cost</t>
  </si>
  <si>
    <t xml:space="preserve">TOTAL COST</t>
  </si>
  <si>
    <t xml:space="preserve">Construction Management Fee</t>
  </si>
  <si>
    <t xml:space="preserve">Total Rental Units</t>
  </si>
  <si>
    <t xml:space="preserve">SM134Units</t>
  </si>
  <si>
    <t xml:space="preserve">FAB L#</t>
  </si>
  <si>
    <t xml:space="preserve">Construction Sequence</t>
  </si>
  <si>
    <t xml:space="preserve">Phase Totals</t>
  </si>
  <si>
    <t xml:space="preserve">ESW PHASE 2 COST DATA - FAB LOAN</t>
  </si>
  <si>
    <t xml:space="preserve">1</t>
  </si>
  <si>
    <t xml:space="preserve">2</t>
  </si>
  <si>
    <t xml:space="preserve">7</t>
  </si>
  <si>
    <t xml:space="preserve">3</t>
  </si>
  <si>
    <t xml:space="preserve">4</t>
  </si>
  <si>
    <t xml:space="preserve">5</t>
  </si>
  <si>
    <t xml:space="preserve">6</t>
  </si>
  <si>
    <t xml:space="preserve">PLAN A - 2+2+1</t>
  </si>
  <si>
    <t xml:space="preserve">PLAN B - 2+2.5+2</t>
  </si>
  <si>
    <t xml:space="preserve">PLAN B - 3+3.5+2</t>
  </si>
  <si>
    <t xml:space="preserve">TOTALS</t>
  </si>
  <si>
    <t xml:space="preserve">Description</t>
  </si>
  <si>
    <t xml:space="preserve">DRAW ALLOW</t>
  </si>
  <si>
    <t xml:space="preserve">% Tcost</t>
  </si>
  <si>
    <t xml:space="preserve">812/814</t>
  </si>
  <si>
    <t xml:space="preserve">820/822</t>
  </si>
  <si>
    <t xml:space="preserve">826/828</t>
  </si>
  <si>
    <t xml:space="preserve">832/834</t>
  </si>
  <si>
    <t xml:space="preserve">838/840</t>
  </si>
  <si>
    <t xml:space="preserve">861/863</t>
  </si>
  <si>
    <t xml:space="preserve">867/869</t>
  </si>
  <si>
    <t xml:space="preserve">Totals</t>
  </si>
  <si>
    <t xml:space="preserve">% Of Est.</t>
  </si>
  <si>
    <t xml:space="preserve">Estimate Totals</t>
  </si>
  <si>
    <t xml:space="preserve">Per A/C SF</t>
  </si>
  <si>
    <t xml:space="preserve">MIX</t>
  </si>
  <si>
    <t xml:space="preserve">Heated/Total SF</t>
  </si>
  <si>
    <t xml:space="preserve">L#1</t>
  </si>
  <si>
    <t xml:space="preserve">Permits</t>
  </si>
  <si>
    <t xml:space="preserve">X</t>
  </si>
  <si>
    <t xml:space="preserve">1.</t>
  </si>
  <si>
    <t xml:space="preserve">Permits/Fees</t>
  </si>
  <si>
    <t xml:space="preserve">L#2</t>
  </si>
  <si>
    <t xml:space="preserve">Architecture</t>
  </si>
  <si>
    <t xml:space="preserve">2.</t>
  </si>
  <si>
    <t xml:space="preserve">Arch &amp; Eng &amp; Replat</t>
  </si>
  <si>
    <t xml:space="preserve">L#35</t>
  </si>
  <si>
    <t xml:space="preserve">Builder's Risk</t>
  </si>
  <si>
    <t xml:space="preserve">3.</t>
  </si>
  <si>
    <t xml:space="preserve">Water/Sewer Con.</t>
  </si>
  <si>
    <t xml:space="preserve">L#4</t>
  </si>
  <si>
    <t xml:space="preserve">Temp Electic &amp; Utilities</t>
  </si>
  <si>
    <t xml:space="preserve">4.</t>
  </si>
  <si>
    <t xml:space="preserve">Site Work</t>
  </si>
  <si>
    <t xml:space="preserve">Sitework</t>
  </si>
  <si>
    <t xml:space="preserve">5.</t>
  </si>
  <si>
    <t xml:space="preserve">Foundation</t>
  </si>
  <si>
    <t xml:space="preserve">FOUNDATION</t>
  </si>
  <si>
    <t xml:space="preserve">6.</t>
  </si>
  <si>
    <t xml:space="preserve">Plumbing Rough</t>
  </si>
  <si>
    <t xml:space="preserve">L#5</t>
  </si>
  <si>
    <t xml:space="preserve">Setup</t>
  </si>
  <si>
    <t xml:space="preserve">7.</t>
  </si>
  <si>
    <t xml:space="preserve">Framing &amp; Sheeting (M&amp;L)</t>
  </si>
  <si>
    <t xml:space="preserve">Concrete</t>
  </si>
  <si>
    <t xml:space="preserve">8.</t>
  </si>
  <si>
    <t xml:space="preserve">Roof (Matl &amp; Labor)</t>
  </si>
  <si>
    <t xml:space="preserve">Finish</t>
  </si>
  <si>
    <t xml:space="preserve">9.</t>
  </si>
  <si>
    <t xml:space="preserve">Cornice (M&amp;L)</t>
  </si>
  <si>
    <t xml:space="preserve">PLUMBING</t>
  </si>
  <si>
    <t xml:space="preserve">10.</t>
  </si>
  <si>
    <t xml:space="preserve">Windows/Mirrors</t>
  </si>
  <si>
    <t xml:space="preserve">L#6</t>
  </si>
  <si>
    <t xml:space="preserve">Rough</t>
  </si>
  <si>
    <t xml:space="preserve">11.</t>
  </si>
  <si>
    <t xml:space="preserve">Painting-Outside</t>
  </si>
  <si>
    <t xml:space="preserve">L#17</t>
  </si>
  <si>
    <t xml:space="preserve">Top Out</t>
  </si>
  <si>
    <t xml:space="preserve">12.</t>
  </si>
  <si>
    <t xml:space="preserve">Electric-Rough</t>
  </si>
  <si>
    <t xml:space="preserve">Set Out</t>
  </si>
  <si>
    <t xml:space="preserve">13.</t>
  </si>
  <si>
    <t xml:space="preserve">Ducts</t>
  </si>
  <si>
    <t xml:space="preserve">FRAMING LABOR</t>
  </si>
  <si>
    <t xml:space="preserve">14.</t>
  </si>
  <si>
    <t xml:space="preserve">Heat/Air-Units</t>
  </si>
  <si>
    <t xml:space="preserve">L#7</t>
  </si>
  <si>
    <t xml:space="preserve">1st Floor Walls</t>
  </si>
  <si>
    <t xml:space="preserve">15.</t>
  </si>
  <si>
    <t xml:space="preserve">Insulation-Walls</t>
  </si>
  <si>
    <t xml:space="preserve">2nd Floor Walls</t>
  </si>
  <si>
    <t xml:space="preserve">16.</t>
  </si>
  <si>
    <t xml:space="preserve">Insulation-Ceiling</t>
  </si>
  <si>
    <t xml:space="preserve">Included in Insulation- Walls, Line #15</t>
  </si>
  <si>
    <t xml:space="preserve">Roof-Decking-Subfascia</t>
  </si>
  <si>
    <t xml:space="preserve">17.</t>
  </si>
  <si>
    <t xml:space="preserve">Plumbing - Top Out</t>
  </si>
  <si>
    <t xml:space="preserve">L#9</t>
  </si>
  <si>
    <t xml:space="preserve">Cornice</t>
  </si>
  <si>
    <t xml:space="preserve">18.</t>
  </si>
  <si>
    <t xml:space="preserve">Masonry/Siding</t>
  </si>
  <si>
    <t xml:space="preserve">FRAMING MATERIALS</t>
  </si>
  <si>
    <t xml:space="preserve">19.</t>
  </si>
  <si>
    <t xml:space="preserve">Fireplace</t>
  </si>
  <si>
    <t xml:space="preserve">Trusses - Roof</t>
  </si>
  <si>
    <t xml:space="preserve">20</t>
  </si>
  <si>
    <t xml:space="preserve">Shrck/Tape/Float</t>
  </si>
  <si>
    <t xml:space="preserve">Floor Joists</t>
  </si>
  <si>
    <t xml:space="preserve">21.</t>
  </si>
  <si>
    <t xml:space="preserve">Trim Work W/Garage Drs.</t>
  </si>
  <si>
    <t xml:space="preserve">1st Floor Material</t>
  </si>
  <si>
    <t xml:space="preserve">22.</t>
  </si>
  <si>
    <t xml:space="preserve">Cabinets/Formica</t>
  </si>
  <si>
    <t xml:space="preserve">2nd Floor Materials</t>
  </si>
  <si>
    <t xml:space="preserve">23.</t>
  </si>
  <si>
    <t xml:space="preserve">Tile</t>
  </si>
  <si>
    <t xml:space="preserve">Roof System Materials</t>
  </si>
  <si>
    <t xml:space="preserve">24.</t>
  </si>
  <si>
    <t xml:space="preserve">Painting-Interior</t>
  </si>
  <si>
    <t xml:space="preserve">Cornice Materials</t>
  </si>
  <si>
    <t xml:space="preserve">25.</t>
  </si>
  <si>
    <t xml:space="preserve">Wallpaper</t>
  </si>
  <si>
    <t xml:space="preserve">L#10</t>
  </si>
  <si>
    <t xml:space="preserve">Windows</t>
  </si>
  <si>
    <t xml:space="preserve">26.</t>
  </si>
  <si>
    <t xml:space="preserve">Appliances</t>
  </si>
  <si>
    <t xml:space="preserve">Exterior Doors</t>
  </si>
  <si>
    <t xml:space="preserve">27.</t>
  </si>
  <si>
    <t xml:space="preserve">Carpet/Vinyl</t>
  </si>
  <si>
    <t xml:space="preserve">MASONRY/SIDING</t>
  </si>
  <si>
    <t xml:space="preserve">28.</t>
  </si>
  <si>
    <t xml:space="preserve">Drives &amp; Sidewalks</t>
  </si>
  <si>
    <t xml:space="preserve">L#18</t>
  </si>
  <si>
    <t xml:space="preserve">Materials</t>
  </si>
  <si>
    <t xml:space="preserve">29.</t>
  </si>
  <si>
    <t xml:space="preserve">Hardware</t>
  </si>
  <si>
    <t xml:space="preserve">Labor</t>
  </si>
  <si>
    <t xml:space="preserve">30.</t>
  </si>
  <si>
    <t xml:space="preserve">Ldscp., Fencing &amp; Clean Up</t>
  </si>
  <si>
    <t xml:space="preserve">ROOFING</t>
  </si>
  <si>
    <t xml:space="preserve">31.</t>
  </si>
  <si>
    <t xml:space="preserve">Clean Up &amp; Temps</t>
  </si>
  <si>
    <t xml:space="preserve">L#8</t>
  </si>
  <si>
    <t xml:space="preserve">32.</t>
  </si>
  <si>
    <t xml:space="preserve">Septic</t>
  </si>
  <si>
    <t xml:space="preserve">33.</t>
  </si>
  <si>
    <t xml:space="preserve">Interest &amp; Fees</t>
  </si>
  <si>
    <t xml:space="preserve">ELECTRIC</t>
  </si>
  <si>
    <t xml:space="preserve"> </t>
  </si>
  <si>
    <t xml:space="preserve">34.</t>
  </si>
  <si>
    <t xml:space="preserve">Lot</t>
  </si>
  <si>
    <t xml:space="preserve">L#12</t>
  </si>
  <si>
    <t xml:space="preserve">Temp Set</t>
  </si>
  <si>
    <t xml:space="preserve">35.</t>
  </si>
  <si>
    <t xml:space="preserve">Other Costs</t>
  </si>
  <si>
    <t xml:space="preserve">36.</t>
  </si>
  <si>
    <t xml:space="preserve">Electric - Trim,Pre-Wire &amp; Fix.</t>
  </si>
  <si>
    <t xml:space="preserve">L#36</t>
  </si>
  <si>
    <t xml:space="preserve">Trim</t>
  </si>
  <si>
    <t xml:space="preserve">37.</t>
  </si>
  <si>
    <t xml:space="preserve">Supervision</t>
  </si>
  <si>
    <t xml:space="preserve">PREWIRE</t>
  </si>
  <si>
    <t xml:space="preserve">Construction Management</t>
  </si>
  <si>
    <t xml:space="preserve">Contractor Profit</t>
  </si>
  <si>
    <t xml:space="preserve">HVAC</t>
  </si>
  <si>
    <t xml:space="preserve">Less:</t>
  </si>
  <si>
    <t xml:space="preserve">L#13</t>
  </si>
  <si>
    <t xml:space="preserve">Land &amp; Improvments</t>
  </si>
  <si>
    <t xml:space="preserve">L#14</t>
  </si>
  <si>
    <t xml:space="preserve">Set</t>
  </si>
  <si>
    <t xml:space="preserve">Interest</t>
  </si>
  <si>
    <t xml:space="preserve">L#15&amp;16</t>
  </si>
  <si>
    <t xml:space="preserve">INSULATION</t>
  </si>
  <si>
    <t xml:space="preserve">L#20</t>
  </si>
  <si>
    <t xml:space="preserve">SHEETROCK</t>
  </si>
  <si>
    <t xml:space="preserve">Stock</t>
  </si>
  <si>
    <t xml:space="preserve">Board &amp; Nail Total</t>
  </si>
  <si>
    <t xml:space="preserve">Hang, Tape, Float &amp; Texture</t>
  </si>
  <si>
    <t xml:space="preserve">L#21</t>
  </si>
  <si>
    <t xml:space="preserve">GARAGE DOORS</t>
  </si>
  <si>
    <t xml:space="preserve">INTERIOR TRIM</t>
  </si>
  <si>
    <t xml:space="preserve">Doors</t>
  </si>
  <si>
    <t xml:space="preserve">Millwork</t>
  </si>
  <si>
    <t xml:space="preserve">PAINT</t>
  </si>
  <si>
    <t xml:space="preserve">L#11</t>
  </si>
  <si>
    <t xml:space="preserve">Exterior</t>
  </si>
  <si>
    <t xml:space="preserve">L#24</t>
  </si>
  <si>
    <t xml:space="preserve">Interior Trim</t>
  </si>
  <si>
    <t xml:space="preserve">Touch Up</t>
  </si>
  <si>
    <t xml:space="preserve">FINISH ITEMS</t>
  </si>
  <si>
    <t xml:space="preserve">L#22</t>
  </si>
  <si>
    <t xml:space="preserve">Cabinets</t>
  </si>
  <si>
    <t xml:space="preserve">Countertops</t>
  </si>
  <si>
    <t xml:space="preserve">x</t>
  </si>
  <si>
    <t xml:space="preserve">L#29</t>
  </si>
  <si>
    <t xml:space="preserve">Hardware With VING Card)</t>
  </si>
  <si>
    <t xml:space="preserve">Electrical Fixtures</t>
  </si>
  <si>
    <t xml:space="preserve">Rent</t>
  </si>
  <si>
    <t xml:space="preserve">L#26</t>
  </si>
  <si>
    <t xml:space="preserve">L#27</t>
  </si>
  <si>
    <t xml:space="preserve">Flooring</t>
  </si>
  <si>
    <t xml:space="preserve">Specialty Items - Mini-Blinds</t>
  </si>
  <si>
    <t xml:space="preserve">L#28</t>
  </si>
  <si>
    <t xml:space="preserve">FLATWORK</t>
  </si>
  <si>
    <t xml:space="preserve">Curb Cut</t>
  </si>
  <si>
    <t xml:space="preserve">Drives</t>
  </si>
  <si>
    <t xml:space="preserve">Walks</t>
  </si>
  <si>
    <t xml:space="preserve">L#30</t>
  </si>
  <si>
    <t xml:space="preserve">FENCING</t>
  </si>
  <si>
    <t xml:space="preserve">LANDSCAPING</t>
  </si>
  <si>
    <t xml:space="preserve">Sprinklers - Front &amp; Rear</t>
  </si>
  <si>
    <t xml:space="preserve">N/A</t>
  </si>
  <si>
    <t xml:space="preserve">CLEAN UP</t>
  </si>
  <si>
    <t xml:space="preserve">L#31</t>
  </si>
  <si>
    <t xml:space="preserve">Site</t>
  </si>
  <si>
    <t xml:space="preserve">Interior</t>
  </si>
  <si>
    <t xml:space="preserve">Final Grade</t>
  </si>
  <si>
    <t xml:space="preserve">Dumpster</t>
  </si>
  <si>
    <t xml:space="preserve">Job Toilet</t>
  </si>
  <si>
    <t xml:space="preserve">MISCELLANEOUS</t>
  </si>
  <si>
    <t xml:space="preserve">L#37</t>
  </si>
  <si>
    <t xml:space="preserve">SUPERVISION</t>
  </si>
  <si>
    <t xml:space="preserve">TOTAL UNIT CONSTRUCTION</t>
  </si>
  <si>
    <t xml:space="preserve">CofO</t>
  </si>
  <si>
    <t xml:space="preserve">Total</t>
  </si>
  <si>
    <t xml:space="preserve">Per Acre</t>
  </si>
  <si>
    <t xml:space="preserve">Parking &amp; Drives</t>
  </si>
  <si>
    <t xml:space="preserve">Curbing</t>
  </si>
  <si>
    <t xml:space="preserve">Striping</t>
  </si>
  <si>
    <t xml:space="preserve">Landscaping</t>
  </si>
  <si>
    <t xml:space="preserve">Entry Gates</t>
  </si>
  <si>
    <t xml:space="preserve">Perimeter Wall-Bishop</t>
  </si>
  <si>
    <t xml:space="preserve">Lighting</t>
  </si>
  <si>
    <t xml:space="preserve">Signage</t>
  </si>
  <si>
    <t xml:space="preserve">Rental Office FF&amp;E</t>
  </si>
  <si>
    <t xml:space="preserve">Sub Total</t>
  </si>
  <si>
    <t xml:space="preserve">Common Ammenities</t>
  </si>
  <si>
    <t xml:space="preserve">Swimming Pool</t>
  </si>
  <si>
    <t xml:space="preserve">Pool Shower/Restroom</t>
  </si>
  <si>
    <t xml:space="preserve">Vollyball Court</t>
  </si>
  <si>
    <t xml:space="preserve">Sub Total Comm. Ammenities</t>
  </si>
  <si>
    <t xml:space="preserve">Total Imp. &amp; Ammenities</t>
  </si>
  <si>
    <t xml:space="preserve">TOTAL IMPROVED LOT</t>
  </si>
  <si>
    <t xml:space="preserve">TOTAL DIRECT COST</t>
  </si>
  <si>
    <t xml:space="preserve">Finance Cost</t>
  </si>
  <si>
    <t xml:space="preserve">Appraisal</t>
  </si>
  <si>
    <t xml:space="preserve">Origination</t>
  </si>
  <si>
    <t xml:space="preserve">Closing Costs</t>
  </si>
  <si>
    <t xml:space="preserve">Interest Reserve</t>
  </si>
  <si>
    <t xml:space="preserve">Total Finance Cost</t>
  </si>
  <si>
    <t xml:space="preserve">Interim Loan Amount</t>
  </si>
  <si>
    <t xml:space="preserve">LTC</t>
  </si>
  <si>
    <t xml:space="preserve">Equity Required</t>
  </si>
  <si>
    <t xml:space="preserve">Less Defferred C. Profit</t>
  </si>
  <si>
    <t xml:space="preserve">Cash Equity</t>
  </si>
  <si>
    <t xml:space="preserve">Water</t>
  </si>
  <si>
    <t xml:space="preserve">Sewer</t>
  </si>
  <si>
    <t xml:space="preserve">TV&amp;Cable</t>
  </si>
  <si>
    <t xml:space="preserve">Elec</t>
  </si>
  <si>
    <t xml:space="preserve">Gates</t>
  </si>
  <si>
    <t xml:space="preserve">Office FF&amp;E</t>
  </si>
  <si>
    <t xml:space="preserve">Wall On Bishop</t>
  </si>
  <si>
    <t xml:space="preserve">Pool</t>
  </si>
  <si>
    <t xml:space="preserve">Volleyball Court</t>
  </si>
  <si>
    <t xml:space="preserve">Baths</t>
  </si>
  <si>
    <t xml:space="preserve">PLAN C - 3+3.5+2</t>
  </si>
  <si>
    <t xml:space="preserve">PLAN D - 4+2+2</t>
  </si>
  <si>
    <t xml:space="preserve">Per ACSF</t>
  </si>
  <si>
    <t xml:space="preserve">Per Cvrd SF</t>
  </si>
  <si>
    <t xml:space="preserve">Architecture &amp; Engineering</t>
  </si>
  <si>
    <t xml:space="preserve">$2.50/SF</t>
  </si>
  <si>
    <t xml:space="preserve">Civil Engineering</t>
  </si>
  <si>
    <t xml:space="preserve">$2/SF</t>
  </si>
  <si>
    <t xml:space="preserve">$8/LF</t>
  </si>
  <si>
    <t xml:space="preserve">$0.50/SF</t>
  </si>
  <si>
    <t xml:space="preserve">$35/LF</t>
  </si>
  <si>
    <t xml:space="preserve">Landscaping &amp; Sprinklers</t>
  </si>
  <si>
    <t xml:space="preserve">$4000/Gate</t>
  </si>
  <si>
    <t xml:space="preserve">Total Bdrm Rent + Garage Fee</t>
  </si>
  <si>
    <t xml:space="preserve">Rent/Bedroom/Mo</t>
  </si>
  <si>
    <t xml:space="preserve">Return on Cost/Year</t>
  </si>
  <si>
    <t xml:space="preserve">ONE BEDROOM</t>
  </si>
  <si>
    <t xml:space="preserve">TWO BEDROOMS</t>
  </si>
  <si>
    <t xml:space="preserve">THREE BEDROOMS</t>
  </si>
  <si>
    <t xml:space="preserve">SMALLER</t>
  </si>
  <si>
    <t xml:space="preserve">LARGER</t>
  </si>
  <si>
    <t xml:space="preserve">ONE BATH</t>
  </si>
  <si>
    <t xml:space="preserve">TWO BATH</t>
  </si>
  <si>
    <t xml:space="preserve">THREE &amp; THREE 1/2 BATH</t>
  </si>
  <si>
    <t xml:space="preserve">FOUR BEDROOMS</t>
  </si>
  <si>
    <t xml:space="preserve">THREE BATH</t>
  </si>
  <si>
    <t xml:space="preserve">FOUR BATH</t>
  </si>
  <si>
    <t xml:space="preserve">Total Units</t>
  </si>
  <si>
    <t xml:space="preserve">Age</t>
  </si>
  <si>
    <t xml:space="preserve">Size</t>
  </si>
  <si>
    <t xml:space="preserve">Rent/SF</t>
  </si>
  <si>
    <t xml:space="preserve">Rent/Bdrm</t>
  </si>
  <si>
    <t xml:space="preserve">Jefferson</t>
  </si>
  <si>
    <t xml:space="preserve">The Palazzo</t>
  </si>
  <si>
    <t xml:space="preserve">Hillside Ranch</t>
  </si>
  <si>
    <t xml:space="preserve">Sterling Univ. Apts.</t>
  </si>
  <si>
    <t xml:space="preserve">SM134</t>
  </si>
</sst>
</file>

<file path=xl/styles.xml><?xml version="1.0" encoding="utf-8"?>
<styleSheet xmlns="http://schemas.openxmlformats.org/spreadsheetml/2006/main">
  <numFmts count="21">
    <numFmt numFmtId="164" formatCode="[$-409]#,##0_);[RED]\(#,##0\)"/>
    <numFmt numFmtId="165" formatCode="[$-409]General"/>
    <numFmt numFmtId="166" formatCode="#,##0.0_);[RED]\(#,##0.0\)"/>
    <numFmt numFmtId="167" formatCode="[$-409]#,##0.00_);[RED]\(#,##0.00\)"/>
    <numFmt numFmtId="168" formatCode="_(\$* #,##0.00_);_(\$* \(#,##0.00\);_(\$* \-??_);_(@_)"/>
    <numFmt numFmtId="169" formatCode="_(\$* #,##0_);_(\$* \(#,##0\);_(\$* \-??_);_(@_)"/>
    <numFmt numFmtId="170" formatCode="0.0%"/>
    <numFmt numFmtId="171" formatCode="_(* #,##0.00_);_(* \(#,##0.00\);_(* \-??_);_(@_)"/>
    <numFmt numFmtId="172" formatCode="_(\$* #,##0.0000_);_(\$* \(#,##0.0000\);_(\$* \-??_);_(@_)"/>
    <numFmt numFmtId="173" formatCode="\$#,##0_);[RED]&quot;($&quot;#,##0\)"/>
    <numFmt numFmtId="174" formatCode="_(* #,##0_);_(* \(#,##0\);_(* \-??_);_(@_)"/>
    <numFmt numFmtId="175" formatCode="[$-409]@"/>
    <numFmt numFmtId="176" formatCode="General"/>
    <numFmt numFmtId="177" formatCode="[$-409]0.00%"/>
    <numFmt numFmtId="178" formatCode="_(\$* #,##0_);_(\$* \(#,##0\);_(\$* \-_);_(@_)"/>
    <numFmt numFmtId="179" formatCode="_(* #,##0_);_(* \(#,##0\);_(* \-_);_(@_)"/>
    <numFmt numFmtId="180" formatCode="_(* #,##0.00_);_(* \(#,##0.00\);_(* \-_);_(@_)"/>
    <numFmt numFmtId="181" formatCode="_(* #,##0.0000_);_(* \(#,##0.0000\);_(* \-??_);_(@_)"/>
    <numFmt numFmtId="182" formatCode="#,##0.000_);[RED]\(#,##0.000\)"/>
    <numFmt numFmtId="183" formatCode="\$#,##0.00_);[RED]&quot;($&quot;#,##0.00\)"/>
    <numFmt numFmtId="184" formatCode="0.000%"/>
  </numFmts>
  <fonts count="19">
    <font>
      <b val="true"/>
      <sz val="8"/>
      <name val="Benguiat Bk BT"/>
      <family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meriGarmnd BT"/>
      <family val="1"/>
    </font>
    <font>
      <b val="true"/>
      <sz val="8"/>
      <name val="Goudy"/>
      <family val="1"/>
    </font>
    <font>
      <b val="true"/>
      <sz val="10"/>
      <name val="Times New Roman"/>
      <family val="1"/>
    </font>
    <font>
      <b val="true"/>
      <sz val="10"/>
      <name val="Goudy"/>
      <family val="1"/>
    </font>
    <font>
      <u val="single"/>
      <sz val="9"/>
      <name val="Arial"/>
      <family val="2"/>
    </font>
    <font>
      <sz val="9"/>
      <name val="Arial"/>
      <family val="2"/>
    </font>
    <font>
      <sz val="10"/>
      <name val="Goudy"/>
      <family val="1"/>
    </font>
    <font>
      <b val="true"/>
      <sz val="9"/>
      <name val="Arial"/>
      <family val="2"/>
    </font>
    <font>
      <sz val="9"/>
      <name val="Goudy"/>
      <family val="1"/>
    </font>
    <font>
      <b val="true"/>
      <u val="single"/>
      <sz val="9"/>
      <name val="Arial"/>
      <family val="2"/>
    </font>
    <font>
      <u val="single"/>
      <sz val="9"/>
      <name val="Abadi MT Condensed Light"/>
      <family val="2"/>
    </font>
    <font>
      <b val="true"/>
      <sz val="9"/>
      <name val="Arial"/>
      <family val="0"/>
    </font>
    <font>
      <b val="true"/>
      <sz val="10"/>
      <name val="AGaramond"/>
      <family val="1"/>
    </font>
    <font>
      <sz val="10"/>
      <name val="AGaramond"/>
      <family val="1"/>
    </font>
    <font>
      <b val="true"/>
      <sz val="10"/>
      <color rgb="FF800080"/>
      <name val="AGaramond"/>
      <family val="1"/>
    </font>
  </fonts>
  <fills count="10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800080"/>
        <bgColor rgb="FF800080"/>
      </patternFill>
    </fill>
    <fill>
      <patternFill patternType="solid">
        <fgColor rgb="FFFFFF99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dotted"/>
      <right/>
      <top style="dotted"/>
      <bottom/>
      <diagonal/>
    </border>
    <border diagonalUp="false" diagonalDown="false">
      <left/>
      <right/>
      <top style="dotted"/>
      <bottom/>
      <diagonal/>
    </border>
    <border diagonalUp="false" diagonalDown="false">
      <left/>
      <right style="dotted"/>
      <top style="dotted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dotted"/>
      <top/>
      <bottom style="dotted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9" fillId="0" borderId="0" applyFont="true" applyBorder="false" applyAlignment="false" applyProtection="false"/>
    <xf numFmtId="179" fontId="9" fillId="0" borderId="0" applyFont="true" applyBorder="false" applyAlignment="false" applyProtection="false"/>
    <xf numFmtId="168" fontId="9" fillId="0" borderId="0" applyFont="true" applyBorder="false" applyAlignment="false" applyProtection="false"/>
    <xf numFmtId="178" fontId="9" fillId="0" borderId="0" applyFont="true" applyBorder="false" applyAlignment="false" applyProtection="false"/>
    <xf numFmtId="170" fontId="10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6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19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21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21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13" fillId="3" borderId="0" xfId="21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13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9" fillId="0" borderId="0" xfId="21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4" fontId="9" fillId="0" borderId="0" xfId="15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0" fontId="9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9" fillId="4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1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5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1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1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1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2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0" xfId="19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9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9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7" fillId="9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9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9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9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9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6" fillId="9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9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lumn Headings" xfId="20"/>
    <cellStyle name="Heading 2 1" xfId="21"/>
    <cellStyle name="HEADING 3" xfId="22"/>
    <cellStyle name="HEADING2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8.84"/>
    <col collapsed="false" customWidth="true" hidden="false" outlineLevel="0" max="4" min="4" style="0" width="11.99"/>
    <col collapsed="false" customWidth="true" hidden="false" outlineLevel="0" max="7" min="7" style="0" width="9.56"/>
    <col collapsed="false" customWidth="true" hidden="false" outlineLevel="0" max="10" min="10" style="0" width="9.56"/>
    <col collapsed="false" customWidth="true" hidden="false" outlineLevel="0" max="13" min="13" style="0" width="11.99"/>
    <col collapsed="false" customWidth="true" hidden="false" outlineLevel="0" max="14" min="14" style="0" width="9.99"/>
  </cols>
  <sheetData>
    <row r="1" customFormat="false" ht="12" hidden="false" customHeight="false" outlineLevel="0" collapsed="false">
      <c r="D1" s="1" t="s">
        <v>0</v>
      </c>
      <c r="E1" s="1"/>
      <c r="G1" s="1" t="s">
        <v>1</v>
      </c>
      <c r="H1" s="1"/>
      <c r="J1" s="1" t="s">
        <v>2</v>
      </c>
      <c r="K1" s="1"/>
      <c r="M1" s="2" t="s">
        <v>3</v>
      </c>
      <c r="N1" s="2"/>
      <c r="O1" s="2"/>
    </row>
    <row r="2" customFormat="false" ht="12" hidden="false" customHeight="false" outlineLevel="0" collapsed="false">
      <c r="D2" s="3"/>
      <c r="E2" s="3"/>
      <c r="G2" s="3"/>
      <c r="H2" s="3"/>
      <c r="J2" s="3"/>
      <c r="K2" s="3"/>
      <c r="M2" s="4" t="s">
        <v>3</v>
      </c>
      <c r="N2" s="4" t="s">
        <v>4</v>
      </c>
      <c r="O2" s="4" t="s">
        <v>5</v>
      </c>
    </row>
    <row r="3" customFormat="false" ht="11.25" hidden="false" customHeight="false" outlineLevel="0" collapsed="false">
      <c r="A3" s="0" t="s">
        <v>6</v>
      </c>
      <c r="D3" s="0" t="n">
        <v>2</v>
      </c>
      <c r="E3" s="0" t="n">
        <v>2</v>
      </c>
      <c r="G3" s="0" t="n">
        <v>2</v>
      </c>
      <c r="H3" s="5" t="n">
        <v>2.5</v>
      </c>
      <c r="J3" s="0" t="n">
        <v>3</v>
      </c>
      <c r="K3" s="5" t="n">
        <v>3.5</v>
      </c>
    </row>
    <row r="4" customFormat="false" ht="11.25" hidden="false" customHeight="false" outlineLevel="0" collapsed="false">
      <c r="A4" s="0" t="s">
        <v>7</v>
      </c>
      <c r="D4" s="0" t="n">
        <v>1198</v>
      </c>
      <c r="G4" s="0" t="n">
        <v>1107</v>
      </c>
      <c r="J4" s="0" t="n">
        <v>1287</v>
      </c>
      <c r="M4" s="0" t="n">
        <f aca="false">+J4*J8+G4*G8+D4*D8</f>
        <v>159051</v>
      </c>
    </row>
    <row r="5" customFormat="false" ht="11.25" hidden="false" customHeight="false" outlineLevel="0" collapsed="false">
      <c r="A5" s="0" t="s">
        <v>8</v>
      </c>
      <c r="D5" s="2" t="s">
        <v>9</v>
      </c>
      <c r="E5" s="2"/>
      <c r="G5" s="2" t="s">
        <v>10</v>
      </c>
      <c r="H5" s="2"/>
      <c r="J5" s="2" t="s">
        <v>10</v>
      </c>
      <c r="K5" s="2"/>
    </row>
    <row r="6" customFormat="false" ht="11.25" hidden="false" customHeight="false" outlineLevel="0" collapsed="false">
      <c r="A6" s="0" t="s">
        <v>11</v>
      </c>
      <c r="D6" s="0" t="n">
        <v>28</v>
      </c>
      <c r="E6" s="0" t="s">
        <v>12</v>
      </c>
      <c r="G6" s="6" t="n">
        <v>15.83</v>
      </c>
      <c r="H6" s="0" t="s">
        <v>12</v>
      </c>
      <c r="J6" s="0" t="n">
        <v>26</v>
      </c>
      <c r="K6" s="0" t="s">
        <v>12</v>
      </c>
    </row>
    <row r="7" customFormat="false" ht="11.25" hidden="false" customHeight="false" outlineLevel="0" collapsed="false">
      <c r="G7" s="6"/>
    </row>
    <row r="8" customFormat="false" ht="11.25" hidden="false" customHeight="false" outlineLevel="0" collapsed="false">
      <c r="A8" s="0" t="s">
        <v>13</v>
      </c>
      <c r="D8" s="0" t="n">
        <f aca="false">+'Unit Costs'!P7</f>
        <v>3</v>
      </c>
      <c r="G8" s="0" t="n">
        <f aca="false">+'Unit Costs'!T7</f>
        <v>73</v>
      </c>
      <c r="J8" s="0" t="n">
        <f aca="false">+'Unit Costs'!X7</f>
        <v>58</v>
      </c>
      <c r="M8" s="0" t="n">
        <f aca="false">J8+G8+D8</f>
        <v>134</v>
      </c>
    </row>
    <row r="10" customFormat="false" ht="12" hidden="false" customHeight="false" outlineLevel="0" collapsed="false">
      <c r="A10" s="0" t="s">
        <v>14</v>
      </c>
      <c r="D10" s="7" t="n">
        <v>1250</v>
      </c>
      <c r="E10" s="8" t="n">
        <f aca="false">+D10/D$4</f>
        <v>1.04340567612688</v>
      </c>
      <c r="G10" s="7" t="n">
        <v>1200</v>
      </c>
      <c r="H10" s="8" t="n">
        <f aca="false">+G10/G$4</f>
        <v>1.0840108401084</v>
      </c>
      <c r="J10" s="7" t="n">
        <f aca="false">475*3</f>
        <v>1425</v>
      </c>
      <c r="K10" s="8" t="n">
        <f aca="false">+J10/J$4</f>
        <v>1.10722610722611</v>
      </c>
      <c r="M10" s="7" t="n">
        <f aca="false">J10*J$8+G10*G$8+D10*D$8</f>
        <v>174000</v>
      </c>
      <c r="N10" s="7" t="n">
        <f aca="false">+M10/M$8</f>
        <v>1298.50746268657</v>
      </c>
      <c r="O10" s="8" t="n">
        <f aca="false">+M10/M$4</f>
        <v>1.09398872059905</v>
      </c>
    </row>
    <row r="12" customFormat="false" ht="12.75" hidden="false" customHeight="false" outlineLevel="0" collapsed="false">
      <c r="A12" s="0" t="s">
        <v>15</v>
      </c>
      <c r="B12" s="9" t="n">
        <v>0.05</v>
      </c>
      <c r="C12" s="9"/>
      <c r="D12" s="0" t="n">
        <f aca="false">-$B12*D$10</f>
        <v>-62.5</v>
      </c>
      <c r="E12" s="8" t="n">
        <f aca="false">+D12/D$4</f>
        <v>-0.0521702838063439</v>
      </c>
      <c r="G12" s="0" t="n">
        <f aca="false">-$B12*G$10</f>
        <v>-60</v>
      </c>
      <c r="H12" s="8" t="n">
        <f aca="false">+G12/G$4</f>
        <v>-0.0542005420054201</v>
      </c>
      <c r="J12" s="0" t="n">
        <f aca="false">-$B12*J$10</f>
        <v>-71.25</v>
      </c>
      <c r="K12" s="8" t="n">
        <f aca="false">+J12/J$4</f>
        <v>-0.0553613053613054</v>
      </c>
      <c r="M12" s="0" t="n">
        <f aca="false">J12*J$8+G12*G$8+D12*D$8</f>
        <v>-8700</v>
      </c>
      <c r="N12" s="0" t="n">
        <f aca="false">+M12/M$8</f>
        <v>-64.9253731343284</v>
      </c>
      <c r="O12" s="6" t="n">
        <f aca="false">+M12/M$4</f>
        <v>-0.0546994360299527</v>
      </c>
    </row>
    <row r="13" customFormat="false" ht="12.75" hidden="false" customHeight="false" outlineLevel="0" collapsed="false">
      <c r="A13" s="0" t="s">
        <v>16</v>
      </c>
      <c r="B13" s="9" t="n">
        <v>0.05</v>
      </c>
      <c r="C13" s="9"/>
      <c r="D13" s="0" t="n">
        <f aca="false">-$B13*D$10</f>
        <v>-62.5</v>
      </c>
      <c r="E13" s="10" t="n">
        <f aca="false">+D13/D$4</f>
        <v>-0.0521702838063439</v>
      </c>
      <c r="G13" s="0" t="n">
        <f aca="false">-$B13*G$10</f>
        <v>-60</v>
      </c>
      <c r="H13" s="10" t="n">
        <f aca="false">+G13/G$4</f>
        <v>-0.0542005420054201</v>
      </c>
      <c r="J13" s="0" t="n">
        <f aca="false">-$B13*J$10</f>
        <v>-71.25</v>
      </c>
      <c r="K13" s="10" t="n">
        <f aca="false">+J13/J$4</f>
        <v>-0.0553613053613054</v>
      </c>
      <c r="M13" s="0" t="n">
        <f aca="false">J13*J$8+G13*G$8+D13*D$8</f>
        <v>-8700</v>
      </c>
      <c r="N13" s="0" t="n">
        <f aca="false">+M13/M$8</f>
        <v>-64.9253731343284</v>
      </c>
      <c r="O13" s="6" t="n">
        <f aca="false">+M13/M$4</f>
        <v>-0.0546994360299527</v>
      </c>
    </row>
    <row r="14" customFormat="false" ht="12" hidden="false" customHeight="false" outlineLevel="0" collapsed="false">
      <c r="A14" s="0" t="s">
        <v>17</v>
      </c>
      <c r="D14" s="7" t="n">
        <f aca="false">SUM(D10:D13)</f>
        <v>1125</v>
      </c>
      <c r="E14" s="8" t="n">
        <f aca="false">+D14/D$4</f>
        <v>0.93906510851419</v>
      </c>
      <c r="G14" s="7" t="n">
        <f aca="false">SUM(G10:G13)</f>
        <v>1080</v>
      </c>
      <c r="H14" s="8" t="n">
        <f aca="false">+G14/G$4</f>
        <v>0.975609756097561</v>
      </c>
      <c r="J14" s="7" t="n">
        <f aca="false">SUM(J10:J13)</f>
        <v>1282.5</v>
      </c>
      <c r="K14" s="8" t="n">
        <f aca="false">+J14/J$4</f>
        <v>0.996503496503497</v>
      </c>
      <c r="M14" s="7" t="n">
        <f aca="false">SUM(M10:M13)</f>
        <v>156600</v>
      </c>
      <c r="N14" s="7" t="n">
        <f aca="false">+M14/M$8</f>
        <v>1168.65671641791</v>
      </c>
      <c r="O14" s="8" t="n">
        <f aca="false">+M14/M$4</f>
        <v>0.984589848539148</v>
      </c>
    </row>
    <row r="16" customFormat="false" ht="12" hidden="false" customHeight="false" outlineLevel="0" collapsed="false">
      <c r="A16" s="11" t="s">
        <v>18</v>
      </c>
    </row>
    <row r="17" customFormat="false" ht="12" hidden="false" customHeight="false" outlineLevel="0" collapsed="false">
      <c r="A17" s="0" t="s">
        <v>19</v>
      </c>
      <c r="B17" s="8" t="n">
        <f aca="false">55000/12/1343/28</f>
        <v>0.121884196716661</v>
      </c>
      <c r="C17" s="12" t="s">
        <v>5</v>
      </c>
      <c r="D17" s="0" t="n">
        <f aca="false">-$B17*D$4</f>
        <v>-146.01726766656</v>
      </c>
      <c r="E17" s="8" t="n">
        <f aca="false">+D17/D$4</f>
        <v>-0.121884196716661</v>
      </c>
      <c r="G17" s="0" t="n">
        <f aca="false">-$B17*G4</f>
        <v>-134.925805765344</v>
      </c>
      <c r="H17" s="8" t="n">
        <f aca="false">+G17/G$4</f>
        <v>-0.121884196716661</v>
      </c>
      <c r="J17" s="0" t="n">
        <f aca="false">-$B17*J4</f>
        <v>-156.864961174343</v>
      </c>
      <c r="K17" s="8" t="n">
        <f aca="false">+J17/J$4</f>
        <v>-0.121884196716661</v>
      </c>
      <c r="M17" s="0" t="n">
        <f aca="false">J17*J$8+G17*G$8+D17*D$8</f>
        <v>-19385.8033719817</v>
      </c>
      <c r="N17" s="0" t="n">
        <f aca="false">+M17/M$8</f>
        <v>-144.670174417774</v>
      </c>
      <c r="O17" s="6" t="n">
        <f aca="false">+M17/M$4</f>
        <v>-0.121884196716661</v>
      </c>
    </row>
    <row r="18" customFormat="false" ht="12" hidden="false" customHeight="false" outlineLevel="0" collapsed="false">
      <c r="A18" s="0" t="s">
        <v>20</v>
      </c>
      <c r="B18" s="13" t="n">
        <f aca="false">0.0045/0.025*B17</f>
        <v>0.021939155408999</v>
      </c>
      <c r="C18" s="12" t="s">
        <v>5</v>
      </c>
      <c r="D18" s="0" t="n">
        <f aca="false">-$B18*D$4</f>
        <v>-26.2831081799808</v>
      </c>
      <c r="E18" s="10" t="n">
        <f aca="false">+D18/D$4</f>
        <v>-0.021939155408999</v>
      </c>
      <c r="G18" s="0" t="n">
        <f aca="false">-$B18*G$4</f>
        <v>-24.2866450377619</v>
      </c>
      <c r="H18" s="10" t="n">
        <f aca="false">+G18/G$4</f>
        <v>-0.021939155408999</v>
      </c>
      <c r="J18" s="0" t="n">
        <f aca="false">-$B18*J$4</f>
        <v>-28.2356930113818</v>
      </c>
      <c r="K18" s="10" t="n">
        <f aca="false">+J18/J$4</f>
        <v>-0.021939155408999</v>
      </c>
      <c r="M18" s="0" t="n">
        <f aca="false">J18*J$8+G18*G$8+D18*D$8</f>
        <v>-3489.44460695671</v>
      </c>
      <c r="N18" s="0" t="n">
        <f aca="false">+M18/M$8</f>
        <v>-26.0406313951993</v>
      </c>
      <c r="O18" s="6" t="n">
        <f aca="false">+M18/M$4</f>
        <v>-0.021939155408999</v>
      </c>
    </row>
    <row r="19" customFormat="false" ht="12" hidden="false" customHeight="false" outlineLevel="0" collapsed="false">
      <c r="A19" s="0" t="s">
        <v>21</v>
      </c>
      <c r="D19" s="0" t="n">
        <v>-50</v>
      </c>
      <c r="E19" s="10" t="n">
        <f aca="false">+D19/D$4</f>
        <v>-0.0417362270450751</v>
      </c>
      <c r="G19" s="0" t="n">
        <v>-50</v>
      </c>
      <c r="H19" s="10" t="n">
        <f aca="false">+G19/G$4</f>
        <v>-0.04516711833785</v>
      </c>
      <c r="J19" s="0" t="n">
        <v>-50</v>
      </c>
      <c r="K19" s="10" t="n">
        <f aca="false">+J19/J$4</f>
        <v>-0.0388500388500389</v>
      </c>
      <c r="M19" s="0" t="n">
        <f aca="false">J19*J$8+G19*G$8+D19*D$8</f>
        <v>-6700</v>
      </c>
      <c r="N19" s="0" t="n">
        <f aca="false">+M19/M$8</f>
        <v>-50</v>
      </c>
      <c r="O19" s="6" t="n">
        <f aca="false">+M19/M$4</f>
        <v>-0.0421248530345612</v>
      </c>
    </row>
    <row r="20" customFormat="false" ht="12" hidden="false" customHeight="false" outlineLevel="0" collapsed="false">
      <c r="A20" s="0" t="s">
        <v>22</v>
      </c>
      <c r="B20" s="0" t="n">
        <v>350</v>
      </c>
      <c r="C20" s="0" t="s">
        <v>23</v>
      </c>
      <c r="D20" s="0" t="n">
        <f aca="false">-$B20/12</f>
        <v>-29.1666666666667</v>
      </c>
      <c r="E20" s="10" t="n">
        <f aca="false">+D20/D$4</f>
        <v>-0.0243461324429605</v>
      </c>
      <c r="G20" s="0" t="n">
        <f aca="false">-$B20/12</f>
        <v>-29.1666666666667</v>
      </c>
      <c r="H20" s="10" t="n">
        <f aca="false">+G20/G$4</f>
        <v>-0.0263474856970792</v>
      </c>
      <c r="J20" s="0" t="n">
        <f aca="false">-$B20/12</f>
        <v>-29.1666666666667</v>
      </c>
      <c r="K20" s="10" t="n">
        <f aca="false">+J20/J$4</f>
        <v>-0.0226625226625227</v>
      </c>
      <c r="M20" s="0" t="n">
        <f aca="false">J20*J$8+G20*G$8+D20*D$8</f>
        <v>-3908.33333333333</v>
      </c>
      <c r="N20" s="0" t="n">
        <f aca="false">+M20/M$8</f>
        <v>-29.1666666666667</v>
      </c>
      <c r="O20" s="6" t="n">
        <f aca="false">+M20/M$4</f>
        <v>-0.0245728309368274</v>
      </c>
    </row>
    <row r="21" customFormat="false" ht="12" hidden="false" customHeight="false" outlineLevel="0" collapsed="false">
      <c r="A21" s="0" t="s">
        <v>24</v>
      </c>
      <c r="B21" s="0" t="n">
        <v>200</v>
      </c>
      <c r="C21" s="0" t="s">
        <v>25</v>
      </c>
      <c r="D21" s="6" t="n">
        <f aca="false">-200/134</f>
        <v>-1.49253731343284</v>
      </c>
      <c r="E21" s="10" t="n">
        <f aca="false">+D21/D$4</f>
        <v>-0.00124585752373359</v>
      </c>
      <c r="G21" s="6" t="n">
        <f aca="false">-200/134</f>
        <v>-1.49253731343284</v>
      </c>
      <c r="H21" s="10" t="n">
        <f aca="false">+G21/G$4</f>
        <v>-0.00134827218918955</v>
      </c>
      <c r="J21" s="6" t="n">
        <f aca="false">-200/134</f>
        <v>-1.49253731343284</v>
      </c>
      <c r="K21" s="10" t="n">
        <f aca="false">+J21/J$4</f>
        <v>-0.00115970265223997</v>
      </c>
      <c r="M21" s="0" t="n">
        <f aca="false">J21*J$8+G21*G$8+D21*D$8</f>
        <v>-200</v>
      </c>
      <c r="N21" s="0" t="n">
        <f aca="false">+M21/M$8</f>
        <v>-1.49253731343284</v>
      </c>
      <c r="O21" s="6" t="n">
        <f aca="false">+M21/M$4</f>
        <v>-0.00125745829953914</v>
      </c>
    </row>
    <row r="22" customFormat="false" ht="12" hidden="false" customHeight="false" outlineLevel="0" collapsed="false">
      <c r="E22" s="10"/>
      <c r="H22" s="10"/>
      <c r="K22" s="10"/>
      <c r="M22" s="0" t="n">
        <f aca="false">J22*J$8+G22*G$8+D22*D$8</f>
        <v>0</v>
      </c>
      <c r="N22" s="0" t="n">
        <f aca="false">+M22/M$8</f>
        <v>0</v>
      </c>
      <c r="O22" s="6" t="n">
        <f aca="false">+M22/M$4</f>
        <v>0</v>
      </c>
    </row>
    <row r="23" customFormat="false" ht="12" hidden="false" customHeight="false" outlineLevel="0" collapsed="false">
      <c r="A23" s="14" t="s">
        <v>26</v>
      </c>
      <c r="B23" s="14"/>
      <c r="C23" s="14"/>
      <c r="D23" s="15" t="n">
        <f aca="false">SUM(D17:D22)</f>
        <v>-252.959579826641</v>
      </c>
      <c r="E23" s="8" t="n">
        <f aca="false">+D23/D$4</f>
        <v>-0.21115156913743</v>
      </c>
      <c r="F23" s="14"/>
      <c r="G23" s="15" t="n">
        <f aca="false">SUM(G17:G22)</f>
        <v>-239.871654783206</v>
      </c>
      <c r="H23" s="8" t="n">
        <f aca="false">+G23/G$4</f>
        <v>-0.216686228349779</v>
      </c>
      <c r="I23" s="14"/>
      <c r="J23" s="15" t="n">
        <f aca="false">SUM(J17:J22)</f>
        <v>-265.759858165824</v>
      </c>
      <c r="K23" s="8" t="n">
        <f aca="false">+J23/J$4</f>
        <v>-0.206495616290462</v>
      </c>
      <c r="L23" s="14"/>
      <c r="M23" s="15" t="n">
        <f aca="false">SUM(M17:M22)</f>
        <v>-33683.5813122717</v>
      </c>
      <c r="N23" s="15" t="n">
        <f aca="false">SUM(N17:N22)</f>
        <v>-251.370009793073</v>
      </c>
      <c r="O23" s="15" t="n">
        <f aca="false">SUM(O17:O22)</f>
        <v>-0.211778494396588</v>
      </c>
      <c r="P23" s="14"/>
      <c r="Q23" s="14"/>
      <c r="R23" s="14"/>
      <c r="S23" s="14"/>
      <c r="T23" s="14"/>
      <c r="U23" s="14"/>
    </row>
    <row r="24" customFormat="false" ht="12" hidden="false" customHeight="false" outlineLevel="0" collapsed="false">
      <c r="A24" s="16" t="s">
        <v>27</v>
      </c>
      <c r="D24" s="17" t="n">
        <f aca="false">+D14+D23</f>
        <v>872.040420173359</v>
      </c>
      <c r="E24" s="8" t="n">
        <f aca="false">+D24/D$4</f>
        <v>0.727913539376761</v>
      </c>
      <c r="G24" s="17" t="n">
        <f aca="false">+G14+G23</f>
        <v>840.128345216795</v>
      </c>
      <c r="H24" s="8" t="n">
        <f aca="false">+G24/G$4</f>
        <v>0.758923527747782</v>
      </c>
      <c r="J24" s="17" t="n">
        <f aca="false">+J14+J23</f>
        <v>1016.74014183418</v>
      </c>
      <c r="K24" s="8" t="n">
        <f aca="false">+J24/J$4</f>
        <v>0.790007880213035</v>
      </c>
      <c r="M24" s="17" t="n">
        <f aca="false">+M14+M23</f>
        <v>122916.418687728</v>
      </c>
      <c r="N24" s="17" t="n">
        <f aca="false">+N14+N23</f>
        <v>917.286706624838</v>
      </c>
      <c r="O24" s="6" t="n">
        <f aca="false">+M24/M$4</f>
        <v>0.77281135414256</v>
      </c>
    </row>
    <row r="25" customFormat="false" ht="12" hidden="false" customHeight="false" outlineLevel="0" collapsed="false">
      <c r="E25" s="8"/>
      <c r="H25" s="8"/>
    </row>
    <row r="26" customFormat="false" ht="12" hidden="false" customHeight="false" outlineLevel="0" collapsed="false">
      <c r="A26" s="0" t="s">
        <v>28</v>
      </c>
      <c r="D26" s="7" t="n">
        <f aca="false">D24/0.1*12</f>
        <v>104644.850420803</v>
      </c>
      <c r="E26" s="8" t="n">
        <f aca="false">+D26/D$4</f>
        <v>87.3496247252113</v>
      </c>
      <c r="G26" s="7" t="n">
        <f aca="false">G24/0.1*12</f>
        <v>100815.401426015</v>
      </c>
      <c r="H26" s="8" t="n">
        <f aca="false">+G26/G$4</f>
        <v>91.0708233297338</v>
      </c>
      <c r="J26" s="7" t="n">
        <f aca="false">J24/0.1*12</f>
        <v>122008.817020101</v>
      </c>
      <c r="K26" s="8" t="n">
        <f aca="false">+J26/J$4</f>
        <v>94.8009456255642</v>
      </c>
      <c r="M26" s="7" t="n">
        <f aca="false">M24/0.1*12</f>
        <v>14749970.2425274</v>
      </c>
      <c r="N26" s="0" t="n">
        <f aca="false">+M26/M$8</f>
        <v>110074.404794981</v>
      </c>
      <c r="O26" s="6" t="n">
        <f aca="false">+M26/M$4</f>
        <v>92.7373624971072</v>
      </c>
    </row>
    <row r="28" customFormat="false" ht="12.75" hidden="false" customHeight="false" outlineLevel="0" collapsed="false">
      <c r="A28" s="0" t="s">
        <v>29</v>
      </c>
      <c r="B28" s="9" t="n">
        <v>0.8</v>
      </c>
      <c r="C28" s="0" t="s">
        <v>30</v>
      </c>
      <c r="D28" s="0" t="n">
        <f aca="false">$B28*D26</f>
        <v>83715.8803366425</v>
      </c>
      <c r="G28" s="0" t="n">
        <f aca="false">$B28*G26</f>
        <v>80652.3211408123</v>
      </c>
      <c r="J28" s="0" t="n">
        <f aca="false">$B28*J26</f>
        <v>97607.0536160809</v>
      </c>
      <c r="M28" s="0" t="n">
        <f aca="false">$B28*M26</f>
        <v>11799976.1940219</v>
      </c>
    </row>
    <row r="29" customFormat="false" ht="12.75" hidden="false" customHeight="false" outlineLevel="0" collapsed="false">
      <c r="A29" s="0" t="s">
        <v>31</v>
      </c>
      <c r="B29" s="9" t="n">
        <v>0.072</v>
      </c>
      <c r="C29" s="0" t="s">
        <v>32</v>
      </c>
      <c r="D29" s="0" t="n">
        <f aca="false">PMT(7.2%/12,360,D28)</f>
        <v>-568.253525177021</v>
      </c>
      <c r="G29" s="0" t="n">
        <f aca="false">PMT(7.2%/12,360,G28)</f>
        <v>-547.458446565669</v>
      </c>
      <c r="J29" s="0" t="n">
        <f aca="false">PMT(7.2%/12,360,J28)</f>
        <v>-662.545171554543</v>
      </c>
      <c r="M29" s="0" t="n">
        <f aca="false">PMT(7.2%/12,360,M28)</f>
        <v>-80096.8471249884</v>
      </c>
    </row>
    <row r="30" customFormat="false" ht="12" hidden="false" customHeight="false" outlineLevel="0" collapsed="false">
      <c r="A30" s="0" t="s">
        <v>33</v>
      </c>
      <c r="C30" s="18"/>
      <c r="D30" s="7" t="n">
        <f aca="false">+D29+D24</f>
        <v>303.786894996339</v>
      </c>
      <c r="E30" s="18"/>
      <c r="F30" s="18"/>
      <c r="G30" s="7" t="n">
        <f aca="false">+G29+G24</f>
        <v>292.669898651125</v>
      </c>
      <c r="H30" s="18"/>
      <c r="I30" s="18"/>
      <c r="J30" s="7" t="n">
        <f aca="false">+J29+J24</f>
        <v>354.194970279632</v>
      </c>
      <c r="M30" s="7" t="n">
        <f aca="false">+M29+M24</f>
        <v>42819.5715627398</v>
      </c>
    </row>
    <row r="31" customFormat="false" ht="12" hidden="false" customHeight="false" outlineLevel="0" collapsed="false">
      <c r="A31" s="0" t="s">
        <v>34</v>
      </c>
      <c r="C31" s="18"/>
      <c r="D31" s="7" t="n">
        <f aca="false">+D30*12</f>
        <v>3645.44273995606</v>
      </c>
      <c r="E31" s="18"/>
      <c r="F31" s="18"/>
      <c r="G31" s="7" t="n">
        <f aca="false">+G30*12</f>
        <v>3512.03878381351</v>
      </c>
      <c r="H31" s="18"/>
      <c r="I31" s="18"/>
      <c r="J31" s="7" t="n">
        <f aca="false">+J30*12</f>
        <v>4250.33964335559</v>
      </c>
      <c r="M31" s="7" t="n">
        <f aca="false">+M30*12</f>
        <v>513834.858752878</v>
      </c>
    </row>
    <row r="32" customFormat="false" ht="12" hidden="false" customHeight="false" outlineLevel="0" collapsed="false">
      <c r="D32" s="8"/>
      <c r="G32" s="8"/>
    </row>
    <row r="33" customFormat="false" ht="12" hidden="false" customHeight="false" outlineLevel="0" collapsed="false">
      <c r="D33" s="8"/>
      <c r="G33" s="8"/>
    </row>
    <row r="35" customFormat="false" ht="11.25" hidden="false" customHeight="false" outlineLevel="0" collapsed="false">
      <c r="A35" s="0" t="s">
        <v>35</v>
      </c>
    </row>
    <row r="37" customFormat="false" ht="11.25" hidden="false" customHeight="false" outlineLevel="0" collapsed="false">
      <c r="A37" s="0" t="s">
        <v>36</v>
      </c>
    </row>
    <row r="39" customFormat="false" ht="11.25" hidden="false" customHeight="false" outlineLevel="0" collapsed="false">
      <c r="A39" s="0" t="s">
        <v>37</v>
      </c>
    </row>
    <row r="41" customFormat="false" ht="11.25" hidden="false" customHeight="false" outlineLevel="0" collapsed="false">
      <c r="A41" s="0" t="s">
        <v>38</v>
      </c>
    </row>
    <row r="43" customFormat="false" ht="11.25" hidden="false" customHeight="false" outlineLevel="0" collapsed="false">
      <c r="A43" s="0" t="s">
        <v>39</v>
      </c>
    </row>
    <row r="45" customFormat="false" ht="11.25" hidden="false" customHeight="false" outlineLevel="0" collapsed="false">
      <c r="A45" s="0" t="s">
        <v>40</v>
      </c>
    </row>
    <row r="47" customFormat="false" ht="12" hidden="false" customHeight="false" outlineLevel="0" collapsed="false">
      <c r="A47" s="19" t="s">
        <v>41</v>
      </c>
    </row>
  </sheetData>
  <mergeCells count="7">
    <mergeCell ref="D1:E1"/>
    <mergeCell ref="G1:H1"/>
    <mergeCell ref="J1:K1"/>
    <mergeCell ref="M1:O1"/>
    <mergeCell ref="D5:E5"/>
    <mergeCell ref="G5:H5"/>
    <mergeCell ref="J5:K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63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4650" ySplit="1110" topLeftCell="Y55" activePane="bottomRight" state="split"/>
      <selection pane="topLeft" activeCell="B1" activeCellId="0" sqref="B1"/>
      <selection pane="topRight" activeCell="Y1" activeCellId="0" sqref="Y1"/>
      <selection pane="bottomLeft" activeCell="B55" activeCellId="0" sqref="B55"/>
      <selection pane="bottomRight" activeCell="AB88" activeCellId="0" sqref="AB88"/>
    </sheetView>
  </sheetViews>
  <sheetFormatPr defaultColWidth="7.56640625" defaultRowHeight="12" customHeight="true" zeroHeight="false" outlineLevelRow="0" outlineLevelCol="0"/>
  <cols>
    <col collapsed="false" customWidth="true" hidden="false" outlineLevel="0" max="1" min="1" style="20" width="8.41"/>
    <col collapsed="false" customWidth="true" hidden="false" outlineLevel="0" max="2" min="2" style="21" width="22.84"/>
    <col collapsed="false" customWidth="true" hidden="true" outlineLevel="0" max="3" min="3" style="21" width="5.84"/>
    <col collapsed="false" customWidth="true" hidden="true" outlineLevel="0" max="4" min="4" style="21" width="5.41"/>
    <col collapsed="false" customWidth="false" hidden="true" outlineLevel="0" max="11" min="5" style="21" width="7.56"/>
    <col collapsed="false" customWidth="true" hidden="false" outlineLevel="0" max="12" min="12" style="21" width="11.41"/>
    <col collapsed="false" customWidth="true" hidden="false" outlineLevel="0" max="14" min="13" style="21" width="9.84"/>
    <col collapsed="false" customWidth="true" hidden="false" outlineLevel="0" max="15" min="15" style="21" width="0.99"/>
    <col collapsed="false" customWidth="true" hidden="false" outlineLevel="0" max="16" min="16" style="21" width="11.99"/>
    <col collapsed="false" customWidth="true" hidden="false" outlineLevel="0" max="17" min="17" style="21" width="10.98"/>
    <col collapsed="false" customWidth="true" hidden="false" outlineLevel="0" max="18" min="18" style="21" width="12.42"/>
    <col collapsed="false" customWidth="true" hidden="false" outlineLevel="0" max="19" min="19" style="21" width="0.99"/>
    <col collapsed="false" customWidth="true" hidden="false" outlineLevel="0" max="20" min="20" style="21" width="13.56"/>
    <col collapsed="false" customWidth="true" hidden="false" outlineLevel="0" max="22" min="21" style="21" width="11.41"/>
    <col collapsed="false" customWidth="true" hidden="false" outlineLevel="0" max="23" min="23" style="21" width="0.99"/>
    <col collapsed="false" customWidth="true" hidden="false" outlineLevel="0" max="26" min="24" style="21" width="11.41"/>
    <col collapsed="false" customWidth="true" hidden="false" outlineLevel="0" max="27" min="27" style="21" width="0.99"/>
    <col collapsed="false" customWidth="true" hidden="false" outlineLevel="0" max="28" min="28" style="21" width="11.99"/>
    <col collapsed="false" customWidth="true" hidden="false" outlineLevel="0" max="29" min="29" style="21" width="8.56"/>
    <col collapsed="false" customWidth="false" hidden="false" outlineLevel="0" max="30" min="30" style="21" width="7.56"/>
    <col collapsed="false" customWidth="true" hidden="false" outlineLevel="0" max="31" min="31" style="21" width="0.99"/>
    <col collapsed="false" customWidth="true" hidden="false" outlineLevel="0" max="32" min="32" style="21" width="11.41"/>
    <col collapsed="false" customWidth="true" hidden="false" outlineLevel="0" max="33" min="33" style="21" width="3.56"/>
    <col collapsed="false" customWidth="true" hidden="false" outlineLevel="0" max="34" min="34" style="21" width="23.99"/>
    <col collapsed="false" customWidth="true" hidden="false" outlineLevel="0" max="35" min="35" style="21" width="7.7"/>
    <col collapsed="false" customWidth="true" hidden="false" outlineLevel="0" max="36" min="36" style="21" width="13.7"/>
    <col collapsed="false" customWidth="true" hidden="false" outlineLevel="0" max="37" min="37" style="21" width="9.56"/>
    <col collapsed="false" customWidth="true" hidden="false" outlineLevel="0" max="38" min="38" style="21" width="9.41"/>
    <col collapsed="false" customWidth="false" hidden="false" outlineLevel="0" max="39" min="39" style="21" width="7.56"/>
    <col collapsed="false" customWidth="true" hidden="false" outlineLevel="0" max="40" min="40" style="21" width="11.41"/>
    <col collapsed="false" customWidth="true" hidden="false" outlineLevel="0" max="41" min="41" style="21" width="18.99"/>
    <col collapsed="false" customWidth="true" hidden="false" outlineLevel="0" max="42" min="42" style="21" width="16.28"/>
    <col collapsed="false" customWidth="true" hidden="false" outlineLevel="0" max="43" min="43" style="21" width="19.98"/>
    <col collapsed="false" customWidth="false" hidden="false" outlineLevel="0" max="257" min="44" style="21" width="7.56"/>
  </cols>
  <sheetData>
    <row r="1" customFormat="false" ht="12" hidden="false" customHeight="false" outlineLevel="0" collapsed="false">
      <c r="B1" s="21" t="s">
        <v>42</v>
      </c>
      <c r="L1" s="22" t="n">
        <v>1.125</v>
      </c>
    </row>
    <row r="2" customFormat="false" ht="12" hidden="false" customHeight="false" outlineLevel="0" collapsed="false">
      <c r="B2" s="21" t="s">
        <v>43</v>
      </c>
      <c r="L2" s="23" t="n">
        <v>14</v>
      </c>
      <c r="P2" s="21" t="s">
        <v>44</v>
      </c>
      <c r="Q2" s="21" t="n">
        <v>134</v>
      </c>
    </row>
    <row r="3" customFormat="false" ht="12.75" hidden="false" customHeight="false" outlineLevel="0" collapsed="false">
      <c r="A3" s="20" t="s">
        <v>45</v>
      </c>
      <c r="B3" s="21" t="s">
        <v>46</v>
      </c>
      <c r="L3" s="21" t="s">
        <v>47</v>
      </c>
    </row>
    <row r="4" customFormat="false" ht="12.75" hidden="false" customHeight="false" outlineLevel="0" collapsed="false">
      <c r="B4" s="24" t="s">
        <v>48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</row>
    <row r="5" customFormat="false" ht="12" hidden="false" customHeight="false" outlineLevel="0" collapsed="false">
      <c r="E5" s="27" t="s">
        <v>49</v>
      </c>
      <c r="F5" s="27" t="s">
        <v>50</v>
      </c>
      <c r="G5" s="27" t="s">
        <v>51</v>
      </c>
      <c r="H5" s="27" t="s">
        <v>52</v>
      </c>
      <c r="I5" s="27" t="s">
        <v>53</v>
      </c>
      <c r="J5" s="27" t="s">
        <v>54</v>
      </c>
      <c r="K5" s="27" t="s">
        <v>55</v>
      </c>
      <c r="P5" s="28" t="s">
        <v>56</v>
      </c>
      <c r="Q5" s="28"/>
      <c r="R5" s="28"/>
      <c r="T5" s="28" t="s">
        <v>57</v>
      </c>
      <c r="U5" s="28"/>
      <c r="V5" s="28"/>
      <c r="W5" s="29"/>
      <c r="X5" s="28" t="s">
        <v>58</v>
      </c>
      <c r="Y5" s="28"/>
      <c r="Z5" s="28"/>
      <c r="AA5" s="29"/>
      <c r="AB5" s="28" t="s">
        <v>59</v>
      </c>
      <c r="AC5" s="28"/>
      <c r="AD5" s="28"/>
      <c r="AE5" s="29"/>
      <c r="AF5" s="29"/>
    </row>
    <row r="6" customFormat="false" ht="22.9" hidden="false" customHeight="true" outlineLevel="0" collapsed="false">
      <c r="B6" s="19" t="s">
        <v>60</v>
      </c>
      <c r="C6" s="30" t="s">
        <v>61</v>
      </c>
      <c r="D6" s="31" t="s">
        <v>62</v>
      </c>
      <c r="E6" s="27" t="s">
        <v>63</v>
      </c>
      <c r="F6" s="27" t="s">
        <v>64</v>
      </c>
      <c r="G6" s="27" t="s">
        <v>65</v>
      </c>
      <c r="H6" s="27" t="s">
        <v>66</v>
      </c>
      <c r="I6" s="27" t="s">
        <v>67</v>
      </c>
      <c r="J6" s="27" t="s">
        <v>68</v>
      </c>
      <c r="K6" s="27" t="s">
        <v>69</v>
      </c>
      <c r="L6" s="32" t="s">
        <v>70</v>
      </c>
      <c r="M6" s="32" t="s">
        <v>4</v>
      </c>
      <c r="N6" s="32" t="s">
        <v>5</v>
      </c>
      <c r="O6" s="32"/>
      <c r="P6" s="32" t="s">
        <v>70</v>
      </c>
      <c r="Q6" s="32" t="s">
        <v>4</v>
      </c>
      <c r="R6" s="32" t="s">
        <v>5</v>
      </c>
      <c r="T6" s="32" t="s">
        <v>70</v>
      </c>
      <c r="U6" s="32" t="s">
        <v>4</v>
      </c>
      <c r="V6" s="32" t="s">
        <v>5</v>
      </c>
      <c r="W6" s="32"/>
      <c r="X6" s="32" t="s">
        <v>70</v>
      </c>
      <c r="Y6" s="32" t="s">
        <v>4</v>
      </c>
      <c r="Z6" s="32" t="s">
        <v>5</v>
      </c>
      <c r="AA6" s="32"/>
      <c r="AB6" s="32" t="s">
        <v>70</v>
      </c>
      <c r="AC6" s="32" t="s">
        <v>4</v>
      </c>
      <c r="AD6" s="32" t="s">
        <v>5</v>
      </c>
      <c r="AE6" s="32"/>
      <c r="AF6" s="33"/>
      <c r="AH6" s="34" t="s">
        <v>60</v>
      </c>
      <c r="AI6" s="32" t="s">
        <v>71</v>
      </c>
      <c r="AJ6" s="32" t="s">
        <v>72</v>
      </c>
      <c r="AK6" s="32" t="s">
        <v>4</v>
      </c>
      <c r="AL6" s="32" t="s">
        <v>73</v>
      </c>
    </row>
    <row r="7" customFormat="false" ht="22.9" hidden="false" customHeight="true" outlineLevel="0" collapsed="false">
      <c r="B7" s="19" t="s">
        <v>74</v>
      </c>
      <c r="C7" s="30"/>
      <c r="D7" s="31"/>
      <c r="E7" s="27"/>
      <c r="F7" s="27"/>
      <c r="G7" s="27"/>
      <c r="H7" s="27"/>
      <c r="I7" s="27"/>
      <c r="J7" s="27"/>
      <c r="K7" s="27"/>
      <c r="L7" s="35" t="n">
        <f aca="false">TRUnits</f>
        <v>14</v>
      </c>
      <c r="M7" s="32"/>
      <c r="N7" s="32"/>
      <c r="O7" s="32"/>
      <c r="P7" s="35" t="n">
        <v>3</v>
      </c>
      <c r="Q7" s="32"/>
      <c r="R7" s="32"/>
      <c r="T7" s="35" t="n">
        <v>73</v>
      </c>
      <c r="U7" s="32"/>
      <c r="V7" s="32"/>
      <c r="W7" s="32"/>
      <c r="X7" s="35" t="n">
        <v>58</v>
      </c>
      <c r="Y7" s="32"/>
      <c r="Z7" s="32"/>
      <c r="AA7" s="32"/>
      <c r="AB7" s="35" t="n">
        <f aca="false">ROUND(X7+T7+P7,0)</f>
        <v>134</v>
      </c>
      <c r="AC7" s="32"/>
      <c r="AD7" s="32"/>
      <c r="AE7" s="32"/>
      <c r="AF7" s="33"/>
      <c r="AH7" s="34"/>
      <c r="AI7" s="32"/>
      <c r="AJ7" s="32"/>
      <c r="AK7" s="35" t="n">
        <f aca="false">+AB7</f>
        <v>134</v>
      </c>
      <c r="AL7" s="36" t="n">
        <f aca="false">AB7*AC8</f>
        <v>159058</v>
      </c>
    </row>
    <row r="8" customFormat="false" ht="22.9" hidden="false" customHeight="true" outlineLevel="0" collapsed="false">
      <c r="B8" s="19" t="s">
        <v>75</v>
      </c>
      <c r="C8" s="30"/>
      <c r="D8" s="31"/>
      <c r="E8" s="27"/>
      <c r="F8" s="27"/>
      <c r="G8" s="27"/>
      <c r="H8" s="27"/>
      <c r="I8" s="27"/>
      <c r="J8" s="27"/>
      <c r="K8" s="27"/>
      <c r="L8" s="35"/>
      <c r="M8" s="32"/>
      <c r="N8" s="32"/>
      <c r="O8" s="32"/>
      <c r="P8" s="35"/>
      <c r="Q8" s="35" t="n">
        <v>1198</v>
      </c>
      <c r="R8" s="35" t="n">
        <f aca="false">+Q8+280+67</f>
        <v>1545</v>
      </c>
      <c r="T8" s="35"/>
      <c r="U8" s="35" t="n">
        <v>1107</v>
      </c>
      <c r="V8" s="35" t="n">
        <f aca="false">+U8</f>
        <v>1107</v>
      </c>
      <c r="W8" s="32"/>
      <c r="X8" s="35"/>
      <c r="Y8" s="35" t="n">
        <v>1287</v>
      </c>
      <c r="Z8" s="35" t="n">
        <f aca="false">+Y8+295</f>
        <v>1582</v>
      </c>
      <c r="AA8" s="32"/>
      <c r="AB8" s="32"/>
      <c r="AC8" s="35" t="n">
        <f aca="false">ROUND((Y8*$X7+U8*$T7+Q8*$P7)/$AB$7,0)</f>
        <v>1187</v>
      </c>
      <c r="AD8" s="35" t="n">
        <f aca="false">ROUND((Z8*$X7+V8*$T7+R8*$P7)/$AB$7,0)</f>
        <v>1322</v>
      </c>
      <c r="AE8" s="32"/>
      <c r="AF8" s="33"/>
      <c r="AH8" s="34"/>
      <c r="AI8" s="32"/>
      <c r="AJ8" s="32"/>
      <c r="AK8" s="32"/>
      <c r="AL8" s="32"/>
    </row>
    <row r="9" customFormat="false" ht="12" hidden="false" customHeight="false" outlineLevel="0" collapsed="false">
      <c r="A9" s="20" t="s">
        <v>76</v>
      </c>
      <c r="B9" s="21" t="s">
        <v>77</v>
      </c>
      <c r="C9" s="37"/>
      <c r="D9" s="38" t="n">
        <f aca="false">L9/$L$88</f>
        <v>0.0237164028413085</v>
      </c>
      <c r="E9" s="39" t="s">
        <v>78</v>
      </c>
      <c r="F9" s="39" t="s">
        <v>78</v>
      </c>
      <c r="G9" s="39" t="s">
        <v>78</v>
      </c>
      <c r="H9" s="39" t="s">
        <v>78</v>
      </c>
      <c r="I9" s="39" t="s">
        <v>78</v>
      </c>
      <c r="J9" s="39" t="s">
        <v>78</v>
      </c>
      <c r="K9" s="39" t="s">
        <v>78</v>
      </c>
      <c r="L9" s="40" t="n">
        <f aca="false">M9*TRUnits</f>
        <v>16673.3</v>
      </c>
      <c r="M9" s="40" t="n">
        <f aca="false">2381.9/2</f>
        <v>1190.95</v>
      </c>
      <c r="N9" s="41" t="n">
        <f aca="false">M9/1376</f>
        <v>0.865515988372093</v>
      </c>
      <c r="O9" s="41"/>
      <c r="P9" s="42" t="n">
        <f aca="false">Q9*P$7</f>
        <v>3499.49751998547</v>
      </c>
      <c r="Q9" s="42" t="n">
        <f aca="false">Q$8*$N9*CMF</f>
        <v>1166.49917332849</v>
      </c>
      <c r="R9" s="12" t="n">
        <f aca="false">+Q9/Q$8</f>
        <v>0.973705486918605</v>
      </c>
      <c r="S9" s="40"/>
      <c r="T9" s="42" t="n">
        <f aca="false">U9*T$7</f>
        <v>78686.1141033794</v>
      </c>
      <c r="U9" s="42" t="n">
        <f aca="false">U$8*$N9*CMF</f>
        <v>1077.8919740189</v>
      </c>
      <c r="V9" s="12" t="n">
        <f aca="false">+U9/U$8</f>
        <v>0.973705486918605</v>
      </c>
      <c r="W9" s="40"/>
      <c r="X9" s="42" t="n">
        <f aca="false">Y9*X$7</f>
        <v>72683.2197765262</v>
      </c>
      <c r="Y9" s="42" t="n">
        <f aca="false">Y$8*$N9*CMF</f>
        <v>1253.15896166424</v>
      </c>
      <c r="Z9" s="12" t="n">
        <f aca="false">+Y9/Y$8</f>
        <v>0.973705486918605</v>
      </c>
      <c r="AA9" s="40"/>
      <c r="AB9" s="42" t="n">
        <f aca="false">+X9+T9+P9</f>
        <v>154868.831399891</v>
      </c>
      <c r="AC9" s="42" t="n">
        <f aca="false">AB9/AB$7</f>
        <v>1155.73754776038</v>
      </c>
      <c r="AD9" s="12" t="n">
        <f aca="false">+AC9/AC$8</f>
        <v>0.973662635012958</v>
      </c>
      <c r="AE9" s="40"/>
      <c r="AF9" s="43"/>
      <c r="AG9" s="44" t="s">
        <v>79</v>
      </c>
      <c r="AH9" s="21" t="s">
        <v>80</v>
      </c>
      <c r="AI9" s="38" t="n">
        <f aca="false">AJ9/$AJ$48</f>
        <v>0.0117039172305501</v>
      </c>
      <c r="AJ9" s="45" t="n">
        <f aca="false">+AB9</f>
        <v>154868.831399891</v>
      </c>
      <c r="AK9" s="45" t="n">
        <f aca="false">+AJ9/AK$7</f>
        <v>1155.73754776038</v>
      </c>
      <c r="AL9" s="12" t="n">
        <f aca="false">+AJ9/AL$7</f>
        <v>0.973662635012957</v>
      </c>
    </row>
    <row r="10" customFormat="false" ht="12" hidden="false" customHeight="false" outlineLevel="0" collapsed="false">
      <c r="A10" s="20" t="s">
        <v>81</v>
      </c>
      <c r="B10" s="21" t="s">
        <v>82</v>
      </c>
      <c r="C10" s="37"/>
      <c r="D10" s="38"/>
      <c r="E10" s="39"/>
      <c r="F10" s="39"/>
      <c r="G10" s="39"/>
      <c r="H10" s="39"/>
      <c r="I10" s="39"/>
      <c r="J10" s="39"/>
      <c r="K10" s="39"/>
      <c r="L10" s="40"/>
      <c r="M10" s="40"/>
      <c r="N10" s="41"/>
      <c r="O10" s="41"/>
      <c r="P10" s="46" t="n">
        <f aca="false">Q10*P$7</f>
        <v>2907.78917910448</v>
      </c>
      <c r="Q10" s="46" t="n">
        <f aca="false">((68000+9450+28000+8000+2000)/134)*CMF</f>
        <v>969.263059701493</v>
      </c>
      <c r="R10" s="41" t="n">
        <f aca="false">+Q10/Q$8</f>
        <v>0.809067662522114</v>
      </c>
      <c r="S10" s="40"/>
      <c r="T10" s="46" t="n">
        <f aca="false">U10*T$7</f>
        <v>70756.203358209</v>
      </c>
      <c r="U10" s="46" t="n">
        <f aca="false">((68000+9450+28000+8000+2000)/134)*CMF</f>
        <v>969.263059701493</v>
      </c>
      <c r="V10" s="41" t="n">
        <f aca="false">+U10/U$8</f>
        <v>0.875576386360878</v>
      </c>
      <c r="W10" s="40"/>
      <c r="X10" s="46" t="n">
        <f aca="false">Y10*X$7</f>
        <v>56217.2574626866</v>
      </c>
      <c r="Y10" s="46" t="n">
        <f aca="false">((68000+9450+28000+8000+2000)/134)*CMF</f>
        <v>969.263059701493</v>
      </c>
      <c r="Z10" s="41" t="n">
        <f aca="false">+Y10/Y$8</f>
        <v>0.75311815050621</v>
      </c>
      <c r="AA10" s="40"/>
      <c r="AB10" s="46" t="n">
        <f aca="false">+X10+T10+P10</f>
        <v>129881.25</v>
      </c>
      <c r="AC10" s="23" t="n">
        <f aca="false">+AB10/AB$7</f>
        <v>969.263059701493</v>
      </c>
      <c r="AD10" s="41" t="n">
        <f aca="false">+AC10/AC$8</f>
        <v>0.816565340944813</v>
      </c>
      <c r="AE10" s="40"/>
      <c r="AF10" s="43"/>
      <c r="AG10" s="44" t="s">
        <v>83</v>
      </c>
      <c r="AH10" s="21" t="s">
        <v>84</v>
      </c>
      <c r="AI10" s="38" t="n">
        <f aca="false">AJ10/$AJ$48</f>
        <v>0.0098155283155411</v>
      </c>
      <c r="AJ10" s="45" t="n">
        <f aca="false">+AB10</f>
        <v>129881.25</v>
      </c>
      <c r="AK10" s="45" t="n">
        <f aca="false">+AJ10/AK$7</f>
        <v>969.263059701493</v>
      </c>
      <c r="AL10" s="41" t="n">
        <f aca="false">+AJ10/AL$7</f>
        <v>0.816565340944813</v>
      </c>
    </row>
    <row r="11" customFormat="false" ht="12" hidden="false" customHeight="false" outlineLevel="0" collapsed="false">
      <c r="A11" s="20" t="s">
        <v>85</v>
      </c>
      <c r="B11" s="21" t="s">
        <v>86</v>
      </c>
      <c r="C11" s="37"/>
      <c r="D11" s="38" t="n">
        <f aca="false">L11/$L$88</f>
        <v>0.00261867162654357</v>
      </c>
      <c r="E11" s="39" t="s">
        <v>78</v>
      </c>
      <c r="F11" s="39" t="s">
        <v>78</v>
      </c>
      <c r="G11" s="39" t="s">
        <v>78</v>
      </c>
      <c r="H11" s="39" t="s">
        <v>78</v>
      </c>
      <c r="I11" s="39" t="s">
        <v>78</v>
      </c>
      <c r="J11" s="39" t="s">
        <v>78</v>
      </c>
      <c r="K11" s="39" t="s">
        <v>78</v>
      </c>
      <c r="L11" s="40" t="n">
        <f aca="false">M11*TRUnits</f>
        <v>1841</v>
      </c>
      <c r="M11" s="40" t="n">
        <f aca="false">263/2</f>
        <v>131.5</v>
      </c>
      <c r="N11" s="41" t="n">
        <f aca="false">M11/1376</f>
        <v>0.0955668604651163</v>
      </c>
      <c r="O11" s="41"/>
      <c r="P11" s="46" t="n">
        <f aca="false">Q11*P$7</f>
        <v>386.400708575581</v>
      </c>
      <c r="Q11" s="46" t="n">
        <f aca="false">Q$8*$N11*CMF</f>
        <v>128.80023619186</v>
      </c>
      <c r="R11" s="41" t="n">
        <f aca="false">+Q11/Q$8</f>
        <v>0.107512718023256</v>
      </c>
      <c r="S11" s="40"/>
      <c r="T11" s="46" t="n">
        <f aca="false">U11*T$7</f>
        <v>8688.21025617733</v>
      </c>
      <c r="U11" s="46" t="n">
        <f aca="false">U$8*$N11*CMF</f>
        <v>119.016578851744</v>
      </c>
      <c r="V11" s="41" t="n">
        <f aca="false">+U11/U$8</f>
        <v>0.107512718023256</v>
      </c>
      <c r="W11" s="40"/>
      <c r="X11" s="46" t="n">
        <f aca="false">Y11*X$7</f>
        <v>8025.39434956395</v>
      </c>
      <c r="Y11" s="46" t="n">
        <f aca="false">Y$8*$N11*CMF</f>
        <v>138.36886809593</v>
      </c>
      <c r="Z11" s="41" t="n">
        <f aca="false">+Y11/Y$8</f>
        <v>0.107512718023256</v>
      </c>
      <c r="AA11" s="40"/>
      <c r="AB11" s="46" t="n">
        <f aca="false">+X11+T11+P11</f>
        <v>17100.0053143169</v>
      </c>
      <c r="AC11" s="23" t="n">
        <f aca="false">+AB11/AB$7</f>
        <v>127.611979957589</v>
      </c>
      <c r="AD11" s="41" t="n">
        <f aca="false">+AC11/AC$8</f>
        <v>0.10750798648491</v>
      </c>
      <c r="AE11" s="40"/>
      <c r="AF11" s="43"/>
      <c r="AG11" s="44" t="s">
        <v>87</v>
      </c>
      <c r="AH11" s="21" t="s">
        <v>88</v>
      </c>
      <c r="AI11" s="38" t="n">
        <f aca="false">AJ11/$AJ$48</f>
        <v>0</v>
      </c>
      <c r="AJ11" s="45" t="n">
        <v>0</v>
      </c>
      <c r="AK11" s="45" t="n">
        <f aca="false">+AJ11/AK$7</f>
        <v>0</v>
      </c>
      <c r="AL11" s="41" t="n">
        <f aca="false">+AJ11/AL$7</f>
        <v>0</v>
      </c>
    </row>
    <row r="12" customFormat="false" ht="12" hidden="false" customHeight="false" outlineLevel="0" collapsed="false">
      <c r="A12" s="20" t="s">
        <v>89</v>
      </c>
      <c r="B12" s="21" t="s">
        <v>90</v>
      </c>
      <c r="C12" s="37"/>
      <c r="D12" s="38" t="n">
        <f aca="false">L12/$L$88</f>
        <v>0.00174246210891683</v>
      </c>
      <c r="E12" s="39"/>
      <c r="F12" s="39"/>
      <c r="G12" s="39"/>
      <c r="H12" s="39"/>
      <c r="I12" s="39"/>
      <c r="J12" s="39"/>
      <c r="K12" s="39"/>
      <c r="L12" s="40" t="n">
        <f aca="false">M12*TRUnits</f>
        <v>1225</v>
      </c>
      <c r="M12" s="40" t="n">
        <f aca="false">175/2</f>
        <v>87.5</v>
      </c>
      <c r="N12" s="41" t="n">
        <f aca="false">M12/1376</f>
        <v>0.0635901162790698</v>
      </c>
      <c r="O12" s="41"/>
      <c r="P12" s="46" t="n">
        <f aca="false">Q12*P$7</f>
        <v>295.3125</v>
      </c>
      <c r="Q12" s="46" t="n">
        <f aca="false">+$M12*CMF</f>
        <v>98.4375</v>
      </c>
      <c r="R12" s="41" t="n">
        <f aca="false">+Q12/Q$8</f>
        <v>0.0821681969949917</v>
      </c>
      <c r="S12" s="40"/>
      <c r="T12" s="46" t="n">
        <f aca="false">U12*T$7</f>
        <v>7185.9375</v>
      </c>
      <c r="U12" s="46" t="n">
        <f aca="false">+$M12*CMF</f>
        <v>98.4375</v>
      </c>
      <c r="V12" s="41" t="n">
        <f aca="false">+U12/U$8</f>
        <v>0.0889227642276423</v>
      </c>
      <c r="W12" s="40"/>
      <c r="X12" s="46" t="n">
        <f aca="false">Y12*X$7</f>
        <v>5709.375</v>
      </c>
      <c r="Y12" s="46" t="n">
        <f aca="false">+$M12*CMF</f>
        <v>98.4375</v>
      </c>
      <c r="Z12" s="41" t="n">
        <f aca="false">+Y12/Y$8</f>
        <v>0.076486013986014</v>
      </c>
      <c r="AA12" s="40"/>
      <c r="AB12" s="46" t="n">
        <f aca="false">+X12+T12+P12</f>
        <v>13190.625</v>
      </c>
      <c r="AC12" s="23" t="n">
        <f aca="false">+AB12/AB$7</f>
        <v>98.4375</v>
      </c>
      <c r="AD12" s="41" t="n">
        <f aca="false">+AC12/AC$8</f>
        <v>0.0829296545914069</v>
      </c>
      <c r="AE12" s="40"/>
      <c r="AF12" s="43"/>
      <c r="AG12" s="44" t="s">
        <v>91</v>
      </c>
      <c r="AH12" s="21" t="s">
        <v>92</v>
      </c>
      <c r="AI12" s="38" t="n">
        <f aca="false">AJ12/$AJ$48</f>
        <v>0.0158251968114904</v>
      </c>
      <c r="AJ12" s="45" t="n">
        <f aca="false">AB12+AB13</f>
        <v>209402.517857143</v>
      </c>
      <c r="AK12" s="45" t="n">
        <f aca="false">+AJ12/AK$7</f>
        <v>1562.70535714286</v>
      </c>
      <c r="AL12" s="41" t="n">
        <f aca="false">+AJ12/AL$7</f>
        <v>1.31651672884824</v>
      </c>
    </row>
    <row r="13" customFormat="false" ht="12" hidden="false" customHeight="false" outlineLevel="0" collapsed="false">
      <c r="A13" s="20" t="s">
        <v>89</v>
      </c>
      <c r="B13" s="21" t="s">
        <v>93</v>
      </c>
      <c r="C13" s="37"/>
      <c r="D13" s="38" t="n">
        <f aca="false">L13/$L$88</f>
        <v>0.0259193016723938</v>
      </c>
      <c r="E13" s="39" t="s">
        <v>78</v>
      </c>
      <c r="F13" s="39" t="s">
        <v>78</v>
      </c>
      <c r="G13" s="39" t="s">
        <v>78</v>
      </c>
      <c r="H13" s="39" t="s">
        <v>78</v>
      </c>
      <c r="I13" s="39" t="s">
        <v>78</v>
      </c>
      <c r="J13" s="39" t="s">
        <v>78</v>
      </c>
      <c r="K13" s="39" t="s">
        <v>78</v>
      </c>
      <c r="L13" s="40" t="n">
        <f aca="false">M13*TRUnits</f>
        <v>18222</v>
      </c>
      <c r="M13" s="40" t="n">
        <f aca="false">(6797+11425)/14</f>
        <v>1301.57142857143</v>
      </c>
      <c r="N13" s="41" t="n">
        <f aca="false">M13/1376</f>
        <v>0.945909468438538</v>
      </c>
      <c r="O13" s="41"/>
      <c r="P13" s="46" t="n">
        <f aca="false">Q13*P$7</f>
        <v>4392.80357142857</v>
      </c>
      <c r="Q13" s="46" t="n">
        <f aca="false">+$M13*CMF</f>
        <v>1464.26785714286</v>
      </c>
      <c r="R13" s="41" t="n">
        <f aca="false">+Q13/Q$8</f>
        <v>1.2222603148104</v>
      </c>
      <c r="S13" s="40"/>
      <c r="T13" s="46" t="n">
        <f aca="false">U13*T$7</f>
        <v>106891.553571429</v>
      </c>
      <c r="U13" s="46" t="n">
        <f aca="false">+$M13*CMF</f>
        <v>1464.26785714286</v>
      </c>
      <c r="V13" s="41" t="n">
        <f aca="false">+U13/U$8</f>
        <v>1.32273519163763</v>
      </c>
      <c r="W13" s="40"/>
      <c r="X13" s="46" t="n">
        <f aca="false">Y13*X$7</f>
        <v>84927.5357142857</v>
      </c>
      <c r="Y13" s="46" t="n">
        <f aca="false">+$M13*CMF</f>
        <v>1464.26785714286</v>
      </c>
      <c r="Z13" s="41" t="n">
        <f aca="false">+Y13/Y$8</f>
        <v>1.13773726273726</v>
      </c>
      <c r="AA13" s="40"/>
      <c r="AB13" s="46" t="n">
        <f aca="false">+X13+T13+P13</f>
        <v>196211.892857143</v>
      </c>
      <c r="AC13" s="23" t="n">
        <f aca="false">+AB13/AB$7</f>
        <v>1464.26785714286</v>
      </c>
      <c r="AD13" s="41" t="n">
        <f aca="false">+AC13/AC$8</f>
        <v>1.23358707425683</v>
      </c>
      <c r="AE13" s="40"/>
      <c r="AF13" s="43"/>
      <c r="AG13" s="44" t="s">
        <v>94</v>
      </c>
      <c r="AH13" s="21" t="s">
        <v>95</v>
      </c>
      <c r="AI13" s="38" t="n">
        <f aca="false">AJ13/$AJ$48</f>
        <v>0.0971152792565816</v>
      </c>
      <c r="AJ13" s="45" t="n">
        <f aca="false">+AB15</f>
        <v>1285050.9375</v>
      </c>
      <c r="AK13" s="45" t="n">
        <f aca="false">+AJ13/AK$7</f>
        <v>9589.93236940298</v>
      </c>
      <c r="AL13" s="41" t="n">
        <f aca="false">+AJ13/AL$7</f>
        <v>8.07913426234455</v>
      </c>
    </row>
    <row r="14" customFormat="false" ht="12" hidden="false" customHeight="false" outlineLevel="0" collapsed="false">
      <c r="B14" s="19" t="s">
        <v>96</v>
      </c>
      <c r="C14" s="37"/>
      <c r="E14" s="39"/>
      <c r="F14" s="39"/>
      <c r="G14" s="39"/>
      <c r="H14" s="39"/>
      <c r="I14" s="39"/>
      <c r="J14" s="39"/>
      <c r="K14" s="39"/>
      <c r="L14" s="40"/>
      <c r="M14" s="40"/>
      <c r="N14" s="41"/>
      <c r="O14" s="41"/>
      <c r="P14" s="46"/>
      <c r="Q14" s="46"/>
      <c r="R14" s="41"/>
      <c r="S14" s="40"/>
      <c r="T14" s="46"/>
      <c r="U14" s="46"/>
      <c r="V14" s="41"/>
      <c r="W14" s="40"/>
      <c r="X14" s="46"/>
      <c r="Y14" s="46"/>
      <c r="Z14" s="41"/>
      <c r="AA14" s="40"/>
      <c r="AB14" s="46"/>
      <c r="AC14" s="23"/>
      <c r="AD14" s="41"/>
      <c r="AE14" s="40"/>
      <c r="AF14" s="43"/>
      <c r="AG14" s="44" t="s">
        <v>97</v>
      </c>
      <c r="AH14" s="21" t="s">
        <v>98</v>
      </c>
      <c r="AI14" s="38" t="n">
        <f aca="false">AJ14/$AJ$48</f>
        <v>0.0495029102882671</v>
      </c>
      <c r="AJ14" s="45" t="n">
        <f aca="false">+AB19+AB20</f>
        <v>655033.5</v>
      </c>
      <c r="AK14" s="45" t="n">
        <f aca="false">+AJ14/AK$7</f>
        <v>4888.30970149254</v>
      </c>
      <c r="AL14" s="41" t="n">
        <f aca="false">+AJ14/AL$7</f>
        <v>4.1182053087553</v>
      </c>
    </row>
    <row r="15" customFormat="false" ht="12" hidden="false" customHeight="false" outlineLevel="0" collapsed="false">
      <c r="A15" s="20" t="s">
        <v>99</v>
      </c>
      <c r="B15" s="21" t="s">
        <v>100</v>
      </c>
      <c r="C15" s="37"/>
      <c r="D15" s="38" t="n">
        <f aca="false">L15/$L$88</f>
        <v>0.0028875086376336</v>
      </c>
      <c r="E15" s="39" t="s">
        <v>78</v>
      </c>
      <c r="F15" s="39" t="s">
        <v>78</v>
      </c>
      <c r="G15" s="39" t="s">
        <v>78</v>
      </c>
      <c r="H15" s="39" t="s">
        <v>78</v>
      </c>
      <c r="I15" s="39" t="s">
        <v>78</v>
      </c>
      <c r="J15" s="39" t="s">
        <v>78</v>
      </c>
      <c r="K15" s="39" t="s">
        <v>78</v>
      </c>
      <c r="L15" s="40" t="n">
        <f aca="false">M15*TRUnits</f>
        <v>2030</v>
      </c>
      <c r="M15" s="40" t="n">
        <f aca="false">290/2</f>
        <v>145</v>
      </c>
      <c r="N15" s="41" t="n">
        <f aca="false">M15/1376</f>
        <v>0.105377906976744</v>
      </c>
      <c r="O15" s="41"/>
      <c r="P15" s="46" t="n">
        <f aca="false">Q15*P$7</f>
        <v>28679.0625</v>
      </c>
      <c r="Q15" s="46" t="n">
        <f aca="false">5.5*R8*CMF</f>
        <v>9559.6875</v>
      </c>
      <c r="R15" s="41" t="n">
        <f aca="false">+Q15/Q$8</f>
        <v>7.97970575959933</v>
      </c>
      <c r="S15" s="40"/>
      <c r="T15" s="46" t="n">
        <f aca="false">U15*T$7</f>
        <v>700115.625</v>
      </c>
      <c r="U15" s="46" t="n">
        <f aca="false">5.5*1550*CMF</f>
        <v>9590.625</v>
      </c>
      <c r="V15" s="41" t="n">
        <f aca="false">+U15/U$8</f>
        <v>8.66361788617886</v>
      </c>
      <c r="W15" s="40"/>
      <c r="X15" s="46" t="n">
        <f aca="false">Y15*X$7</f>
        <v>556256.25</v>
      </c>
      <c r="Y15" s="46" t="n">
        <f aca="false">5.5*1550*CMF</f>
        <v>9590.625</v>
      </c>
      <c r="Z15" s="41" t="n">
        <f aca="false">+Y15/Y$8</f>
        <v>7.45192307692308</v>
      </c>
      <c r="AA15" s="40"/>
      <c r="AB15" s="46" t="n">
        <f aca="false">+X15+T15+P15</f>
        <v>1285050.9375</v>
      </c>
      <c r="AC15" s="23" t="n">
        <f aca="false">+AB15/AB$7</f>
        <v>9589.93236940298</v>
      </c>
      <c r="AD15" s="41" t="n">
        <f aca="false">+AC15/AC$8</f>
        <v>8.07913426234455</v>
      </c>
      <c r="AE15" s="40"/>
      <c r="AF15" s="43"/>
      <c r="AG15" s="44" t="s">
        <v>101</v>
      </c>
      <c r="AH15" s="21" t="s">
        <v>102</v>
      </c>
      <c r="AI15" s="38" t="n">
        <f aca="false">AJ15/$AJ$48</f>
        <v>0.16276040056562</v>
      </c>
      <c r="AJ15" s="45" t="n">
        <f aca="false">SUM(AB23:AB25)+SUM(AB28:AB32)+AB35</f>
        <v>2153681.75776059</v>
      </c>
      <c r="AK15" s="45" t="n">
        <f aca="false">+AJ15/AK$7</f>
        <v>16072.2519235865</v>
      </c>
      <c r="AL15" s="41" t="n">
        <f aca="false">+AJ15/AL$7</f>
        <v>13.5402290847401</v>
      </c>
    </row>
    <row r="16" customFormat="false" ht="12" hidden="false" customHeight="false" outlineLevel="0" collapsed="false">
      <c r="A16" s="20" t="s">
        <v>99</v>
      </c>
      <c r="B16" s="21" t="s">
        <v>103</v>
      </c>
      <c r="C16" s="37"/>
      <c r="D16" s="38" t="n">
        <f aca="false">L16/$L$88</f>
        <v>0.025937793107019</v>
      </c>
      <c r="E16" s="39" t="s">
        <v>78</v>
      </c>
      <c r="F16" s="39" t="s">
        <v>78</v>
      </c>
      <c r="G16" s="39" t="s">
        <v>78</v>
      </c>
      <c r="H16" s="39" t="s">
        <v>78</v>
      </c>
      <c r="I16" s="39" t="s">
        <v>78</v>
      </c>
      <c r="J16" s="39" t="s">
        <v>78</v>
      </c>
      <c r="K16" s="39" t="s">
        <v>78</v>
      </c>
      <c r="L16" s="40" t="n">
        <f aca="false">M16*TRUnits</f>
        <v>18235</v>
      </c>
      <c r="M16" s="40" t="n">
        <f aca="false">2605/2</f>
        <v>1302.5</v>
      </c>
      <c r="N16" s="41" t="n">
        <f aca="false">M16/1376</f>
        <v>0.946584302325581</v>
      </c>
      <c r="O16" s="41"/>
      <c r="P16" s="46"/>
      <c r="Q16" s="46"/>
      <c r="R16" s="41" t="n">
        <f aca="false">+Q16/Q$8</f>
        <v>0</v>
      </c>
      <c r="S16" s="40"/>
      <c r="T16" s="46"/>
      <c r="U16" s="46"/>
      <c r="V16" s="41" t="n">
        <f aca="false">+U16/U$8</f>
        <v>0</v>
      </c>
      <c r="W16" s="40"/>
      <c r="X16" s="46"/>
      <c r="Y16" s="46"/>
      <c r="Z16" s="41" t="n">
        <f aca="false">+Y16/Y$8</f>
        <v>0</v>
      </c>
      <c r="AA16" s="40"/>
      <c r="AB16" s="46" t="n">
        <f aca="false">+X16+T16+P16</f>
        <v>0</v>
      </c>
      <c r="AC16" s="23" t="n">
        <f aca="false">+AB16/AB$7</f>
        <v>0</v>
      </c>
      <c r="AD16" s="41" t="n">
        <f aca="false">+AC16/AC$8</f>
        <v>0</v>
      </c>
      <c r="AE16" s="40"/>
      <c r="AF16" s="43"/>
      <c r="AG16" s="44" t="s">
        <v>104</v>
      </c>
      <c r="AH16" s="21" t="s">
        <v>105</v>
      </c>
      <c r="AI16" s="38" t="n">
        <f aca="false">AJ16/$AJ$48</f>
        <v>0.00804506614756739</v>
      </c>
      <c r="AJ16" s="45" t="n">
        <f aca="false">AB40+AB41</f>
        <v>106454.1015</v>
      </c>
      <c r="AK16" s="45" t="n">
        <f aca="false">+AJ16/AK$7</f>
        <v>794.433593283582</v>
      </c>
      <c r="AL16" s="41" t="n">
        <f aca="false">+AJ16/AL$7</f>
        <v>0.669278511612116</v>
      </c>
    </row>
    <row r="17" customFormat="false" ht="12" hidden="false" customHeight="false" outlineLevel="0" collapsed="false">
      <c r="A17" s="20" t="s">
        <v>99</v>
      </c>
      <c r="B17" s="21" t="s">
        <v>106</v>
      </c>
      <c r="C17" s="37"/>
      <c r="D17" s="38" t="n">
        <f aca="false">L17/$L$88</f>
        <v>0.0749557414624335</v>
      </c>
      <c r="E17" s="39" t="s">
        <v>78</v>
      </c>
      <c r="F17" s="39" t="s">
        <v>78</v>
      </c>
      <c r="G17" s="39" t="s">
        <v>78</v>
      </c>
      <c r="H17" s="39" t="s">
        <v>78</v>
      </c>
      <c r="I17" s="39" t="s">
        <v>78</v>
      </c>
      <c r="J17" s="39" t="s">
        <v>78</v>
      </c>
      <c r="K17" s="39" t="s">
        <v>78</v>
      </c>
      <c r="L17" s="40" t="n">
        <f aca="false">M17*TRUnits</f>
        <v>52696</v>
      </c>
      <c r="M17" s="40" t="n">
        <f aca="false">7528/2</f>
        <v>3764</v>
      </c>
      <c r="N17" s="41" t="n">
        <f aca="false">M17/1376</f>
        <v>2.73546511627907</v>
      </c>
      <c r="O17" s="41"/>
      <c r="P17" s="46"/>
      <c r="Q17" s="46"/>
      <c r="R17" s="41" t="n">
        <f aca="false">+Q17/Q$8</f>
        <v>0</v>
      </c>
      <c r="S17" s="40"/>
      <c r="T17" s="46"/>
      <c r="U17" s="46"/>
      <c r="V17" s="41" t="n">
        <f aca="false">+U17/U$8</f>
        <v>0</v>
      </c>
      <c r="W17" s="40"/>
      <c r="X17" s="46"/>
      <c r="Y17" s="46"/>
      <c r="Z17" s="41" t="n">
        <f aca="false">+Y17/Y$8</f>
        <v>0</v>
      </c>
      <c r="AA17" s="40"/>
      <c r="AB17" s="46" t="n">
        <f aca="false">+X17+T17+P17</f>
        <v>0</v>
      </c>
      <c r="AC17" s="23" t="n">
        <f aca="false">+AB17/AB$7</f>
        <v>0</v>
      </c>
      <c r="AD17" s="41" t="n">
        <f aca="false">+AC17/AC$8</f>
        <v>0</v>
      </c>
      <c r="AE17" s="40"/>
      <c r="AF17" s="43"/>
      <c r="AG17" s="44" t="s">
        <v>107</v>
      </c>
      <c r="AH17" s="21" t="s">
        <v>108</v>
      </c>
      <c r="AI17" s="38" t="n">
        <f aca="false">AJ17/$AJ$48</f>
        <v>0.0166770624629444</v>
      </c>
      <c r="AJ17" s="45" t="n">
        <f aca="false">AB26+AB33</f>
        <v>220674.593295785</v>
      </c>
      <c r="AK17" s="45" t="n">
        <f aca="false">+AJ17/AK$7</f>
        <v>1646.82532310287</v>
      </c>
      <c r="AL17" s="41" t="n">
        <f aca="false">+AJ17/AL$7</f>
        <v>1.38738443395356</v>
      </c>
    </row>
    <row r="18" customFormat="false" ht="12" hidden="false" customHeight="false" outlineLevel="0" collapsed="false">
      <c r="B18" s="19" t="s">
        <v>109</v>
      </c>
      <c r="C18" s="37"/>
      <c r="E18" s="39"/>
      <c r="F18" s="39"/>
      <c r="G18" s="39"/>
      <c r="H18" s="39"/>
      <c r="I18" s="39"/>
      <c r="J18" s="39"/>
      <c r="K18" s="39"/>
      <c r="L18" s="40" t="n">
        <f aca="false">M18*TRUnits</f>
        <v>0</v>
      </c>
      <c r="M18" s="40"/>
      <c r="N18" s="41" t="n">
        <f aca="false">M18/1376</f>
        <v>0</v>
      </c>
      <c r="O18" s="41"/>
      <c r="P18" s="46"/>
      <c r="Q18" s="46"/>
      <c r="R18" s="41"/>
      <c r="S18" s="40"/>
      <c r="T18" s="46"/>
      <c r="U18" s="46"/>
      <c r="V18" s="41"/>
      <c r="W18" s="40"/>
      <c r="X18" s="46"/>
      <c r="Y18" s="46"/>
      <c r="Z18" s="41"/>
      <c r="AA18" s="40"/>
      <c r="AB18" s="46"/>
      <c r="AC18" s="23"/>
      <c r="AD18" s="41"/>
      <c r="AE18" s="40"/>
      <c r="AF18" s="43"/>
      <c r="AG18" s="44" t="s">
        <v>110</v>
      </c>
      <c r="AH18" s="21" t="s">
        <v>111</v>
      </c>
      <c r="AI18" s="38" t="n">
        <f aca="false">AJ18/$AJ$48</f>
        <v>0.00673441314745787</v>
      </c>
      <c r="AJ18" s="45" t="n">
        <f aca="false">+AB34</f>
        <v>89111.25</v>
      </c>
      <c r="AK18" s="45" t="n">
        <f aca="false">+AJ18/AK$7</f>
        <v>665.009328358209</v>
      </c>
      <c r="AL18" s="41" t="n">
        <f aca="false">+AJ18/AL$7</f>
        <v>0.560243747563782</v>
      </c>
    </row>
    <row r="19" customFormat="false" ht="12" hidden="false" customHeight="false" outlineLevel="0" collapsed="false">
      <c r="A19" s="20" t="s">
        <v>112</v>
      </c>
      <c r="B19" s="21" t="s">
        <v>113</v>
      </c>
      <c r="C19" s="37" t="n">
        <v>0.333</v>
      </c>
      <c r="D19" s="38" t="n">
        <f aca="false">L19/$L$88</f>
        <v>0.0454334548742142</v>
      </c>
      <c r="E19" s="39" t="s">
        <v>78</v>
      </c>
      <c r="F19" s="39" t="s">
        <v>78</v>
      </c>
      <c r="G19" s="39" t="s">
        <v>78</v>
      </c>
      <c r="H19" s="39" t="s">
        <v>78</v>
      </c>
      <c r="I19" s="39" t="s">
        <v>78</v>
      </c>
      <c r="J19" s="39" t="s">
        <v>78</v>
      </c>
      <c r="K19" s="39" t="s">
        <v>78</v>
      </c>
      <c r="L19" s="40" t="n">
        <f aca="false">M19*TRUnits</f>
        <v>31941</v>
      </c>
      <c r="M19" s="40" t="n">
        <f aca="false">4563/2</f>
        <v>2281.5</v>
      </c>
      <c r="N19" s="41" t="n">
        <f aca="false">M19/1376</f>
        <v>1.65806686046512</v>
      </c>
      <c r="O19" s="41"/>
      <c r="P19" s="46" t="n">
        <f aca="false">Q19*P$7</f>
        <v>6849.5625</v>
      </c>
      <c r="Q19" s="46" t="n">
        <f aca="false">(13500+300-1500)/2*0.33*CMF</f>
        <v>2283.1875</v>
      </c>
      <c r="R19" s="41" t="n">
        <f aca="false">+Q19/Q$8</f>
        <v>1.90583263772955</v>
      </c>
      <c r="S19" s="40"/>
      <c r="T19" s="46" t="n">
        <f aca="false">U19*T$7</f>
        <v>172092.9375</v>
      </c>
      <c r="U19" s="46" t="n">
        <f aca="false">(13500+300-1100)/2*0.33*CMF</f>
        <v>2357.4375</v>
      </c>
      <c r="V19" s="41" t="n">
        <f aca="false">+U19/U$8</f>
        <v>2.12957317073171</v>
      </c>
      <c r="W19" s="40"/>
      <c r="X19" s="46" t="n">
        <f aca="false">Y19*X$7</f>
        <v>148574.25</v>
      </c>
      <c r="Y19" s="46" t="n">
        <f aca="false">(13500+300)/2*0.33*CMF</f>
        <v>2561.625</v>
      </c>
      <c r="Z19" s="41" t="n">
        <f aca="false">+Y19/Y$8</f>
        <v>1.99038461538462</v>
      </c>
      <c r="AA19" s="40"/>
      <c r="AB19" s="46" t="n">
        <f aca="false">+X19+T19+P19</f>
        <v>327516.75</v>
      </c>
      <c r="AC19" s="23" t="n">
        <f aca="false">+AB19/AB$7</f>
        <v>2444.15485074627</v>
      </c>
      <c r="AD19" s="41" t="n">
        <f aca="false">+AC19/AC$8</f>
        <v>2.05910265437765</v>
      </c>
      <c r="AE19" s="40"/>
      <c r="AF19" s="43"/>
      <c r="AG19" s="44" t="s">
        <v>114</v>
      </c>
      <c r="AH19" s="21" t="s">
        <v>115</v>
      </c>
      <c r="AI19" s="38" t="n">
        <f aca="false">AJ19/$AJ$48</f>
        <v>0.0111536186872988</v>
      </c>
      <c r="AJ19" s="45" t="n">
        <f aca="false">+AB62</f>
        <v>147587.158893532</v>
      </c>
      <c r="AK19" s="45" t="n">
        <f aca="false">+AJ19/AK$7</f>
        <v>1101.39670816069</v>
      </c>
      <c r="AL19" s="41" t="n">
        <f aca="false">+AJ19/AL$7</f>
        <v>0.927882652199399</v>
      </c>
    </row>
    <row r="20" customFormat="false" ht="12.75" hidden="false" customHeight="false" outlineLevel="0" collapsed="false">
      <c r="A20" s="20" t="s">
        <v>116</v>
      </c>
      <c r="B20" s="21" t="s">
        <v>117</v>
      </c>
      <c r="C20" s="37" t="n">
        <v>0.333</v>
      </c>
      <c r="D20" s="38" t="n">
        <f aca="false">L20/$L$88</f>
        <v>0.0454334548742142</v>
      </c>
      <c r="E20" s="39" t="s">
        <v>78</v>
      </c>
      <c r="F20" s="39" t="s">
        <v>78</v>
      </c>
      <c r="G20" s="39" t="s">
        <v>78</v>
      </c>
      <c r="H20" s="39" t="s">
        <v>78</v>
      </c>
      <c r="I20" s="39" t="s">
        <v>78</v>
      </c>
      <c r="J20" s="39" t="s">
        <v>78</v>
      </c>
      <c r="K20" s="39" t="s">
        <v>78</v>
      </c>
      <c r="L20" s="40" t="n">
        <f aca="false">M20*TRUnits</f>
        <v>31941</v>
      </c>
      <c r="M20" s="40" t="n">
        <f aca="false">4563/2</f>
        <v>2281.5</v>
      </c>
      <c r="N20" s="41" t="n">
        <f aca="false">M20/1376</f>
        <v>1.65806686046512</v>
      </c>
      <c r="O20" s="41"/>
      <c r="P20" s="46" t="n">
        <f aca="false">Q20*P$7</f>
        <v>6849.5625</v>
      </c>
      <c r="Q20" s="46" t="n">
        <f aca="false">(13500+300-1500)/2*0.33*CMF</f>
        <v>2283.1875</v>
      </c>
      <c r="R20" s="41" t="n">
        <f aca="false">+Q20/Q$8</f>
        <v>1.90583263772955</v>
      </c>
      <c r="S20" s="40"/>
      <c r="T20" s="46" t="n">
        <f aca="false">U20*T$7</f>
        <v>172092.9375</v>
      </c>
      <c r="U20" s="46" t="n">
        <f aca="false">(13500+300-1100)/2*0.33*CMF</f>
        <v>2357.4375</v>
      </c>
      <c r="V20" s="41" t="n">
        <f aca="false">+U20/U$8</f>
        <v>2.12957317073171</v>
      </c>
      <c r="W20" s="40"/>
      <c r="X20" s="46" t="n">
        <f aca="false">Y20*X$7</f>
        <v>148574.25</v>
      </c>
      <c r="Y20" s="46" t="n">
        <f aca="false">(13500+300)/2*0.33*CMF</f>
        <v>2561.625</v>
      </c>
      <c r="Z20" s="41" t="n">
        <f aca="false">+Y20/Y$8</f>
        <v>1.99038461538462</v>
      </c>
      <c r="AA20" s="40"/>
      <c r="AB20" s="46" t="n">
        <f aca="false">+X20+T20+P20</f>
        <v>327516.75</v>
      </c>
      <c r="AC20" s="23" t="n">
        <f aca="false">+AB20/AB$7</f>
        <v>2444.15485074627</v>
      </c>
      <c r="AD20" s="41" t="n">
        <f aca="false">+AC20/AC$8</f>
        <v>2.05910265437765</v>
      </c>
      <c r="AE20" s="40"/>
      <c r="AF20" s="43"/>
      <c r="AG20" s="44" t="s">
        <v>118</v>
      </c>
      <c r="AH20" s="47" t="s">
        <v>119</v>
      </c>
      <c r="AI20" s="38" t="n">
        <f aca="false">AJ20/$AJ$48</f>
        <v>0.0176759649281214</v>
      </c>
      <c r="AJ20" s="45" t="n">
        <f aca="false">AB43+AB44</f>
        <v>233892.2925</v>
      </c>
      <c r="AK20" s="45" t="n">
        <f aca="false">+AJ20/AK$7</f>
        <v>1745.46486940299</v>
      </c>
      <c r="AL20" s="41" t="n">
        <f aca="false">+AJ20/AL$7</f>
        <v>1.47048430446755</v>
      </c>
    </row>
    <row r="21" customFormat="false" ht="12.75" hidden="false" customHeight="false" outlineLevel="0" collapsed="false">
      <c r="A21" s="20" t="s">
        <v>116</v>
      </c>
      <c r="B21" s="21" t="s">
        <v>120</v>
      </c>
      <c r="C21" s="37" t="n">
        <v>0.333</v>
      </c>
      <c r="D21" s="38" t="n">
        <f aca="false">L21/$L$88</f>
        <v>0.0454334548742142</v>
      </c>
      <c r="E21" s="39" t="s">
        <v>78</v>
      </c>
      <c r="F21" s="39" t="s">
        <v>78</v>
      </c>
      <c r="G21" s="48"/>
      <c r="H21" s="39" t="s">
        <v>78</v>
      </c>
      <c r="I21" s="39" t="s">
        <v>78</v>
      </c>
      <c r="J21" s="48"/>
      <c r="K21" s="49" t="s">
        <v>78</v>
      </c>
      <c r="L21" s="40" t="n">
        <f aca="false">M21*TRUnits</f>
        <v>31941</v>
      </c>
      <c r="M21" s="40" t="n">
        <f aca="false">4563/2</f>
        <v>2281.5</v>
      </c>
      <c r="N21" s="41" t="n">
        <f aca="false">M21/1376</f>
        <v>1.65806686046512</v>
      </c>
      <c r="O21" s="41"/>
      <c r="P21" s="46" t="n">
        <f aca="false">Q21*P$7</f>
        <v>6849.5625</v>
      </c>
      <c r="Q21" s="46" t="n">
        <f aca="false">(13500+300-1500)/2*0.33*CMF</f>
        <v>2283.1875</v>
      </c>
      <c r="R21" s="41" t="n">
        <f aca="false">+Q21/Q$8</f>
        <v>1.90583263772955</v>
      </c>
      <c r="S21" s="40"/>
      <c r="T21" s="46" t="n">
        <f aca="false">U21*T$7</f>
        <v>172092.9375</v>
      </c>
      <c r="U21" s="46" t="n">
        <f aca="false">(13500+300-1100)/2*0.33*CMF</f>
        <v>2357.4375</v>
      </c>
      <c r="V21" s="41" t="n">
        <f aca="false">+U21/U$8</f>
        <v>2.12957317073171</v>
      </c>
      <c r="W21" s="40"/>
      <c r="X21" s="46" t="n">
        <f aca="false">Y21*X$7</f>
        <v>148574.25</v>
      </c>
      <c r="Y21" s="46" t="n">
        <f aca="false">(13500+300)/2*0.33*CMF</f>
        <v>2561.625</v>
      </c>
      <c r="Z21" s="41" t="n">
        <f aca="false">+Y21/Y$8</f>
        <v>1.99038461538462</v>
      </c>
      <c r="AA21" s="40"/>
      <c r="AB21" s="46" t="n">
        <f aca="false">+X21+T21+P21</f>
        <v>327516.75</v>
      </c>
      <c r="AC21" s="23" t="n">
        <f aca="false">+AB21/AB$7</f>
        <v>2444.15485074627</v>
      </c>
      <c r="AD21" s="41" t="n">
        <f aca="false">+AC21/AC$8</f>
        <v>2.05910265437765</v>
      </c>
      <c r="AE21" s="40"/>
      <c r="AF21" s="43"/>
      <c r="AG21" s="44" t="s">
        <v>121</v>
      </c>
      <c r="AH21" s="21" t="s">
        <v>122</v>
      </c>
      <c r="AI21" s="38" t="n">
        <f aca="false">AJ21/$AJ$48</f>
        <v>0.0135224737472077</v>
      </c>
      <c r="AJ21" s="45" t="n">
        <f aca="false">AB50</f>
        <v>178932.375</v>
      </c>
      <c r="AK21" s="45" t="n">
        <f aca="false">+AJ21/AK$7</f>
        <v>1335.31623134328</v>
      </c>
      <c r="AL21" s="41" t="n">
        <f aca="false">+AJ21/AL$7</f>
        <v>1.12495048975845</v>
      </c>
    </row>
    <row r="22" customFormat="false" ht="12" hidden="false" customHeight="false" outlineLevel="0" collapsed="false">
      <c r="B22" s="19" t="s">
        <v>123</v>
      </c>
      <c r="C22" s="37"/>
      <c r="E22" s="39"/>
      <c r="F22" s="39"/>
      <c r="G22" s="39"/>
      <c r="H22" s="39"/>
      <c r="I22" s="39"/>
      <c r="J22" s="39"/>
      <c r="K22" s="39"/>
      <c r="L22" s="40"/>
      <c r="M22" s="40"/>
      <c r="N22" s="41" t="n">
        <f aca="false">M22/1376</f>
        <v>0</v>
      </c>
      <c r="O22" s="41"/>
      <c r="P22" s="46"/>
      <c r="Q22" s="46"/>
      <c r="R22" s="41"/>
      <c r="S22" s="40"/>
      <c r="T22" s="46"/>
      <c r="U22" s="46"/>
      <c r="V22" s="41"/>
      <c r="W22" s="40"/>
      <c r="X22" s="46"/>
      <c r="Y22" s="46"/>
      <c r="Z22" s="41"/>
      <c r="AA22" s="40"/>
      <c r="AB22" s="46"/>
      <c r="AC22" s="23"/>
      <c r="AD22" s="41"/>
      <c r="AE22" s="40"/>
      <c r="AF22" s="43"/>
      <c r="AG22" s="44" t="s">
        <v>124</v>
      </c>
      <c r="AH22" s="21" t="s">
        <v>125</v>
      </c>
      <c r="AI22" s="38" t="n">
        <f aca="false">AJ22/$AJ$48</f>
        <v>0.0135224737472077</v>
      </c>
      <c r="AJ22" s="45" t="n">
        <f aca="false">AB51</f>
        <v>178932.375</v>
      </c>
      <c r="AK22" s="45" t="n">
        <f aca="false">+AJ22/AK$7</f>
        <v>1335.31623134328</v>
      </c>
      <c r="AL22" s="41" t="n">
        <f aca="false">+AJ22/AL$7</f>
        <v>1.12495048975845</v>
      </c>
    </row>
    <row r="23" customFormat="false" ht="12" hidden="false" customHeight="false" outlineLevel="0" collapsed="false">
      <c r="A23" s="20" t="s">
        <v>126</v>
      </c>
      <c r="B23" s="21" t="s">
        <v>127</v>
      </c>
      <c r="C23" s="37" t="n">
        <v>0.15</v>
      </c>
      <c r="D23" s="38" t="n">
        <f aca="false">L23/$L$88</f>
        <v>0.0144873278198513</v>
      </c>
      <c r="E23" s="39" t="s">
        <v>78</v>
      </c>
      <c r="F23" s="39" t="s">
        <v>78</v>
      </c>
      <c r="G23" s="39" t="s">
        <v>78</v>
      </c>
      <c r="H23" s="39" t="s">
        <v>78</v>
      </c>
      <c r="I23" s="39" t="s">
        <v>78</v>
      </c>
      <c r="J23" s="39" t="s">
        <v>78</v>
      </c>
      <c r="K23" s="39" t="s">
        <v>78</v>
      </c>
      <c r="L23" s="40" t="n">
        <f aca="false">M23*TRUnits</f>
        <v>10185</v>
      </c>
      <c r="M23" s="40" t="n">
        <f aca="false">1455/2</f>
        <v>727.5</v>
      </c>
      <c r="N23" s="41" t="n">
        <f aca="false">M23/1376</f>
        <v>0.528706395348837</v>
      </c>
      <c r="O23" s="41"/>
      <c r="P23" s="46" t="n">
        <f aca="false">Q23*P$7</f>
        <v>2137.69213299419</v>
      </c>
      <c r="Q23" s="46" t="n">
        <f aca="false">Q$8*$N23*CMF</f>
        <v>712.564044331395</v>
      </c>
      <c r="R23" s="41" t="n">
        <f aca="false">+Q23/Q$8</f>
        <v>0.594794694767442</v>
      </c>
      <c r="S23" s="40"/>
      <c r="T23" s="46" t="n">
        <f aca="false">U23*T$7</f>
        <v>48065.9540788518</v>
      </c>
      <c r="U23" s="46" t="n">
        <f aca="false">U$8*$N23*CMF</f>
        <v>658.437727107558</v>
      </c>
      <c r="V23" s="41" t="n">
        <f aca="false">+U23/U$8</f>
        <v>0.594794694767442</v>
      </c>
      <c r="W23" s="40"/>
      <c r="X23" s="46" t="n">
        <f aca="false">Y23*X$7</f>
        <v>44399.0447856105</v>
      </c>
      <c r="Y23" s="46" t="n">
        <f aca="false">Y$8*$N23*CMF</f>
        <v>765.500772165698</v>
      </c>
      <c r="Z23" s="41" t="n">
        <f aca="false">+Y23/Y$8</f>
        <v>0.594794694767442</v>
      </c>
      <c r="AA23" s="40"/>
      <c r="AB23" s="46" t="n">
        <f aca="false">+X23+T23+P23</f>
        <v>94602.6909974564</v>
      </c>
      <c r="AC23" s="23" t="n">
        <f aca="false">+AB23/AB$7</f>
        <v>705.990231324302</v>
      </c>
      <c r="AD23" s="41" t="n">
        <f aca="false">+AC23/AC$8</f>
        <v>0.594768518386101</v>
      </c>
      <c r="AE23" s="40"/>
      <c r="AF23" s="43"/>
      <c r="AG23" s="44" t="s">
        <v>128</v>
      </c>
      <c r="AH23" s="21" t="s">
        <v>129</v>
      </c>
      <c r="AI23" s="38" t="n">
        <f aca="false">AJ23/$AJ$48</f>
        <v>0.0114941026851265</v>
      </c>
      <c r="AJ23" s="50" t="n">
        <f aca="false">AB52</f>
        <v>152092.51875</v>
      </c>
      <c r="AK23" s="45" t="n">
        <f aca="false">+AJ23/AK$7</f>
        <v>1135.01879664179</v>
      </c>
      <c r="AL23" s="41" t="n">
        <f aca="false">+AJ23/AL$7</f>
        <v>0.956207916294685</v>
      </c>
    </row>
    <row r="24" customFormat="false" ht="12" hidden="false" customHeight="false" outlineLevel="0" collapsed="false">
      <c r="A24" s="20" t="s">
        <v>126</v>
      </c>
      <c r="B24" s="21" t="s">
        <v>130</v>
      </c>
      <c r="C24" s="37" t="n">
        <v>0.25</v>
      </c>
      <c r="D24" s="38" t="n">
        <f aca="false">L24/$L$88</f>
        <v>0.0241455463664189</v>
      </c>
      <c r="E24" s="39" t="s">
        <v>78</v>
      </c>
      <c r="F24" s="39" t="s">
        <v>78</v>
      </c>
      <c r="G24" s="39" t="s">
        <v>78</v>
      </c>
      <c r="H24" s="39" t="s">
        <v>78</v>
      </c>
      <c r="I24" s="39" t="s">
        <v>78</v>
      </c>
      <c r="J24" s="39" t="s">
        <v>78</v>
      </c>
      <c r="K24" s="39" t="s">
        <v>78</v>
      </c>
      <c r="L24" s="40" t="n">
        <f aca="false">M24*TRUnits</f>
        <v>16975</v>
      </c>
      <c r="M24" s="40" t="n">
        <f aca="false">2425/2</f>
        <v>1212.5</v>
      </c>
      <c r="N24" s="41" t="n">
        <f aca="false">M24/1376</f>
        <v>0.881177325581395</v>
      </c>
      <c r="O24" s="41"/>
      <c r="P24" s="46" t="n">
        <f aca="false">Q24*P$7</f>
        <v>3562.82022165698</v>
      </c>
      <c r="Q24" s="46" t="n">
        <f aca="false">Q$8*$N24*CMF</f>
        <v>1187.60674055233</v>
      </c>
      <c r="R24" s="41" t="n">
        <f aca="false">+Q24/Q$8</f>
        <v>0.99132449127907</v>
      </c>
      <c r="S24" s="40"/>
      <c r="T24" s="46" t="n">
        <f aca="false">U24*T$7</f>
        <v>80109.9234647529</v>
      </c>
      <c r="U24" s="46" t="n">
        <f aca="false">U$8*$N24*CMF</f>
        <v>1097.39621184593</v>
      </c>
      <c r="V24" s="41" t="n">
        <f aca="false">+U24/U$8</f>
        <v>0.99132449127907</v>
      </c>
      <c r="W24" s="40"/>
      <c r="X24" s="46" t="n">
        <f aca="false">Y24*X$7</f>
        <v>73998.4079760175</v>
      </c>
      <c r="Y24" s="46" t="n">
        <f aca="false">Y$8*$N24*CMF</f>
        <v>1275.83462027616</v>
      </c>
      <c r="Z24" s="41" t="n">
        <f aca="false">+Y24/Y$8</f>
        <v>0.99132449127907</v>
      </c>
      <c r="AA24" s="40"/>
      <c r="AB24" s="46" t="n">
        <f aca="false">+X24+T24+P24</f>
        <v>157671.151662427</v>
      </c>
      <c r="AC24" s="23" t="n">
        <f aca="false">+AB24/AB$7</f>
        <v>1176.6503855405</v>
      </c>
      <c r="AD24" s="41" t="n">
        <f aca="false">+AC24/AC$8</f>
        <v>0.991280863976835</v>
      </c>
      <c r="AE24" s="40"/>
      <c r="AF24" s="43"/>
      <c r="AG24" s="44" t="s">
        <v>131</v>
      </c>
      <c r="AH24" s="21" t="s">
        <v>132</v>
      </c>
      <c r="AI24" s="21" t="s">
        <v>133</v>
      </c>
      <c r="AJ24" s="45"/>
      <c r="AK24" s="45" t="n">
        <f aca="false">+AJ24/AK$7</f>
        <v>0</v>
      </c>
      <c r="AL24" s="41" t="n">
        <f aca="false">+AJ24/AL$7</f>
        <v>0</v>
      </c>
    </row>
    <row r="25" customFormat="false" ht="12" hidden="false" customHeight="false" outlineLevel="0" collapsed="false">
      <c r="A25" s="20" t="s">
        <v>126</v>
      </c>
      <c r="B25" s="21" t="s">
        <v>134</v>
      </c>
      <c r="C25" s="37" t="n">
        <v>0.25</v>
      </c>
      <c r="D25" s="38" t="n">
        <f aca="false">L25/$L$88</f>
        <v>0.0241455463664189</v>
      </c>
      <c r="E25" s="39" t="s">
        <v>78</v>
      </c>
      <c r="F25" s="39" t="s">
        <v>78</v>
      </c>
      <c r="G25" s="39" t="s">
        <v>78</v>
      </c>
      <c r="H25" s="39" t="s">
        <v>78</v>
      </c>
      <c r="I25" s="39" t="s">
        <v>78</v>
      </c>
      <c r="J25" s="39" t="s">
        <v>78</v>
      </c>
      <c r="K25" s="39" t="s">
        <v>78</v>
      </c>
      <c r="L25" s="40" t="n">
        <f aca="false">M25*TRUnits</f>
        <v>16975</v>
      </c>
      <c r="M25" s="40" t="n">
        <f aca="false">2425/2</f>
        <v>1212.5</v>
      </c>
      <c r="N25" s="41" t="n">
        <f aca="false">M25/1376</f>
        <v>0.881177325581395</v>
      </c>
      <c r="O25" s="41"/>
      <c r="P25" s="46" t="n">
        <f aca="false">Q25*P$7</f>
        <v>3562.82022165698</v>
      </c>
      <c r="Q25" s="46" t="n">
        <f aca="false">Q$8*$N25*CMF</f>
        <v>1187.60674055233</v>
      </c>
      <c r="R25" s="41" t="n">
        <f aca="false">+Q25/Q$8</f>
        <v>0.99132449127907</v>
      </c>
      <c r="S25" s="40"/>
      <c r="T25" s="46" t="n">
        <f aca="false">U25*T$7</f>
        <v>80109.9234647529</v>
      </c>
      <c r="U25" s="46" t="n">
        <f aca="false">U$8*$N25*CMF</f>
        <v>1097.39621184593</v>
      </c>
      <c r="V25" s="41" t="n">
        <f aca="false">+U25/U$8</f>
        <v>0.99132449127907</v>
      </c>
      <c r="W25" s="40"/>
      <c r="X25" s="46" t="n">
        <f aca="false">Y25*X$7</f>
        <v>73998.4079760175</v>
      </c>
      <c r="Y25" s="46" t="n">
        <f aca="false">Y$8*$N25*CMF</f>
        <v>1275.83462027616</v>
      </c>
      <c r="Z25" s="41" t="n">
        <f aca="false">+Y25/Y$8</f>
        <v>0.99132449127907</v>
      </c>
      <c r="AA25" s="40"/>
      <c r="AB25" s="46" t="n">
        <f aca="false">+X25+T25+P25</f>
        <v>157671.151662427</v>
      </c>
      <c r="AC25" s="23" t="n">
        <f aca="false">+AB25/AB$7</f>
        <v>1176.6503855405</v>
      </c>
      <c r="AD25" s="41" t="n">
        <f aca="false">+AC25/AC$8</f>
        <v>0.991280863976835</v>
      </c>
      <c r="AE25" s="40"/>
      <c r="AF25" s="43"/>
      <c r="AG25" s="44" t="s">
        <v>135</v>
      </c>
      <c r="AH25" s="21" t="s">
        <v>136</v>
      </c>
      <c r="AI25" s="38" t="n">
        <f aca="false">AJ25/$AJ$48</f>
        <v>0.0247514551441336</v>
      </c>
      <c r="AJ25" s="45" t="n">
        <f aca="false">+AB21</f>
        <v>327516.75</v>
      </c>
      <c r="AK25" s="45" t="n">
        <f aca="false">+AJ25/AK$7</f>
        <v>2444.15485074627</v>
      </c>
      <c r="AL25" s="41" t="n">
        <f aca="false">+AJ25/AL$7</f>
        <v>2.05910265437765</v>
      </c>
    </row>
    <row r="26" customFormat="false" ht="12" hidden="false" customHeight="false" outlineLevel="0" collapsed="false">
      <c r="A26" s="20" t="s">
        <v>137</v>
      </c>
      <c r="B26" s="21" t="s">
        <v>138</v>
      </c>
      <c r="C26" s="37" t="n">
        <v>0.35</v>
      </c>
      <c r="D26" s="38" t="n">
        <f aca="false">L26/$L$88</f>
        <v>0.0337938079866498</v>
      </c>
      <c r="E26" s="39" t="s">
        <v>78</v>
      </c>
      <c r="F26" s="39" t="s">
        <v>78</v>
      </c>
      <c r="G26" s="39" t="s">
        <v>78</v>
      </c>
      <c r="H26" s="39" t="s">
        <v>78</v>
      </c>
      <c r="I26" s="39" t="s">
        <v>78</v>
      </c>
      <c r="J26" s="39" t="s">
        <v>78</v>
      </c>
      <c r="K26" s="39" t="s">
        <v>78</v>
      </c>
      <c r="L26" s="40" t="n">
        <f aca="false">M26*TRUnits</f>
        <v>23758</v>
      </c>
      <c r="M26" s="40" t="n">
        <f aca="false">3394/2</f>
        <v>1697</v>
      </c>
      <c r="N26" s="41" t="n">
        <f aca="false">M26/1376</f>
        <v>1.23328488372093</v>
      </c>
      <c r="O26" s="41"/>
      <c r="P26" s="46" t="n">
        <f aca="false">Q26*P$7</f>
        <v>4986.47910610465</v>
      </c>
      <c r="Q26" s="46" t="n">
        <f aca="false">Q$8*$N26*CMF</f>
        <v>1662.15970203488</v>
      </c>
      <c r="R26" s="41" t="n">
        <f aca="false">+Q26/Q$8</f>
        <v>1.38744549418605</v>
      </c>
      <c r="S26" s="40"/>
      <c r="T26" s="46" t="n">
        <f aca="false">U26*T$7</f>
        <v>112120.857830669</v>
      </c>
      <c r="U26" s="46" t="n">
        <f aca="false">U$8*$N26*CMF</f>
        <v>1535.90216206395</v>
      </c>
      <c r="V26" s="41" t="n">
        <f aca="false">+U26/U$8</f>
        <v>1.38744549418605</v>
      </c>
      <c r="W26" s="40"/>
      <c r="X26" s="46" t="n">
        <f aca="false">Y26*X$7</f>
        <v>103567.256359012</v>
      </c>
      <c r="Y26" s="46" t="n">
        <f aca="false">Y$8*$N26*CMF</f>
        <v>1785.64235101744</v>
      </c>
      <c r="Z26" s="41" t="n">
        <f aca="false">+Y26/Y$8</f>
        <v>1.38744549418605</v>
      </c>
      <c r="AA26" s="40"/>
      <c r="AB26" s="46" t="n">
        <f aca="false">+X26+T26+P26</f>
        <v>220674.593295785</v>
      </c>
      <c r="AC26" s="23" t="n">
        <f aca="false">+AB26/AB$7</f>
        <v>1646.82532310287</v>
      </c>
      <c r="AD26" s="41" t="n">
        <f aca="false">+AC26/AC$8</f>
        <v>1.38738443395356</v>
      </c>
      <c r="AE26" s="40"/>
      <c r="AF26" s="43"/>
      <c r="AG26" s="44" t="s">
        <v>139</v>
      </c>
      <c r="AH26" s="21" t="s">
        <v>140</v>
      </c>
      <c r="AI26" s="38" t="n">
        <f aca="false">AJ26/$AJ$48</f>
        <v>0.0046994658089349</v>
      </c>
      <c r="AJ26" s="21" t="n">
        <f aca="false">+AB37+AB38</f>
        <v>62184.375</v>
      </c>
      <c r="AK26" s="45" t="n">
        <f aca="false">+AJ26/AK$7</f>
        <v>464.0625</v>
      </c>
      <c r="AL26" s="41" t="n">
        <f aca="false">+AJ26/AL$7</f>
        <v>0.390954085930918</v>
      </c>
    </row>
    <row r="27" customFormat="false" ht="12" hidden="false" customHeight="false" outlineLevel="0" collapsed="false">
      <c r="B27" s="19" t="s">
        <v>141</v>
      </c>
      <c r="C27" s="37"/>
      <c r="E27" s="51"/>
      <c r="F27" s="51"/>
      <c r="G27" s="51"/>
      <c r="H27" s="51"/>
      <c r="I27" s="51"/>
      <c r="J27" s="51"/>
      <c r="K27" s="51"/>
      <c r="L27" s="40"/>
      <c r="M27" s="40"/>
      <c r="N27" s="41"/>
      <c r="O27" s="41"/>
      <c r="P27" s="46"/>
      <c r="Q27" s="52"/>
      <c r="R27" s="41"/>
      <c r="S27" s="40"/>
      <c r="T27" s="46"/>
      <c r="U27" s="46"/>
      <c r="V27" s="41"/>
      <c r="W27" s="40"/>
      <c r="X27" s="46"/>
      <c r="Y27" s="46"/>
      <c r="Z27" s="41"/>
      <c r="AA27" s="40"/>
      <c r="AB27" s="46"/>
      <c r="AC27" s="23"/>
      <c r="AD27" s="41"/>
      <c r="AE27" s="40"/>
      <c r="AF27" s="43"/>
      <c r="AG27" s="44" t="s">
        <v>142</v>
      </c>
      <c r="AH27" s="21" t="s">
        <v>143</v>
      </c>
      <c r="AI27" s="38" t="n">
        <f aca="false">AJ27/$AJ$48</f>
        <v>0</v>
      </c>
      <c r="AJ27" s="45" t="n">
        <v>0</v>
      </c>
      <c r="AK27" s="45" t="n">
        <f aca="false">+AJ27/AK$7</f>
        <v>0</v>
      </c>
      <c r="AL27" s="41" t="n">
        <f aca="false">+AJ27/AL$7</f>
        <v>0</v>
      </c>
    </row>
    <row r="28" customFormat="false" ht="12" hidden="false" customHeight="false" outlineLevel="0" collapsed="false">
      <c r="A28" s="20" t="s">
        <v>126</v>
      </c>
      <c r="B28" s="21" t="s">
        <v>144</v>
      </c>
      <c r="C28" s="37"/>
      <c r="D28" s="38" t="n">
        <f aca="false">L28/$L$88</f>
        <v>0.0649092027887359</v>
      </c>
      <c r="E28" s="39" t="s">
        <v>78</v>
      </c>
      <c r="F28" s="39" t="s">
        <v>78</v>
      </c>
      <c r="G28" s="39" t="s">
        <v>78</v>
      </c>
      <c r="H28" s="39" t="s">
        <v>78</v>
      </c>
      <c r="I28" s="39" t="s">
        <v>78</v>
      </c>
      <c r="J28" s="39" t="s">
        <v>78</v>
      </c>
      <c r="K28" s="39" t="s">
        <v>78</v>
      </c>
      <c r="L28" s="40" t="n">
        <f aca="false">M28*TRUnits</f>
        <v>45633</v>
      </c>
      <c r="M28" s="53" t="n">
        <f aca="false">(2975+(24808/7))/2</f>
        <v>3259.5</v>
      </c>
      <c r="N28" s="41" t="n">
        <f aca="false">M28/1376</f>
        <v>2.3688226744186</v>
      </c>
      <c r="O28" s="41"/>
      <c r="P28" s="46" t="n">
        <f aca="false">Q28*P$7</f>
        <v>9577.74227834302</v>
      </c>
      <c r="Q28" s="46" t="n">
        <f aca="false">Q$8*$N28*CMF</f>
        <v>3192.58075944767</v>
      </c>
      <c r="R28" s="41" t="n">
        <f aca="false">+Q28/Q$8</f>
        <v>2.66492550872093</v>
      </c>
      <c r="S28" s="40"/>
      <c r="T28" s="46" t="n">
        <f aca="false">U28*T$7</f>
        <v>215355.295285247</v>
      </c>
      <c r="U28" s="46" t="n">
        <f aca="false">U$8*$N28*CMF</f>
        <v>2950.07253815407</v>
      </c>
      <c r="V28" s="41" t="n">
        <f aca="false">+U28/U$8</f>
        <v>2.66492550872093</v>
      </c>
      <c r="W28" s="40"/>
      <c r="X28" s="46" t="n">
        <f aca="false">Y28*X$7</f>
        <v>198926.029523983</v>
      </c>
      <c r="Y28" s="46" t="n">
        <f aca="false">Y$8*$N28*CMF</f>
        <v>3429.75912972384</v>
      </c>
      <c r="Z28" s="41" t="n">
        <f aca="false">+Y28/Y$8</f>
        <v>2.66492550872093</v>
      </c>
      <c r="AA28" s="40"/>
      <c r="AB28" s="46" t="n">
        <f aca="false">+X28+T28+P28</f>
        <v>423859.067087573</v>
      </c>
      <c r="AC28" s="23" t="n">
        <f aca="false">+AB28/AB$7</f>
        <v>3163.12736632517</v>
      </c>
      <c r="AD28" s="41" t="n">
        <f aca="false">+AC28/AC$8</f>
        <v>2.66480822773814</v>
      </c>
      <c r="AE28" s="40"/>
      <c r="AF28" s="43"/>
      <c r="AG28" s="44" t="s">
        <v>145</v>
      </c>
      <c r="AH28" s="21" t="s">
        <v>146</v>
      </c>
      <c r="AI28" s="38" t="n">
        <f aca="false">AJ28/$AJ$48</f>
        <v>0.0485914763394393</v>
      </c>
      <c r="AJ28" s="45" t="n">
        <f aca="false">+AB54+AB55</f>
        <v>642973.203624637</v>
      </c>
      <c r="AK28" s="45" t="n">
        <f aca="false">+AJ28/AK$7</f>
        <v>4798.30748973609</v>
      </c>
      <c r="AL28" s="41" t="n">
        <f aca="false">+AJ28/AL$7</f>
        <v>4.04238204695543</v>
      </c>
    </row>
    <row r="29" customFormat="false" ht="12" hidden="false" customHeight="false" outlineLevel="0" collapsed="false">
      <c r="A29" s="20" t="s">
        <v>126</v>
      </c>
      <c r="B29" s="21" t="s">
        <v>147</v>
      </c>
      <c r="C29" s="37"/>
      <c r="D29" s="38" t="n">
        <f aca="false">L29/$L$88</f>
        <v>0.0582266827987839</v>
      </c>
      <c r="E29" s="39" t="s">
        <v>78</v>
      </c>
      <c r="F29" s="39" t="s">
        <v>78</v>
      </c>
      <c r="G29" s="39" t="s">
        <v>78</v>
      </c>
      <c r="H29" s="39" t="s">
        <v>78</v>
      </c>
      <c r="I29" s="39" t="s">
        <v>78</v>
      </c>
      <c r="J29" s="39" t="s">
        <v>78</v>
      </c>
      <c r="K29" s="39" t="s">
        <v>78</v>
      </c>
      <c r="L29" s="40" t="n">
        <f aca="false">M29*TRUnits</f>
        <v>40935</v>
      </c>
      <c r="M29" s="53" t="n">
        <f aca="false">(2465+(23680/7))/2</f>
        <v>2923.92857142857</v>
      </c>
      <c r="N29" s="41" t="n">
        <f aca="false">M29/1376</f>
        <v>2.124948089701</v>
      </c>
      <c r="O29" s="41"/>
      <c r="P29" s="46" t="n">
        <f aca="false">Q29*P$7</f>
        <v>8591.69636368355</v>
      </c>
      <c r="Q29" s="46" t="n">
        <f aca="false">Q$8*$N29*CMF</f>
        <v>2863.89878789452</v>
      </c>
      <c r="R29" s="41" t="n">
        <f aca="false">+Q29/Q$8</f>
        <v>2.39056660091362</v>
      </c>
      <c r="S29" s="40"/>
      <c r="T29" s="46" t="n">
        <f aca="false">U29*T$7</f>
        <v>193184.077586431</v>
      </c>
      <c r="U29" s="46" t="n">
        <f aca="false">U$8*$N29*CMF</f>
        <v>2646.35722721138</v>
      </c>
      <c r="V29" s="41" t="n">
        <f aca="false">+U29/U$8</f>
        <v>2.39056660091362</v>
      </c>
      <c r="W29" s="40"/>
      <c r="X29" s="46" t="n">
        <f aca="false">Y29*X$7</f>
        <v>178446.234491798</v>
      </c>
      <c r="Y29" s="46" t="n">
        <f aca="false">Y$8*$N29*CMF</f>
        <v>3076.65921537583</v>
      </c>
      <c r="Z29" s="41" t="n">
        <f aca="false">+Y29/Y$8</f>
        <v>2.39056660091362</v>
      </c>
      <c r="AA29" s="40"/>
      <c r="AB29" s="46" t="n">
        <f aca="false">+X29+T29+P29</f>
        <v>380222.008441912</v>
      </c>
      <c r="AC29" s="23" t="n">
        <f aca="false">+AB29/AB$7</f>
        <v>2837.47767493964</v>
      </c>
      <c r="AD29" s="41" t="n">
        <f aca="false">+AC29/AC$8</f>
        <v>2.39046139422043</v>
      </c>
      <c r="AE29" s="40"/>
      <c r="AF29" s="43"/>
      <c r="AG29" s="44" t="s">
        <v>148</v>
      </c>
      <c r="AH29" s="21" t="s">
        <v>149</v>
      </c>
      <c r="AI29" s="38" t="n">
        <f aca="false">AJ29/$AJ$48</f>
        <v>0.0251717937913934</v>
      </c>
      <c r="AJ29" s="45" t="n">
        <f aca="false">+AB56+SUM(AB58:AB60)+AB72</f>
        <v>333078.764307776</v>
      </c>
      <c r="AK29" s="45" t="n">
        <f aca="false">+AJ29/AK$7</f>
        <v>2485.66242020729</v>
      </c>
      <c r="AL29" s="41" t="n">
        <f aca="false">+AJ29/AL$7</f>
        <v>2.09407112064641</v>
      </c>
    </row>
    <row r="30" customFormat="false" ht="12" hidden="false" customHeight="false" outlineLevel="0" collapsed="false">
      <c r="A30" s="20" t="s">
        <v>126</v>
      </c>
      <c r="B30" s="21" t="s">
        <v>150</v>
      </c>
      <c r="C30" s="37"/>
      <c r="D30" s="38" t="n">
        <f aca="false">L30/$L$88</f>
        <v>0.131939230887182</v>
      </c>
      <c r="E30" s="39" t="s">
        <v>78</v>
      </c>
      <c r="F30" s="39" t="s">
        <v>78</v>
      </c>
      <c r="G30" s="39" t="s">
        <v>78</v>
      </c>
      <c r="H30" s="39" t="s">
        <v>78</v>
      </c>
      <c r="I30" s="39" t="s">
        <v>78</v>
      </c>
      <c r="J30" s="39" t="s">
        <v>78</v>
      </c>
      <c r="K30" s="39" t="s">
        <v>78</v>
      </c>
      <c r="L30" s="40" t="n">
        <f aca="false">M30*TRUnits</f>
        <v>92757</v>
      </c>
      <c r="M30" s="53" t="n">
        <f aca="false">13251/2</f>
        <v>6625.5</v>
      </c>
      <c r="N30" s="41" t="n">
        <f aca="false">M30/1376</f>
        <v>4.81504360465116</v>
      </c>
      <c r="O30" s="41"/>
      <c r="P30" s="46" t="n">
        <f aca="false">Q30*P$7</f>
        <v>19468.4250545058</v>
      </c>
      <c r="Q30" s="46" t="n">
        <f aca="false">Q$8*$N30*CMF</f>
        <v>6489.47501816861</v>
      </c>
      <c r="R30" s="41" t="n">
        <f aca="false">+Q30/Q$8</f>
        <v>5.41692405523256</v>
      </c>
      <c r="S30" s="40"/>
      <c r="T30" s="46" t="n">
        <f aca="false">U30*T$7</f>
        <v>437747.049827398</v>
      </c>
      <c r="U30" s="46" t="n">
        <f aca="false">U$8*$N30*CMF</f>
        <v>5996.53492914244</v>
      </c>
      <c r="V30" s="41" t="n">
        <f aca="false">+U30/U$8</f>
        <v>5.41692405523256</v>
      </c>
      <c r="W30" s="40"/>
      <c r="X30" s="46" t="n">
        <f aca="false">Y30*X$7</f>
        <v>404351.71302689</v>
      </c>
      <c r="Y30" s="46" t="n">
        <f aca="false">Y$8*$N30*CMF</f>
        <v>6971.5812590843</v>
      </c>
      <c r="Z30" s="41" t="n">
        <f aca="false">+Y30/Y$8</f>
        <v>5.41692405523256</v>
      </c>
      <c r="AA30" s="40"/>
      <c r="AB30" s="46" t="n">
        <f aca="false">+X30+T30+P30</f>
        <v>861567.187908794</v>
      </c>
      <c r="AC30" s="23" t="n">
        <f aca="false">+AB30/AB$7</f>
        <v>6429.60587991637</v>
      </c>
      <c r="AD30" s="41" t="n">
        <f aca="false">+AC30/AC$8</f>
        <v>5.41668566126063</v>
      </c>
      <c r="AE30" s="40"/>
      <c r="AF30" s="43"/>
      <c r="AG30" s="44" t="s">
        <v>151</v>
      </c>
      <c r="AH30" s="21" t="s">
        <v>152</v>
      </c>
      <c r="AI30" s="38" t="n">
        <f aca="false">AJ30/$AJ$48</f>
        <v>0.0193674954550044</v>
      </c>
      <c r="AJ30" s="45" t="n">
        <f aca="false">AB66+AB67</f>
        <v>256275</v>
      </c>
      <c r="AK30" s="45" t="n">
        <f aca="false">+AJ30/AK$7</f>
        <v>1912.5</v>
      </c>
      <c r="AL30" s="41" t="n">
        <f aca="false">+AJ30/AL$7</f>
        <v>1.61120471777591</v>
      </c>
    </row>
    <row r="31" customFormat="false" ht="12" hidden="false" customHeight="false" outlineLevel="0" collapsed="false">
      <c r="A31" s="20" t="s">
        <v>126</v>
      </c>
      <c r="B31" s="21" t="s">
        <v>153</v>
      </c>
      <c r="C31" s="37"/>
      <c r="D31" s="38" t="n">
        <f aca="false">L31/$L$88</f>
        <v>0</v>
      </c>
      <c r="E31" s="39" t="s">
        <v>78</v>
      </c>
      <c r="F31" s="39" t="s">
        <v>78</v>
      </c>
      <c r="G31" s="39" t="s">
        <v>78</v>
      </c>
      <c r="H31" s="39" t="s">
        <v>78</v>
      </c>
      <c r="I31" s="39" t="s">
        <v>78</v>
      </c>
      <c r="J31" s="39" t="s">
        <v>78</v>
      </c>
      <c r="K31" s="39" t="s">
        <v>78</v>
      </c>
      <c r="L31" s="40" t="n">
        <f aca="false">M31*TRUnits</f>
        <v>0</v>
      </c>
      <c r="M31" s="40"/>
      <c r="N31" s="41" t="n">
        <f aca="false">M31/1376</f>
        <v>0</v>
      </c>
      <c r="O31" s="41"/>
      <c r="P31" s="46" t="n">
        <f aca="false">Q31*P$7</f>
        <v>0</v>
      </c>
      <c r="Q31" s="46" t="n">
        <f aca="false">Q$8*$N31*CMF</f>
        <v>0</v>
      </c>
      <c r="R31" s="41" t="n">
        <f aca="false">+Q31/Q$8</f>
        <v>0</v>
      </c>
      <c r="S31" s="40"/>
      <c r="T31" s="46" t="n">
        <f aca="false">U31*T$7</f>
        <v>0</v>
      </c>
      <c r="U31" s="46" t="n">
        <f aca="false">U$8*$N31*CMF</f>
        <v>0</v>
      </c>
      <c r="V31" s="41" t="n">
        <f aca="false">+U31/U$8</f>
        <v>0</v>
      </c>
      <c r="W31" s="40"/>
      <c r="X31" s="46" t="n">
        <f aca="false">Y31*X$7</f>
        <v>0</v>
      </c>
      <c r="Y31" s="46" t="n">
        <f aca="false">Y$8*$N31*CMF</f>
        <v>0</v>
      </c>
      <c r="Z31" s="41" t="n">
        <f aca="false">+Y31/Y$8</f>
        <v>0</v>
      </c>
      <c r="AA31" s="40"/>
      <c r="AB31" s="46" t="n">
        <f aca="false">+X31+T31+P31</f>
        <v>0</v>
      </c>
      <c r="AC31" s="23" t="n">
        <f aca="false">+AB31/AB$7</f>
        <v>0</v>
      </c>
      <c r="AD31" s="41" t="n">
        <f aca="false">+AC31/AC$8</f>
        <v>0</v>
      </c>
      <c r="AE31" s="40"/>
      <c r="AF31" s="43"/>
      <c r="AG31" s="44" t="s">
        <v>154</v>
      </c>
      <c r="AH31" s="21" t="s">
        <v>155</v>
      </c>
      <c r="AI31" s="38" t="n">
        <f aca="false">AJ31/$AJ$48</f>
        <v>0</v>
      </c>
      <c r="AJ31" s="45" t="n">
        <v>0</v>
      </c>
      <c r="AK31" s="45" t="n">
        <f aca="false">+AJ31/AK$7</f>
        <v>0</v>
      </c>
      <c r="AL31" s="41" t="n">
        <f aca="false">+AJ31/AL$7</f>
        <v>0</v>
      </c>
    </row>
    <row r="32" customFormat="false" ht="12" hidden="false" customHeight="false" outlineLevel="0" collapsed="false">
      <c r="A32" s="20" t="s">
        <v>126</v>
      </c>
      <c r="B32" s="21" t="s">
        <v>156</v>
      </c>
      <c r="C32" s="37"/>
      <c r="D32" s="38" t="n">
        <f aca="false">L32/$L$88</f>
        <v>0</v>
      </c>
      <c r="E32" s="39" t="s">
        <v>78</v>
      </c>
      <c r="F32" s="39" t="s">
        <v>78</v>
      </c>
      <c r="G32" s="39" t="s">
        <v>78</v>
      </c>
      <c r="H32" s="39" t="s">
        <v>78</v>
      </c>
      <c r="I32" s="39" t="s">
        <v>78</v>
      </c>
      <c r="J32" s="39" t="s">
        <v>78</v>
      </c>
      <c r="K32" s="39" t="s">
        <v>78</v>
      </c>
      <c r="L32" s="40" t="n">
        <f aca="false">M32*TRUnits</f>
        <v>0</v>
      </c>
      <c r="M32" s="40"/>
      <c r="N32" s="41" t="n">
        <f aca="false">M32/1376</f>
        <v>0</v>
      </c>
      <c r="O32" s="41"/>
      <c r="P32" s="46" t="n">
        <f aca="false">Q32*P$7</f>
        <v>0</v>
      </c>
      <c r="Q32" s="46" t="n">
        <f aca="false">Q$8*$N32*CMF</f>
        <v>0</v>
      </c>
      <c r="R32" s="41" t="n">
        <f aca="false">+Q32/Q$8</f>
        <v>0</v>
      </c>
      <c r="S32" s="40"/>
      <c r="T32" s="46" t="n">
        <f aca="false">U32*T$7</f>
        <v>0</v>
      </c>
      <c r="U32" s="46" t="n">
        <f aca="false">U$8*$N32*CMF</f>
        <v>0</v>
      </c>
      <c r="V32" s="41" t="n">
        <f aca="false">+U32/U$8</f>
        <v>0</v>
      </c>
      <c r="W32" s="40"/>
      <c r="X32" s="46" t="n">
        <f aca="false">Y32*X$7</f>
        <v>0</v>
      </c>
      <c r="Y32" s="46" t="n">
        <f aca="false">Y$8*$N32*CMF</f>
        <v>0</v>
      </c>
      <c r="Z32" s="41" t="n">
        <f aca="false">+Y32/Y$8</f>
        <v>0</v>
      </c>
      <c r="AA32" s="40"/>
      <c r="AB32" s="46" t="n">
        <f aca="false">+X32+T32+P32</f>
        <v>0</v>
      </c>
      <c r="AC32" s="23" t="n">
        <f aca="false">+AB32/AB$7</f>
        <v>0</v>
      </c>
      <c r="AD32" s="41" t="n">
        <f aca="false">+AC32/AC$8</f>
        <v>0</v>
      </c>
      <c r="AE32" s="40"/>
      <c r="AF32" s="43"/>
      <c r="AG32" s="44" t="s">
        <v>157</v>
      </c>
      <c r="AH32" s="21" t="s">
        <v>158</v>
      </c>
      <c r="AI32" s="38" t="n">
        <f aca="false">AJ32/$AJ$48</f>
        <v>0.011438607938137</v>
      </c>
      <c r="AJ32" s="45" t="n">
        <f aca="false">AB63+AB64</f>
        <v>151358.19993641</v>
      </c>
      <c r="AK32" s="45" t="n">
        <f aca="false">+AJ32/AK$7</f>
        <v>1129.5388054956</v>
      </c>
      <c r="AL32" s="41" t="n">
        <f aca="false">+AJ32/AL$7</f>
        <v>0.951591243045995</v>
      </c>
    </row>
    <row r="33" customFormat="false" ht="12" hidden="false" customHeight="false" outlineLevel="0" collapsed="false">
      <c r="A33" s="20" t="s">
        <v>137</v>
      </c>
      <c r="B33" s="21" t="s">
        <v>159</v>
      </c>
      <c r="C33" s="37"/>
      <c r="D33" s="38" t="n">
        <f aca="false">L33/$L$88</f>
        <v>0</v>
      </c>
      <c r="E33" s="39" t="s">
        <v>78</v>
      </c>
      <c r="F33" s="39" t="s">
        <v>78</v>
      </c>
      <c r="G33" s="39" t="s">
        <v>78</v>
      </c>
      <c r="H33" s="39" t="s">
        <v>78</v>
      </c>
      <c r="I33" s="39" t="s">
        <v>78</v>
      </c>
      <c r="J33" s="39" t="s">
        <v>78</v>
      </c>
      <c r="K33" s="39" t="s">
        <v>78</v>
      </c>
      <c r="L33" s="40" t="n">
        <f aca="false">M33*TRUnits</f>
        <v>0</v>
      </c>
      <c r="N33" s="41" t="n">
        <f aca="false">M33/1376</f>
        <v>0</v>
      </c>
      <c r="O33" s="41"/>
      <c r="P33" s="46" t="n">
        <f aca="false">Q33*P$7</f>
        <v>0</v>
      </c>
      <c r="Q33" s="46" t="n">
        <f aca="false">Q$8*$N33*CMF</f>
        <v>0</v>
      </c>
      <c r="R33" s="41" t="n">
        <f aca="false">+Q33/Q$8</f>
        <v>0</v>
      </c>
      <c r="T33" s="46" t="n">
        <f aca="false">U33*T$7</f>
        <v>0</v>
      </c>
      <c r="U33" s="46" t="n">
        <f aca="false">U$8*$N33*CMF</f>
        <v>0</v>
      </c>
      <c r="V33" s="41" t="n">
        <f aca="false">+U33/U$8</f>
        <v>0</v>
      </c>
      <c r="W33" s="40"/>
      <c r="X33" s="46" t="n">
        <f aca="false">Y33*X$7</f>
        <v>0</v>
      </c>
      <c r="Y33" s="46" t="n">
        <f aca="false">Y$8*$N33*CMF</f>
        <v>0</v>
      </c>
      <c r="Z33" s="41" t="n">
        <f aca="false">+Y33/Y$8</f>
        <v>0</v>
      </c>
      <c r="AA33" s="40"/>
      <c r="AB33" s="46" t="n">
        <f aca="false">+X33+T33+P33</f>
        <v>0</v>
      </c>
      <c r="AC33" s="23" t="n">
        <f aca="false">+AB33/AB$7</f>
        <v>0</v>
      </c>
      <c r="AD33" s="41" t="n">
        <f aca="false">+AC33/AC$8</f>
        <v>0</v>
      </c>
      <c r="AE33" s="40"/>
      <c r="AF33" s="43"/>
      <c r="AG33" s="44" t="s">
        <v>160</v>
      </c>
      <c r="AH33" s="21" t="s">
        <v>161</v>
      </c>
      <c r="AI33" s="38" t="n">
        <f aca="false">AJ33/$AJ$48</f>
        <v>0</v>
      </c>
      <c r="AJ33" s="45" t="n">
        <v>0</v>
      </c>
      <c r="AK33" s="45" t="n">
        <f aca="false">+AJ33/AK$7</f>
        <v>0</v>
      </c>
      <c r="AL33" s="41" t="n">
        <f aca="false">+AJ33/AL$7</f>
        <v>0</v>
      </c>
    </row>
    <row r="34" customFormat="false" ht="12" hidden="false" customHeight="false" outlineLevel="0" collapsed="false">
      <c r="A34" s="20" t="s">
        <v>162</v>
      </c>
      <c r="B34" s="21" t="s">
        <v>163</v>
      </c>
      <c r="C34" s="37"/>
      <c r="D34" s="38" t="n">
        <f aca="false">L34/$L$88</f>
        <v>0.00890149214498081</v>
      </c>
      <c r="E34" s="39" t="s">
        <v>78</v>
      </c>
      <c r="F34" s="39" t="s">
        <v>78</v>
      </c>
      <c r="G34" s="39" t="s">
        <v>78</v>
      </c>
      <c r="H34" s="39" t="s">
        <v>78</v>
      </c>
      <c r="I34" s="39" t="s">
        <v>78</v>
      </c>
      <c r="J34" s="39" t="s">
        <v>78</v>
      </c>
      <c r="K34" s="39" t="s">
        <v>78</v>
      </c>
      <c r="L34" s="40" t="n">
        <f aca="false">M34*TRUnits</f>
        <v>6258</v>
      </c>
      <c r="M34" s="40" t="n">
        <f aca="false">894/2</f>
        <v>447</v>
      </c>
      <c r="N34" s="41" t="n">
        <f aca="false">M34/1376</f>
        <v>0.324854651162791</v>
      </c>
      <c r="O34" s="41"/>
      <c r="P34" s="46" t="n">
        <f aca="false">Q34*P$7</f>
        <v>1046.25</v>
      </c>
      <c r="Q34" s="46" t="n">
        <f aca="false">(120+80+70+40)*CMF</f>
        <v>348.75</v>
      </c>
      <c r="R34" s="41" t="n">
        <f aca="false">+Q34/Q$8</f>
        <v>0.291110183639399</v>
      </c>
      <c r="S34" s="40"/>
      <c r="T34" s="46" t="n">
        <f aca="false">U34*T$7</f>
        <v>44347.5</v>
      </c>
      <c r="U34" s="46" t="n">
        <f aca="false">(120+3*70+2*65+2*40)*CMF</f>
        <v>607.5</v>
      </c>
      <c r="V34" s="41" t="n">
        <f aca="false">+U34/U$8</f>
        <v>0.548780487804878</v>
      </c>
      <c r="W34" s="40"/>
      <c r="X34" s="46" t="n">
        <f aca="false">Y34*X$7</f>
        <v>43717.5</v>
      </c>
      <c r="Y34" s="46" t="n">
        <f aca="false">(120+4*80+70+4*40)*CMF</f>
        <v>753.75</v>
      </c>
      <c r="Z34" s="41" t="n">
        <f aca="false">+Y34/Y$8</f>
        <v>0.585664335664336</v>
      </c>
      <c r="AA34" s="40"/>
      <c r="AB34" s="46" t="n">
        <f aca="false">+X34+T34+P34</f>
        <v>89111.25</v>
      </c>
      <c r="AC34" s="23" t="n">
        <f aca="false">+AB34/AB$7</f>
        <v>665.009328358209</v>
      </c>
      <c r="AD34" s="41" t="n">
        <f aca="false">+AC34/AC$8</f>
        <v>0.560243747563782</v>
      </c>
      <c r="AE34" s="40"/>
      <c r="AF34" s="43"/>
      <c r="AG34" s="44" t="s">
        <v>164</v>
      </c>
      <c r="AH34" s="21" t="s">
        <v>165</v>
      </c>
      <c r="AI34" s="38" t="n">
        <f aca="false">AJ34/$AJ$48</f>
        <v>0.0102533799467671</v>
      </c>
      <c r="AJ34" s="45" t="n">
        <f aca="false">+AB70</f>
        <v>135675</v>
      </c>
      <c r="AK34" s="45" t="n">
        <f aca="false">+AJ34/AK$7</f>
        <v>1012.5</v>
      </c>
      <c r="AL34" s="41" t="n">
        <f aca="false">+AJ34/AL$7</f>
        <v>0.852990732940185</v>
      </c>
    </row>
    <row r="35" customFormat="false" ht="12" hidden="false" customHeight="false" outlineLevel="0" collapsed="false">
      <c r="A35" s="20" t="s">
        <v>126</v>
      </c>
      <c r="B35" s="21" t="s">
        <v>166</v>
      </c>
      <c r="C35" s="37"/>
      <c r="D35" s="38" t="n">
        <f aca="false">L35/$L$88</f>
        <v>0.00597415580200055</v>
      </c>
      <c r="E35" s="39" t="s">
        <v>78</v>
      </c>
      <c r="F35" s="39" t="s">
        <v>78</v>
      </c>
      <c r="G35" s="39" t="s">
        <v>78</v>
      </c>
      <c r="H35" s="39" t="s">
        <v>78</v>
      </c>
      <c r="I35" s="39" t="s">
        <v>78</v>
      </c>
      <c r="J35" s="39" t="s">
        <v>78</v>
      </c>
      <c r="K35" s="39" t="s">
        <v>78</v>
      </c>
      <c r="L35" s="40" t="n">
        <f aca="false">M35*TRUnits</f>
        <v>4200</v>
      </c>
      <c r="M35" s="54" t="n">
        <f aca="false">600/2</f>
        <v>300</v>
      </c>
      <c r="N35" s="41" t="n">
        <f aca="false">M35/1376</f>
        <v>0.218023255813954</v>
      </c>
      <c r="O35" s="41"/>
      <c r="P35" s="46" t="n">
        <f aca="false">Q35*P$7</f>
        <v>1748.25</v>
      </c>
      <c r="Q35" s="55" t="n">
        <f aca="false">((75+46+13)*2+180+70)*CMF</f>
        <v>582.75</v>
      </c>
      <c r="R35" s="41" t="n">
        <f aca="false">+Q35/Q$8</f>
        <v>0.486435726210351</v>
      </c>
      <c r="S35" s="40"/>
      <c r="T35" s="46" t="n">
        <f aca="false">U35*T$7</f>
        <v>42540.75</v>
      </c>
      <c r="U35" s="55" t="n">
        <f aca="false">((75+46+13)*2+180+70)*CMF</f>
        <v>582.75</v>
      </c>
      <c r="V35" s="41" t="n">
        <f aca="false">+U35/U$8</f>
        <v>0.526422764227642</v>
      </c>
      <c r="W35" s="40"/>
      <c r="X35" s="46" t="n">
        <f aca="false">Y35*X$7</f>
        <v>33799.5</v>
      </c>
      <c r="Y35" s="55" t="n">
        <f aca="false">((75+46+13)*2+180+70)*CMF</f>
        <v>582.75</v>
      </c>
      <c r="Z35" s="41" t="n">
        <f aca="false">+Y35/Y$8</f>
        <v>0.452797202797203</v>
      </c>
      <c r="AA35" s="40"/>
      <c r="AB35" s="46" t="n">
        <f aca="false">+X35+T35+P35</f>
        <v>78088.5</v>
      </c>
      <c r="AC35" s="23" t="n">
        <f aca="false">+AB35/AB$7</f>
        <v>582.75</v>
      </c>
      <c r="AD35" s="41" t="n">
        <f aca="false">+AC35/AC$8</f>
        <v>0.490943555181129</v>
      </c>
      <c r="AE35" s="40"/>
      <c r="AF35" s="43"/>
      <c r="AG35" s="44" t="s">
        <v>167</v>
      </c>
      <c r="AH35" s="21" t="s">
        <v>168</v>
      </c>
      <c r="AI35" s="38" t="n">
        <f aca="false">AJ35/$AJ$48</f>
        <v>0.0164974179715934</v>
      </c>
      <c r="AJ35" s="45" t="n">
        <f aca="false">+AB71</f>
        <v>218297.4975</v>
      </c>
      <c r="AK35" s="45" t="n">
        <f aca="false">+AJ35/AK$7</f>
        <v>1629.08580223881</v>
      </c>
      <c r="AL35" s="41" t="n">
        <f aca="false">+AJ35/AL$7</f>
        <v>1.37243959750531</v>
      </c>
    </row>
    <row r="36" customFormat="false" ht="12" hidden="false" customHeight="false" outlineLevel="0" collapsed="false">
      <c r="B36" s="19" t="s">
        <v>169</v>
      </c>
      <c r="C36" s="37"/>
      <c r="D36" s="38"/>
      <c r="E36" s="39"/>
      <c r="F36" s="39"/>
      <c r="G36" s="39"/>
      <c r="H36" s="39"/>
      <c r="I36" s="39"/>
      <c r="J36" s="39"/>
      <c r="K36" s="39"/>
      <c r="L36" s="40"/>
      <c r="M36" s="40"/>
      <c r="N36" s="41"/>
      <c r="O36" s="41"/>
      <c r="P36" s="46"/>
      <c r="Q36" s="52"/>
      <c r="R36" s="41"/>
      <c r="S36" s="40"/>
      <c r="T36" s="46"/>
      <c r="U36" s="46"/>
      <c r="V36" s="41"/>
      <c r="W36" s="40"/>
      <c r="X36" s="46"/>
      <c r="Y36" s="46"/>
      <c r="Z36" s="41"/>
      <c r="AA36" s="40"/>
      <c r="AB36" s="46"/>
      <c r="AC36" s="23"/>
      <c r="AD36" s="41"/>
      <c r="AE36" s="40"/>
      <c r="AF36" s="43"/>
      <c r="AG36" s="44" t="s">
        <v>170</v>
      </c>
      <c r="AH36" s="21" t="s">
        <v>171</v>
      </c>
      <c r="AI36" s="38" t="n">
        <f aca="false">AJ36/$AJ$48</f>
        <v>0.00384501748003765</v>
      </c>
      <c r="AJ36" s="45" t="n">
        <f aca="false">SUM(AB73:AB76)</f>
        <v>50878.125</v>
      </c>
      <c r="AK36" s="45" t="n">
        <f aca="false">+AJ36/AK$7</f>
        <v>379.6875</v>
      </c>
      <c r="AL36" s="41" t="n">
        <f aca="false">+AJ36/AL$7</f>
        <v>0.31987152485257</v>
      </c>
    </row>
    <row r="37" customFormat="false" ht="12" hidden="false" customHeight="false" outlineLevel="0" collapsed="false">
      <c r="A37" s="20" t="s">
        <v>172</v>
      </c>
      <c r="B37" s="21" t="s">
        <v>173</v>
      </c>
      <c r="C37" s="37"/>
      <c r="D37" s="38"/>
      <c r="E37" s="39"/>
      <c r="F37" s="39"/>
      <c r="G37" s="39"/>
      <c r="H37" s="39"/>
      <c r="I37" s="39"/>
      <c r="J37" s="39"/>
      <c r="K37" s="39"/>
      <c r="L37" s="40" t="n">
        <v>0</v>
      </c>
      <c r="M37" s="40" t="n">
        <v>0</v>
      </c>
      <c r="N37" s="41"/>
      <c r="O37" s="41"/>
      <c r="P37" s="46" t="n">
        <f aca="false">Q37*P$7</f>
        <v>506.25</v>
      </c>
      <c r="Q37" s="46" t="n">
        <f aca="false">(28-3)*3*2*CMF</f>
        <v>168.75</v>
      </c>
      <c r="R37" s="41" t="n">
        <f aca="false">+Q37/Q$8</f>
        <v>0.140859766277129</v>
      </c>
      <c r="S37" s="40"/>
      <c r="T37" s="46" t="n">
        <f aca="false">U37*T$7</f>
        <v>12318.75</v>
      </c>
      <c r="U37" s="46" t="n">
        <f aca="false">(28-3)*3*2*CMF</f>
        <v>168.75</v>
      </c>
      <c r="V37" s="41" t="n">
        <f aca="false">+U37/U$8</f>
        <v>0.152439024390244</v>
      </c>
      <c r="W37" s="40"/>
      <c r="X37" s="46" t="n">
        <f aca="false">Y37*X$7</f>
        <v>9787.5</v>
      </c>
      <c r="Y37" s="46" t="n">
        <f aca="false">(28-3)*3*2*CMF</f>
        <v>168.75</v>
      </c>
      <c r="Z37" s="41" t="n">
        <f aca="false">+Y37/Y$8</f>
        <v>0.131118881118881</v>
      </c>
      <c r="AA37" s="40"/>
      <c r="AB37" s="46" t="n">
        <f aca="false">+X37+T37+P37</f>
        <v>22612.5</v>
      </c>
      <c r="AC37" s="23" t="n">
        <f aca="false">+AB37/AB$7</f>
        <v>168.75</v>
      </c>
      <c r="AD37" s="41" t="n">
        <f aca="false">+AC37/AC$8</f>
        <v>0.142165122156698</v>
      </c>
      <c r="AE37" s="40"/>
      <c r="AF37" s="43"/>
      <c r="AG37" s="44" t="s">
        <v>174</v>
      </c>
      <c r="AH37" s="21" t="s">
        <v>175</v>
      </c>
      <c r="AI37" s="38" t="n">
        <f aca="false">AJ37/$AJ$48</f>
        <v>0.00697601612354574</v>
      </c>
      <c r="AJ37" s="45" t="n">
        <f aca="false">+AB68</f>
        <v>92308.1942223837</v>
      </c>
      <c r="AK37" s="45" t="n">
        <f aca="false">+AJ37/AK$7</f>
        <v>688.867121062565</v>
      </c>
      <c r="AL37" s="41" t="n">
        <f aca="false">+AJ37/AL$7</f>
        <v>0.580342983203509</v>
      </c>
    </row>
    <row r="38" customFormat="false" ht="12" hidden="false" customHeight="false" outlineLevel="0" collapsed="false">
      <c r="A38" s="20" t="s">
        <v>172</v>
      </c>
      <c r="B38" s="21" t="s">
        <v>176</v>
      </c>
      <c r="C38" s="37"/>
      <c r="D38" s="38"/>
      <c r="E38" s="39"/>
      <c r="F38" s="39"/>
      <c r="G38" s="39"/>
      <c r="H38" s="39"/>
      <c r="I38" s="39"/>
      <c r="J38" s="39"/>
      <c r="K38" s="39"/>
      <c r="L38" s="40" t="n">
        <v>0</v>
      </c>
      <c r="M38" s="40" t="n">
        <v>0</v>
      </c>
      <c r="N38" s="41"/>
      <c r="O38" s="41"/>
      <c r="P38" s="46" t="n">
        <f aca="false">Q38*P$7</f>
        <v>885.9375</v>
      </c>
      <c r="Q38" s="46" t="n">
        <f aca="false">(28-3)*3*3.5*CMF</f>
        <v>295.3125</v>
      </c>
      <c r="R38" s="41" t="n">
        <f aca="false">+Q38/Q$8</f>
        <v>0.246504590984975</v>
      </c>
      <c r="S38" s="40"/>
      <c r="T38" s="46" t="n">
        <f aca="false">U38*T$7</f>
        <v>21557.8125</v>
      </c>
      <c r="U38" s="46" t="n">
        <f aca="false">(28-3)*3*3.5*CMF</f>
        <v>295.3125</v>
      </c>
      <c r="V38" s="41" t="n">
        <f aca="false">+U38/U$8</f>
        <v>0.266768292682927</v>
      </c>
      <c r="W38" s="40"/>
      <c r="X38" s="46" t="n">
        <f aca="false">Y38*X$7</f>
        <v>17128.125</v>
      </c>
      <c r="Y38" s="46" t="n">
        <f aca="false">(28-3)*3*3.5*CMF</f>
        <v>295.3125</v>
      </c>
      <c r="Z38" s="41" t="n">
        <f aca="false">+Y38/Y$8</f>
        <v>0.229458041958042</v>
      </c>
      <c r="AA38" s="40"/>
      <c r="AB38" s="46" t="n">
        <f aca="false">+X38+T38+P38</f>
        <v>39571.875</v>
      </c>
      <c r="AC38" s="23" t="n">
        <f aca="false">+AB38/AB$7</f>
        <v>295.3125</v>
      </c>
      <c r="AD38" s="41" t="n">
        <f aca="false">+AC38/AC$8</f>
        <v>0.248788963774221</v>
      </c>
      <c r="AE38" s="40"/>
      <c r="AF38" s="43"/>
      <c r="AG38" s="44" t="s">
        <v>177</v>
      </c>
      <c r="AH38" s="21" t="s">
        <v>178</v>
      </c>
      <c r="AI38" s="38" t="n">
        <f aca="false">AJ38/$AJ$48</f>
        <v>0.00997905102135051</v>
      </c>
      <c r="AJ38" s="45" t="n">
        <f aca="false">SUM(AB77:AB79)</f>
        <v>132045.01875</v>
      </c>
      <c r="AK38" s="45" t="n">
        <f aca="false">+AJ38/AK$7</f>
        <v>985.410587686567</v>
      </c>
      <c r="AL38" s="41" t="n">
        <f aca="false">+AJ38/AL$7</f>
        <v>0.830168987099046</v>
      </c>
    </row>
    <row r="39" customFormat="false" ht="12" hidden="false" customHeight="false" outlineLevel="0" collapsed="false">
      <c r="B39" s="19" t="s">
        <v>179</v>
      </c>
      <c r="C39" s="37"/>
      <c r="D39" s="38"/>
      <c r="E39" s="39"/>
      <c r="F39" s="39"/>
      <c r="G39" s="39"/>
      <c r="H39" s="39"/>
      <c r="I39" s="39"/>
      <c r="J39" s="39"/>
      <c r="K39" s="39"/>
      <c r="L39" s="40"/>
      <c r="M39" s="40"/>
      <c r="N39" s="41"/>
      <c r="O39" s="41"/>
      <c r="P39" s="46"/>
      <c r="Q39" s="46"/>
      <c r="R39" s="41"/>
      <c r="S39" s="40"/>
      <c r="T39" s="46"/>
      <c r="U39" s="46"/>
      <c r="V39" s="41"/>
      <c r="W39" s="40"/>
      <c r="X39" s="46"/>
      <c r="Y39" s="46"/>
      <c r="Z39" s="41"/>
      <c r="AA39" s="40"/>
      <c r="AB39" s="46"/>
      <c r="AC39" s="23"/>
      <c r="AD39" s="41"/>
      <c r="AE39" s="40"/>
      <c r="AF39" s="43"/>
      <c r="AG39" s="44" t="s">
        <v>180</v>
      </c>
      <c r="AH39" s="21" t="s">
        <v>181</v>
      </c>
      <c r="AI39" s="38" t="n">
        <f aca="false">AJ39/$AJ$48</f>
        <v>0.018375837447235</v>
      </c>
      <c r="AJ39" s="50" t="n">
        <f aca="false">SUM(AB81:AB85)</f>
        <v>243153.16106468</v>
      </c>
      <c r="AK39" s="45" t="n">
        <f aca="false">+AJ39/AK$7</f>
        <v>1814.5758288409</v>
      </c>
      <c r="AL39" s="41" t="n">
        <f aca="false">+AJ39/AL$7</f>
        <v>1.52870752219115</v>
      </c>
    </row>
    <row r="40" customFormat="false" ht="14.45" hidden="false" customHeight="true" outlineLevel="0" collapsed="false">
      <c r="A40" s="20" t="s">
        <v>182</v>
      </c>
      <c r="B40" s="21" t="s">
        <v>173</v>
      </c>
      <c r="C40" s="37"/>
      <c r="D40" s="38" t="n">
        <f aca="false">L40/$L$88</f>
        <v>0.00746769475250068</v>
      </c>
      <c r="E40" s="39" t="s">
        <v>78</v>
      </c>
      <c r="F40" s="39" t="s">
        <v>78</v>
      </c>
      <c r="G40" s="39" t="s">
        <v>78</v>
      </c>
      <c r="H40" s="39" t="s">
        <v>78</v>
      </c>
      <c r="I40" s="39" t="s">
        <v>78</v>
      </c>
      <c r="J40" s="39" t="s">
        <v>78</v>
      </c>
      <c r="K40" s="39" t="s">
        <v>78</v>
      </c>
      <c r="L40" s="40" t="n">
        <f aca="false">M40*TRUnits</f>
        <v>5250</v>
      </c>
      <c r="M40" s="40" t="n">
        <f aca="false">750/2</f>
        <v>375</v>
      </c>
      <c r="N40" s="41" t="n">
        <f aca="false">M40/1376</f>
        <v>0.272529069767442</v>
      </c>
      <c r="O40" s="41"/>
      <c r="P40" s="46" t="n">
        <f aca="false">Q40*P$7</f>
        <v>1470.45375</v>
      </c>
      <c r="Q40" s="46" t="n">
        <f aca="false">((R$8*1.2)/100*23.5)*CMF</f>
        <v>490.15125</v>
      </c>
      <c r="R40" s="41" t="n">
        <f aca="false">+Q40/Q$8</f>
        <v>0.409141277128548</v>
      </c>
      <c r="S40" s="40"/>
      <c r="T40" s="46" t="n">
        <f aca="false">U40*T$7</f>
        <v>25637.28975</v>
      </c>
      <c r="U40" s="46" t="n">
        <f aca="false">((V$8*1.2)/100*23.5)*CMF</f>
        <v>351.19575</v>
      </c>
      <c r="V40" s="41" t="n">
        <f aca="false">+U40/U$8</f>
        <v>0.31725</v>
      </c>
      <c r="W40" s="40"/>
      <c r="X40" s="46" t="n">
        <f aca="false">Y40*X$7</f>
        <v>29109.591</v>
      </c>
      <c r="Y40" s="46" t="n">
        <f aca="false">((Z$8*1.2)/100*23.5)*CMF</f>
        <v>501.8895</v>
      </c>
      <c r="Z40" s="41" t="n">
        <f aca="false">+Y40/Y$8</f>
        <v>0.389968531468531</v>
      </c>
      <c r="AA40" s="40"/>
      <c r="AB40" s="46" t="n">
        <f aca="false">+X40+T40+P40</f>
        <v>56217.3345</v>
      </c>
      <c r="AC40" s="23" t="n">
        <f aca="false">+AB40/AB$7</f>
        <v>419.532347014925</v>
      </c>
      <c r="AD40" s="41" t="n">
        <f aca="false">+AC40/AC$8</f>
        <v>0.35343921399741</v>
      </c>
      <c r="AE40" s="40"/>
      <c r="AF40" s="43"/>
      <c r="AG40" s="44" t="s">
        <v>183</v>
      </c>
      <c r="AH40" s="21" t="s">
        <v>184</v>
      </c>
      <c r="AI40" s="38" t="n">
        <f aca="false">AJ40/$AJ$48</f>
        <v>0</v>
      </c>
      <c r="AJ40" s="50"/>
      <c r="AK40" s="45" t="n">
        <f aca="false">+AJ40/AK$7</f>
        <v>0</v>
      </c>
      <c r="AL40" s="41" t="n">
        <f aca="false">+AJ40/AL$7</f>
        <v>0</v>
      </c>
    </row>
    <row r="41" customFormat="false" ht="12" hidden="false" customHeight="false" outlineLevel="0" collapsed="false">
      <c r="A41" s="20" t="s">
        <v>182</v>
      </c>
      <c r="B41" s="21" t="s">
        <v>176</v>
      </c>
      <c r="C41" s="37"/>
      <c r="D41" s="38" t="n">
        <f aca="false">L41/$L$88</f>
        <v>0.00706941769903398</v>
      </c>
      <c r="E41" s="39" t="s">
        <v>78</v>
      </c>
      <c r="F41" s="39" t="s">
        <v>78</v>
      </c>
      <c r="G41" s="39" t="s">
        <v>78</v>
      </c>
      <c r="H41" s="39" t="s">
        <v>78</v>
      </c>
      <c r="I41" s="39" t="s">
        <v>78</v>
      </c>
      <c r="J41" s="39" t="s">
        <v>78</v>
      </c>
      <c r="K41" s="39" t="s">
        <v>78</v>
      </c>
      <c r="L41" s="40" t="n">
        <f aca="false">M41*TRUnits</f>
        <v>4970</v>
      </c>
      <c r="M41" s="40" t="n">
        <f aca="false">710/2</f>
        <v>355</v>
      </c>
      <c r="N41" s="41" t="n">
        <f aca="false">M41/1376</f>
        <v>0.257994186046512</v>
      </c>
      <c r="O41" s="41"/>
      <c r="P41" s="46" t="n">
        <f aca="false">Q41*P$7</f>
        <v>1314.0225</v>
      </c>
      <c r="Q41" s="46" t="n">
        <f aca="false">((R$8*1.2)/100*21)*CMF</f>
        <v>438.0075</v>
      </c>
      <c r="R41" s="41" t="n">
        <f aca="false">+Q41/Q$8</f>
        <v>0.365615609348915</v>
      </c>
      <c r="S41" s="40"/>
      <c r="T41" s="46" t="n">
        <f aca="false">U41*T$7</f>
        <v>22909.9185</v>
      </c>
      <c r="U41" s="46" t="n">
        <f aca="false">((V$8*1.2)/100*21)*CMF</f>
        <v>313.8345</v>
      </c>
      <c r="V41" s="41" t="n">
        <f aca="false">+U41/U$8</f>
        <v>0.2835</v>
      </c>
      <c r="W41" s="40"/>
      <c r="X41" s="46" t="n">
        <f aca="false">Y41*X$7</f>
        <v>26012.826</v>
      </c>
      <c r="Y41" s="46" t="n">
        <f aca="false">((Z$8*1.2)/100*21)*CMF</f>
        <v>448.497</v>
      </c>
      <c r="Z41" s="41" t="n">
        <f aca="false">+Y41/Y$8</f>
        <v>0.348482517482517</v>
      </c>
      <c r="AA41" s="40"/>
      <c r="AB41" s="46" t="n">
        <f aca="false">+X41+T41+P41</f>
        <v>50236.767</v>
      </c>
      <c r="AC41" s="23" t="n">
        <f aca="false">+AB41/AB$7</f>
        <v>374.901246268657</v>
      </c>
      <c r="AD41" s="41" t="n">
        <f aca="false">+AC41/AC$8</f>
        <v>0.315839297614707</v>
      </c>
      <c r="AE41" s="40"/>
      <c r="AF41" s="43"/>
      <c r="AG41" s="44" t="s">
        <v>185</v>
      </c>
      <c r="AH41" s="21" t="s">
        <v>186</v>
      </c>
      <c r="AI41" s="38" t="n">
        <f aca="false">AJ41/$AJ$48</f>
        <v>0.0280331057358076</v>
      </c>
      <c r="AJ41" s="50" t="n">
        <f aca="false">(SUM(AJ9:AJ40)+SUM(AJ42:AJ45))*1.0125*0.7*0.095/12*6</f>
        <v>370940.279249568</v>
      </c>
      <c r="AK41" s="45" t="n">
        <f aca="false">+AJ41/AK$7</f>
        <v>2768.21103917588</v>
      </c>
      <c r="AL41" s="41" t="n">
        <f aca="false">+AJ41/AL$7</f>
        <v>2.33210702542197</v>
      </c>
    </row>
    <row r="42" customFormat="false" ht="12" hidden="false" customHeight="false" outlineLevel="0" collapsed="false">
      <c r="B42" s="19" t="s">
        <v>187</v>
      </c>
      <c r="C42" s="37"/>
      <c r="E42" s="39"/>
      <c r="F42" s="39"/>
      <c r="G42" s="39"/>
      <c r="H42" s="39"/>
      <c r="I42" s="39"/>
      <c r="J42" s="39"/>
      <c r="K42" s="39"/>
      <c r="L42" s="40"/>
      <c r="M42" s="40"/>
      <c r="N42" s="41"/>
      <c r="O42" s="41"/>
      <c r="P42" s="46"/>
      <c r="Q42" s="46"/>
      <c r="R42" s="41"/>
      <c r="S42" s="40"/>
      <c r="T42" s="46"/>
      <c r="U42" s="46"/>
      <c r="V42" s="41"/>
      <c r="W42" s="40"/>
      <c r="X42" s="46"/>
      <c r="Y42" s="46"/>
      <c r="Z42" s="41"/>
      <c r="AA42" s="40"/>
      <c r="AB42" s="46"/>
      <c r="AC42" s="23" t="s">
        <v>188</v>
      </c>
      <c r="AD42" s="41"/>
      <c r="AE42" s="40"/>
      <c r="AF42" s="43"/>
      <c r="AG42" s="44" t="s">
        <v>189</v>
      </c>
      <c r="AH42" s="21" t="s">
        <v>190</v>
      </c>
      <c r="AI42" s="38" t="n">
        <f aca="false">AJ42/$AJ$48</f>
        <v>0.143148293302139</v>
      </c>
      <c r="AJ42" s="50" t="n">
        <f aca="false">(2.5*43560+75000)*10.3</f>
        <v>1894170</v>
      </c>
      <c r="AK42" s="45" t="n">
        <f aca="false">+AJ42/AK$7</f>
        <v>14135.5970149254</v>
      </c>
      <c r="AL42" s="41" t="n">
        <f aca="false">+AJ42/AL$7</f>
        <v>11.9086748230205</v>
      </c>
    </row>
    <row r="43" customFormat="false" ht="12" hidden="false" customHeight="false" outlineLevel="0" collapsed="false">
      <c r="A43" s="20" t="s">
        <v>191</v>
      </c>
      <c r="B43" s="21" t="s">
        <v>192</v>
      </c>
      <c r="C43" s="37" t="n">
        <v>0.1</v>
      </c>
      <c r="D43" s="38" t="n">
        <f aca="false">L43/$L$88</f>
        <v>0.00298707790100027</v>
      </c>
      <c r="E43" s="39" t="s">
        <v>78</v>
      </c>
      <c r="F43" s="39" t="s">
        <v>78</v>
      </c>
      <c r="G43" s="39" t="s">
        <v>78</v>
      </c>
      <c r="H43" s="39" t="s">
        <v>78</v>
      </c>
      <c r="I43" s="39" t="s">
        <v>78</v>
      </c>
      <c r="J43" s="39" t="s">
        <v>78</v>
      </c>
      <c r="K43" s="39" t="s">
        <v>78</v>
      </c>
      <c r="L43" s="40" t="n">
        <f aca="false">M43*TRUnits</f>
        <v>2100</v>
      </c>
      <c r="M43" s="40" t="n">
        <f aca="false">300/2</f>
        <v>150</v>
      </c>
      <c r="N43" s="41" t="n">
        <f aca="false">M43/1376</f>
        <v>0.109011627906977</v>
      </c>
      <c r="O43" s="41"/>
      <c r="P43" s="46" t="n">
        <f aca="false">Q43*P$7</f>
        <v>188.899253731343</v>
      </c>
      <c r="Q43" s="46" t="n">
        <f aca="false">7500/SM134Units*CMF</f>
        <v>62.9664179104478</v>
      </c>
      <c r="R43" s="41" t="n">
        <f aca="false">+Q43/Q$8</f>
        <v>0.0525596142825107</v>
      </c>
      <c r="S43" s="40"/>
      <c r="T43" s="46" t="n">
        <f aca="false">U43*T$7</f>
        <v>4596.54850746269</v>
      </c>
      <c r="U43" s="46" t="n">
        <f aca="false">7500/SM134Units*CMF</f>
        <v>62.9664179104478</v>
      </c>
      <c r="V43" s="41" t="n">
        <f aca="false">+U43/U$8</f>
        <v>0.0568802329814343</v>
      </c>
      <c r="W43" s="40"/>
      <c r="X43" s="46" t="n">
        <f aca="false">Y43*X$7</f>
        <v>3652.05223880597</v>
      </c>
      <c r="Y43" s="46" t="n">
        <f aca="false">7500/SM134Units*CMF</f>
        <v>62.9664179104478</v>
      </c>
      <c r="Z43" s="41" t="n">
        <f aca="false">+Y43/Y$8</f>
        <v>0.0489249556413736</v>
      </c>
      <c r="AA43" s="40"/>
      <c r="AB43" s="46" t="n">
        <f aca="false">+X43+T43+P43</f>
        <v>8437.5</v>
      </c>
      <c r="AC43" s="23" t="n">
        <f aca="false">+AB43/AB$7</f>
        <v>62.9664179104478</v>
      </c>
      <c r="AD43" s="41" t="n">
        <f aca="false">+AC43/AC$8</f>
        <v>0.0530466873719021</v>
      </c>
      <c r="AE43" s="40"/>
      <c r="AF43" s="43"/>
      <c r="AG43" s="44" t="s">
        <v>193</v>
      </c>
      <c r="AH43" s="21" t="s">
        <v>194</v>
      </c>
      <c r="AI43" s="38" t="n">
        <f aca="false">AJ43/$AJ$48</f>
        <v>0.0126849447470393</v>
      </c>
      <c r="AJ43" s="50" t="n">
        <f aca="false">AB11+AB86</f>
        <v>167850.005314317</v>
      </c>
      <c r="AK43" s="45" t="n">
        <f aca="false">+AJ43/AK$7</f>
        <v>1252.61197995759</v>
      </c>
      <c r="AL43" s="41" t="n">
        <f aca="false">+AJ43/AL$7</f>
        <v>1.05527546752956</v>
      </c>
    </row>
    <row r="44" customFormat="false" ht="12.75" hidden="false" customHeight="false" outlineLevel="0" collapsed="false">
      <c r="A44" s="20" t="s">
        <v>191</v>
      </c>
      <c r="B44" s="21" t="s">
        <v>113</v>
      </c>
      <c r="C44" s="37" t="n">
        <v>0.5</v>
      </c>
      <c r="D44" s="38" t="n">
        <f aca="false">L44/$L$88</f>
        <v>0.0309759978333728</v>
      </c>
      <c r="E44" s="39" t="s">
        <v>78</v>
      </c>
      <c r="F44" s="39" t="s">
        <v>78</v>
      </c>
      <c r="G44" s="39" t="s">
        <v>78</v>
      </c>
      <c r="H44" s="39" t="s">
        <v>78</v>
      </c>
      <c r="I44" s="39" t="s">
        <v>78</v>
      </c>
      <c r="J44" s="39" t="s">
        <v>78</v>
      </c>
      <c r="K44" s="39" t="s">
        <v>78</v>
      </c>
      <c r="L44" s="40" t="n">
        <f aca="false">M44*TRUnits</f>
        <v>21777</v>
      </c>
      <c r="M44" s="40" t="n">
        <f aca="false">3111/2</f>
        <v>1555.5</v>
      </c>
      <c r="N44" s="41" t="n">
        <f aca="false">M44/1376</f>
        <v>1.13045058139535</v>
      </c>
      <c r="O44" s="41"/>
      <c r="P44" s="46" t="n">
        <f aca="false">Q44*P$7</f>
        <v>5094.495</v>
      </c>
      <c r="Q44" s="46" t="n">
        <f aca="false">2.1*CMF*60%*Q$8</f>
        <v>1698.165</v>
      </c>
      <c r="R44" s="41" t="n">
        <f aca="false">+Q44/Q$8</f>
        <v>1.4175</v>
      </c>
      <c r="S44" s="40"/>
      <c r="T44" s="46" t="n">
        <f aca="false">U44*T$7</f>
        <v>114549.5925</v>
      </c>
      <c r="U44" s="46" t="n">
        <f aca="false">2.1*CMF*60%*U$8</f>
        <v>1569.1725</v>
      </c>
      <c r="V44" s="41" t="n">
        <f aca="false">+U44/U$8</f>
        <v>1.4175</v>
      </c>
      <c r="W44" s="40"/>
      <c r="X44" s="46" t="n">
        <f aca="false">Y44*X$7</f>
        <v>105810.705</v>
      </c>
      <c r="Y44" s="46" t="n">
        <f aca="false">2.1*CMF*60%*Y$8</f>
        <v>1824.3225</v>
      </c>
      <c r="Z44" s="41" t="n">
        <f aca="false">+Y44/Y$8</f>
        <v>1.4175</v>
      </c>
      <c r="AA44" s="40"/>
      <c r="AB44" s="46" t="n">
        <f aca="false">+X44+T44+P44</f>
        <v>225454.7925</v>
      </c>
      <c r="AC44" s="23" t="n">
        <f aca="false">+AB44/AB$7</f>
        <v>1682.49845149254</v>
      </c>
      <c r="AD44" s="41" t="n">
        <f aca="false">+AC44/AC$8</f>
        <v>1.41743761709565</v>
      </c>
      <c r="AE44" s="40"/>
      <c r="AF44" s="43"/>
      <c r="AG44" s="44" t="s">
        <v>195</v>
      </c>
      <c r="AH44" s="21" t="s">
        <v>196</v>
      </c>
      <c r="AI44" s="38" t="n">
        <f aca="false">AJ44/$AJ$48</f>
        <v>0.017558531116237</v>
      </c>
      <c r="AJ44" s="50" t="n">
        <f aca="false">AB45+AB47+AB48+AB69</f>
        <v>232338.382227471</v>
      </c>
      <c r="AK44" s="45" t="n">
        <f aca="false">+AJ44/AK$7</f>
        <v>1733.8685240856</v>
      </c>
      <c r="AL44" s="41" t="n">
        <f aca="false">+AJ44/AL$7</f>
        <v>1.46071484758686</v>
      </c>
    </row>
    <row r="45" customFormat="false" ht="12.75" hidden="false" customHeight="false" outlineLevel="0" collapsed="false">
      <c r="A45" s="20" t="s">
        <v>197</v>
      </c>
      <c r="B45" s="56" t="s">
        <v>198</v>
      </c>
      <c r="C45" s="37" t="n">
        <v>0.4</v>
      </c>
      <c r="D45" s="38" t="n">
        <f aca="false">L45/$L$88</f>
        <v>0.0247827896519656</v>
      </c>
      <c r="E45" s="39" t="s">
        <v>78</v>
      </c>
      <c r="F45" s="39" t="s">
        <v>78</v>
      </c>
      <c r="G45" s="48"/>
      <c r="H45" s="39" t="s">
        <v>78</v>
      </c>
      <c r="I45" s="39" t="s">
        <v>78</v>
      </c>
      <c r="J45" s="48"/>
      <c r="K45" s="49" t="s">
        <v>78</v>
      </c>
      <c r="L45" s="40" t="n">
        <f aca="false">M45*TRUnits</f>
        <v>17423</v>
      </c>
      <c r="M45" s="40" t="n">
        <f aca="false">2489/2</f>
        <v>1244.5</v>
      </c>
      <c r="N45" s="41" t="n">
        <f aca="false">M45/1376</f>
        <v>0.904433139534884</v>
      </c>
      <c r="O45" s="41"/>
      <c r="P45" s="46" t="n">
        <f aca="false">Q45*P$7</f>
        <v>3396.33</v>
      </c>
      <c r="Q45" s="46" t="n">
        <f aca="false">2.1*CMF*40%*Q$8</f>
        <v>1132.11</v>
      </c>
      <c r="R45" s="41" t="n">
        <f aca="false">+Q45/Q$8</f>
        <v>0.945</v>
      </c>
      <c r="S45" s="40"/>
      <c r="T45" s="46" t="n">
        <f aca="false">U45*T$7</f>
        <v>76366.395</v>
      </c>
      <c r="U45" s="46" t="n">
        <f aca="false">2.1*CMF*40%*U$8</f>
        <v>1046.115</v>
      </c>
      <c r="V45" s="41" t="n">
        <f aca="false">+U45/U$8</f>
        <v>0.945</v>
      </c>
      <c r="W45" s="40"/>
      <c r="X45" s="46" t="n">
        <f aca="false">Y45*X$7</f>
        <v>70540.47</v>
      </c>
      <c r="Y45" s="46" t="n">
        <f aca="false">2.1*CMF*40%*Y$8</f>
        <v>1216.215</v>
      </c>
      <c r="Z45" s="41" t="n">
        <f aca="false">+Y45/Y$8</f>
        <v>0.945</v>
      </c>
      <c r="AA45" s="40"/>
      <c r="AB45" s="46" t="n">
        <f aca="false">+X45+T45+P45</f>
        <v>150303.195</v>
      </c>
      <c r="AC45" s="23" t="n">
        <f aca="false">+AB45/AB$7</f>
        <v>1121.66563432836</v>
      </c>
      <c r="AD45" s="41" t="n">
        <f aca="false">+AC45/AC$8</f>
        <v>0.944958411397101</v>
      </c>
      <c r="AE45" s="40"/>
      <c r="AF45" s="43"/>
      <c r="AG45" s="44" t="s">
        <v>199</v>
      </c>
      <c r="AH45" s="21" t="s">
        <v>200</v>
      </c>
      <c r="AI45" s="38" t="n">
        <f aca="false">AJ45/$AJ$48</f>
        <v>0.0138050793437504</v>
      </c>
      <c r="AJ45" s="20" t="n">
        <f aca="false">+AB87</f>
        <v>182671.875</v>
      </c>
      <c r="AK45" s="45" t="n">
        <f aca="false">+AJ45/AK$7</f>
        <v>1363.22294776119</v>
      </c>
      <c r="AL45" s="41" t="n">
        <f aca="false">+AJ45/AL$7</f>
        <v>1.14846078160168</v>
      </c>
    </row>
    <row r="46" customFormat="false" ht="12" hidden="false" customHeight="false" outlineLevel="0" collapsed="false">
      <c r="B46" s="19" t="s">
        <v>201</v>
      </c>
      <c r="C46" s="37"/>
      <c r="E46" s="39"/>
      <c r="F46" s="39"/>
      <c r="G46" s="39"/>
      <c r="H46" s="39"/>
      <c r="I46" s="39"/>
      <c r="J46" s="39"/>
      <c r="K46" s="39"/>
      <c r="L46" s="40"/>
      <c r="N46" s="41"/>
      <c r="O46" s="41"/>
      <c r="P46" s="46"/>
      <c r="Q46" s="22"/>
      <c r="R46" s="41"/>
      <c r="S46" s="40"/>
      <c r="T46" s="46"/>
      <c r="U46" s="46"/>
      <c r="V46" s="41"/>
      <c r="W46" s="40"/>
      <c r="X46" s="46"/>
      <c r="Y46" s="46"/>
      <c r="Z46" s="41"/>
      <c r="AA46" s="40"/>
      <c r="AB46" s="46"/>
      <c r="AC46" s="23" t="s">
        <v>188</v>
      </c>
      <c r="AD46" s="41"/>
      <c r="AE46" s="40"/>
      <c r="AF46" s="43"/>
      <c r="AG46" s="44" t="s">
        <v>193</v>
      </c>
      <c r="AH46" s="21" t="s">
        <v>202</v>
      </c>
      <c r="AI46" s="38" t="n">
        <f aca="false">AJ46/$AJ$48</f>
        <v>0.0311678492279437</v>
      </c>
      <c r="AJ46" s="20" t="n">
        <f aca="false">(SUM(AJ$43:AJ45)+SUM(AJ$9:AJ$40))*0.1-500000</f>
        <v>412419.901140462</v>
      </c>
      <c r="AK46" s="45" t="n">
        <f aca="false">+AJ46/AK$7</f>
        <v>3077.7604562721</v>
      </c>
      <c r="AL46" s="41" t="n">
        <f aca="false">+AJ46/AL$7</f>
        <v>2.59289002213319</v>
      </c>
    </row>
    <row r="47" customFormat="false" ht="12" hidden="false" customHeight="false" outlineLevel="0" collapsed="false">
      <c r="A47" s="20" t="s">
        <v>197</v>
      </c>
      <c r="B47" s="21" t="s">
        <v>113</v>
      </c>
      <c r="C47" s="37" t="n">
        <v>0.75</v>
      </c>
      <c r="D47" s="38" t="n">
        <f aca="false">L47/$L$88</f>
        <v>0</v>
      </c>
      <c r="E47" s="39" t="s">
        <v>78</v>
      </c>
      <c r="F47" s="39" t="s">
        <v>78</v>
      </c>
      <c r="G47" s="39" t="s">
        <v>78</v>
      </c>
      <c r="H47" s="39" t="s">
        <v>78</v>
      </c>
      <c r="I47" s="39" t="s">
        <v>78</v>
      </c>
      <c r="J47" s="39" t="s">
        <v>78</v>
      </c>
      <c r="K47" s="39" t="s">
        <v>78</v>
      </c>
      <c r="L47" s="40" t="n">
        <f aca="false">M47*TRUnits</f>
        <v>0</v>
      </c>
      <c r="M47" s="40" t="n">
        <v>0</v>
      </c>
      <c r="N47" s="41" t="n">
        <f aca="false">M47/1376</f>
        <v>0</v>
      </c>
      <c r="O47" s="41"/>
      <c r="P47" s="46" t="n">
        <f aca="false">Q47*P$7</f>
        <v>0</v>
      </c>
      <c r="Q47" s="46" t="n">
        <f aca="false">0*CMF</f>
        <v>0</v>
      </c>
      <c r="R47" s="41" t="n">
        <f aca="false">+Q47/Q$8</f>
        <v>0</v>
      </c>
      <c r="S47" s="40"/>
      <c r="T47" s="46" t="n">
        <f aca="false">U47*T$7</f>
        <v>0</v>
      </c>
      <c r="U47" s="46" t="n">
        <f aca="false">0*CMF</f>
        <v>0</v>
      </c>
      <c r="V47" s="41" t="n">
        <f aca="false">+U47/U$8</f>
        <v>0</v>
      </c>
      <c r="W47" s="40"/>
      <c r="X47" s="46" t="n">
        <f aca="false">Y47*X$7</f>
        <v>0</v>
      </c>
      <c r="Y47" s="46" t="n">
        <f aca="false">0*CMF</f>
        <v>0</v>
      </c>
      <c r="Z47" s="41" t="n">
        <f aca="false">+Y47/Y$8</f>
        <v>0</v>
      </c>
      <c r="AA47" s="40"/>
      <c r="AB47" s="46" t="n">
        <f aca="false">+X47+T47+P47</f>
        <v>0</v>
      </c>
      <c r="AC47" s="23" t="n">
        <f aca="false">+AB47/AB$7</f>
        <v>0</v>
      </c>
      <c r="AD47" s="41" t="n">
        <f aca="false">+AC47/AC$8</f>
        <v>0</v>
      </c>
      <c r="AE47" s="40"/>
      <c r="AF47" s="43"/>
      <c r="AG47" s="44" t="s">
        <v>195</v>
      </c>
      <c r="AH47" s="21" t="s">
        <v>203</v>
      </c>
      <c r="AI47" s="38" t="n">
        <f aca="false">AJ47/$AJ$48</f>
        <v>0.108106774038529</v>
      </c>
      <c r="AJ47" s="20" t="n">
        <f aca="false">(SUM(AJ$43:AJ46)+SUM(AJ$9:AJ$40))*0.15</f>
        <v>1430492.83688176</v>
      </c>
      <c r="AK47" s="45" t="n">
        <f aca="false">+AJ47/AK$7</f>
        <v>10675.3196782221</v>
      </c>
      <c r="AL47" s="41" t="n">
        <f aca="false">+AJ47/AL$7</f>
        <v>8.9935296362444</v>
      </c>
    </row>
    <row r="48" customFormat="false" ht="12.75" hidden="false" customHeight="false" outlineLevel="0" collapsed="false">
      <c r="A48" s="20" t="s">
        <v>197</v>
      </c>
      <c r="B48" s="21" t="s">
        <v>198</v>
      </c>
      <c r="C48" s="37" t="n">
        <v>0.25</v>
      </c>
      <c r="D48" s="38" t="n">
        <f aca="false">L48/$L$88</f>
        <v>0.00398277053466703</v>
      </c>
      <c r="E48" s="39" t="s">
        <v>78</v>
      </c>
      <c r="F48" s="39" t="s">
        <v>78</v>
      </c>
      <c r="G48" s="39" t="s">
        <v>78</v>
      </c>
      <c r="H48" s="39" t="s">
        <v>78</v>
      </c>
      <c r="I48" s="39" t="s">
        <v>78</v>
      </c>
      <c r="J48" s="39" t="s">
        <v>78</v>
      </c>
      <c r="K48" s="39" t="s">
        <v>78</v>
      </c>
      <c r="L48" s="40" t="n">
        <f aca="false">M48*TRUnits</f>
        <v>2800</v>
      </c>
      <c r="M48" s="40" t="n">
        <f aca="false">400/2</f>
        <v>200</v>
      </c>
      <c r="N48" s="41" t="n">
        <f aca="false">M48/1376</f>
        <v>0.145348837209302</v>
      </c>
      <c r="O48" s="41"/>
      <c r="P48" s="46" t="n">
        <f aca="false">Q48*P$7</f>
        <v>675</v>
      </c>
      <c r="Q48" s="46" t="n">
        <f aca="false">$M48*CMF</f>
        <v>225</v>
      </c>
      <c r="R48" s="41" t="n">
        <f aca="false">+Q48/Q$8</f>
        <v>0.187813021702838</v>
      </c>
      <c r="S48" s="40"/>
      <c r="T48" s="46" t="n">
        <f aca="false">U48*T$7</f>
        <v>16425</v>
      </c>
      <c r="U48" s="46" t="n">
        <f aca="false">$M48*CMF</f>
        <v>225</v>
      </c>
      <c r="V48" s="41" t="n">
        <f aca="false">+U48/U$8</f>
        <v>0.203252032520325</v>
      </c>
      <c r="W48" s="40"/>
      <c r="X48" s="46" t="n">
        <f aca="false">Y48*X$7</f>
        <v>13050</v>
      </c>
      <c r="Y48" s="46" t="n">
        <f aca="false">$M48*CMF</f>
        <v>225</v>
      </c>
      <c r="Z48" s="41" t="n">
        <f aca="false">+Y48/Y$8</f>
        <v>0.174825174825175</v>
      </c>
      <c r="AA48" s="40"/>
      <c r="AB48" s="46" t="n">
        <f aca="false">+X48+T48+P48</f>
        <v>30150</v>
      </c>
      <c r="AC48" s="23" t="n">
        <f aca="false">+AB48/AB$7</f>
        <v>225</v>
      </c>
      <c r="AD48" s="41" t="n">
        <f aca="false">+AC48/AC$8</f>
        <v>0.18955349620893</v>
      </c>
      <c r="AE48" s="40"/>
      <c r="AF48" s="43"/>
      <c r="AG48" s="44"/>
      <c r="AH48" s="57" t="s">
        <v>70</v>
      </c>
      <c r="AI48" s="58" t="n">
        <f aca="false">SUM(AI9:AI47)</f>
        <v>1</v>
      </c>
      <c r="AJ48" s="59" t="n">
        <f aca="false">SUM(AJ9:AJ47)</f>
        <v>13232222.0286764</v>
      </c>
      <c r="AK48" s="59" t="n">
        <f aca="false">+AJ48/AK$7</f>
        <v>98747.9255871374</v>
      </c>
      <c r="AL48" s="60" t="n">
        <f aca="false">+AJ48/AL$7</f>
        <v>83.1911757263162</v>
      </c>
    </row>
    <row r="49" customFormat="false" ht="12.75" hidden="false" customHeight="false" outlineLevel="0" collapsed="false">
      <c r="B49" s="19" t="s">
        <v>204</v>
      </c>
      <c r="C49" s="37"/>
      <c r="D49" s="38"/>
      <c r="E49" s="39"/>
      <c r="F49" s="39"/>
      <c r="G49" s="39"/>
      <c r="H49" s="39"/>
      <c r="I49" s="39"/>
      <c r="J49" s="39"/>
      <c r="K49" s="39"/>
      <c r="L49" s="40" t="n">
        <f aca="false">M49*TRUnits</f>
        <v>0</v>
      </c>
      <c r="M49" s="40"/>
      <c r="N49" s="41"/>
      <c r="O49" s="41"/>
      <c r="P49" s="52"/>
      <c r="Q49" s="52"/>
      <c r="R49" s="41"/>
      <c r="S49" s="40"/>
      <c r="T49" s="46"/>
      <c r="U49" s="46"/>
      <c r="V49" s="41"/>
      <c r="W49" s="40"/>
      <c r="X49" s="46"/>
      <c r="Y49" s="46"/>
      <c r="Z49" s="41"/>
      <c r="AA49" s="40"/>
      <c r="AB49" s="46"/>
      <c r="AC49" s="23" t="s">
        <v>188</v>
      </c>
      <c r="AD49" s="41"/>
      <c r="AE49" s="40"/>
      <c r="AF49" s="43"/>
      <c r="AG49" s="44"/>
      <c r="AH49" s="61" t="s">
        <v>205</v>
      </c>
    </row>
    <row r="50" customFormat="false" ht="12.75" hidden="false" customHeight="false" outlineLevel="0" collapsed="false">
      <c r="A50" s="20" t="s">
        <v>206</v>
      </c>
      <c r="B50" s="21" t="s">
        <v>113</v>
      </c>
      <c r="C50" s="37" t="n">
        <v>0.6</v>
      </c>
      <c r="D50" s="38" t="n">
        <f aca="false">L50/$L$88</f>
        <v>0.0238966232080022</v>
      </c>
      <c r="E50" s="39" t="s">
        <v>78</v>
      </c>
      <c r="F50" s="39" t="s">
        <v>78</v>
      </c>
      <c r="G50" s="39" t="s">
        <v>78</v>
      </c>
      <c r="H50" s="39" t="s">
        <v>78</v>
      </c>
      <c r="I50" s="39" t="s">
        <v>78</v>
      </c>
      <c r="J50" s="39" t="s">
        <v>78</v>
      </c>
      <c r="K50" s="39" t="s">
        <v>78</v>
      </c>
      <c r="L50" s="40" t="n">
        <f aca="false">M50*TRUnits</f>
        <v>16800</v>
      </c>
      <c r="M50" s="40" t="n">
        <f aca="false">2400/2</f>
        <v>1200</v>
      </c>
      <c r="N50" s="41" t="n">
        <f aca="false">M50/1376</f>
        <v>0.872093023255814</v>
      </c>
      <c r="O50" s="41"/>
      <c r="P50" s="46" t="n">
        <f aca="false">Q50*P$7</f>
        <v>4043.25</v>
      </c>
      <c r="Q50" s="46" t="n">
        <f aca="false">1*Q$8*CMF</f>
        <v>1347.75</v>
      </c>
      <c r="R50" s="41" t="n">
        <f aca="false">+Q50/Q$8</f>
        <v>1.125</v>
      </c>
      <c r="S50" s="40"/>
      <c r="T50" s="46" t="n">
        <f aca="false">U50*T$7</f>
        <v>90912.375</v>
      </c>
      <c r="U50" s="46" t="n">
        <f aca="false">1*U$8*CMF</f>
        <v>1245.375</v>
      </c>
      <c r="V50" s="41" t="n">
        <f aca="false">+U50/U$8</f>
        <v>1.125</v>
      </c>
      <c r="W50" s="40"/>
      <c r="X50" s="46" t="n">
        <f aca="false">Y50*X$7</f>
        <v>83976.75</v>
      </c>
      <c r="Y50" s="46" t="n">
        <f aca="false">1*Y$8*CMF</f>
        <v>1447.875</v>
      </c>
      <c r="Z50" s="41" t="n">
        <f aca="false">+Y50/Y$8</f>
        <v>1.125</v>
      </c>
      <c r="AA50" s="40"/>
      <c r="AB50" s="46" t="n">
        <f aca="false">+X50+T50+P50</f>
        <v>178932.375</v>
      </c>
      <c r="AC50" s="23" t="n">
        <f aca="false">+AB50/AB$7</f>
        <v>1335.31623134328</v>
      </c>
      <c r="AD50" s="41" t="n">
        <f aca="false">+AC50/AC$8</f>
        <v>1.12495048975845</v>
      </c>
      <c r="AE50" s="40"/>
      <c r="AF50" s="43"/>
      <c r="AG50" s="44"/>
      <c r="AH50" s="21" t="s">
        <v>207</v>
      </c>
      <c r="AI50" s="38" t="n">
        <f aca="false">AJ50/$AJ$48</f>
        <v>-0.143148293302139</v>
      </c>
      <c r="AJ50" s="21" t="n">
        <f aca="false">-AJ42</f>
        <v>-1894170</v>
      </c>
      <c r="AK50" s="40" t="n">
        <f aca="false">AJ50/AK$7</f>
        <v>-14135.5970149254</v>
      </c>
      <c r="AL50" s="62" t="n">
        <f aca="false">AK50/AL$7</f>
        <v>-0.0888707076344816</v>
      </c>
    </row>
    <row r="51" customFormat="false" ht="12.75" hidden="false" customHeight="false" outlineLevel="0" collapsed="false">
      <c r="A51" s="20" t="s">
        <v>208</v>
      </c>
      <c r="B51" s="21" t="s">
        <v>209</v>
      </c>
      <c r="C51" s="37" t="n">
        <v>0.4</v>
      </c>
      <c r="D51" s="38" t="n">
        <f aca="false">L51/$L$88</f>
        <v>0.0159310821386681</v>
      </c>
      <c r="E51" s="39" t="s">
        <v>78</v>
      </c>
      <c r="F51" s="39" t="s">
        <v>78</v>
      </c>
      <c r="G51" s="48"/>
      <c r="H51" s="39" t="s">
        <v>78</v>
      </c>
      <c r="I51" s="39" t="s">
        <v>78</v>
      </c>
      <c r="J51" s="49" t="s">
        <v>78</v>
      </c>
      <c r="K51" s="39" t="s">
        <v>78</v>
      </c>
      <c r="L51" s="40" t="n">
        <f aca="false">M51*TRUnits</f>
        <v>11200</v>
      </c>
      <c r="M51" s="40" t="n">
        <f aca="false">1600/2</f>
        <v>800</v>
      </c>
      <c r="N51" s="41" t="n">
        <f aca="false">M51/1376</f>
        <v>0.581395348837209</v>
      </c>
      <c r="O51" s="41"/>
      <c r="P51" s="46" t="n">
        <f aca="false">Q51*P$7</f>
        <v>4043.25</v>
      </c>
      <c r="Q51" s="46" t="n">
        <f aca="false">1*Q$8*CMF</f>
        <v>1347.75</v>
      </c>
      <c r="R51" s="41" t="n">
        <f aca="false">+Q51/Q$8</f>
        <v>1.125</v>
      </c>
      <c r="S51" s="40"/>
      <c r="T51" s="46" t="n">
        <f aca="false">U51*T$7</f>
        <v>90912.375</v>
      </c>
      <c r="U51" s="46" t="n">
        <f aca="false">1*U$8*CMF</f>
        <v>1245.375</v>
      </c>
      <c r="V51" s="41" t="n">
        <f aca="false">+U51/U$8</f>
        <v>1.125</v>
      </c>
      <c r="W51" s="40"/>
      <c r="X51" s="46" t="n">
        <f aca="false">Y51*X$7</f>
        <v>83976.75</v>
      </c>
      <c r="Y51" s="46" t="n">
        <f aca="false">1*Y$8*CMF</f>
        <v>1447.875</v>
      </c>
      <c r="Z51" s="41" t="n">
        <f aca="false">+Y51/Y$8</f>
        <v>1.125</v>
      </c>
      <c r="AA51" s="40"/>
      <c r="AB51" s="46" t="n">
        <f aca="false">+X51+T51+P51</f>
        <v>178932.375</v>
      </c>
      <c r="AC51" s="23" t="n">
        <f aca="false">+AB51/AB$7</f>
        <v>1335.31623134328</v>
      </c>
      <c r="AD51" s="41" t="n">
        <f aca="false">+AC51/AC$8</f>
        <v>1.12495048975845</v>
      </c>
      <c r="AE51" s="40"/>
      <c r="AF51" s="43"/>
      <c r="AG51" s="44"/>
      <c r="AH51" s="21" t="s">
        <v>210</v>
      </c>
      <c r="AI51" s="38" t="n">
        <f aca="false">AJ51/$AJ$48</f>
        <v>-0.0280331057358076</v>
      </c>
      <c r="AJ51" s="21" t="n">
        <f aca="false">-AJ41</f>
        <v>-370940.279249568</v>
      </c>
      <c r="AK51" s="40" t="n">
        <f aca="false">AJ51/AK$7</f>
        <v>-2768.21103917588</v>
      </c>
      <c r="AL51" s="62" t="n">
        <f aca="false">AK51/AL$7</f>
        <v>-0.0174037837718058</v>
      </c>
    </row>
    <row r="52" customFormat="false" ht="12" hidden="false" customHeight="false" outlineLevel="0" collapsed="false">
      <c r="A52" s="20" t="s">
        <v>211</v>
      </c>
      <c r="B52" s="19" t="s">
        <v>212</v>
      </c>
      <c r="C52" s="37"/>
      <c r="D52" s="38" t="n">
        <f aca="false">L52/$L$88</f>
        <v>0.00959051144747821</v>
      </c>
      <c r="E52" s="39" t="s">
        <v>78</v>
      </c>
      <c r="F52" s="39" t="s">
        <v>78</v>
      </c>
      <c r="G52" s="39" t="s">
        <v>78</v>
      </c>
      <c r="H52" s="39" t="s">
        <v>78</v>
      </c>
      <c r="I52" s="39" t="s">
        <v>78</v>
      </c>
      <c r="J52" s="39" t="s">
        <v>78</v>
      </c>
      <c r="K52" s="39" t="s">
        <v>78</v>
      </c>
      <c r="L52" s="40" t="n">
        <f aca="false">M52*TRUnits</f>
        <v>6742.4</v>
      </c>
      <c r="M52" s="40" t="n">
        <f aca="false">(1376*0.7)/2</f>
        <v>481.6</v>
      </c>
      <c r="N52" s="41" t="n">
        <f aca="false">M52/1376</f>
        <v>0.35</v>
      </c>
      <c r="O52" s="41"/>
      <c r="P52" s="46" t="n">
        <f aca="false">Q52*P$7</f>
        <v>3436.7625</v>
      </c>
      <c r="Q52" s="46" t="n">
        <f aca="false">Q$8*0.85*CMF</f>
        <v>1145.5875</v>
      </c>
      <c r="R52" s="41" t="n">
        <f aca="false">+Q52/Q$8</f>
        <v>0.95625</v>
      </c>
      <c r="S52" s="40"/>
      <c r="T52" s="46" t="n">
        <f aca="false">U52*T$7</f>
        <v>77275.51875</v>
      </c>
      <c r="U52" s="46" t="n">
        <f aca="false">U$8*0.85*CMF</f>
        <v>1058.56875</v>
      </c>
      <c r="V52" s="41" t="n">
        <f aca="false">+U52/U$8</f>
        <v>0.95625</v>
      </c>
      <c r="W52" s="40"/>
      <c r="X52" s="46" t="n">
        <f aca="false">Y52*X$7</f>
        <v>71380.2375</v>
      </c>
      <c r="Y52" s="46" t="n">
        <f aca="false">Y$8*0.85*CMF</f>
        <v>1230.69375</v>
      </c>
      <c r="Z52" s="41" t="n">
        <f aca="false">+Y52/Y$8</f>
        <v>0.95625</v>
      </c>
      <c r="AA52" s="40"/>
      <c r="AB52" s="46" t="n">
        <f aca="false">+X52+T52+P52</f>
        <v>152092.51875</v>
      </c>
      <c r="AC52" s="23" t="n">
        <f aca="false">+AB52/AB$7</f>
        <v>1135.01879664179</v>
      </c>
      <c r="AD52" s="41" t="n">
        <f aca="false">+AC52/AC$8</f>
        <v>0.956207916294685</v>
      </c>
      <c r="AE52" s="40"/>
      <c r="AF52" s="43"/>
      <c r="AG52" s="44"/>
      <c r="AH52" s="21" t="s">
        <v>202</v>
      </c>
      <c r="AI52" s="38" t="n">
        <f aca="false">AJ52/$AJ$48</f>
        <v>-0.0311678492279437</v>
      </c>
      <c r="AJ52" s="21" t="n">
        <f aca="false">-AJ46</f>
        <v>-412419.901140462</v>
      </c>
      <c r="AK52" s="40" t="n">
        <f aca="false">AJ52/AK$7</f>
        <v>-3077.7604562721</v>
      </c>
      <c r="AL52" s="62" t="n">
        <f aca="false">AK52/AL$7</f>
        <v>-0.0193499255383074</v>
      </c>
    </row>
    <row r="53" customFormat="false" ht="12" hidden="false" customHeight="false" outlineLevel="0" collapsed="false">
      <c r="A53" s="20" t="s">
        <v>213</v>
      </c>
      <c r="B53" s="19" t="s">
        <v>214</v>
      </c>
      <c r="C53" s="37"/>
      <c r="E53" s="39"/>
      <c r="F53" s="39"/>
      <c r="G53" s="39"/>
      <c r="H53" s="39"/>
      <c r="I53" s="39"/>
      <c r="K53" s="39"/>
      <c r="L53" s="40"/>
      <c r="M53" s="40"/>
      <c r="N53" s="41"/>
      <c r="O53" s="41"/>
      <c r="P53" s="46"/>
      <c r="Q53" s="52"/>
      <c r="R53" s="41"/>
      <c r="S53" s="40"/>
      <c r="T53" s="46"/>
      <c r="U53" s="46"/>
      <c r="V53" s="41"/>
      <c r="W53" s="40"/>
      <c r="X53" s="46"/>
      <c r="Y53" s="46"/>
      <c r="Z53" s="41"/>
      <c r="AA53" s="40"/>
      <c r="AB53" s="46"/>
      <c r="AC53" s="23" t="s">
        <v>188</v>
      </c>
      <c r="AD53" s="41"/>
      <c r="AE53" s="40"/>
      <c r="AF53" s="43"/>
      <c r="AG53" s="44"/>
      <c r="AH53" s="21" t="s">
        <v>39</v>
      </c>
      <c r="AI53" s="38" t="n">
        <f aca="false">AJ53/$AJ$48</f>
        <v>-0.108106774038529</v>
      </c>
      <c r="AJ53" s="21" t="n">
        <f aca="false">-AJ47</f>
        <v>-1430492.83688176</v>
      </c>
      <c r="AK53" s="40" t="n">
        <f aca="false">AJ53/AK$7</f>
        <v>-10675.3196782221</v>
      </c>
      <c r="AL53" s="62" t="n">
        <f aca="false">AK53/AL$7</f>
        <v>-0.067115892807794</v>
      </c>
    </row>
    <row r="54" customFormat="false" ht="12.75" hidden="false" customHeight="false" outlineLevel="0" collapsed="false">
      <c r="A54" s="20" t="s">
        <v>213</v>
      </c>
      <c r="B54" s="21" t="s">
        <v>215</v>
      </c>
      <c r="C54" s="37"/>
      <c r="D54" s="38" t="n">
        <f aca="false">L54/$L$88</f>
        <v>0.029069246439901</v>
      </c>
      <c r="E54" s="39" t="s">
        <v>78</v>
      </c>
      <c r="F54" s="39" t="s">
        <v>78</v>
      </c>
      <c r="G54" s="39" t="s">
        <v>78</v>
      </c>
      <c r="H54" s="39" t="s">
        <v>78</v>
      </c>
      <c r="I54" s="39" t="s">
        <v>78</v>
      </c>
      <c r="J54" s="39" t="s">
        <v>78</v>
      </c>
      <c r="K54" s="39" t="s">
        <v>78</v>
      </c>
      <c r="L54" s="40" t="n">
        <f aca="false">7*M54</f>
        <v>20436.5</v>
      </c>
      <c r="M54" s="40" t="n">
        <f aca="false">(2739+(21700/7))/2</f>
        <v>2919.5</v>
      </c>
      <c r="N54" s="41" t="n">
        <f aca="false">M54/1376</f>
        <v>2.12172965116279</v>
      </c>
      <c r="O54" s="41"/>
      <c r="P54" s="46" t="n">
        <f aca="false">Q54*P$7</f>
        <v>8578.68341206395</v>
      </c>
      <c r="Q54" s="46" t="n">
        <f aca="false">Q$8*$N54*CMF</f>
        <v>2859.56113735465</v>
      </c>
      <c r="R54" s="41" t="n">
        <f aca="false">+Q54/Q$8</f>
        <v>2.38694585755814</v>
      </c>
      <c r="S54" s="40"/>
      <c r="T54" s="46" t="n">
        <f aca="false">U54*T$7</f>
        <v>192891.481695131</v>
      </c>
      <c r="U54" s="46" t="n">
        <f aca="false">U$8*$N54*CMF</f>
        <v>2642.34906431686</v>
      </c>
      <c r="V54" s="41" t="n">
        <f aca="false">+U54/U$8</f>
        <v>2.38694585755814</v>
      </c>
      <c r="W54" s="40"/>
      <c r="X54" s="46" t="n">
        <f aca="false">Y54*X$7</f>
        <v>178175.960483285</v>
      </c>
      <c r="Y54" s="46" t="n">
        <f aca="false">Y$8*$N54*CMF</f>
        <v>3071.99931867733</v>
      </c>
      <c r="Z54" s="41" t="n">
        <f aca="false">+Y54/Y$8</f>
        <v>2.38694585755814</v>
      </c>
      <c r="AA54" s="40"/>
      <c r="AB54" s="46" t="n">
        <f aca="false">+X54+T54+P54</f>
        <v>379646.12559048</v>
      </c>
      <c r="AC54" s="23" t="n">
        <f aca="false">+AB54/AB$7</f>
        <v>2833.18004172</v>
      </c>
      <c r="AD54" s="41" t="n">
        <f aca="false">+AC54/AC$8</f>
        <v>2.38684081021061</v>
      </c>
      <c r="AE54" s="40"/>
      <c r="AF54" s="43"/>
      <c r="AG54" s="44"/>
      <c r="AH54" s="57" t="s">
        <v>216</v>
      </c>
      <c r="AI54" s="58" t="n">
        <f aca="false">AJ54/$AJ$48</f>
        <v>0.689543977695581</v>
      </c>
      <c r="AJ54" s="59" t="n">
        <f aca="false">SUM(AJ48:AJ53)</f>
        <v>9124199.01140462</v>
      </c>
      <c r="AK54" s="59" t="n">
        <f aca="false">+AJ54/AK$7</f>
        <v>68091.0373985419</v>
      </c>
      <c r="AL54" s="60" t="n">
        <f aca="false">+AJ54/AL$7</f>
        <v>57.3639742194961</v>
      </c>
    </row>
    <row r="55" customFormat="false" ht="13.5" hidden="false" customHeight="false" outlineLevel="0" collapsed="false">
      <c r="A55" s="20" t="s">
        <v>213</v>
      </c>
      <c r="B55" s="21" t="s">
        <v>217</v>
      </c>
      <c r="C55" s="37"/>
      <c r="D55" s="38" t="n">
        <f aca="false">L55/$L$88</f>
        <v>0.0201627758317518</v>
      </c>
      <c r="E55" s="39" t="s">
        <v>78</v>
      </c>
      <c r="F55" s="39" t="s">
        <v>78</v>
      </c>
      <c r="G55" s="49" t="s">
        <v>78</v>
      </c>
      <c r="H55" s="39" t="s">
        <v>78</v>
      </c>
      <c r="I55" s="39" t="s">
        <v>78</v>
      </c>
      <c r="J55" s="49" t="s">
        <v>78</v>
      </c>
      <c r="K55" s="49" t="s">
        <v>78</v>
      </c>
      <c r="L55" s="40" t="n">
        <f aca="false">7*M55</f>
        <v>14175</v>
      </c>
      <c r="M55" s="40" t="n">
        <f aca="false">4050/2</f>
        <v>2025</v>
      </c>
      <c r="N55" s="41" t="n">
        <f aca="false">M55/1376</f>
        <v>1.47165697674419</v>
      </c>
      <c r="O55" s="41"/>
      <c r="P55" s="46" t="n">
        <f aca="false">Q55*P$7</f>
        <v>5950.27707122093</v>
      </c>
      <c r="Q55" s="46" t="n">
        <f aca="false">Q$8*$N55*CMF</f>
        <v>1983.42569040698</v>
      </c>
      <c r="R55" s="41" t="n">
        <f aca="false">+Q55/Q$8</f>
        <v>1.65561409883721</v>
      </c>
      <c r="S55" s="40"/>
      <c r="T55" s="46" t="n">
        <f aca="false">U55*T$7</f>
        <v>133791.830941134</v>
      </c>
      <c r="U55" s="46" t="n">
        <f aca="false">U$8*$N55*CMF</f>
        <v>1832.76480741279</v>
      </c>
      <c r="V55" s="41" t="n">
        <f aca="false">+U55/U$8</f>
        <v>1.65561409883721</v>
      </c>
      <c r="W55" s="40"/>
      <c r="X55" s="46" t="n">
        <f aca="false">Y55*X$7</f>
        <v>123584.970021802</v>
      </c>
      <c r="Y55" s="46" t="n">
        <f aca="false">Y$8*$N55*CMF</f>
        <v>2130.77534520349</v>
      </c>
      <c r="Z55" s="41" t="n">
        <f aca="false">+Y55/Y$8</f>
        <v>1.65561409883721</v>
      </c>
      <c r="AA55" s="40"/>
      <c r="AB55" s="46" t="n">
        <f aca="false">+X55+T55+P55</f>
        <v>263327.078034157</v>
      </c>
      <c r="AC55" s="23" t="n">
        <f aca="false">+AB55/AB$7</f>
        <v>1965.1274480161</v>
      </c>
      <c r="AD55" s="41" t="n">
        <f aca="false">+AC55/AC$8</f>
        <v>1.65554123674482</v>
      </c>
      <c r="AE55" s="40"/>
      <c r="AF55" s="43"/>
      <c r="AG55" s="44"/>
    </row>
    <row r="56" customFormat="false" ht="12.75" hidden="false" customHeight="false" outlineLevel="0" collapsed="false">
      <c r="A56" s="20" t="s">
        <v>218</v>
      </c>
      <c r="B56" s="63" t="s">
        <v>219</v>
      </c>
      <c r="C56" s="37"/>
      <c r="D56" s="38" t="n">
        <f aca="false">L56/$L$88</f>
        <v>0.00363427811288367</v>
      </c>
      <c r="E56" s="39" t="s">
        <v>78</v>
      </c>
      <c r="F56" s="39" t="s">
        <v>78</v>
      </c>
      <c r="G56" s="48"/>
      <c r="H56" s="39" t="s">
        <v>78</v>
      </c>
      <c r="I56" s="39" t="s">
        <v>78</v>
      </c>
      <c r="J56" s="49" t="s">
        <v>78</v>
      </c>
      <c r="K56" s="49" t="s">
        <v>78</v>
      </c>
      <c r="L56" s="40" t="n">
        <f aca="false">7*M56</f>
        <v>2555</v>
      </c>
      <c r="M56" s="40" t="n">
        <f aca="false">730/2</f>
        <v>365</v>
      </c>
      <c r="N56" s="41" t="n">
        <f aca="false">M56/1376</f>
        <v>0.265261627906977</v>
      </c>
      <c r="O56" s="41"/>
      <c r="P56" s="46" t="n">
        <f aca="false">Q56*P$7</f>
        <v>675</v>
      </c>
      <c r="Q56" s="46" t="n">
        <f aca="false">200*CMF</f>
        <v>225</v>
      </c>
      <c r="R56" s="41" t="n">
        <f aca="false">+Q56/Q$8</f>
        <v>0.187813021702838</v>
      </c>
      <c r="S56" s="40"/>
      <c r="T56" s="46" t="n">
        <f aca="false">U56*T$7</f>
        <v>0</v>
      </c>
      <c r="U56" s="46" t="n">
        <v>0</v>
      </c>
      <c r="V56" s="41" t="n">
        <f aca="false">+U56/U$8</f>
        <v>0</v>
      </c>
      <c r="W56" s="40"/>
      <c r="X56" s="46" t="n">
        <f aca="false">Y56*X$7</f>
        <v>13050</v>
      </c>
      <c r="Y56" s="46" t="n">
        <f aca="false">200*CMF</f>
        <v>225</v>
      </c>
      <c r="Z56" s="41" t="n">
        <f aca="false">+Y56/Y$8</f>
        <v>0.174825174825175</v>
      </c>
      <c r="AA56" s="40"/>
      <c r="AB56" s="46" t="n">
        <f aca="false">+X56+T56+P56</f>
        <v>13725</v>
      </c>
      <c r="AC56" s="23" t="n">
        <f aca="false">+AB56/AB$7</f>
        <v>102.425373134328</v>
      </c>
      <c r="AD56" s="41" t="n">
        <f aca="false">+AC56/AC$8</f>
        <v>0.0862892781249607</v>
      </c>
      <c r="AE56" s="40"/>
      <c r="AF56" s="43"/>
      <c r="AG56" s="44"/>
      <c r="AJ56" s="21" t="n">
        <f aca="false">0.75*AJ48</f>
        <v>9924166.52150731</v>
      </c>
    </row>
    <row r="57" customFormat="false" ht="12.75" hidden="false" customHeight="false" outlineLevel="0" collapsed="false">
      <c r="A57" s="20" t="s">
        <v>218</v>
      </c>
      <c r="B57" s="19" t="s">
        <v>220</v>
      </c>
      <c r="C57" s="37"/>
      <c r="D57" s="38"/>
      <c r="E57" s="39"/>
      <c r="F57" s="39"/>
      <c r="G57" s="39"/>
      <c r="H57" s="39"/>
      <c r="I57" s="39"/>
      <c r="J57" s="39"/>
      <c r="K57" s="39"/>
      <c r="L57" s="40"/>
      <c r="M57" s="64"/>
      <c r="N57" s="41"/>
      <c r="O57" s="41"/>
      <c r="P57" s="46"/>
      <c r="Q57" s="46"/>
      <c r="R57" s="41"/>
      <c r="S57" s="40"/>
      <c r="T57" s="46"/>
      <c r="U57" s="46"/>
      <c r="V57" s="41"/>
      <c r="W57" s="40"/>
      <c r="X57" s="46"/>
      <c r="Y57" s="46"/>
      <c r="Z57" s="41"/>
      <c r="AA57" s="40"/>
      <c r="AB57" s="46"/>
      <c r="AC57" s="23" t="s">
        <v>188</v>
      </c>
      <c r="AD57" s="41"/>
      <c r="AE57" s="40"/>
      <c r="AF57" s="43"/>
      <c r="AG57" s="44"/>
      <c r="AJ57" s="21" t="n">
        <f aca="false">+AJ48-AJ56</f>
        <v>3308055.5071691</v>
      </c>
    </row>
    <row r="58" customFormat="false" ht="12.75" hidden="false" customHeight="false" outlineLevel="0" collapsed="false">
      <c r="A58" s="20" t="s">
        <v>218</v>
      </c>
      <c r="B58" s="21" t="s">
        <v>221</v>
      </c>
      <c r="C58" s="37"/>
      <c r="D58" s="38" t="n">
        <f aca="false">L58/$L$88</f>
        <v>0.00734323317329234</v>
      </c>
      <c r="E58" s="39" t="s">
        <v>78</v>
      </c>
      <c r="F58" s="39" t="s">
        <v>78</v>
      </c>
      <c r="G58" s="48"/>
      <c r="H58" s="39" t="s">
        <v>78</v>
      </c>
      <c r="I58" s="39" t="s">
        <v>78</v>
      </c>
      <c r="J58" s="49" t="s">
        <v>78</v>
      </c>
      <c r="K58" s="49" t="s">
        <v>78</v>
      </c>
      <c r="L58" s="40" t="n">
        <f aca="false">7*M58</f>
        <v>5162.5</v>
      </c>
      <c r="M58" s="40" t="n">
        <f aca="false">1475/2</f>
        <v>737.5</v>
      </c>
      <c r="N58" s="41" t="n">
        <f aca="false">M58/1376</f>
        <v>0.535973837209302</v>
      </c>
      <c r="O58" s="41"/>
      <c r="P58" s="46" t="n">
        <f aca="false">Q58*P$7</f>
        <v>3037.5</v>
      </c>
      <c r="Q58" s="46" t="n">
        <f aca="false">12*75*CMF</f>
        <v>1012.5</v>
      </c>
      <c r="R58" s="41" t="n">
        <f aca="false">+Q58/Q$8</f>
        <v>0.845158597662771</v>
      </c>
      <c r="S58" s="40"/>
      <c r="T58" s="46" t="n">
        <f aca="false">U58*T$7</f>
        <v>73912.5</v>
      </c>
      <c r="U58" s="46" t="n">
        <f aca="false">12*75*CMF</f>
        <v>1012.5</v>
      </c>
      <c r="V58" s="41" t="n">
        <f aca="false">+U58/U$8</f>
        <v>0.914634146341463</v>
      </c>
      <c r="W58" s="40"/>
      <c r="X58" s="46" t="n">
        <f aca="false">Y58*X$7</f>
        <v>58725</v>
      </c>
      <c r="Y58" s="46" t="n">
        <f aca="false">12*75*CMF</f>
        <v>1012.5</v>
      </c>
      <c r="Z58" s="41" t="n">
        <f aca="false">+Y58/Y$8</f>
        <v>0.786713286713287</v>
      </c>
      <c r="AA58" s="40"/>
      <c r="AB58" s="46" t="n">
        <f aca="false">+X58+T58+P58</f>
        <v>135675</v>
      </c>
      <c r="AC58" s="23" t="n">
        <f aca="false">+AB58/AB$7</f>
        <v>1012.5</v>
      </c>
      <c r="AD58" s="41" t="n">
        <f aca="false">+AC58/AC$8</f>
        <v>0.852990732940185</v>
      </c>
      <c r="AE58" s="40"/>
      <c r="AF58" s="43"/>
      <c r="AG58" s="44"/>
      <c r="AI58" s="38"/>
      <c r="AJ58" s="45" t="n">
        <f aca="false">AJ57-AJ47-AJ46</f>
        <v>1465142.76914688</v>
      </c>
    </row>
    <row r="59" customFormat="false" ht="12.75" hidden="false" customHeight="false" outlineLevel="0" collapsed="false">
      <c r="A59" s="20" t="s">
        <v>218</v>
      </c>
      <c r="B59" s="21" t="s">
        <v>222</v>
      </c>
      <c r="C59" s="37"/>
      <c r="D59" s="38" t="n">
        <f aca="false">L59/$L$88</f>
        <v>0.00629775590794224</v>
      </c>
      <c r="E59" s="39" t="s">
        <v>78</v>
      </c>
      <c r="F59" s="39" t="s">
        <v>78</v>
      </c>
      <c r="G59" s="48"/>
      <c r="H59" s="39" t="s">
        <v>78</v>
      </c>
      <c r="I59" s="39" t="s">
        <v>78</v>
      </c>
      <c r="J59" s="49" t="s">
        <v>78</v>
      </c>
      <c r="K59" s="49" t="s">
        <v>78</v>
      </c>
      <c r="L59" s="40" t="n">
        <f aca="false">7*M59</f>
        <v>4427.5</v>
      </c>
      <c r="M59" s="40" t="n">
        <f aca="false">1265/2</f>
        <v>632.5</v>
      </c>
      <c r="N59" s="41" t="n">
        <f aca="false">M59/1376</f>
        <v>0.459665697674419</v>
      </c>
      <c r="O59" s="41"/>
      <c r="P59" s="46" t="n">
        <f aca="false">Q59*P$7</f>
        <v>1858.54333212209</v>
      </c>
      <c r="Q59" s="46" t="n">
        <f aca="false">Q$8*$N59*CMF</f>
        <v>619.514444040698</v>
      </c>
      <c r="R59" s="41" t="n">
        <f aca="false">+Q59/Q$8</f>
        <v>0.517123909883721</v>
      </c>
      <c r="S59" s="40"/>
      <c r="T59" s="46" t="n">
        <f aca="false">U59*T$7</f>
        <v>41789.3002816134</v>
      </c>
      <c r="U59" s="46" t="n">
        <f aca="false">U$8*$N59*CMF</f>
        <v>572.456168241279</v>
      </c>
      <c r="V59" s="41" t="n">
        <f aca="false">+U59/U$8</f>
        <v>0.517123909883721</v>
      </c>
      <c r="W59" s="40"/>
      <c r="X59" s="46" t="n">
        <f aca="false">Y59*X$7</f>
        <v>38601.2313771802</v>
      </c>
      <c r="Y59" s="46" t="n">
        <f aca="false">Y$8*$N59*CMF</f>
        <v>665.538472020349</v>
      </c>
      <c r="Z59" s="41" t="n">
        <f aca="false">+Y59/Y$8</f>
        <v>0.517123909883721</v>
      </c>
      <c r="AA59" s="40"/>
      <c r="AB59" s="46" t="n">
        <f aca="false">+X59+T59+P59</f>
        <v>82249.0749909157</v>
      </c>
      <c r="AC59" s="23" t="n">
        <f aca="false">+AB59/AB$7</f>
        <v>613.799067096386</v>
      </c>
      <c r="AD59" s="41" t="n">
        <f aca="false">+AC59/AC$8</f>
        <v>0.517101151723998</v>
      </c>
      <c r="AE59" s="40"/>
      <c r="AF59" s="43"/>
      <c r="AG59" s="44"/>
      <c r="AI59" s="38"/>
      <c r="AJ59" s="45"/>
    </row>
    <row r="60" customFormat="false" ht="12.75" hidden="false" customHeight="false" outlineLevel="0" collapsed="false">
      <c r="A60" s="20" t="s">
        <v>218</v>
      </c>
      <c r="B60" s="21" t="s">
        <v>176</v>
      </c>
      <c r="C60" s="37"/>
      <c r="D60" s="38" t="n">
        <f aca="false">L60/$L$88</f>
        <v>0.00620814357091223</v>
      </c>
      <c r="E60" s="39" t="s">
        <v>78</v>
      </c>
      <c r="F60" s="39" t="s">
        <v>78</v>
      </c>
      <c r="G60" s="48"/>
      <c r="H60" s="39" t="s">
        <v>78</v>
      </c>
      <c r="I60" s="39" t="s">
        <v>78</v>
      </c>
      <c r="J60" s="49" t="s">
        <v>78</v>
      </c>
      <c r="K60" s="49" t="s">
        <v>78</v>
      </c>
      <c r="L60" s="40" t="n">
        <f aca="false">7*M60</f>
        <v>4364.5</v>
      </c>
      <c r="M60" s="40" t="n">
        <f aca="false">1247/2</f>
        <v>623.5</v>
      </c>
      <c r="N60" s="41" t="n">
        <f aca="false">M60/1376</f>
        <v>0.453125</v>
      </c>
      <c r="O60" s="41"/>
      <c r="P60" s="46" t="n">
        <f aca="false">Q60*P$7</f>
        <v>1832.09765625</v>
      </c>
      <c r="Q60" s="46" t="n">
        <f aca="false">Q$8*$N60*CMF</f>
        <v>610.69921875</v>
      </c>
      <c r="R60" s="41" t="n">
        <f aca="false">+Q60/Q$8</f>
        <v>0.509765625</v>
      </c>
      <c r="S60" s="40"/>
      <c r="T60" s="46" t="n">
        <f aca="false">U60*T$7</f>
        <v>41194.669921875</v>
      </c>
      <c r="U60" s="46" t="n">
        <f aca="false">U$8*$N60*CMF</f>
        <v>564.310546875</v>
      </c>
      <c r="V60" s="41" t="n">
        <f aca="false">+U60/U$8</f>
        <v>0.509765625</v>
      </c>
      <c r="W60" s="40"/>
      <c r="X60" s="46" t="n">
        <f aca="false">Y60*X$7</f>
        <v>38051.96484375</v>
      </c>
      <c r="Y60" s="46" t="n">
        <f aca="false">Y$8*$N60*CMF</f>
        <v>656.068359375</v>
      </c>
      <c r="Z60" s="41" t="n">
        <f aca="false">+Y60/Y$8</f>
        <v>0.509765625</v>
      </c>
      <c r="AA60" s="40"/>
      <c r="AB60" s="46" t="n">
        <f aca="false">+X60+T60+P60</f>
        <v>81078.732421875</v>
      </c>
      <c r="AC60" s="23" t="n">
        <f aca="false">+AB60/AB$7</f>
        <v>605.065167327425</v>
      </c>
      <c r="AD60" s="41" t="n">
        <f aca="false">+AC60/AC$8</f>
        <v>0.509743190671799</v>
      </c>
      <c r="AE60" s="40"/>
      <c r="AF60" s="43"/>
      <c r="AG60" s="44"/>
      <c r="AI60" s="38"/>
      <c r="AJ60" s="40" t="n">
        <f aca="false">X7</f>
        <v>58</v>
      </c>
      <c r="AK60" s="21" t="n">
        <f aca="false">475*3</f>
        <v>1425</v>
      </c>
      <c r="AL60" s="21" t="n">
        <f aca="false">AK60*AJ60</f>
        <v>82650</v>
      </c>
      <c r="AN60" s="12" t="n">
        <f aca="false">AK60/AC$8</f>
        <v>1.20050547598989</v>
      </c>
    </row>
    <row r="61" customFormat="false" ht="12" hidden="false" customHeight="false" outlineLevel="0" collapsed="false">
      <c r="B61" s="19" t="s">
        <v>223</v>
      </c>
      <c r="C61" s="37"/>
      <c r="D61" s="38" t="n">
        <f aca="false">L61/$L$88</f>
        <v>0</v>
      </c>
      <c r="E61" s="39"/>
      <c r="F61" s="39"/>
      <c r="G61" s="39"/>
      <c r="H61" s="39"/>
      <c r="I61" s="39"/>
      <c r="J61" s="39"/>
      <c r="K61" s="39"/>
      <c r="L61" s="40"/>
      <c r="M61" s="40"/>
      <c r="N61" s="41"/>
      <c r="O61" s="41"/>
      <c r="P61" s="46"/>
      <c r="Q61" s="46"/>
      <c r="R61" s="41"/>
      <c r="S61" s="40"/>
      <c r="T61" s="46"/>
      <c r="U61" s="46"/>
      <c r="V61" s="41"/>
      <c r="W61" s="40"/>
      <c r="X61" s="46"/>
      <c r="Y61" s="46"/>
      <c r="Z61" s="41"/>
      <c r="AA61" s="40"/>
      <c r="AB61" s="46"/>
      <c r="AC61" s="23" t="s">
        <v>188</v>
      </c>
      <c r="AD61" s="41"/>
      <c r="AE61" s="40"/>
      <c r="AF61" s="43"/>
      <c r="AG61" s="44"/>
      <c r="AI61" s="38"/>
      <c r="AJ61" s="40" t="n">
        <f aca="false">T7</f>
        <v>73</v>
      </c>
      <c r="AK61" s="21" t="n">
        <v>1200</v>
      </c>
      <c r="AL61" s="21" t="n">
        <f aca="false">AK61*AJ61</f>
        <v>87600</v>
      </c>
      <c r="AN61" s="12" t="n">
        <f aca="false">AK61/U$8</f>
        <v>1.0840108401084</v>
      </c>
    </row>
    <row r="62" customFormat="false" ht="12.75" hidden="false" customHeight="false" outlineLevel="0" collapsed="false">
      <c r="A62" s="20" t="s">
        <v>224</v>
      </c>
      <c r="B62" s="21" t="s">
        <v>225</v>
      </c>
      <c r="C62" s="37"/>
      <c r="D62" s="38" t="n">
        <f aca="false">L62/$L$88</f>
        <v>0.0113260037079594</v>
      </c>
      <c r="E62" s="39" t="s">
        <v>78</v>
      </c>
      <c r="F62" s="39" t="s">
        <v>78</v>
      </c>
      <c r="G62" s="39" t="s">
        <v>78</v>
      </c>
      <c r="H62" s="39" t="s">
        <v>78</v>
      </c>
      <c r="I62" s="39" t="s">
        <v>78</v>
      </c>
      <c r="J62" s="39" t="s">
        <v>78</v>
      </c>
      <c r="K62" s="39" t="s">
        <v>78</v>
      </c>
      <c r="L62" s="40" t="n">
        <f aca="false">7*M62</f>
        <v>7962.5</v>
      </c>
      <c r="M62" s="40" t="n">
        <f aca="false">2275/2</f>
        <v>1137.5</v>
      </c>
      <c r="N62" s="41" t="n">
        <f aca="false">M62/1376</f>
        <v>0.826671511627907</v>
      </c>
      <c r="O62" s="41"/>
      <c r="P62" s="46" t="n">
        <f aca="false">Q62*P$7</f>
        <v>3011.3015625</v>
      </c>
      <c r="Q62" s="46" t="n">
        <f aca="false">1.75*R$8*0.33*CMF</f>
        <v>1003.7671875</v>
      </c>
      <c r="R62" s="41" t="n">
        <f aca="false">+Q62/Q$8</f>
        <v>0.83786910475793</v>
      </c>
      <c r="S62" s="40"/>
      <c r="T62" s="46" t="n">
        <f aca="false">U62*T$7</f>
        <v>75154.6704669331</v>
      </c>
      <c r="U62" s="46" t="n">
        <f aca="false">U$8*$N62*CMF</f>
        <v>1029.5160337936</v>
      </c>
      <c r="V62" s="41" t="n">
        <f aca="false">+U62/U$8</f>
        <v>0.930005450581395</v>
      </c>
      <c r="W62" s="40"/>
      <c r="X62" s="46" t="n">
        <f aca="false">Y62*X$7</f>
        <v>69421.1868640988</v>
      </c>
      <c r="Y62" s="46" t="n">
        <f aca="false">Y$8*$N62*CMF</f>
        <v>1196.91701489826</v>
      </c>
      <c r="Z62" s="41" t="n">
        <f aca="false">+Y62/Y$8</f>
        <v>0.930005450581395</v>
      </c>
      <c r="AA62" s="40"/>
      <c r="AB62" s="46" t="n">
        <f aca="false">+X62+T62+P62</f>
        <v>147587.158893532</v>
      </c>
      <c r="AC62" s="23" t="n">
        <f aca="false">+AB62/AB$7</f>
        <v>1101.39670816069</v>
      </c>
      <c r="AD62" s="41" t="n">
        <f aca="false">+AC62/AC$8</f>
        <v>0.927882652199399</v>
      </c>
      <c r="AE62" s="40"/>
      <c r="AF62" s="43"/>
      <c r="AG62" s="44"/>
      <c r="AI62" s="38"/>
      <c r="AJ62" s="21" t="n">
        <f aca="false">P7</f>
        <v>3</v>
      </c>
      <c r="AK62" s="40" t="n">
        <v>1250</v>
      </c>
      <c r="AL62" s="21" t="n">
        <f aca="false">AK62*AJ62</f>
        <v>3750</v>
      </c>
      <c r="AM62" s="21" t="n">
        <f aca="false">SUM(AL60:AL62)</f>
        <v>174000</v>
      </c>
      <c r="AN62" s="12" t="n">
        <f aca="false">AK62/Q$8</f>
        <v>1.04340567612688</v>
      </c>
    </row>
    <row r="63" customFormat="false" ht="12.75" hidden="false" customHeight="false" outlineLevel="0" collapsed="false">
      <c r="A63" s="20" t="s">
        <v>226</v>
      </c>
      <c r="B63" s="21" t="s">
        <v>227</v>
      </c>
      <c r="C63" s="37"/>
      <c r="D63" s="38" t="n">
        <f aca="false">L63/$L$88</f>
        <v>0.00906080296636749</v>
      </c>
      <c r="E63" s="39" t="s">
        <v>78</v>
      </c>
      <c r="F63" s="39" t="s">
        <v>78</v>
      </c>
      <c r="G63" s="48"/>
      <c r="H63" s="39" t="s">
        <v>78</v>
      </c>
      <c r="I63" s="39" t="s">
        <v>78</v>
      </c>
      <c r="J63" s="49" t="s">
        <v>78</v>
      </c>
      <c r="K63" s="49" t="s">
        <v>78</v>
      </c>
      <c r="L63" s="40" t="n">
        <f aca="false">7*M63</f>
        <v>6370</v>
      </c>
      <c r="M63" s="40" t="n">
        <f aca="false">1820/2</f>
        <v>910</v>
      </c>
      <c r="N63" s="41" t="n">
        <f aca="false">M63/1376</f>
        <v>0.661337209302326</v>
      </c>
      <c r="O63" s="41"/>
      <c r="P63" s="46" t="n">
        <f aca="false">Q63*P$7</f>
        <v>6113.8546875</v>
      </c>
      <c r="Q63" s="46" t="n">
        <f aca="false">1.75*R$8*0.67*CMF</f>
        <v>2037.9515625</v>
      </c>
      <c r="R63" s="41" t="n">
        <f aca="false">+Q63/Q$8</f>
        <v>1.70112818238731</v>
      </c>
      <c r="S63" s="40"/>
      <c r="T63" s="46" t="n">
        <f aca="false">U63*T$7</f>
        <v>60123.7363735465</v>
      </c>
      <c r="U63" s="46" t="n">
        <f aca="false">U$8*$N63*CMF</f>
        <v>823.612827034884</v>
      </c>
      <c r="V63" s="41" t="n">
        <f aca="false">+U63/U$8</f>
        <v>0.744004360465116</v>
      </c>
      <c r="W63" s="40"/>
      <c r="X63" s="46" t="n">
        <f aca="false">Y63*X$7</f>
        <v>55536.9494912791</v>
      </c>
      <c r="Y63" s="46" t="n">
        <f aca="false">Y$8*$N63*CMF</f>
        <v>957.533611918605</v>
      </c>
      <c r="Z63" s="41" t="n">
        <f aca="false">+Y63/Y$8</f>
        <v>0.744004360465116</v>
      </c>
      <c r="AA63" s="40"/>
      <c r="AB63" s="46" t="n">
        <f aca="false">+X63+T63+P63</f>
        <v>121774.540552326</v>
      </c>
      <c r="AC63" s="23" t="n">
        <f aca="false">+AB63/AB$7</f>
        <v>908.76522800243</v>
      </c>
      <c r="AD63" s="41" t="n">
        <f aca="false">+AC63/AC$8</f>
        <v>0.76559833867096</v>
      </c>
      <c r="AE63" s="40"/>
      <c r="AF63" s="43"/>
      <c r="AG63" s="44"/>
      <c r="AI63" s="38"/>
      <c r="AJ63" s="21" t="n">
        <f aca="false">2900000/28</f>
        <v>103571.428571429</v>
      </c>
      <c r="AK63" s="12" t="n">
        <f aca="false">AJ63/1343</f>
        <v>77.1194553770875</v>
      </c>
      <c r="AL63" s="40"/>
    </row>
    <row r="64" customFormat="false" ht="12.75" hidden="false" customHeight="false" outlineLevel="0" collapsed="false">
      <c r="A64" s="20" t="s">
        <v>226</v>
      </c>
      <c r="B64" s="21" t="s">
        <v>228</v>
      </c>
      <c r="C64" s="37"/>
      <c r="D64" s="38" t="n">
        <f aca="false">L64/$L$88</f>
        <v>0.00226520074159187</v>
      </c>
      <c r="E64" s="39" t="s">
        <v>78</v>
      </c>
      <c r="F64" s="39" t="s">
        <v>78</v>
      </c>
      <c r="G64" s="48"/>
      <c r="H64" s="39" t="s">
        <v>78</v>
      </c>
      <c r="I64" s="39" t="s">
        <v>78</v>
      </c>
      <c r="J64" s="49" t="s">
        <v>78</v>
      </c>
      <c r="K64" s="49" t="s">
        <v>78</v>
      </c>
      <c r="L64" s="40" t="n">
        <f aca="false">7*M64</f>
        <v>1592.5</v>
      </c>
      <c r="M64" s="40" t="n">
        <f aca="false">455/2</f>
        <v>227.5</v>
      </c>
      <c r="N64" s="41" t="n">
        <f aca="false">M64/1376</f>
        <v>0.165334302325581</v>
      </c>
      <c r="O64" s="41"/>
      <c r="P64" s="46" t="n">
        <f aca="false">Q64*P$7</f>
        <v>668.487917877907</v>
      </c>
      <c r="Q64" s="46" t="n">
        <f aca="false">Q$8*$N64*CMF</f>
        <v>222.829305959302</v>
      </c>
      <c r="R64" s="41" t="n">
        <f aca="false">+Q64/Q$8</f>
        <v>0.186001090116279</v>
      </c>
      <c r="S64" s="40"/>
      <c r="T64" s="46" t="n">
        <f aca="false">U64*T$7</f>
        <v>15030.9340933866</v>
      </c>
      <c r="U64" s="46" t="n">
        <f aca="false">U$8*$N64*CMF</f>
        <v>205.903206758721</v>
      </c>
      <c r="V64" s="41" t="n">
        <f aca="false">+U64/U$8</f>
        <v>0.186001090116279</v>
      </c>
      <c r="W64" s="40"/>
      <c r="X64" s="46" t="n">
        <f aca="false">Y64*X$7</f>
        <v>13884.2373728198</v>
      </c>
      <c r="Y64" s="46" t="n">
        <f aca="false">Y$8*$N64*CMF</f>
        <v>239.383402979651</v>
      </c>
      <c r="Z64" s="41" t="n">
        <f aca="false">+Y64/Y$8</f>
        <v>0.186001090116279</v>
      </c>
      <c r="AA64" s="40"/>
      <c r="AB64" s="46" t="n">
        <f aca="false">+X64+T64+P64</f>
        <v>29583.6593840843</v>
      </c>
      <c r="AC64" s="23" t="n">
        <f aca="false">+AB64/AB$7</f>
        <v>220.773577493166</v>
      </c>
      <c r="AD64" s="41" t="n">
        <f aca="false">+AC64/AC$8</f>
        <v>0.185992904375035</v>
      </c>
      <c r="AE64" s="40"/>
      <c r="AF64" s="43"/>
      <c r="AG64" s="44"/>
      <c r="AJ64" s="21" t="n">
        <f aca="false">2700000/28</f>
        <v>96428.5714285714</v>
      </c>
      <c r="AK64" s="12" t="n">
        <f aca="false">AJ64/1343</f>
        <v>71.8008722476332</v>
      </c>
    </row>
    <row r="65" customFormat="false" ht="12" hidden="false" customHeight="false" outlineLevel="0" collapsed="false">
      <c r="B65" s="19" t="s">
        <v>229</v>
      </c>
      <c r="C65" s="37"/>
      <c r="D65" s="38"/>
      <c r="E65" s="39"/>
      <c r="F65" s="39"/>
      <c r="G65" s="39"/>
      <c r="H65" s="39"/>
      <c r="I65" s="39"/>
      <c r="J65" s="39"/>
      <c r="K65" s="39"/>
      <c r="L65" s="40"/>
      <c r="M65" s="40"/>
      <c r="N65" s="41" t="n">
        <f aca="false">M65/1376</f>
        <v>0</v>
      </c>
      <c r="O65" s="41"/>
      <c r="P65" s="46"/>
      <c r="Q65" s="52"/>
      <c r="R65" s="41"/>
      <c r="S65" s="40"/>
      <c r="T65" s="46"/>
      <c r="U65" s="46"/>
      <c r="V65" s="41"/>
      <c r="W65" s="40"/>
      <c r="X65" s="46"/>
      <c r="Y65" s="46"/>
      <c r="Z65" s="41"/>
      <c r="AA65" s="40"/>
      <c r="AB65" s="46"/>
      <c r="AC65" s="23" t="s">
        <v>188</v>
      </c>
      <c r="AD65" s="41"/>
      <c r="AE65" s="40"/>
      <c r="AF65" s="43"/>
      <c r="AG65" s="44"/>
    </row>
    <row r="66" customFormat="false" ht="12.75" hidden="false" customHeight="false" outlineLevel="0" collapsed="false">
      <c r="A66" s="20" t="s">
        <v>230</v>
      </c>
      <c r="B66" s="21" t="s">
        <v>231</v>
      </c>
      <c r="C66" s="37"/>
      <c r="D66" s="38" t="n">
        <f aca="false">L66/$L$88</f>
        <v>0.00943916616716086</v>
      </c>
      <c r="E66" s="39" t="s">
        <v>78</v>
      </c>
      <c r="F66" s="39" t="s">
        <v>78</v>
      </c>
      <c r="G66" s="39" t="s">
        <v>78</v>
      </c>
      <c r="H66" s="39" t="s">
        <v>78</v>
      </c>
      <c r="I66" s="39" t="s">
        <v>78</v>
      </c>
      <c r="J66" s="39" t="s">
        <v>78</v>
      </c>
      <c r="K66" s="39" t="s">
        <v>78</v>
      </c>
      <c r="L66" s="40" t="n">
        <f aca="false">7*M66</f>
        <v>6636</v>
      </c>
      <c r="M66" s="40" t="n">
        <f aca="false">1896/2</f>
        <v>948</v>
      </c>
      <c r="N66" s="41" t="n">
        <f aca="false">M66/1376</f>
        <v>0.688953488372093</v>
      </c>
      <c r="O66" s="41"/>
      <c r="P66" s="46" t="n">
        <f aca="false">Q66*P$7</f>
        <v>3712.5</v>
      </c>
      <c r="Q66" s="46" t="n">
        <f aca="false">1100*CMF</f>
        <v>1237.5</v>
      </c>
      <c r="R66" s="41" t="n">
        <f aca="false">+Q66/Q$8</f>
        <v>1.03297161936561</v>
      </c>
      <c r="S66" s="40"/>
      <c r="T66" s="46" t="n">
        <f aca="false">U66*T$7</f>
        <v>90337.5</v>
      </c>
      <c r="U66" s="46" t="n">
        <f aca="false">1100*CMF</f>
        <v>1237.5</v>
      </c>
      <c r="V66" s="41" t="n">
        <f aca="false">+U66/U$8</f>
        <v>1.11788617886179</v>
      </c>
      <c r="W66" s="40"/>
      <c r="X66" s="46" t="n">
        <f aca="false">Y66*X$7</f>
        <v>71775</v>
      </c>
      <c r="Y66" s="46" t="n">
        <f aca="false">1100*CMF</f>
        <v>1237.5</v>
      </c>
      <c r="Z66" s="41" t="n">
        <f aca="false">+Y66/Y$8</f>
        <v>0.961538461538462</v>
      </c>
      <c r="AA66" s="40"/>
      <c r="AB66" s="46" t="n">
        <f aca="false">+X66+T66+P66</f>
        <v>165825</v>
      </c>
      <c r="AC66" s="23" t="n">
        <f aca="false">+AB66/AB$7</f>
        <v>1237.5</v>
      </c>
      <c r="AD66" s="41" t="n">
        <f aca="false">+AC66/AC$8</f>
        <v>1.04254422914912</v>
      </c>
      <c r="AE66" s="40"/>
      <c r="AF66" s="43"/>
      <c r="AG66" s="44"/>
      <c r="AJ66" s="65" t="n">
        <f aca="false">0.0725/12</f>
        <v>0.00604166666666667</v>
      </c>
    </row>
    <row r="67" customFormat="false" ht="12.75" hidden="false" customHeight="false" outlineLevel="0" collapsed="false">
      <c r="A67" s="20" t="s">
        <v>230</v>
      </c>
      <c r="B67" s="20" t="s">
        <v>232</v>
      </c>
      <c r="C67" s="37"/>
      <c r="D67" s="38" t="n">
        <f aca="false">L67/$L$88</f>
        <v>0.00588454346497054</v>
      </c>
      <c r="E67" s="39" t="s">
        <v>78</v>
      </c>
      <c r="F67" s="39" t="s">
        <v>78</v>
      </c>
      <c r="G67" s="48"/>
      <c r="H67" s="39" t="s">
        <v>78</v>
      </c>
      <c r="I67" s="39" t="s">
        <v>78</v>
      </c>
      <c r="J67" s="48"/>
      <c r="K67" s="66" t="s">
        <v>233</v>
      </c>
      <c r="L67" s="40" t="n">
        <f aca="false">7*M67</f>
        <v>4137</v>
      </c>
      <c r="M67" s="40" t="n">
        <f aca="false">1182/2</f>
        <v>591</v>
      </c>
      <c r="N67" s="41" t="n">
        <f aca="false">M67/1376</f>
        <v>0.429505813953488</v>
      </c>
      <c r="O67" s="41"/>
      <c r="P67" s="46" t="n">
        <f aca="false">Q67*P$7</f>
        <v>2025</v>
      </c>
      <c r="Q67" s="46" t="n">
        <f aca="false">600*CMF</f>
        <v>675</v>
      </c>
      <c r="R67" s="41" t="n">
        <f aca="false">+Q67/Q$8</f>
        <v>0.563439065108514</v>
      </c>
      <c r="S67" s="40"/>
      <c r="T67" s="46" t="n">
        <f aca="false">U67*T$7</f>
        <v>49275</v>
      </c>
      <c r="U67" s="46" t="n">
        <f aca="false">600*CMF</f>
        <v>675</v>
      </c>
      <c r="V67" s="41" t="n">
        <f aca="false">+U67/U$8</f>
        <v>0.609756097560976</v>
      </c>
      <c r="W67" s="40"/>
      <c r="X67" s="46" t="n">
        <f aca="false">Y67*X$7</f>
        <v>39150</v>
      </c>
      <c r="Y67" s="46" t="n">
        <f aca="false">600*CMF</f>
        <v>675</v>
      </c>
      <c r="Z67" s="41" t="n">
        <f aca="false">+Y67/Y$8</f>
        <v>0.524475524475525</v>
      </c>
      <c r="AA67" s="40"/>
      <c r="AB67" s="46" t="n">
        <f aca="false">+X67+T67+P67</f>
        <v>90450</v>
      </c>
      <c r="AC67" s="23" t="n">
        <f aca="false">+AB67/AB$7</f>
        <v>675</v>
      </c>
      <c r="AD67" s="41" t="n">
        <f aca="false">+AC67/AC$8</f>
        <v>0.56866048862679</v>
      </c>
      <c r="AE67" s="40"/>
      <c r="AF67" s="43"/>
      <c r="AG67" s="44"/>
      <c r="AJ67" s="21" t="n">
        <v>360</v>
      </c>
    </row>
    <row r="68" customFormat="false" ht="12.75" hidden="false" customHeight="false" outlineLevel="0" collapsed="false">
      <c r="A68" s="20" t="s">
        <v>234</v>
      </c>
      <c r="B68" s="20" t="s">
        <v>235</v>
      </c>
      <c r="C68" s="37"/>
      <c r="D68" s="38" t="n">
        <f aca="false">L68/$L$88</f>
        <v>0.0047594107889271</v>
      </c>
      <c r="E68" s="39" t="s">
        <v>78</v>
      </c>
      <c r="F68" s="39" t="s">
        <v>78</v>
      </c>
      <c r="G68" s="48"/>
      <c r="H68" s="39" t="s">
        <v>78</v>
      </c>
      <c r="I68" s="39" t="s">
        <v>78</v>
      </c>
      <c r="J68" s="48"/>
      <c r="K68" s="49" t="s">
        <v>78</v>
      </c>
      <c r="L68" s="40" t="n">
        <f aca="false">7*M68</f>
        <v>3346</v>
      </c>
      <c r="M68" s="40" t="n">
        <f aca="false">956/2</f>
        <v>478</v>
      </c>
      <c r="N68" s="41" t="n">
        <f aca="false">M68/1376</f>
        <v>0.347383720930233</v>
      </c>
      <c r="O68" s="41"/>
      <c r="P68" s="46" t="n">
        <f aca="false">Q68*P$7</f>
        <v>2079.55922965116</v>
      </c>
      <c r="Q68" s="46" t="n">
        <f aca="false">(Q$8*$N68+200)*CMF</f>
        <v>693.186409883721</v>
      </c>
      <c r="R68" s="41" t="n">
        <f aca="false">+Q68/Q$8</f>
        <v>0.57861970774935</v>
      </c>
      <c r="S68" s="40"/>
      <c r="T68" s="46" t="n">
        <f aca="false">U68*T$7</f>
        <v>48006.4791061047</v>
      </c>
      <c r="U68" s="46" t="n">
        <f aca="false">(U$8*$N68+200)*CMF</f>
        <v>657.623001453488</v>
      </c>
      <c r="V68" s="41" t="n">
        <f aca="false">+U68/U$8</f>
        <v>0.594058718566837</v>
      </c>
      <c r="W68" s="40"/>
      <c r="X68" s="46" t="n">
        <f aca="false">Y68*X$7</f>
        <v>42222.1558866279</v>
      </c>
      <c r="Y68" s="46" t="n">
        <f aca="false">(Y$8*$N68+200)*CMF</f>
        <v>727.96820494186</v>
      </c>
      <c r="Z68" s="41" t="n">
        <f aca="false">+Y68/Y$8</f>
        <v>0.565631860871687</v>
      </c>
      <c r="AA68" s="40"/>
      <c r="AB68" s="46" t="n">
        <f aca="false">+X68+T68+P68</f>
        <v>92308.1942223837</v>
      </c>
      <c r="AC68" s="23" t="n">
        <f aca="false">+AB68/AB$7</f>
        <v>688.867121062565</v>
      </c>
      <c r="AD68" s="41" t="n">
        <f aca="false">+AC68/AC$8</f>
        <v>0.580342983203509</v>
      </c>
      <c r="AE68" s="40"/>
      <c r="AF68" s="43"/>
      <c r="AG68" s="44"/>
      <c r="AI68" s="38"/>
      <c r="AJ68" s="40" t="n">
        <f aca="false">PMT(AJ66,AJ67,AJ48)</f>
        <v>-90267.0800040007</v>
      </c>
      <c r="AK68" s="40"/>
    </row>
    <row r="69" customFormat="false" ht="12.75" hidden="false" customHeight="false" outlineLevel="0" collapsed="false">
      <c r="A69" s="20" t="s">
        <v>197</v>
      </c>
      <c r="B69" s="20" t="s">
        <v>236</v>
      </c>
      <c r="C69" s="37"/>
      <c r="D69" s="38" t="n">
        <f aca="false">L69/$L$88</f>
        <v>0.00397281360833036</v>
      </c>
      <c r="E69" s="39" t="s">
        <v>78</v>
      </c>
      <c r="F69" s="39" t="s">
        <v>78</v>
      </c>
      <c r="G69" s="48"/>
      <c r="H69" s="39" t="s">
        <v>78</v>
      </c>
      <c r="I69" s="39" t="s">
        <v>78</v>
      </c>
      <c r="J69" s="49" t="s">
        <v>78</v>
      </c>
      <c r="K69" s="49" t="s">
        <v>78</v>
      </c>
      <c r="L69" s="40" t="n">
        <f aca="false">7*M69</f>
        <v>2793</v>
      </c>
      <c r="M69" s="40" t="n">
        <f aca="false">798/2</f>
        <v>399</v>
      </c>
      <c r="N69" s="41" t="n">
        <f aca="false">M69/1376</f>
        <v>0.289970930232558</v>
      </c>
      <c r="O69" s="41"/>
      <c r="P69" s="46" t="n">
        <f aca="false">Q69*P$7</f>
        <v>1172.42496366279</v>
      </c>
      <c r="Q69" s="46" t="n">
        <f aca="false">Q$8*$N69*CMF</f>
        <v>390.80832122093</v>
      </c>
      <c r="R69" s="41" t="n">
        <f aca="false">+Q69/Q$8</f>
        <v>0.326217296511628</v>
      </c>
      <c r="S69" s="40"/>
      <c r="T69" s="46" t="n">
        <f aca="false">U69*T$7</f>
        <v>26361.9459484012</v>
      </c>
      <c r="U69" s="46" t="n">
        <f aca="false">U$8*$N69*CMF</f>
        <v>361.122547238372</v>
      </c>
      <c r="V69" s="41" t="n">
        <f aca="false">+U69/U$8</f>
        <v>0.326217296511628</v>
      </c>
      <c r="W69" s="40"/>
      <c r="X69" s="46" t="n">
        <f aca="false">Y69*X$7</f>
        <v>24350.816315407</v>
      </c>
      <c r="Y69" s="46" t="n">
        <f aca="false">Y$8*$N69*CMF</f>
        <v>419.841660610465</v>
      </c>
      <c r="Z69" s="41" t="n">
        <f aca="false">+Y69/Y$8</f>
        <v>0.326217296511628</v>
      </c>
      <c r="AA69" s="40"/>
      <c r="AB69" s="46" t="n">
        <f aca="false">+X69+T69+P69</f>
        <v>51885.1872274709</v>
      </c>
      <c r="AC69" s="23" t="n">
        <f aca="false">+AB69/AB$7</f>
        <v>387.202889757246</v>
      </c>
      <c r="AD69" s="41" t="n">
        <f aca="false">+AC69/AC$8</f>
        <v>0.326202939980831</v>
      </c>
      <c r="AE69" s="40"/>
      <c r="AF69" s="43"/>
      <c r="AG69" s="44"/>
      <c r="AI69" s="38" t="s">
        <v>237</v>
      </c>
      <c r="AJ69" s="40" t="n">
        <f aca="false">+AM62</f>
        <v>174000</v>
      </c>
      <c r="AK69" s="40"/>
      <c r="AL69" s="40" t="n">
        <f aca="false">2700000*0.105</f>
        <v>283500</v>
      </c>
    </row>
    <row r="70" customFormat="false" ht="12.75" hidden="false" customHeight="false" outlineLevel="0" collapsed="false">
      <c r="A70" s="20" t="s">
        <v>238</v>
      </c>
      <c r="B70" s="20" t="s">
        <v>165</v>
      </c>
      <c r="C70" s="37"/>
      <c r="D70" s="38" t="n">
        <f aca="false">L70/$L$88</f>
        <v>0.0103850741691443</v>
      </c>
      <c r="E70" s="39" t="s">
        <v>78</v>
      </c>
      <c r="F70" s="39" t="s">
        <v>78</v>
      </c>
      <c r="G70" s="48"/>
      <c r="H70" s="39" t="s">
        <v>78</v>
      </c>
      <c r="I70" s="39" t="s">
        <v>78</v>
      </c>
      <c r="J70" s="49" t="s">
        <v>78</v>
      </c>
      <c r="K70" s="49" t="s">
        <v>78</v>
      </c>
      <c r="L70" s="40" t="n">
        <f aca="false">7*M70</f>
        <v>7301</v>
      </c>
      <c r="M70" s="40" t="n">
        <f aca="false">2086/2</f>
        <v>1043</v>
      </c>
      <c r="N70" s="41" t="n">
        <f aca="false">M70/1376</f>
        <v>0.757994186046512</v>
      </c>
      <c r="O70" s="41"/>
      <c r="P70" s="46" t="n">
        <f aca="false">Q70*P$7</f>
        <v>3037.5</v>
      </c>
      <c r="Q70" s="46" t="n">
        <f aca="false">(250+300+250+100)*CMF</f>
        <v>1012.5</v>
      </c>
      <c r="R70" s="41" t="n">
        <f aca="false">+Q70/Q$8</f>
        <v>0.845158597662771</v>
      </c>
      <c r="S70" s="40"/>
      <c r="T70" s="46" t="n">
        <f aca="false">U70*T$7</f>
        <v>73912.5</v>
      </c>
      <c r="U70" s="46" t="n">
        <f aca="false">(250+300+250+100)*CMF</f>
        <v>1012.5</v>
      </c>
      <c r="V70" s="41" t="n">
        <f aca="false">+U70/U$8</f>
        <v>0.914634146341463</v>
      </c>
      <c r="W70" s="40"/>
      <c r="X70" s="46" t="n">
        <f aca="false">Y70*X$7</f>
        <v>58725</v>
      </c>
      <c r="Y70" s="46" t="n">
        <f aca="false">(250+300+250+100)*CMF</f>
        <v>1012.5</v>
      </c>
      <c r="Z70" s="41" t="n">
        <f aca="false">+Y70/Y$8</f>
        <v>0.786713286713287</v>
      </c>
      <c r="AA70" s="40"/>
      <c r="AB70" s="46" t="n">
        <f aca="false">+X70+T70+P70</f>
        <v>135675</v>
      </c>
      <c r="AC70" s="23" t="n">
        <f aca="false">+AB70/AB$7</f>
        <v>1012.5</v>
      </c>
      <c r="AD70" s="41" t="n">
        <f aca="false">+AC70/AC$8</f>
        <v>0.852990732940185</v>
      </c>
      <c r="AE70" s="40"/>
      <c r="AF70" s="43"/>
      <c r="AG70" s="44"/>
      <c r="AH70" s="34"/>
      <c r="AJ70" s="40" t="n">
        <f aca="false">0.9*AJ69</f>
        <v>156600</v>
      </c>
      <c r="AK70" s="40"/>
      <c r="AL70" s="40" t="n">
        <f aca="false">AL69/12</f>
        <v>23625</v>
      </c>
    </row>
    <row r="71" customFormat="false" ht="12.75" hidden="false" customHeight="false" outlineLevel="0" collapsed="false">
      <c r="A71" s="20" t="s">
        <v>239</v>
      </c>
      <c r="B71" s="20" t="s">
        <v>240</v>
      </c>
      <c r="C71" s="37"/>
      <c r="D71" s="38" t="n">
        <f aca="false">L71/$L$88</f>
        <v>0.0159310821386681</v>
      </c>
      <c r="E71" s="39" t="s">
        <v>78</v>
      </c>
      <c r="F71" s="39" t="s">
        <v>78</v>
      </c>
      <c r="G71" s="48"/>
      <c r="H71" s="39" t="s">
        <v>78</v>
      </c>
      <c r="I71" s="39" t="s">
        <v>78</v>
      </c>
      <c r="J71" s="48"/>
      <c r="K71" s="49" t="s">
        <v>78</v>
      </c>
      <c r="L71" s="40" t="n">
        <f aca="false">7*M71</f>
        <v>11200</v>
      </c>
      <c r="M71" s="40" t="n">
        <f aca="false">3200/2</f>
        <v>1600</v>
      </c>
      <c r="N71" s="41" t="n">
        <f aca="false">M71/1376</f>
        <v>1.16279069767442</v>
      </c>
      <c r="O71" s="41"/>
      <c r="P71" s="46" t="n">
        <f aca="false">Q71*P$7</f>
        <v>4932.765</v>
      </c>
      <c r="Q71" s="46" t="n">
        <f aca="false">1.22*Q$8*CMF</f>
        <v>1644.255</v>
      </c>
      <c r="R71" s="41" t="n">
        <f aca="false">+Q71/Q$8</f>
        <v>1.3725</v>
      </c>
      <c r="S71" s="40"/>
      <c r="T71" s="46" t="n">
        <f aca="false">U71*T$7</f>
        <v>110913.0975</v>
      </c>
      <c r="U71" s="46" t="n">
        <f aca="false">1.22*U$8*CMF</f>
        <v>1519.3575</v>
      </c>
      <c r="V71" s="41" t="n">
        <f aca="false">+U71/U$8</f>
        <v>1.3725</v>
      </c>
      <c r="W71" s="40"/>
      <c r="X71" s="46" t="n">
        <f aca="false">Y71*X$7</f>
        <v>102451.635</v>
      </c>
      <c r="Y71" s="46" t="n">
        <f aca="false">1.22*Y$8*CMF</f>
        <v>1766.4075</v>
      </c>
      <c r="Z71" s="41" t="n">
        <f aca="false">+Y71/Y$8</f>
        <v>1.3725</v>
      </c>
      <c r="AA71" s="40"/>
      <c r="AB71" s="46" t="n">
        <f aca="false">+X71+T71+P71</f>
        <v>218297.4975</v>
      </c>
      <c r="AC71" s="23" t="n">
        <f aca="false">+AB71/AB$7</f>
        <v>1629.08580223881</v>
      </c>
      <c r="AD71" s="41" t="n">
        <f aca="false">+AC71/AC$8</f>
        <v>1.37243959750531</v>
      </c>
      <c r="AE71" s="40"/>
      <c r="AF71" s="43"/>
      <c r="AG71" s="44"/>
      <c r="AI71" s="38"/>
      <c r="AJ71" s="67" t="n">
        <f aca="false">((110000/28/1343)*1187*134)/12</f>
        <v>38773.3131227174</v>
      </c>
      <c r="AK71" s="40"/>
      <c r="AL71" s="40"/>
    </row>
    <row r="72" customFormat="false" ht="12.75" hidden="false" customHeight="false" outlineLevel="0" collapsed="false">
      <c r="A72" s="20" t="s">
        <v>218</v>
      </c>
      <c r="B72" s="20" t="s">
        <v>241</v>
      </c>
      <c r="C72" s="37"/>
      <c r="D72" s="38" t="n">
        <f aca="false">L72/$L$88</f>
        <v>0.00155825897168848</v>
      </c>
      <c r="E72" s="39" t="s">
        <v>78</v>
      </c>
      <c r="F72" s="39" t="s">
        <v>78</v>
      </c>
      <c r="G72" s="66" t="s">
        <v>233</v>
      </c>
      <c r="H72" s="39" t="s">
        <v>78</v>
      </c>
      <c r="I72" s="39" t="s">
        <v>78</v>
      </c>
      <c r="J72" s="48"/>
      <c r="K72" s="66" t="s">
        <v>233</v>
      </c>
      <c r="L72" s="40" t="n">
        <f aca="false">7*M72</f>
        <v>1095.5</v>
      </c>
      <c r="M72" s="40" t="n">
        <f aca="false">313/2</f>
        <v>156.5</v>
      </c>
      <c r="N72" s="41" t="n">
        <f aca="false">M72/1376</f>
        <v>0.113735465116279</v>
      </c>
      <c r="O72" s="41"/>
      <c r="P72" s="46" t="n">
        <f aca="false">Q72*P$7</f>
        <v>459.860919331395</v>
      </c>
      <c r="Q72" s="46" t="n">
        <f aca="false">Q$8*$N72*CMF</f>
        <v>153.286973110465</v>
      </c>
      <c r="R72" s="41" t="n">
        <f aca="false">+Q72/Q$8</f>
        <v>0.127952398255814</v>
      </c>
      <c r="S72" s="40"/>
      <c r="T72" s="46" t="n">
        <f aca="false">U72*T$7</f>
        <v>10339.9612554506</v>
      </c>
      <c r="U72" s="46" t="n">
        <f aca="false">U$8*$N72*CMF</f>
        <v>141.643304869186</v>
      </c>
      <c r="V72" s="41" t="n">
        <f aca="false">+U72/U$8</f>
        <v>0.127952398255814</v>
      </c>
      <c r="W72" s="40"/>
      <c r="X72" s="46" t="n">
        <f aca="false">Y72*X$7</f>
        <v>9551.13472020349</v>
      </c>
      <c r="Y72" s="46" t="n">
        <f aca="false">Y$8*$N72*CMF</f>
        <v>164.674736555233</v>
      </c>
      <c r="Z72" s="41" t="n">
        <f aca="false">+Y72/Y$8</f>
        <v>0.127952398255814</v>
      </c>
      <c r="AA72" s="40"/>
      <c r="AB72" s="46" t="n">
        <f aca="false">+X72+T72+P72</f>
        <v>20350.9568949855</v>
      </c>
      <c r="AC72" s="23" t="n">
        <f aca="false">+AB72/AB$7</f>
        <v>151.872812649145</v>
      </c>
      <c r="AD72" s="41" t="n">
        <f aca="false">+AC72/AC$8</f>
        <v>0.127946767185464</v>
      </c>
      <c r="AE72" s="40"/>
      <c r="AF72" s="43"/>
      <c r="AG72" s="44"/>
      <c r="AI72" s="38"/>
      <c r="AJ72" s="40" t="n">
        <f aca="false">+AJ70-AJ71</f>
        <v>117826.686877283</v>
      </c>
      <c r="AK72" s="40"/>
      <c r="AL72" s="40"/>
    </row>
    <row r="73" customFormat="false" ht="12" hidden="false" customHeight="false" outlineLevel="0" collapsed="false">
      <c r="A73" s="20" t="s">
        <v>242</v>
      </c>
      <c r="B73" s="63" t="s">
        <v>243</v>
      </c>
      <c r="C73" s="37"/>
      <c r="D73" s="38" t="n">
        <f aca="false">L73/$L$88</f>
        <v>0.0157070512960931</v>
      </c>
      <c r="E73" s="39"/>
      <c r="F73" s="39"/>
      <c r="G73" s="39"/>
      <c r="H73" s="39"/>
      <c r="I73" s="39"/>
      <c r="J73" s="39"/>
      <c r="K73" s="39"/>
      <c r="L73" s="40" t="n">
        <f aca="false">7*M73</f>
        <v>11042.5</v>
      </c>
      <c r="M73" s="40" t="n">
        <f aca="false">3155/2</f>
        <v>1577.5</v>
      </c>
      <c r="N73" s="41" t="n">
        <f aca="false">M73/1376</f>
        <v>1.14643895348837</v>
      </c>
      <c r="O73" s="41"/>
      <c r="P73" s="46" t="n">
        <f aca="false">Q73*P$7</f>
        <v>1139.0625</v>
      </c>
      <c r="Q73" s="46" t="n">
        <f aca="false">15*10*2.25*CMF</f>
        <v>379.6875</v>
      </c>
      <c r="R73" s="41" t="n">
        <f aca="false">+Q73/Q$8</f>
        <v>0.316934474123539</v>
      </c>
      <c r="S73" s="40"/>
      <c r="T73" s="46" t="n">
        <f aca="false">U73*T$7</f>
        <v>27717.1875</v>
      </c>
      <c r="U73" s="46" t="n">
        <f aca="false">15*10*2.25*CMF</f>
        <v>379.6875</v>
      </c>
      <c r="V73" s="41" t="n">
        <f aca="false">+U73/U$8</f>
        <v>0.342987804878049</v>
      </c>
      <c r="W73" s="40"/>
      <c r="X73" s="46" t="n">
        <f aca="false">Y73*X$7</f>
        <v>22021.875</v>
      </c>
      <c r="Y73" s="46" t="n">
        <f aca="false">15*10*2.25*CMF</f>
        <v>379.6875</v>
      </c>
      <c r="Z73" s="41" t="n">
        <f aca="false">+Y73/Y$8</f>
        <v>0.295017482517483</v>
      </c>
      <c r="AA73" s="40"/>
      <c r="AB73" s="46" t="n">
        <f aca="false">+X73+T73+P73</f>
        <v>50878.125</v>
      </c>
      <c r="AC73" s="23" t="n">
        <f aca="false">+AB73/AB$7</f>
        <v>379.6875</v>
      </c>
      <c r="AD73" s="41" t="n">
        <f aca="false">+AC73/AC$8</f>
        <v>0.31987152485257</v>
      </c>
      <c r="AE73" s="40"/>
      <c r="AF73" s="43"/>
      <c r="AG73" s="44"/>
      <c r="AI73" s="38"/>
      <c r="AJ73" s="67" t="n">
        <f aca="false">+AJ72/-AJ68</f>
        <v>1.30531182433353</v>
      </c>
      <c r="AK73" s="40"/>
      <c r="AL73" s="40"/>
    </row>
    <row r="74" customFormat="false" ht="12.75" hidden="false" customHeight="false" outlineLevel="0" collapsed="false">
      <c r="A74" s="20" t="s">
        <v>242</v>
      </c>
      <c r="B74" s="20" t="s">
        <v>244</v>
      </c>
      <c r="C74" s="37"/>
      <c r="D74" s="38" t="n">
        <f aca="false">L74/$L$88</f>
        <v>0</v>
      </c>
      <c r="E74" s="39" t="s">
        <v>78</v>
      </c>
      <c r="F74" s="39" t="s">
        <v>78</v>
      </c>
      <c r="G74" s="39" t="s">
        <v>78</v>
      </c>
      <c r="H74" s="39" t="s">
        <v>78</v>
      </c>
      <c r="I74" s="39" t="s">
        <v>78</v>
      </c>
      <c r="J74" s="39" t="s">
        <v>78</v>
      </c>
      <c r="K74" s="39" t="s">
        <v>78</v>
      </c>
      <c r="L74" s="40" t="n">
        <f aca="false">7*M74</f>
        <v>0</v>
      </c>
      <c r="M74" s="40"/>
      <c r="N74" s="41" t="n">
        <f aca="false">M74/1376</f>
        <v>0</v>
      </c>
      <c r="O74" s="41"/>
      <c r="P74" s="46" t="n">
        <f aca="false">Q74*P$7</f>
        <v>0</v>
      </c>
      <c r="Q74" s="46" t="n">
        <f aca="false">$M74*CMF</f>
        <v>0</v>
      </c>
      <c r="R74" s="41" t="n">
        <f aca="false">+Q74/Q$8</f>
        <v>0</v>
      </c>
      <c r="S74" s="40"/>
      <c r="T74" s="46" t="n">
        <f aca="false">U74*T$7</f>
        <v>0</v>
      </c>
      <c r="U74" s="46" t="n">
        <f aca="false">$M74*CMF</f>
        <v>0</v>
      </c>
      <c r="V74" s="41" t="n">
        <f aca="false">+U74/U$8</f>
        <v>0</v>
      </c>
      <c r="W74" s="40"/>
      <c r="X74" s="46" t="n">
        <f aca="false">Y74*X$7</f>
        <v>0</v>
      </c>
      <c r="Y74" s="46" t="n">
        <f aca="false">$M74*CMF</f>
        <v>0</v>
      </c>
      <c r="Z74" s="41" t="n">
        <f aca="false">+Y74/Y$8</f>
        <v>0</v>
      </c>
      <c r="AA74" s="40"/>
      <c r="AB74" s="46" t="n">
        <f aca="false">+X74+T74+P74</f>
        <v>0</v>
      </c>
      <c r="AC74" s="23" t="n">
        <f aca="false">+AB74/AB$7</f>
        <v>0</v>
      </c>
      <c r="AD74" s="41" t="n">
        <f aca="false">+AC74/AC$8</f>
        <v>0</v>
      </c>
      <c r="AE74" s="40"/>
      <c r="AF74" s="43"/>
      <c r="AG74" s="44"/>
      <c r="AH74" s="34"/>
      <c r="AI74" s="38"/>
      <c r="AJ74" s="40"/>
      <c r="AK74" s="40"/>
      <c r="AL74" s="40"/>
    </row>
    <row r="75" customFormat="false" ht="12.75" hidden="false" customHeight="false" outlineLevel="0" collapsed="false">
      <c r="A75" s="20" t="s">
        <v>242</v>
      </c>
      <c r="B75" s="20" t="s">
        <v>245</v>
      </c>
      <c r="C75" s="37"/>
      <c r="D75" s="38" t="n">
        <f aca="false">L75/$L$88</f>
        <v>0</v>
      </c>
      <c r="E75" s="39" t="s">
        <v>78</v>
      </c>
      <c r="F75" s="39" t="s">
        <v>78</v>
      </c>
      <c r="G75" s="48"/>
      <c r="H75" s="39" t="s">
        <v>78</v>
      </c>
      <c r="I75" s="39" t="s">
        <v>78</v>
      </c>
      <c r="J75" s="48"/>
      <c r="K75" s="66" t="s">
        <v>233</v>
      </c>
      <c r="L75" s="40" t="n">
        <f aca="false">7*M75</f>
        <v>0</v>
      </c>
      <c r="M75" s="40"/>
      <c r="N75" s="41" t="n">
        <f aca="false">M75/1376</f>
        <v>0</v>
      </c>
      <c r="O75" s="41"/>
      <c r="P75" s="46" t="n">
        <f aca="false">Q75*P$7</f>
        <v>0</v>
      </c>
      <c r="Q75" s="46" t="n">
        <f aca="false">$M75*CMF</f>
        <v>0</v>
      </c>
      <c r="R75" s="41" t="n">
        <f aca="false">+Q75/Q$8</f>
        <v>0</v>
      </c>
      <c r="S75" s="40"/>
      <c r="T75" s="46" t="n">
        <f aca="false">U75*T$7</f>
        <v>0</v>
      </c>
      <c r="U75" s="46" t="n">
        <f aca="false">$M75*CMF</f>
        <v>0</v>
      </c>
      <c r="V75" s="41" t="n">
        <f aca="false">+U75/U$8</f>
        <v>0</v>
      </c>
      <c r="W75" s="40"/>
      <c r="X75" s="46" t="n">
        <f aca="false">Y75*X$7</f>
        <v>0</v>
      </c>
      <c r="Y75" s="46" t="n">
        <f aca="false">$M75*CMF</f>
        <v>0</v>
      </c>
      <c r="Z75" s="41" t="n">
        <f aca="false">+Y75/Y$8</f>
        <v>0</v>
      </c>
      <c r="AA75" s="40"/>
      <c r="AB75" s="46" t="n">
        <f aca="false">+X75+T75+P75</f>
        <v>0</v>
      </c>
      <c r="AC75" s="23" t="n">
        <f aca="false">+AB75/AB$7</f>
        <v>0</v>
      </c>
      <c r="AD75" s="41" t="n">
        <f aca="false">+AC75/AC$8</f>
        <v>0</v>
      </c>
      <c r="AE75" s="40"/>
      <c r="AF75" s="43"/>
      <c r="AG75" s="44"/>
      <c r="AJ75" s="40" t="n">
        <f aca="false">+AJ69-AJ71+0.05*AJ69</f>
        <v>143926.686877283</v>
      </c>
      <c r="AK75" s="40"/>
      <c r="AL75" s="21" t="n">
        <f aca="false">AO75*12</f>
        <v>16448764.2145466</v>
      </c>
      <c r="AO75" s="23" t="n">
        <f aca="false">AJ75/0.105</f>
        <v>1370730.35121222</v>
      </c>
    </row>
    <row r="76" customFormat="false" ht="12.75" hidden="false" customHeight="false" outlineLevel="0" collapsed="false">
      <c r="A76" s="20" t="s">
        <v>242</v>
      </c>
      <c r="B76" s="20" t="s">
        <v>246</v>
      </c>
      <c r="C76" s="37"/>
      <c r="D76" s="38" t="n">
        <f aca="false">L76/$L$88</f>
        <v>0</v>
      </c>
      <c r="E76" s="39" t="s">
        <v>78</v>
      </c>
      <c r="F76" s="39" t="s">
        <v>78</v>
      </c>
      <c r="G76" s="48"/>
      <c r="H76" s="39" t="s">
        <v>78</v>
      </c>
      <c r="I76" s="39" t="s">
        <v>78</v>
      </c>
      <c r="J76" s="48"/>
      <c r="K76" s="66" t="s">
        <v>233</v>
      </c>
      <c r="L76" s="40" t="n">
        <f aca="false">7*M76</f>
        <v>0</v>
      </c>
      <c r="M76" s="40"/>
      <c r="N76" s="41" t="n">
        <f aca="false">M76/1376</f>
        <v>0</v>
      </c>
      <c r="O76" s="41"/>
      <c r="P76" s="46" t="n">
        <f aca="false">Q76*P$7</f>
        <v>0</v>
      </c>
      <c r="Q76" s="46" t="n">
        <f aca="false">$M76*CMF</f>
        <v>0</v>
      </c>
      <c r="R76" s="41" t="n">
        <f aca="false">+Q76/Q$8</f>
        <v>0</v>
      </c>
      <c r="S76" s="40"/>
      <c r="T76" s="46" t="n">
        <f aca="false">U76*T$7</f>
        <v>0</v>
      </c>
      <c r="U76" s="46" t="n">
        <f aca="false">$M76*CMF</f>
        <v>0</v>
      </c>
      <c r="V76" s="41" t="n">
        <f aca="false">+U76/U$8</f>
        <v>0</v>
      </c>
      <c r="W76" s="40"/>
      <c r="X76" s="46" t="n">
        <f aca="false">Y76*X$7</f>
        <v>0</v>
      </c>
      <c r="Y76" s="46" t="n">
        <f aca="false">$M76*CMF</f>
        <v>0</v>
      </c>
      <c r="Z76" s="41" t="n">
        <f aca="false">+Y76/Y$8</f>
        <v>0</v>
      </c>
      <c r="AA76" s="40"/>
      <c r="AB76" s="46" t="n">
        <f aca="false">+X76+T76+P76</f>
        <v>0</v>
      </c>
      <c r="AC76" s="23" t="n">
        <f aca="false">+AB76/AB$7</f>
        <v>0</v>
      </c>
      <c r="AD76" s="41" t="n">
        <f aca="false">+AC76/AC$8</f>
        <v>0</v>
      </c>
      <c r="AE76" s="40"/>
      <c r="AF76" s="43"/>
      <c r="AG76" s="44"/>
      <c r="AI76" s="38"/>
      <c r="AJ76" s="40" t="n">
        <f aca="false">+AJ68</f>
        <v>-90267.0800040007</v>
      </c>
      <c r="AK76" s="40"/>
      <c r="AL76" s="40" t="n">
        <f aca="false">0.8*AL75</f>
        <v>13159011.3716373</v>
      </c>
    </row>
    <row r="77" customFormat="false" ht="12.75" hidden="false" customHeight="false" outlineLevel="0" collapsed="false">
      <c r="A77" s="20" t="s">
        <v>247</v>
      </c>
      <c r="B77" s="63" t="s">
        <v>248</v>
      </c>
      <c r="C77" s="37"/>
      <c r="D77" s="38" t="n">
        <f aca="false">L77/$L$88</f>
        <v>0.00792073490081906</v>
      </c>
      <c r="E77" s="39" t="s">
        <v>78</v>
      </c>
      <c r="F77" s="39" t="s">
        <v>78</v>
      </c>
      <c r="G77" s="39" t="s">
        <v>78</v>
      </c>
      <c r="H77" s="39" t="s">
        <v>78</v>
      </c>
      <c r="I77" s="39" t="s">
        <v>78</v>
      </c>
      <c r="J77" s="39" t="s">
        <v>78</v>
      </c>
      <c r="K77" s="39" t="s">
        <v>78</v>
      </c>
      <c r="L77" s="40" t="n">
        <f aca="false">7*M77</f>
        <v>5568.5</v>
      </c>
      <c r="M77" s="40" t="n">
        <f aca="false">1591/2</f>
        <v>795.5</v>
      </c>
      <c r="N77" s="41" t="n">
        <f aca="false">M77/1376</f>
        <v>0.578125</v>
      </c>
      <c r="O77" s="41"/>
      <c r="P77" s="46" t="n">
        <f aca="false">Q77*P$7</f>
        <v>2430</v>
      </c>
      <c r="Q77" s="46" t="n">
        <f aca="false">(28+20)*15*CMF</f>
        <v>810</v>
      </c>
      <c r="R77" s="41" t="n">
        <f aca="false">+Q77/Q$8</f>
        <v>0.676126878130217</v>
      </c>
      <c r="S77" s="40"/>
      <c r="T77" s="46" t="n">
        <f aca="false">U77*T$7</f>
        <v>44138.08125</v>
      </c>
      <c r="U77" s="46" t="n">
        <f aca="false">(15.83+20)*15*CMF</f>
        <v>604.63125</v>
      </c>
      <c r="V77" s="41" t="n">
        <f aca="false">+U77/U$8</f>
        <v>0.546189024390244</v>
      </c>
      <c r="W77" s="40"/>
      <c r="X77" s="46" t="n">
        <f aca="false">Y77*X$7</f>
        <v>45022.5</v>
      </c>
      <c r="Y77" s="46" t="n">
        <f aca="false">(26+20)*15*CMF</f>
        <v>776.25</v>
      </c>
      <c r="Z77" s="41" t="n">
        <f aca="false">+Y77/Y$8</f>
        <v>0.603146853146853</v>
      </c>
      <c r="AA77" s="40"/>
      <c r="AB77" s="46" t="n">
        <f aca="false">+X77+T77+P77</f>
        <v>91590.58125</v>
      </c>
      <c r="AC77" s="23" t="n">
        <f aca="false">+AB77/AB$7</f>
        <v>683.511800373134</v>
      </c>
      <c r="AD77" s="41" t="n">
        <f aca="false">+AC77/AC$8</f>
        <v>0.575831339825724</v>
      </c>
      <c r="AE77" s="40"/>
      <c r="AF77" s="43"/>
      <c r="AG77" s="44"/>
      <c r="AH77" s="34"/>
      <c r="AJ77" s="40" t="n">
        <f aca="false">+AJ76+AJ75</f>
        <v>53659.6068732819</v>
      </c>
      <c r="AK77" s="40"/>
      <c r="AL77" s="40"/>
    </row>
    <row r="78" customFormat="false" ht="12.75" hidden="false" customHeight="false" outlineLevel="0" collapsed="false">
      <c r="A78" s="20" t="s">
        <v>247</v>
      </c>
      <c r="B78" s="63" t="s">
        <v>249</v>
      </c>
      <c r="C78" s="37"/>
      <c r="D78" s="38" t="n">
        <f aca="false">L78/$L$88</f>
        <v>0.00273317627941525</v>
      </c>
      <c r="E78" s="39" t="s">
        <v>78</v>
      </c>
      <c r="F78" s="39" t="s">
        <v>78</v>
      </c>
      <c r="G78" s="48"/>
      <c r="H78" s="39" t="s">
        <v>78</v>
      </c>
      <c r="I78" s="39" t="s">
        <v>78</v>
      </c>
      <c r="J78" s="48"/>
      <c r="K78" s="48"/>
      <c r="L78" s="40" t="n">
        <f aca="false">7*M78</f>
        <v>1921.5</v>
      </c>
      <c r="M78" s="40" t="n">
        <f aca="false">549/2</f>
        <v>274.5</v>
      </c>
      <c r="N78" s="41" t="n">
        <f aca="false">M78/1376</f>
        <v>0.199491279069767</v>
      </c>
      <c r="O78" s="41"/>
      <c r="P78" s="46" t="n">
        <f aca="false">Q78*P$7</f>
        <v>0</v>
      </c>
      <c r="Q78" s="21" t="n">
        <v>0</v>
      </c>
      <c r="R78" s="41" t="n">
        <f aca="false">+Q78/Q$8</f>
        <v>0</v>
      </c>
      <c r="S78" s="40"/>
      <c r="T78" s="46" t="n">
        <f aca="false">U78*T$7</f>
        <v>22543.3125</v>
      </c>
      <c r="U78" s="46" t="n">
        <f aca="false">$M78*CMF</f>
        <v>308.8125</v>
      </c>
      <c r="V78" s="41" t="n">
        <f aca="false">+U78/U$8</f>
        <v>0.278963414634146</v>
      </c>
      <c r="W78" s="40"/>
      <c r="X78" s="46" t="n">
        <f aca="false">Y78*X$7</f>
        <v>17911.125</v>
      </c>
      <c r="Y78" s="46" t="n">
        <f aca="false">$M78*CMF</f>
        <v>308.8125</v>
      </c>
      <c r="Z78" s="41" t="n">
        <f aca="false">+Y78/Y$8</f>
        <v>0.239947552447552</v>
      </c>
      <c r="AA78" s="40"/>
      <c r="AB78" s="46" t="n">
        <f aca="false">+X78+T78+P78</f>
        <v>40454.4375</v>
      </c>
      <c r="AC78" s="23" t="n">
        <f aca="false">+AB78/AB$7</f>
        <v>301.898787313433</v>
      </c>
      <c r="AD78" s="41" t="n">
        <f aca="false">+AC78/AC$8</f>
        <v>0.254337647273322</v>
      </c>
      <c r="AE78" s="40"/>
      <c r="AF78" s="43"/>
      <c r="AG78" s="44"/>
      <c r="AI78" s="38"/>
      <c r="AJ78" s="40" t="n">
        <f aca="false">AJ77*12</f>
        <v>643915.282479383</v>
      </c>
      <c r="AK78" s="40"/>
      <c r="AL78" s="40"/>
    </row>
    <row r="79" customFormat="false" ht="12" hidden="false" customHeight="false" outlineLevel="0" collapsed="false">
      <c r="A79" s="20" t="s">
        <v>247</v>
      </c>
      <c r="B79" s="21" t="s">
        <v>250</v>
      </c>
      <c r="C79" s="37"/>
      <c r="D79" s="38" t="n">
        <f aca="false">L79/$L$88</f>
        <v>0</v>
      </c>
      <c r="E79" s="39" t="s">
        <v>251</v>
      </c>
      <c r="F79" s="39"/>
      <c r="G79" s="39"/>
      <c r="H79" s="39"/>
      <c r="I79" s="39"/>
      <c r="J79" s="39"/>
      <c r="K79" s="39"/>
      <c r="L79" s="40" t="n">
        <f aca="false">7*M79</f>
        <v>0</v>
      </c>
      <c r="M79" s="40" t="n">
        <f aca="false">0/2</f>
        <v>0</v>
      </c>
      <c r="N79" s="41" t="n">
        <f aca="false">M79/1376</f>
        <v>0</v>
      </c>
      <c r="O79" s="41"/>
      <c r="P79" s="46" t="n">
        <f aca="false">Q79*P$7</f>
        <v>0</v>
      </c>
      <c r="Q79" s="46"/>
      <c r="R79" s="41" t="n">
        <f aca="false">+Q79/Q$8</f>
        <v>0</v>
      </c>
      <c r="S79" s="40"/>
      <c r="T79" s="46" t="n">
        <f aca="false">U79*T$7</f>
        <v>0</v>
      </c>
      <c r="U79" s="46"/>
      <c r="V79" s="41" t="n">
        <f aca="false">+U79/U$8</f>
        <v>0</v>
      </c>
      <c r="W79" s="40"/>
      <c r="X79" s="46" t="n">
        <f aca="false">Y79*X$7</f>
        <v>0</v>
      </c>
      <c r="Y79" s="46"/>
      <c r="Z79" s="41" t="n">
        <f aca="false">+Y79/Y$8</f>
        <v>0</v>
      </c>
      <c r="AA79" s="40"/>
      <c r="AB79" s="46" t="n">
        <f aca="false">+X79+T79+P79</f>
        <v>0</v>
      </c>
      <c r="AC79" s="23" t="n">
        <f aca="false">+AB79/AB$7</f>
        <v>0</v>
      </c>
      <c r="AD79" s="41" t="n">
        <f aca="false">+AC79/AC$8</f>
        <v>0</v>
      </c>
      <c r="AE79" s="40"/>
      <c r="AF79" s="43"/>
      <c r="AG79" s="44"/>
      <c r="AI79" s="38"/>
      <c r="AJ79" s="40" t="n">
        <f aca="false">AJ78/0.105</f>
        <v>6132526.49980364</v>
      </c>
      <c r="AK79" s="62"/>
      <c r="AL79" s="40"/>
    </row>
    <row r="80" customFormat="false" ht="12.75" hidden="false" customHeight="false" outlineLevel="0" collapsed="false">
      <c r="B80" s="19" t="s">
        <v>252</v>
      </c>
      <c r="C80" s="37"/>
      <c r="D80" s="38"/>
      <c r="E80" s="39"/>
      <c r="F80" s="39"/>
      <c r="G80" s="39"/>
      <c r="H80" s="39"/>
      <c r="I80" s="39"/>
      <c r="J80" s="39"/>
      <c r="K80" s="39"/>
      <c r="L80" s="40"/>
      <c r="M80" s="40"/>
      <c r="N80" s="41" t="n">
        <f aca="false">M80/1376</f>
        <v>0</v>
      </c>
      <c r="O80" s="41"/>
      <c r="P80" s="46"/>
      <c r="Q80" s="46"/>
      <c r="R80" s="41"/>
      <c r="S80" s="40"/>
      <c r="T80" s="46"/>
      <c r="U80" s="46"/>
      <c r="V80" s="41"/>
      <c r="W80" s="40"/>
      <c r="X80" s="46"/>
      <c r="Y80" s="46"/>
      <c r="Z80" s="41"/>
      <c r="AA80" s="40"/>
      <c r="AB80" s="46"/>
      <c r="AC80" s="23" t="s">
        <v>188</v>
      </c>
      <c r="AD80" s="41"/>
      <c r="AE80" s="40"/>
      <c r="AF80" s="43"/>
      <c r="AG80" s="44"/>
      <c r="AI80" s="38"/>
      <c r="AJ80" s="40"/>
      <c r="AK80" s="40"/>
      <c r="AL80" s="40"/>
    </row>
    <row r="81" customFormat="false" ht="12.75" hidden="false" customHeight="false" outlineLevel="0" collapsed="false">
      <c r="A81" s="20" t="s">
        <v>253</v>
      </c>
      <c r="B81" s="21" t="s">
        <v>254</v>
      </c>
      <c r="C81" s="37"/>
      <c r="D81" s="38" t="n">
        <f aca="false">L81/$L$88</f>
        <v>0.00478430310476877</v>
      </c>
      <c r="E81" s="39" t="s">
        <v>78</v>
      </c>
      <c r="F81" s="39" t="s">
        <v>78</v>
      </c>
      <c r="G81" s="48"/>
      <c r="H81" s="39" t="s">
        <v>78</v>
      </c>
      <c r="I81" s="39" t="s">
        <v>78</v>
      </c>
      <c r="J81" s="48"/>
      <c r="K81" s="49" t="s">
        <v>78</v>
      </c>
      <c r="L81" s="40" t="n">
        <f aca="false">7*M81</f>
        <v>3363.5</v>
      </c>
      <c r="M81" s="40" t="n">
        <f aca="false">961/2</f>
        <v>480.5</v>
      </c>
      <c r="N81" s="41" t="n">
        <f aca="false">M81/1376</f>
        <v>0.349200581395349</v>
      </c>
      <c r="O81" s="41"/>
      <c r="P81" s="46" t="n">
        <f aca="false">Q81*P$7</f>
        <v>1621.6875</v>
      </c>
      <c r="Q81" s="46" t="n">
        <f aca="false">$M81*CMF</f>
        <v>540.5625</v>
      </c>
      <c r="R81" s="41" t="n">
        <f aca="false">+Q81/Q$8</f>
        <v>0.451220784641068</v>
      </c>
      <c r="S81" s="40"/>
      <c r="T81" s="46" t="n">
        <f aca="false">U81*T$7</f>
        <v>39461.0625</v>
      </c>
      <c r="U81" s="46" t="n">
        <f aca="false">$M81*CMF</f>
        <v>540.5625</v>
      </c>
      <c r="V81" s="41" t="n">
        <f aca="false">+U81/U$8</f>
        <v>0.488313008130081</v>
      </c>
      <c r="W81" s="40"/>
      <c r="X81" s="46" t="n">
        <f aca="false">Y81*X$7</f>
        <v>31352.625</v>
      </c>
      <c r="Y81" s="46" t="n">
        <f aca="false">$M81*CMF</f>
        <v>540.5625</v>
      </c>
      <c r="Z81" s="41" t="n">
        <f aca="false">+Y81/Y$8</f>
        <v>0.420017482517483</v>
      </c>
      <c r="AA81" s="40"/>
      <c r="AB81" s="46" t="n">
        <f aca="false">+X81+T81+P81</f>
        <v>72435.375</v>
      </c>
      <c r="AC81" s="23" t="n">
        <f aca="false">+AB81/AB$7</f>
        <v>540.5625</v>
      </c>
      <c r="AD81" s="41" t="n">
        <f aca="false">+AC81/AC$8</f>
        <v>0.455402274641955</v>
      </c>
      <c r="AE81" s="40"/>
      <c r="AF81" s="43"/>
      <c r="AG81" s="44"/>
      <c r="AH81" s="34"/>
      <c r="AJ81" s="40" t="n">
        <v>7000</v>
      </c>
      <c r="AK81" s="40"/>
      <c r="AL81" s="40"/>
    </row>
    <row r="82" customFormat="false" ht="12.75" hidden="false" customHeight="false" outlineLevel="0" collapsed="false">
      <c r="A82" s="20" t="s">
        <v>253</v>
      </c>
      <c r="B82" s="21" t="s">
        <v>255</v>
      </c>
      <c r="C82" s="37"/>
      <c r="D82" s="38" t="n">
        <f aca="false">L82/$L$88</f>
        <v>0.00174246210891683</v>
      </c>
      <c r="E82" s="39" t="s">
        <v>78</v>
      </c>
      <c r="F82" s="39" t="s">
        <v>78</v>
      </c>
      <c r="G82" s="48"/>
      <c r="H82" s="39" t="s">
        <v>78</v>
      </c>
      <c r="I82" s="39" t="s">
        <v>78</v>
      </c>
      <c r="J82" s="48"/>
      <c r="K82" s="49" t="s">
        <v>78</v>
      </c>
      <c r="L82" s="40" t="n">
        <f aca="false">7*M82</f>
        <v>1225</v>
      </c>
      <c r="M82" s="40" t="n">
        <f aca="false">350/2</f>
        <v>175</v>
      </c>
      <c r="N82" s="41" t="n">
        <f aca="false">M82/1376</f>
        <v>0.12718023255814</v>
      </c>
      <c r="O82" s="41"/>
      <c r="P82" s="46" t="n">
        <f aca="false">Q82*P$7</f>
        <v>514.221475290698</v>
      </c>
      <c r="Q82" s="46" t="n">
        <f aca="false">Q$8*$N82*CMF</f>
        <v>171.407158430233</v>
      </c>
      <c r="R82" s="41" t="n">
        <f aca="false">+Q82/Q$8</f>
        <v>0.143077761627907</v>
      </c>
      <c r="S82" s="40"/>
      <c r="T82" s="46" t="n">
        <f aca="false">U82*T$7</f>
        <v>11562.2569949128</v>
      </c>
      <c r="U82" s="46" t="n">
        <f aca="false">U$8*$N82*CMF</f>
        <v>158.387082122093</v>
      </c>
      <c r="V82" s="41" t="n">
        <f aca="false">+U82/U$8</f>
        <v>0.143077761627907</v>
      </c>
      <c r="W82" s="40"/>
      <c r="X82" s="46" t="n">
        <f aca="false">Y82*X$7</f>
        <v>10680.1825944767</v>
      </c>
      <c r="Y82" s="46" t="n">
        <f aca="false">Y$8*$N82*CMF</f>
        <v>184.141079215116</v>
      </c>
      <c r="Z82" s="41" t="n">
        <f aca="false">+Y82/Y$8</f>
        <v>0.143077761627907</v>
      </c>
      <c r="AA82" s="40"/>
      <c r="AB82" s="46" t="n">
        <f aca="false">+X82+T82+P82</f>
        <v>22756.6610646802</v>
      </c>
      <c r="AC82" s="23" t="n">
        <f aca="false">+AB82/AB$7</f>
        <v>169.825828840897</v>
      </c>
      <c r="AD82" s="41" t="n">
        <f aca="false">+AC82/AC$8</f>
        <v>0.143071464903873</v>
      </c>
      <c r="AE82" s="40"/>
      <c r="AF82" s="43"/>
      <c r="AG82" s="44"/>
      <c r="AI82" s="38"/>
      <c r="AJ82" s="40" t="n">
        <f aca="false">1250*14+1220*14</f>
        <v>34580</v>
      </c>
      <c r="AK82" s="40"/>
      <c r="AL82" s="40"/>
    </row>
    <row r="83" customFormat="false" ht="12.75" hidden="false" customHeight="false" outlineLevel="0" collapsed="false">
      <c r="A83" s="20" t="s">
        <v>253</v>
      </c>
      <c r="B83" s="21" t="s">
        <v>256</v>
      </c>
      <c r="C83" s="37"/>
      <c r="D83" s="38" t="n">
        <f aca="false">L83/$L$88</f>
        <v>0.00488387236813545</v>
      </c>
      <c r="E83" s="39" t="s">
        <v>78</v>
      </c>
      <c r="F83" s="39" t="s">
        <v>78</v>
      </c>
      <c r="G83" s="48"/>
      <c r="H83" s="39" t="s">
        <v>78</v>
      </c>
      <c r="I83" s="39" t="s">
        <v>78</v>
      </c>
      <c r="J83" s="48"/>
      <c r="K83" s="49" t="s">
        <v>78</v>
      </c>
      <c r="L83" s="40" t="n">
        <f aca="false">7*M83</f>
        <v>3433.5</v>
      </c>
      <c r="M83" s="40" t="n">
        <f aca="false">981/2</f>
        <v>490.5</v>
      </c>
      <c r="N83" s="41" t="n">
        <f aca="false">M83/1376</f>
        <v>0.356468023255814</v>
      </c>
      <c r="O83" s="41"/>
      <c r="P83" s="46" t="n">
        <f aca="false">Q83*P$7</f>
        <v>1655.4375</v>
      </c>
      <c r="Q83" s="46" t="n">
        <f aca="false">$M83*CMF</f>
        <v>551.8125</v>
      </c>
      <c r="R83" s="41" t="n">
        <f aca="false">+Q83/Q$8</f>
        <v>0.46061143572621</v>
      </c>
      <c r="S83" s="40"/>
      <c r="T83" s="46" t="n">
        <f aca="false">U83*T$7</f>
        <v>40282.3125</v>
      </c>
      <c r="U83" s="46" t="n">
        <f aca="false">$M83*CMF</f>
        <v>551.8125</v>
      </c>
      <c r="V83" s="41" t="n">
        <f aca="false">+U83/U$8</f>
        <v>0.498475609756098</v>
      </c>
      <c r="W83" s="40"/>
      <c r="X83" s="46" t="n">
        <f aca="false">Y83*X$7</f>
        <v>32005.125</v>
      </c>
      <c r="Y83" s="46" t="n">
        <f aca="false">$M83*CMF</f>
        <v>551.8125</v>
      </c>
      <c r="Z83" s="41" t="n">
        <f aca="false">+Y83/Y$8</f>
        <v>0.428758741258741</v>
      </c>
      <c r="AA83" s="40"/>
      <c r="AB83" s="46" t="n">
        <f aca="false">+X83+T83+P83</f>
        <v>73942.875</v>
      </c>
      <c r="AC83" s="23" t="n">
        <f aca="false">+AB83/AB$7</f>
        <v>551.8125</v>
      </c>
      <c r="AD83" s="41" t="n">
        <f aca="false">+AC83/AC$8</f>
        <v>0.464879949452401</v>
      </c>
      <c r="AE83" s="40"/>
      <c r="AF83" s="43"/>
      <c r="AG83" s="44"/>
      <c r="AI83" s="38"/>
      <c r="AJ83" s="40" t="n">
        <f aca="false">28*3*475</f>
        <v>39900</v>
      </c>
      <c r="AK83" s="40"/>
      <c r="AL83" s="40"/>
    </row>
    <row r="84" customFormat="false" ht="12.75" hidden="false" customHeight="false" outlineLevel="0" collapsed="false">
      <c r="A84" s="20" t="s">
        <v>253</v>
      </c>
      <c r="B84" s="21" t="s">
        <v>257</v>
      </c>
      <c r="C84" s="37"/>
      <c r="D84" s="38" t="n">
        <f aca="false">L84/$L$88</f>
        <v>0.00439598297763874</v>
      </c>
      <c r="E84" s="39" t="s">
        <v>78</v>
      </c>
      <c r="F84" s="39" t="s">
        <v>78</v>
      </c>
      <c r="G84" s="48"/>
      <c r="H84" s="39" t="s">
        <v>78</v>
      </c>
      <c r="I84" s="39" t="s">
        <v>78</v>
      </c>
      <c r="J84" s="48"/>
      <c r="K84" s="49" t="s">
        <v>78</v>
      </c>
      <c r="L84" s="40" t="n">
        <f aca="false">7*M84</f>
        <v>3090.5</v>
      </c>
      <c r="M84" s="40" t="n">
        <f aca="false">883/2</f>
        <v>441.5</v>
      </c>
      <c r="N84" s="41" t="n">
        <f aca="false">M84/1376</f>
        <v>0.320857558139535</v>
      </c>
      <c r="O84" s="41"/>
      <c r="P84" s="46" t="n">
        <f aca="false">Q84*P$7</f>
        <v>1490.0625</v>
      </c>
      <c r="Q84" s="46" t="n">
        <f aca="false">$M84*CMF</f>
        <v>496.6875</v>
      </c>
      <c r="R84" s="41" t="n">
        <f aca="false">+Q84/Q$8</f>
        <v>0.414597245409015</v>
      </c>
      <c r="S84" s="40"/>
      <c r="T84" s="46" t="n">
        <f aca="false">U84*T$7</f>
        <v>36258.1875</v>
      </c>
      <c r="U84" s="46" t="n">
        <f aca="false">$M84*CMF</f>
        <v>496.6875</v>
      </c>
      <c r="V84" s="41" t="n">
        <f aca="false">+U84/U$8</f>
        <v>0.448678861788618</v>
      </c>
      <c r="W84" s="40"/>
      <c r="X84" s="46" t="n">
        <f aca="false">Y84*X$7</f>
        <v>28807.875</v>
      </c>
      <c r="Y84" s="46" t="n">
        <f aca="false">$M84*CMF</f>
        <v>496.6875</v>
      </c>
      <c r="Z84" s="41" t="n">
        <f aca="false">+Y84/Y$8</f>
        <v>0.385926573426573</v>
      </c>
      <c r="AA84" s="40"/>
      <c r="AB84" s="46" t="n">
        <f aca="false">+X84+T84+P84</f>
        <v>66556.125</v>
      </c>
      <c r="AC84" s="23" t="n">
        <f aca="false">+AB84/AB$7</f>
        <v>496.6875</v>
      </c>
      <c r="AD84" s="41" t="n">
        <f aca="false">+AC84/AC$8</f>
        <v>0.418439342881213</v>
      </c>
      <c r="AE84" s="40"/>
      <c r="AF84" s="43"/>
      <c r="AH84" s="34"/>
      <c r="AJ84" s="40" t="n">
        <f aca="false">+AJ83-AJ82</f>
        <v>5320</v>
      </c>
      <c r="AK84" s="40"/>
      <c r="AL84" s="40"/>
    </row>
    <row r="85" customFormat="false" ht="12.75" hidden="false" customHeight="false" outlineLevel="0" collapsed="false">
      <c r="A85" s="20" t="s">
        <v>253</v>
      </c>
      <c r="B85" s="21" t="s">
        <v>258</v>
      </c>
      <c r="C85" s="37"/>
      <c r="D85" s="38" t="n">
        <f aca="false">L85/$L$88</f>
        <v>0.000492867853665045</v>
      </c>
      <c r="E85" s="39" t="s">
        <v>78</v>
      </c>
      <c r="F85" s="39" t="s">
        <v>78</v>
      </c>
      <c r="G85" s="48"/>
      <c r="H85" s="39" t="s">
        <v>78</v>
      </c>
      <c r="I85" s="39" t="s">
        <v>78</v>
      </c>
      <c r="J85" s="48"/>
      <c r="K85" s="49" t="s">
        <v>78</v>
      </c>
      <c r="L85" s="40" t="n">
        <f aca="false">7*M85</f>
        <v>346.5</v>
      </c>
      <c r="M85" s="40" t="n">
        <f aca="false">99/2</f>
        <v>49.5</v>
      </c>
      <c r="N85" s="41" t="n">
        <f aca="false">M85/1376</f>
        <v>0.0359738372093023</v>
      </c>
      <c r="O85" s="41"/>
      <c r="P85" s="46" t="n">
        <f aca="false">Q85*P$7</f>
        <v>167.0625</v>
      </c>
      <c r="Q85" s="46" t="n">
        <f aca="false">$M85*CMF</f>
        <v>55.6875</v>
      </c>
      <c r="R85" s="41" t="n">
        <f aca="false">+Q85/Q$8</f>
        <v>0.0464837228714524</v>
      </c>
      <c r="S85" s="40"/>
      <c r="T85" s="46" t="n">
        <f aca="false">U85*T$7</f>
        <v>4065.1875</v>
      </c>
      <c r="U85" s="46" t="n">
        <f aca="false">$M85*CMF</f>
        <v>55.6875</v>
      </c>
      <c r="V85" s="41" t="n">
        <f aca="false">+U85/U$8</f>
        <v>0.0503048780487805</v>
      </c>
      <c r="W85" s="40"/>
      <c r="X85" s="46" t="n">
        <f aca="false">Y85*X$7</f>
        <v>3229.875</v>
      </c>
      <c r="Y85" s="46" t="n">
        <f aca="false">$M85*CMF</f>
        <v>55.6875</v>
      </c>
      <c r="Z85" s="41" t="n">
        <f aca="false">+Y85/Y$8</f>
        <v>0.0432692307692308</v>
      </c>
      <c r="AA85" s="40"/>
      <c r="AB85" s="46" t="n">
        <f aca="false">+X85+T85+P85</f>
        <v>7462.125</v>
      </c>
      <c r="AC85" s="23" t="n">
        <f aca="false">+AB85/AB$7</f>
        <v>55.6875</v>
      </c>
      <c r="AD85" s="41" t="n">
        <f aca="false">+AC85/AC$8</f>
        <v>0.0469144903117102</v>
      </c>
      <c r="AE85" s="40"/>
      <c r="AF85" s="43"/>
      <c r="AG85" s="40"/>
      <c r="AI85" s="38"/>
      <c r="AJ85" s="40" t="n">
        <f aca="false">+AJ84+AJ81</f>
        <v>12320</v>
      </c>
      <c r="AK85" s="40"/>
      <c r="AL85" s="40"/>
    </row>
    <row r="86" customFormat="false" ht="12.75" hidden="false" customHeight="false" outlineLevel="0" collapsed="false">
      <c r="A86" s="20" t="s">
        <v>85</v>
      </c>
      <c r="B86" s="19" t="s">
        <v>259</v>
      </c>
      <c r="C86" s="37"/>
      <c r="D86" s="38" t="n">
        <f aca="false">L86/$L$88</f>
        <v>0.00995692633666758</v>
      </c>
      <c r="E86" s="39" t="s">
        <v>78</v>
      </c>
      <c r="F86" s="39" t="s">
        <v>78</v>
      </c>
      <c r="G86" s="48"/>
      <c r="H86" s="39" t="s">
        <v>78</v>
      </c>
      <c r="I86" s="39" t="s">
        <v>78</v>
      </c>
      <c r="J86" s="48"/>
      <c r="K86" s="49" t="s">
        <v>78</v>
      </c>
      <c r="L86" s="40" t="n">
        <f aca="false">7*M86</f>
        <v>7000</v>
      </c>
      <c r="M86" s="40" t="n">
        <f aca="false">2000/2</f>
        <v>1000</v>
      </c>
      <c r="N86" s="41" t="n">
        <f aca="false">M86/1376</f>
        <v>0.726744186046512</v>
      </c>
      <c r="O86" s="41"/>
      <c r="P86" s="46" t="n">
        <f aca="false">Q86*P$7</f>
        <v>3375</v>
      </c>
      <c r="Q86" s="46" t="n">
        <f aca="false">$M86*CMF</f>
        <v>1125</v>
      </c>
      <c r="R86" s="41" t="n">
        <f aca="false">+Q86/Q$8</f>
        <v>0.93906510851419</v>
      </c>
      <c r="S86" s="40"/>
      <c r="T86" s="46" t="n">
        <f aca="false">U86*T$7</f>
        <v>82125</v>
      </c>
      <c r="U86" s="46" t="n">
        <f aca="false">$M86*CMF</f>
        <v>1125</v>
      </c>
      <c r="V86" s="41" t="n">
        <f aca="false">+U86/U$8</f>
        <v>1.01626016260163</v>
      </c>
      <c r="W86" s="40"/>
      <c r="X86" s="46" t="n">
        <f aca="false">Y86*X$7</f>
        <v>65250</v>
      </c>
      <c r="Y86" s="46" t="n">
        <f aca="false">$M86*CMF</f>
        <v>1125</v>
      </c>
      <c r="Z86" s="41" t="n">
        <f aca="false">+Y86/Y$8</f>
        <v>0.874125874125874</v>
      </c>
      <c r="AA86" s="40"/>
      <c r="AB86" s="46" t="n">
        <f aca="false">+X86+T86+P86</f>
        <v>150750</v>
      </c>
      <c r="AC86" s="23" t="n">
        <f aca="false">+AB86/AB$7</f>
        <v>1125</v>
      </c>
      <c r="AD86" s="41" t="n">
        <f aca="false">+AC86/AC$8</f>
        <v>0.94776748104465</v>
      </c>
      <c r="AE86" s="40"/>
      <c r="AF86" s="43"/>
      <c r="AI86" s="38"/>
      <c r="AJ86" s="40" t="n">
        <f aca="false">AJ85*0.58</f>
        <v>7145.6</v>
      </c>
      <c r="AK86" s="40"/>
      <c r="AL86" s="40"/>
    </row>
    <row r="87" customFormat="false" ht="12.75" hidden="false" customHeight="false" outlineLevel="0" collapsed="false">
      <c r="A87" s="20" t="s">
        <v>260</v>
      </c>
      <c r="B87" s="19" t="s">
        <v>261</v>
      </c>
      <c r="C87" s="37"/>
      <c r="D87" s="38" t="n">
        <f aca="false">L87/$L$88</f>
        <v>0.0127996288057862</v>
      </c>
      <c r="E87" s="39" t="s">
        <v>78</v>
      </c>
      <c r="F87" s="39" t="s">
        <v>78</v>
      </c>
      <c r="G87" s="48"/>
      <c r="H87" s="39" t="s">
        <v>78</v>
      </c>
      <c r="I87" s="39" t="s">
        <v>78</v>
      </c>
      <c r="J87" s="48"/>
      <c r="K87" s="49" t="s">
        <v>78</v>
      </c>
      <c r="L87" s="40" t="n">
        <f aca="false">7*M87</f>
        <v>8998.5</v>
      </c>
      <c r="M87" s="40" t="n">
        <f aca="false">2571/2</f>
        <v>1285.5</v>
      </c>
      <c r="N87" s="41" t="n">
        <f aca="false">M87/1376</f>
        <v>0.934229651162791</v>
      </c>
      <c r="O87" s="41"/>
      <c r="P87" s="46" t="n">
        <f aca="false">Q87*P$7</f>
        <v>4089.66884328358</v>
      </c>
      <c r="Q87" s="46" t="n">
        <f aca="false">(((1000+500+500+500)*4.33*15)*CMF)/SM134Units</f>
        <v>1363.22294776119</v>
      </c>
      <c r="R87" s="41" t="n">
        <f aca="false">+Q87/Q$8</f>
        <v>1.13791564921636</v>
      </c>
      <c r="S87" s="40"/>
      <c r="T87" s="46" t="n">
        <f aca="false">U87*T$7</f>
        <v>99515.2751865672</v>
      </c>
      <c r="U87" s="46" t="n">
        <f aca="false">(((1000+500+500+500)*4.33*15)*CMF)/SM134Units</f>
        <v>1363.22294776119</v>
      </c>
      <c r="V87" s="41" t="n">
        <f aca="false">+U87/U$8</f>
        <v>1.23145704404805</v>
      </c>
      <c r="W87" s="40"/>
      <c r="X87" s="46" t="n">
        <f aca="false">Y87*X$7</f>
        <v>79066.9309701493</v>
      </c>
      <c r="Y87" s="46" t="n">
        <f aca="false">(((1000+500+500+500)*4.33*15)*CMF)/SM134Units</f>
        <v>1363.22294776119</v>
      </c>
      <c r="Z87" s="41" t="n">
        <f aca="false">+Y87/Y$8</f>
        <v>1.05922528963574</v>
      </c>
      <c r="AA87" s="40"/>
      <c r="AB87" s="46" t="n">
        <f aca="false">+X87+T87+P87</f>
        <v>182671.875</v>
      </c>
      <c r="AC87" s="23" t="n">
        <f aca="false">+AB87/AB$7</f>
        <v>1363.22294776119</v>
      </c>
      <c r="AD87" s="41" t="n">
        <f aca="false">+AC87/AC$8</f>
        <v>1.14846078160168</v>
      </c>
      <c r="AE87" s="40"/>
      <c r="AF87" s="43"/>
      <c r="AH87" s="40"/>
      <c r="AJ87" s="21" t="n">
        <f aca="false">0.5*AJ78/12</f>
        <v>26829.8034366409</v>
      </c>
      <c r="AL87" s="40"/>
    </row>
    <row r="88" customFormat="false" ht="12.75" hidden="false" customHeight="false" outlineLevel="0" collapsed="false">
      <c r="A88" s="68"/>
      <c r="B88" s="69" t="s">
        <v>262</v>
      </c>
      <c r="C88" s="69"/>
      <c r="D88" s="70" t="n">
        <f aca="false">SUM(D9:D87)</f>
        <v>1</v>
      </c>
      <c r="E88" s="71" t="s">
        <v>263</v>
      </c>
      <c r="F88" s="71" t="s">
        <v>263</v>
      </c>
      <c r="G88" s="71"/>
      <c r="H88" s="71" t="s">
        <v>263</v>
      </c>
      <c r="I88" s="71" t="s">
        <v>263</v>
      </c>
      <c r="J88" s="71"/>
      <c r="K88" s="71"/>
      <c r="L88" s="72" t="n">
        <f aca="false">+SUM(L9:L87)</f>
        <v>703028.2</v>
      </c>
      <c r="M88" s="72" t="n">
        <f aca="false">+SUM(M9:M87)</f>
        <v>60898.05</v>
      </c>
      <c r="N88" s="73" t="n">
        <f aca="false">M88/1376</f>
        <v>44.2573037790698</v>
      </c>
      <c r="O88" s="73"/>
      <c r="P88" s="74" t="n">
        <f aca="false">+SUM(P9:P87)</f>
        <v>206073.937932525</v>
      </c>
      <c r="Q88" s="72" t="n">
        <f aca="false">+SUM(Q9:Q87)</f>
        <v>68691.3126441751</v>
      </c>
      <c r="R88" s="74" t="n">
        <f aca="false">+Q88/Q$8</f>
        <v>57.3383244108306</v>
      </c>
      <c r="S88" s="75"/>
      <c r="T88" s="72" t="n">
        <f aca="false">+SUM(T9:T87)</f>
        <v>4746348.83434982</v>
      </c>
      <c r="U88" s="72" t="n">
        <f aca="false">+SUM(U9:U87)</f>
        <v>65018.4771828742</v>
      </c>
      <c r="V88" s="74" t="n">
        <f aca="false">+U88/U$8</f>
        <v>58.7339450613136</v>
      </c>
      <c r="W88" s="76"/>
      <c r="X88" s="72" t="n">
        <f aca="false">+SUM(X9:X87)</f>
        <v>4171776.23912228</v>
      </c>
      <c r="Y88" s="72" t="n">
        <f aca="false">+SUM(Y9:Y87)</f>
        <v>71927.176536591</v>
      </c>
      <c r="Z88" s="74" t="n">
        <f aca="false">+Y88/Y$8</f>
        <v>55.8874720564032</v>
      </c>
      <c r="AA88" s="76"/>
      <c r="AB88" s="77" t="n">
        <f aca="false">+SUM(AB9:AB87)</f>
        <v>9124199.01140462</v>
      </c>
      <c r="AC88" s="72" t="n">
        <f aca="false">+SUM(AC9:AC87)</f>
        <v>68091.0373985419</v>
      </c>
      <c r="AD88" s="74" t="n">
        <f aca="false">+AC88/AC$8</f>
        <v>57.3639742194961</v>
      </c>
      <c r="AE88" s="78"/>
      <c r="AF88" s="79"/>
      <c r="AJ88" s="21" t="n">
        <f aca="false">+AJ87+AJ86</f>
        <v>33975.4034366409</v>
      </c>
    </row>
    <row r="89" customFormat="false" ht="12.75" hidden="false" customHeight="false" outlineLevel="0" collapsed="false">
      <c r="L89" s="45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3"/>
    </row>
    <row r="90" customFormat="false" ht="12" hidden="false" customHeight="false" outlineLevel="0" collapsed="false">
      <c r="L90" s="3" t="s">
        <v>264</v>
      </c>
      <c r="M90" s="3" t="s">
        <v>265</v>
      </c>
    </row>
    <row r="91" customFormat="false" ht="12" hidden="false" customHeight="false" outlineLevel="0" collapsed="false">
      <c r="B91" s="19" t="s">
        <v>35</v>
      </c>
      <c r="L91" s="21" t="n">
        <f aca="false">10.3*43560*2.5</f>
        <v>1121670</v>
      </c>
      <c r="M91" s="21" t="n">
        <f aca="false">L91/10.3</f>
        <v>108900</v>
      </c>
      <c r="P91" s="80" t="n">
        <f aca="false">Q91*P$7</f>
        <v>25112.0149253731</v>
      </c>
      <c r="Q91" s="80" t="n">
        <f aca="false">+$L91/SM134Units</f>
        <v>8370.67164179105</v>
      </c>
      <c r="R91" s="12" t="n">
        <f aca="false">+Q91/Q$8</f>
        <v>6.98720504323126</v>
      </c>
      <c r="T91" s="80" t="n">
        <f aca="false">U91*T$7</f>
        <v>611059.029850746</v>
      </c>
      <c r="U91" s="80" t="n">
        <f aca="false">+$L91/SM134Units</f>
        <v>8370.67164179105</v>
      </c>
      <c r="V91" s="12" t="n">
        <f aca="false">+U91/U$8</f>
        <v>7.56158233224123</v>
      </c>
      <c r="X91" s="80" t="n">
        <f aca="false">Y91*X$7</f>
        <v>485498.955223881</v>
      </c>
      <c r="Y91" s="80" t="n">
        <f aca="false">+$L91/SM134Units</f>
        <v>8370.67164179105</v>
      </c>
      <c r="Z91" s="12" t="n">
        <f aca="false">+Y91/Y$8</f>
        <v>6.50401836969001</v>
      </c>
      <c r="AB91" s="80" t="n">
        <f aca="false">+X91+T91+P91</f>
        <v>1121670</v>
      </c>
      <c r="AC91" s="80" t="n">
        <f aca="false">+AB91/AB$7</f>
        <v>8370.67164179105</v>
      </c>
      <c r="AD91" s="12" t="n">
        <f aca="false">+AC91/AC$8</f>
        <v>7.05195589030417</v>
      </c>
    </row>
    <row r="92" customFormat="false" ht="12" hidden="false" customHeight="false" outlineLevel="0" collapsed="false">
      <c r="B92" s="61" t="s">
        <v>36</v>
      </c>
      <c r="P92" s="46"/>
      <c r="R92" s="41"/>
    </row>
    <row r="93" customFormat="false" ht="12" hidden="false" customHeight="false" outlineLevel="0" collapsed="false">
      <c r="B93" s="21" t="s">
        <v>266</v>
      </c>
      <c r="L93" s="21" t="n">
        <f aca="false">+L147*CMF</f>
        <v>294300</v>
      </c>
      <c r="M93" s="21" t="n">
        <f aca="false">L93/10.3</f>
        <v>28572.8155339806</v>
      </c>
      <c r="P93" s="46" t="n">
        <f aca="false">Q93*P$7</f>
        <v>6588.80597014925</v>
      </c>
      <c r="Q93" s="21" t="n">
        <f aca="false">+$L93/SM134Units</f>
        <v>2196.26865671642</v>
      </c>
      <c r="R93" s="12" t="n">
        <f aca="false">+Q93/Q$8</f>
        <v>1.83327934617397</v>
      </c>
      <c r="T93" s="80" t="n">
        <f aca="false">U93*T$7</f>
        <v>160327.611940299</v>
      </c>
      <c r="U93" s="21" t="n">
        <f aca="false">+$L93/SM134Units</f>
        <v>2196.26865671642</v>
      </c>
      <c r="V93" s="12" t="n">
        <f aca="false">+U93/U$8</f>
        <v>1.98398252639243</v>
      </c>
      <c r="X93" s="80" t="n">
        <f aca="false">Y93*X$7</f>
        <v>127383.582089552</v>
      </c>
      <c r="Y93" s="21" t="n">
        <f aca="false">+$L93/SM134Units</f>
        <v>2196.26865671642</v>
      </c>
      <c r="Z93" s="12" t="n">
        <f aca="false">+Y93/Y$8</f>
        <v>1.70650245277111</v>
      </c>
      <c r="AB93" s="80" t="n">
        <f aca="false">+X93+T93+P93</f>
        <v>294300</v>
      </c>
      <c r="AC93" s="80" t="n">
        <f aca="false">+AB93/AB$7</f>
        <v>2196.26865671642</v>
      </c>
      <c r="AD93" s="12" t="n">
        <f aca="false">+AC93/AC$8</f>
        <v>1.85026845553194</v>
      </c>
    </row>
    <row r="94" customFormat="false" ht="12" hidden="false" customHeight="false" outlineLevel="0" collapsed="false">
      <c r="B94" s="21" t="s">
        <v>267</v>
      </c>
      <c r="L94" s="21" t="n">
        <f aca="false">+L148*8*CMF</f>
        <v>41202</v>
      </c>
      <c r="M94" s="21" t="n">
        <f aca="false">L94/10.3</f>
        <v>4000.19417475728</v>
      </c>
      <c r="P94" s="46" t="n">
        <f aca="false">Q94*P$7</f>
        <v>922.432835820896</v>
      </c>
      <c r="Q94" s="21" t="n">
        <f aca="false">+$L94/SM134Units</f>
        <v>307.477611940299</v>
      </c>
      <c r="R94" s="41" t="n">
        <f aca="false">+Q94/Q$8</f>
        <v>0.256659108464356</v>
      </c>
      <c r="T94" s="46" t="n">
        <f aca="false">U94*T$7</f>
        <v>22445.8656716418</v>
      </c>
      <c r="U94" s="21" t="n">
        <f aca="false">+$L94/SM134Units</f>
        <v>307.477611940299</v>
      </c>
      <c r="V94" s="41" t="n">
        <f aca="false">+U94/U$8</f>
        <v>0.27775755369494</v>
      </c>
      <c r="X94" s="46" t="n">
        <f aca="false">Y94*X$7</f>
        <v>17833.7014925373</v>
      </c>
      <c r="Y94" s="21" t="n">
        <f aca="false">+$L94/SM134Units</f>
        <v>307.477611940299</v>
      </c>
      <c r="Z94" s="41" t="n">
        <f aca="false">+Y94/Y$8</f>
        <v>0.238910343387955</v>
      </c>
      <c r="AB94" s="40" t="n">
        <f aca="false">+X94+T94+P94</f>
        <v>41202</v>
      </c>
      <c r="AC94" s="23" t="n">
        <f aca="false">+AB94/AB$7</f>
        <v>307.477611940299</v>
      </c>
      <c r="AD94" s="41" t="n">
        <f aca="false">+AC94/AC$8</f>
        <v>0.259037583774472</v>
      </c>
    </row>
    <row r="95" customFormat="false" ht="12" hidden="false" customHeight="false" outlineLevel="0" collapsed="false">
      <c r="B95" s="21" t="s">
        <v>268</v>
      </c>
      <c r="L95" s="21" t="n">
        <f aca="false">L146*0.5*CMF</f>
        <v>73575</v>
      </c>
      <c r="M95" s="21" t="n">
        <f aca="false">L95/10.3</f>
        <v>7143.20388349515</v>
      </c>
      <c r="P95" s="46" t="n">
        <f aca="false">Q95*P$7</f>
        <v>1647.20149253731</v>
      </c>
      <c r="Q95" s="21" t="n">
        <f aca="false">+$L95/SM134Units</f>
        <v>549.067164179105</v>
      </c>
      <c r="R95" s="41" t="n">
        <f aca="false">+Q95/Q$8</f>
        <v>0.458319836543493</v>
      </c>
      <c r="T95" s="46" t="n">
        <f aca="false">U95*T$7</f>
        <v>40081.9029850746</v>
      </c>
      <c r="U95" s="21" t="n">
        <f aca="false">+$L95/SM134Units</f>
        <v>549.067164179105</v>
      </c>
      <c r="V95" s="41" t="n">
        <f aca="false">+U95/U$8</f>
        <v>0.495995631598107</v>
      </c>
      <c r="X95" s="46" t="n">
        <f aca="false">Y95*X$7</f>
        <v>31845.8955223881</v>
      </c>
      <c r="Y95" s="21" t="n">
        <f aca="false">+$L95/SM134Units</f>
        <v>549.067164179105</v>
      </c>
      <c r="Z95" s="41" t="n">
        <f aca="false">+Y95/Y$8</f>
        <v>0.426625613192777</v>
      </c>
      <c r="AB95" s="40" t="n">
        <f aca="false">+X95+T95+P95</f>
        <v>73575</v>
      </c>
      <c r="AC95" s="23" t="n">
        <f aca="false">+AB95/AB$7</f>
        <v>549.067164179104</v>
      </c>
      <c r="AD95" s="41" t="n">
        <f aca="false">+AC95/AC$8</f>
        <v>0.462567113882986</v>
      </c>
    </row>
    <row r="96" customFormat="false" ht="12" hidden="false" customHeight="false" outlineLevel="0" collapsed="false">
      <c r="B96" s="21" t="s">
        <v>24</v>
      </c>
      <c r="L96" s="21" t="n">
        <f aca="false">545*4*35*CMF</f>
        <v>85837.5</v>
      </c>
      <c r="M96" s="21" t="n">
        <f aca="false">L96/10.3</f>
        <v>8333.73786407767</v>
      </c>
      <c r="P96" s="46" t="n">
        <f aca="false">Q96*P$7</f>
        <v>1921.73507462687</v>
      </c>
      <c r="Q96" s="21" t="n">
        <f aca="false">+$L96/SM134Units</f>
        <v>640.578358208955</v>
      </c>
      <c r="R96" s="41" t="n">
        <f aca="false">+Q96/Q$8</f>
        <v>0.534706475967408</v>
      </c>
      <c r="T96" s="46" t="n">
        <f aca="false">U96*T$7</f>
        <v>46762.2201492537</v>
      </c>
      <c r="U96" s="21" t="n">
        <f aca="false">+$L96/SM134Units</f>
        <v>640.578358208955</v>
      </c>
      <c r="V96" s="41" t="n">
        <f aca="false">+U96/U$8</f>
        <v>0.578661570197792</v>
      </c>
      <c r="X96" s="46" t="n">
        <f aca="false">Y96*X$7</f>
        <v>37153.5447761194</v>
      </c>
      <c r="Y96" s="21" t="n">
        <f aca="false">+$L96/SM134Units</f>
        <v>640.578358208955</v>
      </c>
      <c r="Z96" s="41" t="n">
        <f aca="false">+Y96/Y$8</f>
        <v>0.49772988205824</v>
      </c>
      <c r="AB96" s="40" t="n">
        <f aca="false">+X96+T96+P96</f>
        <v>85837.5</v>
      </c>
      <c r="AC96" s="23" t="n">
        <f aca="false">+AB96/AB$7</f>
        <v>640.578358208955</v>
      </c>
      <c r="AD96" s="41" t="n">
        <f aca="false">+AC96/AC$8</f>
        <v>0.539661632863484</v>
      </c>
    </row>
    <row r="97" customFormat="false" ht="12" hidden="false" customHeight="false" outlineLevel="0" collapsed="false">
      <c r="B97" s="21" t="s">
        <v>269</v>
      </c>
      <c r="L97" s="21" t="n">
        <f aca="false">N140*1.5*CMF</f>
        <v>237908.279806215</v>
      </c>
      <c r="M97" s="21" t="n">
        <f aca="false">L97/10.3</f>
        <v>23097.8912433218</v>
      </c>
      <c r="P97" s="46" t="n">
        <f aca="false">Q97*P$7</f>
        <v>5326.30477178092</v>
      </c>
      <c r="Q97" s="21" t="n">
        <f aca="false">+$L97/SM134Units</f>
        <v>1775.43492392697</v>
      </c>
      <c r="R97" s="41" t="n">
        <f aca="false">+Q97/Q$8</f>
        <v>1.48199910177544</v>
      </c>
      <c r="T97" s="46" t="n">
        <f aca="false">U97*T$7</f>
        <v>129606.749446669</v>
      </c>
      <c r="U97" s="21" t="n">
        <f aca="false">+$L97/SM134Units</f>
        <v>1775.43492392697</v>
      </c>
      <c r="V97" s="41" t="n">
        <f aca="false">+U97/U$8</f>
        <v>1.60382558620323</v>
      </c>
      <c r="X97" s="46" t="n">
        <f aca="false">Y97*X$7</f>
        <v>102975.225587765</v>
      </c>
      <c r="Y97" s="21" t="n">
        <f aca="false">+$L97/SM134Units</f>
        <v>1775.43492392697</v>
      </c>
      <c r="Z97" s="41" t="n">
        <f aca="false">+Y97/Y$8</f>
        <v>1.37951431540557</v>
      </c>
      <c r="AB97" s="40" t="n">
        <f aca="false">+X97+T97+P97</f>
        <v>237908.279806215</v>
      </c>
      <c r="AC97" s="23" t="n">
        <f aca="false">+AB97/AB$7</f>
        <v>1775.43492392697</v>
      </c>
      <c r="AD97" s="41" t="n">
        <f aca="false">+AC97/AC$8</f>
        <v>1.49573287609686</v>
      </c>
    </row>
    <row r="98" customFormat="false" ht="12" hidden="false" customHeight="false" outlineLevel="0" collapsed="false">
      <c r="B98" s="21" t="s">
        <v>270</v>
      </c>
      <c r="L98" s="21" t="n">
        <f aca="false">+L157*CMF</f>
        <v>11250</v>
      </c>
      <c r="M98" s="21" t="n">
        <f aca="false">L98/10.3</f>
        <v>1092.23300970874</v>
      </c>
      <c r="P98" s="46" t="n">
        <f aca="false">Q98*P$7</f>
        <v>251.865671641791</v>
      </c>
      <c r="Q98" s="21" t="n">
        <f aca="false">+$L98/SM134Units</f>
        <v>83.955223880597</v>
      </c>
      <c r="R98" s="41" t="n">
        <f aca="false">+Q98/Q$8</f>
        <v>0.0700794857100142</v>
      </c>
      <c r="T98" s="46" t="n">
        <f aca="false">U98*T$7</f>
        <v>6128.73134328358</v>
      </c>
      <c r="U98" s="21" t="n">
        <f aca="false">+$L98/SM134Units</f>
        <v>83.955223880597</v>
      </c>
      <c r="V98" s="41" t="n">
        <f aca="false">+U98/U$8</f>
        <v>0.0758403106419124</v>
      </c>
      <c r="X98" s="46" t="n">
        <f aca="false">Y98*X$7</f>
        <v>4869.40298507463</v>
      </c>
      <c r="Y98" s="21" t="n">
        <f aca="false">+$L98/SM134Units</f>
        <v>83.955223880597</v>
      </c>
      <c r="Z98" s="41" t="n">
        <f aca="false">+Y98/Y$8</f>
        <v>0.0652332741884981</v>
      </c>
      <c r="AB98" s="40" t="n">
        <f aca="false">+X98+T98+P98</f>
        <v>11250</v>
      </c>
      <c r="AC98" s="23" t="n">
        <f aca="false">+AB98/AB$7</f>
        <v>83.955223880597</v>
      </c>
      <c r="AD98" s="41" t="n">
        <f aca="false">+AC98/AC$8</f>
        <v>0.0707289164958695</v>
      </c>
    </row>
    <row r="99" customFormat="false" ht="12" hidden="false" customHeight="false" outlineLevel="0" collapsed="false">
      <c r="B99" s="21" t="s">
        <v>271</v>
      </c>
      <c r="L99" s="21" t="n">
        <f aca="false">+L160*CMF</f>
        <v>35437.5</v>
      </c>
      <c r="M99" s="21" t="n">
        <f aca="false">L99/10.3</f>
        <v>3440.53398058252</v>
      </c>
      <c r="P99" s="46" t="n">
        <f aca="false">Q99*P$7</f>
        <v>793.376865671642</v>
      </c>
      <c r="Q99" s="21" t="n">
        <f aca="false">+$L99/SM134Units</f>
        <v>264.458955223881</v>
      </c>
      <c r="R99" s="41" t="n">
        <f aca="false">+Q99/Q$8</f>
        <v>0.220750379986545</v>
      </c>
      <c r="T99" s="46" t="n">
        <f aca="false">U99*T$7</f>
        <v>19305.5037313433</v>
      </c>
      <c r="U99" s="21" t="n">
        <f aca="false">+$L99/SM134Units</f>
        <v>264.458955223881</v>
      </c>
      <c r="V99" s="41" t="n">
        <f aca="false">+U99/U$8</f>
        <v>0.238896978522024</v>
      </c>
      <c r="X99" s="46" t="n">
        <f aca="false">Y99*X$7</f>
        <v>15338.6194029851</v>
      </c>
      <c r="Y99" s="21" t="n">
        <f aca="false">+$L99/SM134Units</f>
        <v>264.458955223881</v>
      </c>
      <c r="Z99" s="41" t="n">
        <f aca="false">+Y99/Y$8</f>
        <v>0.205484813693769</v>
      </c>
      <c r="AB99" s="40" t="n">
        <f aca="false">+X99+T99+P99</f>
        <v>35437.5</v>
      </c>
      <c r="AC99" s="23" t="n">
        <f aca="false">+AB99/AB$7</f>
        <v>264.458955223881</v>
      </c>
      <c r="AD99" s="41" t="n">
        <f aca="false">+AC99/AC$8</f>
        <v>0.222796086961989</v>
      </c>
    </row>
    <row r="100" customFormat="false" ht="12" hidden="false" customHeight="false" outlineLevel="0" collapsed="false">
      <c r="B100" s="21" t="s">
        <v>272</v>
      </c>
      <c r="L100" s="21" t="n">
        <f aca="false">+L156*CMF</f>
        <v>28125</v>
      </c>
      <c r="M100" s="21" t="n">
        <f aca="false">L100/10.3</f>
        <v>2730.58252427184</v>
      </c>
      <c r="P100" s="46" t="n">
        <f aca="false">Q100*P$7</f>
        <v>629.664179104478</v>
      </c>
      <c r="Q100" s="21" t="n">
        <f aca="false">+$L100/SM134Units</f>
        <v>209.888059701493</v>
      </c>
      <c r="R100" s="41" t="n">
        <f aca="false">+Q100/Q$8</f>
        <v>0.175198714275036</v>
      </c>
      <c r="T100" s="46" t="n">
        <f aca="false">U100*T$7</f>
        <v>15321.828358209</v>
      </c>
      <c r="U100" s="21" t="n">
        <f aca="false">+$L100/SM134Units</f>
        <v>209.888059701493</v>
      </c>
      <c r="V100" s="41" t="n">
        <f aca="false">+U100/U$8</f>
        <v>0.189600776604781</v>
      </c>
      <c r="X100" s="46" t="n">
        <f aca="false">Y100*X$7</f>
        <v>12173.5074626866</v>
      </c>
      <c r="Y100" s="21" t="n">
        <f aca="false">+$L100/SM134Units</f>
        <v>209.888059701493</v>
      </c>
      <c r="Z100" s="41" t="n">
        <f aca="false">+Y100/Y$8</f>
        <v>0.163083185471245</v>
      </c>
      <c r="AB100" s="40" t="n">
        <f aca="false">+X100+T100+P100</f>
        <v>28125</v>
      </c>
      <c r="AC100" s="23" t="n">
        <f aca="false">+AB100/AB$7</f>
        <v>209.888059701493</v>
      </c>
      <c r="AD100" s="41" t="n">
        <f aca="false">+AC100/AC$8</f>
        <v>0.176822291239674</v>
      </c>
    </row>
    <row r="101" customFormat="false" ht="12" hidden="false" customHeight="false" outlineLevel="0" collapsed="false">
      <c r="B101" s="21" t="s">
        <v>273</v>
      </c>
      <c r="L101" s="21" t="n">
        <f aca="false">+L159*CMF</f>
        <v>16875</v>
      </c>
      <c r="M101" s="21" t="n">
        <f aca="false">L101/10.3</f>
        <v>1638.34951456311</v>
      </c>
      <c r="P101" s="46" t="n">
        <f aca="false">Q101*P$7</f>
        <v>377.798507462687</v>
      </c>
      <c r="Q101" s="21" t="n">
        <f aca="false">+$L101/SM134Units</f>
        <v>125.932835820896</v>
      </c>
      <c r="R101" s="41" t="n">
        <f aca="false">+Q101/Q$8</f>
        <v>0.105119228565021</v>
      </c>
      <c r="T101" s="46" t="n">
        <f aca="false">U101*T$7</f>
        <v>9193.09701492537</v>
      </c>
      <c r="U101" s="21" t="n">
        <f aca="false">+$L101/SM134Units</f>
        <v>125.932835820896</v>
      </c>
      <c r="V101" s="41" t="n">
        <f aca="false">+U101/U$8</f>
        <v>0.113760465962869</v>
      </c>
      <c r="X101" s="46" t="n">
        <f aca="false">Y101*X$7</f>
        <v>7304.10447761194</v>
      </c>
      <c r="Y101" s="21" t="n">
        <f aca="false">+$L101/SM134Units</f>
        <v>125.932835820896</v>
      </c>
      <c r="Z101" s="41" t="n">
        <f aca="false">+Y101/Y$8</f>
        <v>0.0978499112827471</v>
      </c>
      <c r="AB101" s="40" t="n">
        <f aca="false">+X101+T101+P101</f>
        <v>16875</v>
      </c>
      <c r="AC101" s="23" t="n">
        <f aca="false">+AB101/AB$7</f>
        <v>125.932835820896</v>
      </c>
      <c r="AD101" s="41" t="n">
        <f aca="false">+AC101/AC$8</f>
        <v>0.106093374743804</v>
      </c>
    </row>
    <row r="102" customFormat="false" ht="12" hidden="false" customHeight="false" outlineLevel="0" collapsed="false">
      <c r="B102" s="21" t="s">
        <v>274</v>
      </c>
      <c r="L102" s="21" t="n">
        <f aca="false">15000*CMF</f>
        <v>16875</v>
      </c>
      <c r="M102" s="21" t="n">
        <f aca="false">L102/10.3</f>
        <v>1638.34951456311</v>
      </c>
      <c r="P102" s="46" t="n">
        <f aca="false">Q102*P$7</f>
        <v>377.798507462687</v>
      </c>
      <c r="Q102" s="21" t="n">
        <f aca="false">+$L102/SM134Units</f>
        <v>125.932835820896</v>
      </c>
      <c r="R102" s="41" t="n">
        <f aca="false">+Q102/Q$8</f>
        <v>0.105119228565021</v>
      </c>
      <c r="T102" s="46" t="n">
        <f aca="false">U102*T$7</f>
        <v>9193.09701492537</v>
      </c>
      <c r="U102" s="21" t="n">
        <f aca="false">+$L102/SM134Units</f>
        <v>125.932835820896</v>
      </c>
      <c r="V102" s="41" t="n">
        <f aca="false">+U102/U$8</f>
        <v>0.113760465962869</v>
      </c>
      <c r="X102" s="46" t="n">
        <f aca="false">Y102*X$7</f>
        <v>7304.10447761194</v>
      </c>
      <c r="Y102" s="21" t="n">
        <f aca="false">+$L102/SM134Units</f>
        <v>125.932835820896</v>
      </c>
      <c r="Z102" s="41" t="n">
        <f aca="false">+Y102/Y$8</f>
        <v>0.0978499112827471</v>
      </c>
      <c r="AB102" s="40" t="n">
        <f aca="false">+X102+T102+P102</f>
        <v>16875</v>
      </c>
      <c r="AC102" s="23" t="n">
        <f aca="false">+AB102/AB$7</f>
        <v>125.932835820896</v>
      </c>
      <c r="AD102" s="41" t="n">
        <f aca="false">+AC102/AC$8</f>
        <v>0.106093374743804</v>
      </c>
    </row>
    <row r="103" customFormat="false" ht="12" hidden="false" customHeight="false" outlineLevel="0" collapsed="false">
      <c r="B103" s="81" t="s">
        <v>275</v>
      </c>
      <c r="C103" s="81"/>
      <c r="D103" s="81"/>
      <c r="E103" s="81"/>
      <c r="F103" s="81"/>
      <c r="G103" s="81"/>
      <c r="H103" s="81"/>
      <c r="I103" s="81"/>
      <c r="J103" s="81"/>
      <c r="K103" s="81"/>
      <c r="L103" s="81" t="n">
        <f aca="false">SUM(L93:L101)</f>
        <v>824510.279806215</v>
      </c>
      <c r="M103" s="81" t="n">
        <f aca="false">SUM(M93:M101)</f>
        <v>80049.5417287587</v>
      </c>
      <c r="P103" s="82" t="n">
        <f aca="false">SUM(P93:P102)</f>
        <v>18836.9838762585</v>
      </c>
      <c r="Q103" s="82" t="n">
        <f aca="false">SUM(Q93:Q102)</f>
        <v>6278.99462541951</v>
      </c>
      <c r="R103" s="83" t="n">
        <f aca="false">SUM(R93:R102)</f>
        <v>5.2412309060263</v>
      </c>
      <c r="T103" s="82" t="n">
        <f aca="false">SUM(T93:T102)</f>
        <v>458366.607655624</v>
      </c>
      <c r="U103" s="82" t="n">
        <f aca="false">SUM(U93:U102)</f>
        <v>6278.99462541951</v>
      </c>
      <c r="V103" s="83" t="n">
        <f aca="false">SUM(V93:V102)</f>
        <v>5.67208186578095</v>
      </c>
      <c r="X103" s="82" t="n">
        <f aca="false">SUM(X93:X102)</f>
        <v>364181.688274332</v>
      </c>
      <c r="Y103" s="82" t="n">
        <f aca="false">SUM(Y93:Y102)</f>
        <v>6278.99462541951</v>
      </c>
      <c r="Z103" s="83" t="n">
        <f aca="false">SUM(Z93:Z102)</f>
        <v>4.87878370273466</v>
      </c>
      <c r="AB103" s="82" t="n">
        <f aca="false">SUM(AB93:AB102)</f>
        <v>841385.279806215</v>
      </c>
      <c r="AC103" s="82" t="n">
        <f aca="false">SUM(AC93:AC102)</f>
        <v>6278.99462541951</v>
      </c>
      <c r="AD103" s="83" t="n">
        <f aca="false">SUM(AD93:AD102)</f>
        <v>5.28980170633489</v>
      </c>
    </row>
    <row r="104" customFormat="false" ht="12" hidden="false" customHeight="false" outlineLevel="0" collapsed="false">
      <c r="P104" s="46"/>
      <c r="R104" s="41"/>
      <c r="U104" s="21" t="n">
        <f aca="false">+$L104/SM134Units</f>
        <v>0</v>
      </c>
      <c r="Y104" s="21" t="n">
        <f aca="false">+$L104/SM134Units</f>
        <v>0</v>
      </c>
    </row>
    <row r="105" customFormat="false" ht="12" hidden="false" customHeight="false" outlineLevel="0" collapsed="false">
      <c r="B105" s="61" t="s">
        <v>276</v>
      </c>
      <c r="P105" s="46"/>
      <c r="R105" s="41"/>
      <c r="U105" s="21" t="n">
        <f aca="false">+$L105/SM134Units</f>
        <v>0</v>
      </c>
      <c r="Y105" s="21" t="n">
        <f aca="false">+$L105/SM134Units</f>
        <v>0</v>
      </c>
    </row>
    <row r="106" customFormat="false" ht="12" hidden="false" customHeight="false" outlineLevel="0" collapsed="false">
      <c r="B106" s="21" t="s">
        <v>277</v>
      </c>
      <c r="L106" s="21" t="n">
        <f aca="false">75000*CMF</f>
        <v>84375</v>
      </c>
      <c r="M106" s="21" t="n">
        <f aca="false">L106/10.3</f>
        <v>8191.74757281553</v>
      </c>
      <c r="P106" s="80" t="n">
        <f aca="false">Q106*P$7</f>
        <v>1888.99253731343</v>
      </c>
      <c r="Q106" s="80" t="n">
        <f aca="false">+$L106/SM134Units</f>
        <v>629.664179104478</v>
      </c>
      <c r="R106" s="12" t="n">
        <f aca="false">+Q106/Q$8</f>
        <v>0.525596142825107</v>
      </c>
      <c r="T106" s="80" t="n">
        <f aca="false">U106*T$7</f>
        <v>45965.4850746269</v>
      </c>
      <c r="U106" s="80" t="n">
        <f aca="false">+$L106/SM134Units</f>
        <v>629.664179104478</v>
      </c>
      <c r="V106" s="12" t="n">
        <f aca="false">+U106/U$8</f>
        <v>0.568802329814343</v>
      </c>
      <c r="X106" s="80" t="n">
        <f aca="false">Y106*X$7</f>
        <v>36520.5223880597</v>
      </c>
      <c r="Y106" s="80" t="n">
        <f aca="false">+$L106/SM134Units</f>
        <v>629.664179104478</v>
      </c>
      <c r="Z106" s="12" t="n">
        <f aca="false">+Y106/Y$8</f>
        <v>0.489249556413736</v>
      </c>
      <c r="AB106" s="40" t="n">
        <f aca="false">+X106+T106+P106</f>
        <v>84375</v>
      </c>
      <c r="AC106" s="23" t="n">
        <f aca="false">+AB106/AB$7</f>
        <v>629.664179104478</v>
      </c>
      <c r="AD106" s="41" t="n">
        <f aca="false">+AC106/AC$8</f>
        <v>0.530466873719021</v>
      </c>
    </row>
    <row r="107" customFormat="false" ht="12" hidden="false" customHeight="false" outlineLevel="0" collapsed="false">
      <c r="B107" s="21" t="s">
        <v>278</v>
      </c>
      <c r="L107" s="21" t="n">
        <f aca="false">4000*CMF</f>
        <v>4500</v>
      </c>
      <c r="M107" s="21" t="n">
        <f aca="false">L107/10.3</f>
        <v>436.893203883495</v>
      </c>
      <c r="P107" s="46" t="n">
        <f aca="false">Q107*P$7</f>
        <v>100.746268656716</v>
      </c>
      <c r="Q107" s="21" t="n">
        <f aca="false">+$L107/SM134Units</f>
        <v>33.5820895522388</v>
      </c>
      <c r="R107" s="41" t="n">
        <f aca="false">+Q107/Q$8</f>
        <v>0.0280317942840057</v>
      </c>
      <c r="T107" s="46" t="n">
        <f aca="false">U107*T$7</f>
        <v>2451.49253731343</v>
      </c>
      <c r="U107" s="21" t="n">
        <f aca="false">+$L107/SM134Units</f>
        <v>33.5820895522388</v>
      </c>
      <c r="V107" s="41" t="n">
        <f aca="false">+U107/U$8</f>
        <v>0.030336124256765</v>
      </c>
      <c r="X107" s="46" t="n">
        <f aca="false">Y107*X$7</f>
        <v>1947.76119402985</v>
      </c>
      <c r="Y107" s="21" t="n">
        <f aca="false">+$L107/SM134Units</f>
        <v>33.5820895522388</v>
      </c>
      <c r="Z107" s="41" t="n">
        <f aca="false">+Y107/Y$8</f>
        <v>0.0260933096753992</v>
      </c>
      <c r="AB107" s="40" t="n">
        <f aca="false">+X107+T107+P107</f>
        <v>4500</v>
      </c>
      <c r="AC107" s="23" t="n">
        <f aca="false">+AB107/AB$7</f>
        <v>33.5820895522388</v>
      </c>
      <c r="AD107" s="41" t="n">
        <f aca="false">+AC107/AC$8</f>
        <v>0.0282915665983478</v>
      </c>
    </row>
    <row r="108" customFormat="false" ht="12" hidden="false" customHeight="false" outlineLevel="0" collapsed="false">
      <c r="B108" s="21" t="s">
        <v>279</v>
      </c>
      <c r="L108" s="21" t="n">
        <f aca="false">4000*CMF</f>
        <v>4500</v>
      </c>
      <c r="M108" s="21" t="n">
        <f aca="false">L108/10.3</f>
        <v>436.893203883495</v>
      </c>
      <c r="P108" s="46" t="n">
        <f aca="false">Q108*P$7</f>
        <v>100.746268656716</v>
      </c>
      <c r="Q108" s="21" t="n">
        <f aca="false">+$L108/SM134Units</f>
        <v>33.5820895522388</v>
      </c>
      <c r="R108" s="41" t="n">
        <f aca="false">+Q108/Q$8</f>
        <v>0.0280317942840057</v>
      </c>
      <c r="T108" s="46" t="n">
        <f aca="false">U108*T$7</f>
        <v>2451.49253731343</v>
      </c>
      <c r="U108" s="21" t="n">
        <f aca="false">+$L108/SM134Units</f>
        <v>33.5820895522388</v>
      </c>
      <c r="V108" s="41" t="n">
        <f aca="false">+U108/U$8</f>
        <v>0.030336124256765</v>
      </c>
      <c r="X108" s="46" t="n">
        <f aca="false">Y108*X$7</f>
        <v>1947.76119402985</v>
      </c>
      <c r="Y108" s="21" t="n">
        <f aca="false">+$L108/SM134Units</f>
        <v>33.5820895522388</v>
      </c>
      <c r="Z108" s="41" t="n">
        <f aca="false">+Y108/Y$8</f>
        <v>0.0260933096753992</v>
      </c>
      <c r="AB108" s="40" t="n">
        <f aca="false">+X108+T108+P108</f>
        <v>4500</v>
      </c>
      <c r="AC108" s="23" t="n">
        <f aca="false">+AB108/AB$7</f>
        <v>33.5820895522388</v>
      </c>
      <c r="AD108" s="41" t="n">
        <f aca="false">+AC108/AC$8</f>
        <v>0.0282915665983478</v>
      </c>
    </row>
    <row r="109" customFormat="false" ht="12" hidden="false" customHeight="false" outlineLevel="0" collapsed="false">
      <c r="B109" s="81" t="s">
        <v>280</v>
      </c>
      <c r="C109" s="81"/>
      <c r="D109" s="81"/>
      <c r="E109" s="81"/>
      <c r="F109" s="81"/>
      <c r="G109" s="81"/>
      <c r="H109" s="81"/>
      <c r="I109" s="81"/>
      <c r="J109" s="81"/>
      <c r="K109" s="81"/>
      <c r="L109" s="81" t="n">
        <f aca="false">SUM(L106:L108)</f>
        <v>93375</v>
      </c>
      <c r="M109" s="81" t="n">
        <f aca="false">SUM(M106:M108)</f>
        <v>9065.53398058252</v>
      </c>
      <c r="P109" s="82" t="n">
        <f aca="false">SUM(P106:P108)</f>
        <v>2090.48507462687</v>
      </c>
      <c r="Q109" s="82" t="n">
        <f aca="false">SUM(Q106:Q108)</f>
        <v>696.828358208955</v>
      </c>
      <c r="R109" s="83" t="n">
        <f aca="false">SUM(R106:R108)</f>
        <v>0.581659731393118</v>
      </c>
      <c r="T109" s="82" t="n">
        <f aca="false">SUM(T106:T108)</f>
        <v>50868.4701492537</v>
      </c>
      <c r="U109" s="82" t="n">
        <f aca="false">SUM(U106:U108)</f>
        <v>696.828358208955</v>
      </c>
      <c r="V109" s="83" t="n">
        <f aca="false">SUM(V106:V108)</f>
        <v>0.629474578327873</v>
      </c>
      <c r="X109" s="82" t="n">
        <f aca="false">SUM(X106:X108)</f>
        <v>40416.0447761194</v>
      </c>
      <c r="Y109" s="82" t="n">
        <f aca="false">SUM(Y106:Y108)</f>
        <v>696.828358208955</v>
      </c>
      <c r="Z109" s="83" t="n">
        <f aca="false">SUM(Z106:Z108)</f>
        <v>0.541436175764534</v>
      </c>
      <c r="AB109" s="82" t="n">
        <f aca="false">SUM(AB106:AB108)</f>
        <v>93375</v>
      </c>
      <c r="AC109" s="82" t="n">
        <f aca="false">SUM(AC106:AC108)</f>
        <v>696.828358208955</v>
      </c>
      <c r="AD109" s="83" t="n">
        <f aca="false">SUM(AD106:AD108)</f>
        <v>0.587050006915716</v>
      </c>
    </row>
    <row r="110" customFormat="false" ht="12" hidden="false" customHeight="false" outlineLevel="0" collapsed="false">
      <c r="B110" s="84" t="s">
        <v>281</v>
      </c>
      <c r="C110" s="81"/>
      <c r="D110" s="81"/>
      <c r="E110" s="81"/>
      <c r="F110" s="81"/>
      <c r="G110" s="81"/>
      <c r="H110" s="81"/>
      <c r="I110" s="81"/>
      <c r="J110" s="81"/>
      <c r="K110" s="81"/>
      <c r="L110" s="81" t="n">
        <f aca="false">+L109+L103</f>
        <v>917885.279806215</v>
      </c>
      <c r="M110" s="81" t="n">
        <f aca="false">+M109+M103</f>
        <v>89115.0757093412</v>
      </c>
      <c r="P110" s="82" t="n">
        <f aca="false">+P109+P103</f>
        <v>20927.4689508854</v>
      </c>
      <c r="Q110" s="82" t="n">
        <f aca="false">+Q109+Q103</f>
        <v>6975.82298362847</v>
      </c>
      <c r="R110" s="83" t="n">
        <f aca="false">+R109+R103</f>
        <v>5.82289063741942</v>
      </c>
      <c r="T110" s="82" t="n">
        <f aca="false">+T109+T103</f>
        <v>509235.077804878</v>
      </c>
      <c r="U110" s="82" t="n">
        <f aca="false">+U109+U103</f>
        <v>6975.82298362847</v>
      </c>
      <c r="V110" s="83" t="n">
        <f aca="false">+V109+V103</f>
        <v>6.30155644410882</v>
      </c>
      <c r="X110" s="82" t="n">
        <f aca="false">+X109+X103</f>
        <v>404597.733050451</v>
      </c>
      <c r="Y110" s="82" t="n">
        <f aca="false">+Y109+Y103</f>
        <v>6975.82298362847</v>
      </c>
      <c r="Z110" s="83" t="n">
        <f aca="false">+Z109+Z103</f>
        <v>5.4202198784992</v>
      </c>
      <c r="AB110" s="82" t="n">
        <f aca="false">+AB109+AB103</f>
        <v>934760.279806215</v>
      </c>
      <c r="AC110" s="82" t="n">
        <f aca="false">+AC109+AC103</f>
        <v>6975.82298362847</v>
      </c>
      <c r="AD110" s="83" t="n">
        <f aca="false">+AD109+AD103</f>
        <v>5.8768517132506</v>
      </c>
    </row>
    <row r="111" customFormat="false" ht="12" hidden="false" customHeight="false" outlineLevel="0" collapsed="false">
      <c r="B111" s="84" t="s">
        <v>282</v>
      </c>
      <c r="C111" s="84"/>
      <c r="D111" s="85"/>
      <c r="E111" s="86"/>
      <c r="F111" s="86"/>
      <c r="G111" s="86"/>
      <c r="H111" s="86"/>
      <c r="I111" s="86"/>
      <c r="J111" s="86"/>
      <c r="K111" s="86"/>
      <c r="L111" s="87" t="n">
        <f aca="false">+L110+L91</f>
        <v>2039555.27980621</v>
      </c>
      <c r="M111" s="87" t="n">
        <f aca="false">+M110+M91</f>
        <v>198015.075709341</v>
      </c>
      <c r="N111" s="88"/>
      <c r="O111" s="88"/>
      <c r="P111" s="87" t="n">
        <f aca="false">+P110+P91</f>
        <v>46039.4838762585</v>
      </c>
      <c r="Q111" s="87" t="n">
        <f aca="false">+Q110+Q91</f>
        <v>15346.4946254195</v>
      </c>
      <c r="R111" s="89" t="n">
        <f aca="false">+R110+R91</f>
        <v>12.8100956806507</v>
      </c>
      <c r="S111" s="90"/>
      <c r="T111" s="87" t="n">
        <f aca="false">+T110+T91</f>
        <v>1120294.10765562</v>
      </c>
      <c r="U111" s="87" t="n">
        <f aca="false">+U110+U91</f>
        <v>15346.4946254195</v>
      </c>
      <c r="V111" s="89" t="n">
        <f aca="false">+V110+V91</f>
        <v>13.8631387763501</v>
      </c>
      <c r="W111" s="90"/>
      <c r="X111" s="87" t="n">
        <f aca="false">+X110+X91</f>
        <v>890096.688274332</v>
      </c>
      <c r="Y111" s="87" t="n">
        <f aca="false">+Y110+Y91</f>
        <v>15346.4946254195</v>
      </c>
      <c r="Z111" s="89" t="n">
        <f aca="false">+Z110+Z91</f>
        <v>11.9242382481892</v>
      </c>
      <c r="AA111" s="90"/>
      <c r="AB111" s="91" t="n">
        <f aca="false">+AB110+AB91</f>
        <v>2056430.27980621</v>
      </c>
      <c r="AC111" s="87" t="n">
        <f aca="false">+AC110+AC91</f>
        <v>15346.4946254195</v>
      </c>
      <c r="AD111" s="89" t="n">
        <f aca="false">+AD110+AD91</f>
        <v>12.9288076035548</v>
      </c>
    </row>
    <row r="112" customFormat="false" ht="12" hidden="false" customHeight="false" outlineLevel="0" collapsed="false">
      <c r="B112" s="56" t="s">
        <v>39</v>
      </c>
      <c r="L112" s="21" t="n">
        <f aca="false">0.15*(L110+L88)</f>
        <v>243137.021970932</v>
      </c>
      <c r="P112" s="21" t="n">
        <f aca="false">0.15*(P110+P88)</f>
        <v>34050.2110325116</v>
      </c>
      <c r="Q112" s="21" t="n">
        <f aca="false">0.15*(Q110+Q88)</f>
        <v>11350.0703441705</v>
      </c>
      <c r="R112" s="62" t="n">
        <f aca="false">0.15*(R110+R88)</f>
        <v>9.4741822572375</v>
      </c>
      <c r="T112" s="21" t="n">
        <f aca="false">0.15*(T110+T88)</f>
        <v>788337.586823204</v>
      </c>
      <c r="U112" s="21" t="n">
        <f aca="false">0.15*(U110+U88)</f>
        <v>10799.1450249754</v>
      </c>
      <c r="V112" s="21" t="n">
        <f aca="false">0.15*(V110+V88)</f>
        <v>9.75532522581336</v>
      </c>
      <c r="X112" s="21" t="n">
        <f aca="false">0.15*(X110+X88)</f>
        <v>686456.095825909</v>
      </c>
      <c r="Y112" s="21" t="n">
        <f aca="false">0.15*(Y110+Y88)</f>
        <v>11835.4499280329</v>
      </c>
      <c r="Z112" s="21" t="n">
        <f aca="false">0.15*(Z110+Z88)</f>
        <v>9.19615379023536</v>
      </c>
      <c r="AB112" s="21" t="n">
        <f aca="false">0.15*(AB110+AB88)</f>
        <v>1508843.89368162</v>
      </c>
      <c r="AC112" s="21" t="n">
        <f aca="false">0.15*(AC110+AC88)</f>
        <v>11260.0290573256</v>
      </c>
      <c r="AD112" s="21" t="n">
        <f aca="false">0.15*(AD110+AD88)</f>
        <v>9.48612388991201</v>
      </c>
    </row>
    <row r="113" customFormat="false" ht="12" hidden="false" customHeight="false" outlineLevel="0" collapsed="false">
      <c r="B113" s="84" t="s">
        <v>283</v>
      </c>
      <c r="C113" s="84"/>
      <c r="D113" s="85"/>
      <c r="E113" s="86"/>
      <c r="F113" s="86"/>
      <c r="G113" s="86"/>
      <c r="H113" s="86"/>
      <c r="I113" s="86"/>
      <c r="J113" s="86"/>
      <c r="K113" s="86"/>
      <c r="L113" s="87" t="n">
        <f aca="false">+L112+L111+L88</f>
        <v>2985720.50177715</v>
      </c>
      <c r="M113" s="87"/>
      <c r="N113" s="88"/>
      <c r="O113" s="88"/>
      <c r="P113" s="87" t="n">
        <f aca="false">+P112+P111+P88</f>
        <v>286163.632841295</v>
      </c>
      <c r="Q113" s="87" t="n">
        <f aca="false">+Q112+Q111+Q88</f>
        <v>95387.8776137651</v>
      </c>
      <c r="R113" s="89" t="n">
        <f aca="false">+R112+R111+R88</f>
        <v>79.6226023487188</v>
      </c>
      <c r="S113" s="90"/>
      <c r="T113" s="87" t="n">
        <f aca="false">+T112+T111+T88</f>
        <v>6654980.52882864</v>
      </c>
      <c r="U113" s="87" t="n">
        <f aca="false">+U112+U111+U88</f>
        <v>91164.1168332691</v>
      </c>
      <c r="V113" s="89" t="n">
        <f aca="false">+V112+V111+V88</f>
        <v>82.352409063477</v>
      </c>
      <c r="W113" s="90"/>
      <c r="X113" s="87" t="n">
        <f aca="false">+X112+X111+X88</f>
        <v>5748329.02322252</v>
      </c>
      <c r="Y113" s="87" t="n">
        <f aca="false">+Y112+Y111+Y88</f>
        <v>99109.1210900434</v>
      </c>
      <c r="Z113" s="89" t="n">
        <f aca="false">+Z112+Z111+Z88</f>
        <v>77.0078640948278</v>
      </c>
      <c r="AA113" s="90"/>
      <c r="AB113" s="91" t="n">
        <f aca="false">+AB112+AB111+AB88</f>
        <v>12689473.1848925</v>
      </c>
      <c r="AC113" s="87" t="n">
        <f aca="false">+AC112+AC111+AC88</f>
        <v>94697.561081287</v>
      </c>
      <c r="AD113" s="89" t="n">
        <f aca="false">+AD112+AD111+AD88</f>
        <v>79.7789057129629</v>
      </c>
    </row>
    <row r="114" customFormat="false" ht="12" hidden="false" customHeight="false" outlineLevel="0" collapsed="false">
      <c r="B114" s="56"/>
      <c r="R114" s="41"/>
    </row>
    <row r="115" customFormat="false" ht="12" hidden="false" customHeight="false" outlineLevel="0" collapsed="false">
      <c r="B115" s="61" t="s">
        <v>284</v>
      </c>
    </row>
    <row r="116" customFormat="false" ht="12" hidden="false" customHeight="false" outlineLevel="0" collapsed="false">
      <c r="B116" s="21" t="s">
        <v>285</v>
      </c>
      <c r="L116" s="21" t="n">
        <v>4000</v>
      </c>
      <c r="P116" s="80" t="n">
        <f aca="false">Q116*P$7</f>
        <v>89.5522388059702</v>
      </c>
      <c r="Q116" s="80" t="n">
        <f aca="false">+$L116/SM134Units</f>
        <v>29.8507462686567</v>
      </c>
      <c r="R116" s="12" t="n">
        <f aca="false">+Q116/Q$8</f>
        <v>0.0249171504746717</v>
      </c>
      <c r="T116" s="80" t="n">
        <f aca="false">U116*T$7</f>
        <v>2179.10447761194</v>
      </c>
      <c r="U116" s="80" t="n">
        <f aca="false">+$L116/SM134Units</f>
        <v>29.8507462686567</v>
      </c>
      <c r="V116" s="12" t="n">
        <f aca="false">+U116/U$8</f>
        <v>0.0269654437837911</v>
      </c>
      <c r="X116" s="80" t="n">
        <f aca="false">Y116*X$7</f>
        <v>1731.34328358209</v>
      </c>
      <c r="Y116" s="80" t="n">
        <f aca="false">+$L116/SM134Units</f>
        <v>29.8507462686567</v>
      </c>
      <c r="Z116" s="12" t="n">
        <f aca="false">+Y116/Y$8</f>
        <v>0.0231940530447993</v>
      </c>
      <c r="AB116" s="40" t="n">
        <f aca="false">+X116+T116+P116</f>
        <v>4000</v>
      </c>
      <c r="AC116" s="23" t="n">
        <f aca="false">+AB116/AB$7</f>
        <v>29.8507462686567</v>
      </c>
      <c r="AD116" s="41" t="n">
        <f aca="false">+AC116/AC$8</f>
        <v>0.0251480591985314</v>
      </c>
    </row>
    <row r="117" customFormat="false" ht="12" hidden="false" customHeight="false" outlineLevel="0" collapsed="false">
      <c r="B117" s="21" t="s">
        <v>286</v>
      </c>
      <c r="L117" s="21" t="n">
        <f aca="false">0.0075*0.75*13000000</f>
        <v>73125</v>
      </c>
      <c r="P117" s="46" t="n">
        <f aca="false">Q117*P$7</f>
        <v>1637.12686567164</v>
      </c>
      <c r="Q117" s="21" t="n">
        <f aca="false">+$L117/SM134Units</f>
        <v>545.708955223881</v>
      </c>
      <c r="R117" s="41" t="n">
        <f aca="false">+Q117/Q$8</f>
        <v>0.455516657115092</v>
      </c>
      <c r="T117" s="46" t="n">
        <f aca="false">U117*T$7</f>
        <v>39836.7537313433</v>
      </c>
      <c r="U117" s="21" t="n">
        <f aca="false">+$L117/SM134Units</f>
        <v>545.708955223881</v>
      </c>
      <c r="V117" s="41" t="n">
        <f aca="false">+U117/U$8</f>
        <v>0.492962019172431</v>
      </c>
      <c r="X117" s="46" t="n">
        <f aca="false">Y117*X$7</f>
        <v>31651.1194029851</v>
      </c>
      <c r="Y117" s="21" t="n">
        <f aca="false">+$L117/SM134Units</f>
        <v>545.708955223881</v>
      </c>
      <c r="Z117" s="41" t="n">
        <f aca="false">+Y117/Y$8</f>
        <v>0.424016282225237</v>
      </c>
      <c r="AB117" s="40" t="n">
        <f aca="false">+X117+T117+P117</f>
        <v>73125</v>
      </c>
      <c r="AC117" s="23" t="n">
        <f aca="false">+AB117/AB$7</f>
        <v>545.708955223881</v>
      </c>
      <c r="AD117" s="41" t="n">
        <f aca="false">+AC117/AC$8</f>
        <v>0.459737957223151</v>
      </c>
    </row>
    <row r="118" customFormat="false" ht="12" hidden="false" customHeight="false" outlineLevel="0" collapsed="false">
      <c r="B118" s="21" t="s">
        <v>287</v>
      </c>
      <c r="L118" s="21" t="n">
        <f aca="false">0.0025*0.75*13000000</f>
        <v>24375</v>
      </c>
      <c r="P118" s="46" t="n">
        <f aca="false">Q118*P$7</f>
        <v>545.708955223881</v>
      </c>
      <c r="Q118" s="21" t="n">
        <f aca="false">+$L118/SM134Units</f>
        <v>181.902985074627</v>
      </c>
      <c r="R118" s="41" t="n">
        <f aca="false">+Q118/Q$8</f>
        <v>0.151838885705031</v>
      </c>
      <c r="T118" s="46" t="n">
        <f aca="false">U118*T$7</f>
        <v>13278.9179104478</v>
      </c>
      <c r="U118" s="21" t="n">
        <f aca="false">+$L118/SM134Units</f>
        <v>181.902985074627</v>
      </c>
      <c r="V118" s="41" t="n">
        <f aca="false">+U118/U$8</f>
        <v>0.164320673057477</v>
      </c>
      <c r="X118" s="46" t="n">
        <f aca="false">Y118*X$7</f>
        <v>10550.3731343284</v>
      </c>
      <c r="Y118" s="21" t="n">
        <f aca="false">+$L118/SM134Units</f>
        <v>181.902985074627</v>
      </c>
      <c r="Z118" s="41" t="n">
        <f aca="false">+Y118/Y$8</f>
        <v>0.141338760741746</v>
      </c>
      <c r="AB118" s="40" t="n">
        <f aca="false">+X118+T118+P118</f>
        <v>24375</v>
      </c>
      <c r="AC118" s="23" t="n">
        <f aca="false">+AB118/AB$7</f>
        <v>181.902985074627</v>
      </c>
      <c r="AD118" s="41" t="n">
        <f aca="false">+AC118/AC$8</f>
        <v>0.15324598574105</v>
      </c>
    </row>
    <row r="119" customFormat="false" ht="12" hidden="false" customHeight="false" outlineLevel="0" collapsed="false">
      <c r="B119" s="21" t="s">
        <v>288</v>
      </c>
      <c r="L119" s="21" t="n">
        <f aca="false">13000000*0.75*0.75*0.105*0.5</f>
        <v>383906.25</v>
      </c>
      <c r="P119" s="46" t="n">
        <f aca="false">Q119*P$7</f>
        <v>8594.91604477612</v>
      </c>
      <c r="Q119" s="21" t="n">
        <f aca="false">+$L119/SM134Units</f>
        <v>2864.97201492537</v>
      </c>
      <c r="R119" s="41" t="n">
        <f aca="false">+Q119/Q$8</f>
        <v>2.39146244985423</v>
      </c>
      <c r="T119" s="46" t="n">
        <f aca="false">U119*T$7</f>
        <v>209142.957089552</v>
      </c>
      <c r="U119" s="21" t="n">
        <f aca="false">+$L119/SM134Units</f>
        <v>2864.97201492537</v>
      </c>
      <c r="V119" s="41" t="n">
        <f aca="false">+U119/U$8</f>
        <v>2.58805060065526</v>
      </c>
      <c r="X119" s="46" t="n">
        <f aca="false">Y119*X$7</f>
        <v>166168.376865672</v>
      </c>
      <c r="Y119" s="21" t="n">
        <f aca="false">+$L119/SM134Units</f>
        <v>2864.97201492537</v>
      </c>
      <c r="Z119" s="41" t="n">
        <f aca="false">+Y119/Y$8</f>
        <v>2.2260854816825</v>
      </c>
      <c r="AB119" s="40" t="n">
        <f aca="false">+X119+T119+P119</f>
        <v>383906.25</v>
      </c>
      <c r="AC119" s="23" t="n">
        <f aca="false">+AB119/AB$7</f>
        <v>2864.97201492537</v>
      </c>
      <c r="AD119" s="41" t="n">
        <f aca="false">+AC119/AC$8</f>
        <v>2.41362427542154</v>
      </c>
    </row>
    <row r="120" customFormat="false" ht="12" hidden="false" customHeight="false" outlineLevel="0" collapsed="false">
      <c r="B120" s="92" t="s">
        <v>289</v>
      </c>
      <c r="L120" s="92" t="n">
        <f aca="false">SUM(L116:L119)</f>
        <v>485406.25</v>
      </c>
      <c r="M120" s="92"/>
      <c r="P120" s="93" t="n">
        <f aca="false">SUM(P116:P119)</f>
        <v>10867.3041044776</v>
      </c>
      <c r="Q120" s="93" t="n">
        <f aca="false">SUM(Q116:Q119)</f>
        <v>3622.43470149254</v>
      </c>
      <c r="R120" s="94" t="n">
        <f aca="false">SUM(R116:R119)</f>
        <v>3.02373514314903</v>
      </c>
      <c r="T120" s="93" t="n">
        <f aca="false">SUM(T116:T119)</f>
        <v>264437.733208955</v>
      </c>
      <c r="U120" s="93" t="n">
        <f aca="false">SUM(U116:U119)</f>
        <v>3622.43470149254</v>
      </c>
      <c r="V120" s="94" t="n">
        <f aca="false">SUM(V116:V119)</f>
        <v>3.27229873666896</v>
      </c>
      <c r="X120" s="93" t="n">
        <f aca="false">SUM(X116:X119)</f>
        <v>210101.212686567</v>
      </c>
      <c r="Y120" s="93" t="n">
        <f aca="false">SUM(Y116:Y119)</f>
        <v>3622.43470149254</v>
      </c>
      <c r="Z120" s="94" t="n">
        <f aca="false">SUM(Z116:Z119)</f>
        <v>2.81463457769428</v>
      </c>
      <c r="AB120" s="93" t="n">
        <f aca="false">SUM(AB116:AB119)</f>
        <v>485406.25</v>
      </c>
      <c r="AC120" s="93" t="n">
        <f aca="false">SUM(AC116:AC119)</f>
        <v>3622.43470149254</v>
      </c>
      <c r="AD120" s="94" t="n">
        <f aca="false">SUM(AD116:AD119)</f>
        <v>3.05175627758428</v>
      </c>
    </row>
    <row r="121" customFormat="false" ht="12" hidden="false" customHeight="false" outlineLevel="0" collapsed="false">
      <c r="B121" s="81"/>
      <c r="L121" s="81"/>
      <c r="M121" s="81"/>
      <c r="P121" s="82"/>
      <c r="Q121" s="82"/>
      <c r="R121" s="95"/>
      <c r="T121" s="82"/>
      <c r="U121" s="82"/>
      <c r="V121" s="95"/>
      <c r="X121" s="82"/>
      <c r="Y121" s="82"/>
      <c r="Z121" s="95"/>
      <c r="AB121" s="82"/>
      <c r="AC121" s="82"/>
      <c r="AD121" s="95"/>
    </row>
    <row r="122" customFormat="false" ht="12.75" hidden="false" customHeight="false" outlineLevel="0" collapsed="false">
      <c r="B122" s="57" t="s">
        <v>41</v>
      </c>
      <c r="L122" s="57" t="n">
        <f aca="false">+L120+L113+L88</f>
        <v>4174154.95177715</v>
      </c>
      <c r="M122" s="57"/>
      <c r="P122" s="59" t="n">
        <f aca="false">+P120+P113</f>
        <v>297030.936945773</v>
      </c>
      <c r="Q122" s="59" t="n">
        <f aca="false">+Q120+Q113</f>
        <v>99010.3123152576</v>
      </c>
      <c r="R122" s="60" t="n">
        <f aca="false">+R120+R113</f>
        <v>82.6463374918678</v>
      </c>
      <c r="T122" s="59" t="n">
        <f aca="false">+T120+T113</f>
        <v>6919418.2620376</v>
      </c>
      <c r="U122" s="59" t="n">
        <f aca="false">+U120+U113</f>
        <v>94786.5515347616</v>
      </c>
      <c r="V122" s="60" t="n">
        <f aca="false">+V120+V113</f>
        <v>85.624707800146</v>
      </c>
      <c r="X122" s="59" t="n">
        <f aca="false">+X120+X113</f>
        <v>5958430.23590908</v>
      </c>
      <c r="Y122" s="59" t="n">
        <f aca="false">+Y120+Y113</f>
        <v>102731.555791536</v>
      </c>
      <c r="Z122" s="60" t="n">
        <f aca="false">+Z120+Z113</f>
        <v>79.8224986725221</v>
      </c>
      <c r="AB122" s="59" t="n">
        <f aca="false">+AB120+AB113</f>
        <v>13174879.4348925</v>
      </c>
      <c r="AC122" s="59" t="n">
        <f aca="false">+AC120+AC113</f>
        <v>98319.9957827795</v>
      </c>
      <c r="AD122" s="60" t="n">
        <f aca="false">+AD120+AD113</f>
        <v>82.8306619905472</v>
      </c>
    </row>
    <row r="123" customFormat="false" ht="12.75" hidden="false" customHeight="false" outlineLevel="0" collapsed="false"/>
    <row r="124" customFormat="false" ht="12" hidden="false" customHeight="false" outlineLevel="0" collapsed="false">
      <c r="B124" s="21" t="s">
        <v>290</v>
      </c>
      <c r="L124" s="22" t="n">
        <v>0.75</v>
      </c>
      <c r="M124" s="21" t="s">
        <v>291</v>
      </c>
      <c r="P124" s="21" t="n">
        <f aca="false">0.75*P122</f>
        <v>222773.20270933</v>
      </c>
      <c r="Q124" s="21" t="n">
        <f aca="false">0.75*Q122</f>
        <v>74257.7342364432</v>
      </c>
      <c r="R124" s="21" t="n">
        <f aca="false">0.75*R122</f>
        <v>61.9847531189009</v>
      </c>
      <c r="T124" s="21" t="n">
        <f aca="false">0.75*T122</f>
        <v>5189563.6965282</v>
      </c>
      <c r="U124" s="21" t="n">
        <f aca="false">0.75*U122</f>
        <v>71089.9136510712</v>
      </c>
      <c r="V124" s="21" t="n">
        <f aca="false">0.75*V122</f>
        <v>64.2185308501095</v>
      </c>
      <c r="X124" s="21" t="n">
        <f aca="false">0.75*X122</f>
        <v>4468822.67693181</v>
      </c>
      <c r="Y124" s="21" t="n">
        <f aca="false">0.75*Y122</f>
        <v>77048.6668436519</v>
      </c>
      <c r="Z124" s="21" t="n">
        <f aca="false">0.75*Z122</f>
        <v>59.8668740043916</v>
      </c>
      <c r="AB124" s="21" t="n">
        <f aca="false">0.75*AB122</f>
        <v>9881159.57616934</v>
      </c>
      <c r="AC124" s="21" t="n">
        <f aca="false">0.75*AC122</f>
        <v>73739.9968370846</v>
      </c>
      <c r="AD124" s="21" t="n">
        <f aca="false">0.75*AD122</f>
        <v>62.1229964929104</v>
      </c>
    </row>
    <row r="125" customFormat="false" ht="12" hidden="false" customHeight="false" outlineLevel="0" collapsed="false">
      <c r="B125" s="11" t="s">
        <v>292</v>
      </c>
    </row>
    <row r="126" customFormat="false" ht="12" hidden="false" customHeight="false" outlineLevel="0" collapsed="false">
      <c r="B126" s="21" t="s">
        <v>264</v>
      </c>
      <c r="P126" s="21" t="n">
        <f aca="false">+P122-P124</f>
        <v>74257.7342364432</v>
      </c>
      <c r="T126" s="21" t="n">
        <f aca="false">+T122-T124</f>
        <v>1729854.5655094</v>
      </c>
      <c r="X126" s="21" t="n">
        <f aca="false">+X122-X124</f>
        <v>1489607.55897727</v>
      </c>
      <c r="AB126" s="21" t="n">
        <f aca="false">+AB122-AB124</f>
        <v>3293719.85872311</v>
      </c>
    </row>
    <row r="127" customFormat="false" ht="12" hidden="false" customHeight="false" outlineLevel="0" collapsed="false">
      <c r="B127" s="21" t="s">
        <v>293</v>
      </c>
      <c r="P127" s="21" t="n">
        <f aca="false">-P112</f>
        <v>-34050.2110325116</v>
      </c>
      <c r="T127" s="21" t="n">
        <f aca="false">-T112</f>
        <v>-788337.586823204</v>
      </c>
      <c r="X127" s="21" t="n">
        <f aca="false">-X112</f>
        <v>-686456.095825909</v>
      </c>
      <c r="AB127" s="21" t="n">
        <f aca="false">-AB112</f>
        <v>-1508843.89368162</v>
      </c>
    </row>
    <row r="128" customFormat="false" ht="12" hidden="false" customHeight="false" outlineLevel="0" collapsed="false">
      <c r="B128" s="21" t="s">
        <v>294</v>
      </c>
      <c r="P128" s="21" t="n">
        <f aca="false">+P127+P126</f>
        <v>40207.5232039316</v>
      </c>
      <c r="T128" s="21" t="n">
        <f aca="false">+T127+T126</f>
        <v>941516.978686195</v>
      </c>
      <c r="X128" s="21" t="n">
        <f aca="false">+X127+X126</f>
        <v>803151.463151362</v>
      </c>
      <c r="AB128" s="21" t="n">
        <f aca="false">+AB127+AB126</f>
        <v>1784875.96504149</v>
      </c>
    </row>
    <row r="134" customFormat="false" ht="12" hidden="false" customHeight="false" outlineLevel="0" collapsed="false">
      <c r="L134" s="21" t="n">
        <f aca="false">10.3*43560</f>
        <v>448668</v>
      </c>
      <c r="P134" s="21" t="n">
        <f aca="false">P$7*28</f>
        <v>84</v>
      </c>
      <c r="T134" s="21" t="n">
        <f aca="false">T7*15.83</f>
        <v>1155.59</v>
      </c>
      <c r="X134" s="21" t="n">
        <f aca="false">X7*26</f>
        <v>1508</v>
      </c>
    </row>
    <row r="135" customFormat="false" ht="12" hidden="false" customHeight="false" outlineLevel="0" collapsed="false">
      <c r="L135" s="21" t="n">
        <f aca="false">SQRT(L134)</f>
        <v>669.826843296087</v>
      </c>
      <c r="M135" s="21" t="n">
        <f aca="false">L135*25</f>
        <v>16745.6710824022</v>
      </c>
      <c r="N135" s="21" t="n">
        <f aca="false">M135*4</f>
        <v>66982.6843296086</v>
      </c>
      <c r="P135" s="21" t="n">
        <f aca="false">P$7*20</f>
        <v>60</v>
      </c>
      <c r="T135" s="21" t="n">
        <f aca="false">T$7*20</f>
        <v>1460</v>
      </c>
      <c r="X135" s="21" t="n">
        <f aca="false">X$7*20</f>
        <v>1160</v>
      </c>
    </row>
    <row r="136" customFormat="false" ht="12" hidden="false" customHeight="false" outlineLevel="0" collapsed="false">
      <c r="L136" s="21" t="n">
        <f aca="false">L135*4-120</f>
        <v>2559.30737318435</v>
      </c>
      <c r="N136" s="21" t="n">
        <f aca="false">300*300</f>
        <v>90000</v>
      </c>
      <c r="P136" s="21" t="n">
        <f aca="false">+P135+P134</f>
        <v>144</v>
      </c>
      <c r="T136" s="21" t="n">
        <f aca="false">+T135+T134</f>
        <v>2615.59</v>
      </c>
      <c r="X136" s="21" t="n">
        <f aca="false">+X135+X134</f>
        <v>2668</v>
      </c>
    </row>
    <row r="137" customFormat="false" ht="12" hidden="false" customHeight="false" outlineLevel="0" collapsed="false">
      <c r="L137" s="21" t="n">
        <f aca="false">30*L136</f>
        <v>76779.2211955304</v>
      </c>
      <c r="N137" s="21" t="n">
        <f aca="false">+N136+N135</f>
        <v>156982.684329609</v>
      </c>
    </row>
    <row r="138" customFormat="false" ht="12" hidden="false" customHeight="false" outlineLevel="0" collapsed="false">
      <c r="N138" s="21" t="n">
        <f aca="false">-2.5*60*80</f>
        <v>-12000</v>
      </c>
    </row>
    <row r="139" customFormat="false" ht="12" hidden="false" customHeight="false" outlineLevel="0" collapsed="false">
      <c r="N139" s="21" t="n">
        <f aca="false">-4000</f>
        <v>-4000</v>
      </c>
    </row>
    <row r="140" customFormat="false" ht="12" hidden="false" customHeight="false" outlineLevel="0" collapsed="false">
      <c r="N140" s="21" t="n">
        <f aca="false">SUM(N137:N139)</f>
        <v>140982.684329609</v>
      </c>
    </row>
    <row r="141" customFormat="false" ht="12" hidden="false" customHeight="false" outlineLevel="0" collapsed="false">
      <c r="N141" s="21" t="n">
        <f aca="false">N140/134</f>
        <v>1052.10958454932</v>
      </c>
    </row>
    <row r="142" customFormat="false" ht="12" hidden="false" customHeight="false" outlineLevel="0" collapsed="false">
      <c r="N142" s="21" t="n">
        <f aca="false">6500*12</f>
        <v>78000</v>
      </c>
    </row>
    <row r="143" customFormat="false" ht="12" hidden="false" customHeight="false" outlineLevel="0" collapsed="false">
      <c r="L143" s="21" t="n">
        <f aca="false">670-(37.5*2+25*2)</f>
        <v>545</v>
      </c>
    </row>
    <row r="144" customFormat="false" ht="12" hidden="false" customHeight="false" outlineLevel="0" collapsed="false">
      <c r="L144" s="21" t="n">
        <v>60</v>
      </c>
    </row>
    <row r="145" customFormat="false" ht="12" hidden="false" customHeight="false" outlineLevel="0" collapsed="false">
      <c r="L145" s="21" t="n">
        <v>4</v>
      </c>
    </row>
    <row r="146" customFormat="false" ht="12" hidden="false" customHeight="false" outlineLevel="0" collapsed="false">
      <c r="L146" s="21" t="n">
        <f aca="false">L145*L144*L143</f>
        <v>130800</v>
      </c>
    </row>
    <row r="147" customFormat="false" ht="12" hidden="false" customHeight="false" outlineLevel="0" collapsed="false">
      <c r="L147" s="21" t="n">
        <f aca="false">2*L146</f>
        <v>261600</v>
      </c>
    </row>
    <row r="148" customFormat="false" ht="12" hidden="false" customHeight="false" outlineLevel="0" collapsed="false">
      <c r="L148" s="21" t="n">
        <f aca="false">L143*L145*2.1</f>
        <v>4578</v>
      </c>
    </row>
    <row r="149" customFormat="false" ht="12" hidden="false" customHeight="false" outlineLevel="0" collapsed="false">
      <c r="L149" s="21" t="n">
        <f aca="false">10*L148</f>
        <v>45780</v>
      </c>
    </row>
    <row r="150" customFormat="false" ht="12" hidden="false" customHeight="false" outlineLevel="0" collapsed="false">
      <c r="L150" s="21" t="n">
        <f aca="false">+L149+L147</f>
        <v>307380</v>
      </c>
      <c r="M150" s="21" t="n">
        <f aca="false">75000*10.3</f>
        <v>772500</v>
      </c>
      <c r="N150" s="22" t="n">
        <f aca="false">+L150/M150</f>
        <v>0.397902912621359</v>
      </c>
    </row>
    <row r="151" customFormat="false" ht="12" hidden="false" customHeight="false" outlineLevel="0" collapsed="false">
      <c r="L151" s="21" t="n">
        <f aca="false">+N140*1.5</f>
        <v>211474.026494413</v>
      </c>
    </row>
    <row r="152" customFormat="false" ht="12" hidden="false" customHeight="false" outlineLevel="0" collapsed="false">
      <c r="B152" s="21" t="s">
        <v>295</v>
      </c>
      <c r="L152" s="21" t="n">
        <f aca="false">545*4*35</f>
        <v>76300</v>
      </c>
      <c r="M152" s="21" t="n">
        <v>16</v>
      </c>
    </row>
    <row r="153" customFormat="false" ht="12" hidden="false" customHeight="false" outlineLevel="0" collapsed="false">
      <c r="B153" s="21" t="s">
        <v>296</v>
      </c>
    </row>
    <row r="154" customFormat="false" ht="12" hidden="false" customHeight="false" outlineLevel="0" collapsed="false">
      <c r="B154" s="21" t="s">
        <v>297</v>
      </c>
    </row>
    <row r="155" customFormat="false" ht="12" hidden="false" customHeight="false" outlineLevel="0" collapsed="false">
      <c r="B155" s="21" t="s">
        <v>298</v>
      </c>
    </row>
    <row r="156" customFormat="false" ht="12" hidden="false" customHeight="false" outlineLevel="0" collapsed="false">
      <c r="B156" s="21" t="s">
        <v>272</v>
      </c>
      <c r="L156" s="21" t="n">
        <v>25000</v>
      </c>
    </row>
    <row r="157" customFormat="false" ht="12" hidden="false" customHeight="false" outlineLevel="0" collapsed="false">
      <c r="B157" s="21" t="s">
        <v>299</v>
      </c>
      <c r="L157" s="21" t="n">
        <f aca="false">10000</f>
        <v>10000</v>
      </c>
    </row>
    <row r="158" customFormat="false" ht="12" hidden="false" customHeight="false" outlineLevel="0" collapsed="false">
      <c r="B158" s="21" t="s">
        <v>300</v>
      </c>
      <c r="L158" s="21" t="n">
        <v>15000</v>
      </c>
    </row>
    <row r="159" customFormat="false" ht="12" hidden="false" customHeight="false" outlineLevel="0" collapsed="false">
      <c r="B159" s="21" t="s">
        <v>273</v>
      </c>
      <c r="L159" s="21" t="n">
        <v>15000</v>
      </c>
    </row>
    <row r="160" customFormat="false" ht="12" hidden="false" customHeight="false" outlineLevel="0" collapsed="false">
      <c r="B160" s="21" t="s">
        <v>301</v>
      </c>
      <c r="L160" s="21" t="n">
        <f aca="false">900*35</f>
        <v>31500</v>
      </c>
      <c r="M160" s="21" t="n">
        <f aca="false">SUM(L150:L160)</f>
        <v>691654.026494413</v>
      </c>
      <c r="N160" s="21" t="n">
        <f aca="false">M160/10.3</f>
        <v>67150.8763586809</v>
      </c>
    </row>
    <row r="161" customFormat="false" ht="12" hidden="false" customHeight="false" outlineLevel="0" collapsed="false">
      <c r="B161" s="21" t="s">
        <v>302</v>
      </c>
      <c r="L161" s="21" t="n">
        <v>75000</v>
      </c>
    </row>
    <row r="162" customFormat="false" ht="12" hidden="false" customHeight="false" outlineLevel="0" collapsed="false">
      <c r="B162" s="21" t="s">
        <v>303</v>
      </c>
      <c r="L162" s="21" t="n">
        <v>4000</v>
      </c>
    </row>
    <row r="163" customFormat="false" ht="12" hidden="false" customHeight="false" outlineLevel="0" collapsed="false">
      <c r="B163" s="21" t="s">
        <v>304</v>
      </c>
      <c r="L163" s="21" t="n">
        <v>4000</v>
      </c>
      <c r="M163" s="21" t="n">
        <f aca="false">SUM(L150:L163)</f>
        <v>774654.026494413</v>
      </c>
      <c r="N163" s="21" t="n">
        <f aca="false">M163/10.3</f>
        <v>75209.1287858653</v>
      </c>
    </row>
  </sheetData>
  <mergeCells count="4">
    <mergeCell ref="P5:R5"/>
    <mergeCell ref="T5:V5"/>
    <mergeCell ref="X5:Z5"/>
    <mergeCell ref="AB5:AD5"/>
  </mergeCells>
  <printOptions headings="false" gridLines="true" gridLinesSet="true" horizontalCentered="true" verticalCentered="false"/>
  <pageMargins left="0.5" right="0.5" top="1.80972222222222" bottom="0.8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&amp;C&amp;"Arial,Bold"&amp;11&amp;UConstruction Cost Summary
By Unit</oddHeader>
    <oddFooter>&amp;L&amp;F&amp;C&amp;D&amp;RPage 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167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pane xSplit="5145" ySplit="1485" topLeftCell="T106" activePane="bottomRight" state="split"/>
      <selection pane="topLeft" activeCell="A7" activeCellId="0" sqref="A7"/>
      <selection pane="topRight" activeCell="T7" activeCellId="0" sqref="T7"/>
      <selection pane="bottomLeft" activeCell="A106" activeCellId="0" sqref="A106"/>
      <selection pane="bottomRight" activeCell="AG124" activeCellId="0" sqref="AG124"/>
    </sheetView>
  </sheetViews>
  <sheetFormatPr defaultColWidth="7.56640625" defaultRowHeight="12" customHeight="true" zeroHeight="false" outlineLevelRow="0" outlineLevelCol="0"/>
  <cols>
    <col collapsed="false" customWidth="true" hidden="false" outlineLevel="0" max="1" min="1" style="20" width="8.41"/>
    <col collapsed="false" customWidth="true" hidden="false" outlineLevel="0" max="2" min="2" style="21" width="22.84"/>
    <col collapsed="false" customWidth="true" hidden="true" outlineLevel="0" max="3" min="3" style="21" width="5.84"/>
    <col collapsed="false" customWidth="true" hidden="true" outlineLevel="0" max="4" min="4" style="21" width="5.41"/>
    <col collapsed="false" customWidth="false" hidden="true" outlineLevel="0" max="11" min="5" style="21" width="7.56"/>
    <col collapsed="false" customWidth="true" hidden="false" outlineLevel="0" max="12" min="12" style="21" width="11.41"/>
    <col collapsed="false" customWidth="true" hidden="false" outlineLevel="0" max="13" min="13" style="21" width="10.98"/>
    <col collapsed="false" customWidth="true" hidden="false" outlineLevel="0" max="15" min="14" style="21" width="9.84"/>
    <col collapsed="false" customWidth="true" hidden="false" outlineLevel="0" max="16" min="16" style="21" width="0.99"/>
    <col collapsed="false" customWidth="true" hidden="false" outlineLevel="0" max="17" min="17" style="21" width="11.99"/>
    <col collapsed="false" customWidth="true" hidden="false" outlineLevel="0" max="18" min="18" style="21" width="10.98"/>
    <col collapsed="false" customWidth="true" hidden="false" outlineLevel="0" max="19" min="19" style="21" width="12.42"/>
    <col collapsed="false" customWidth="true" hidden="false" outlineLevel="0" max="20" min="20" style="21" width="0.99"/>
    <col collapsed="false" customWidth="true" hidden="false" outlineLevel="0" max="21" min="21" style="21" width="13.56"/>
    <col collapsed="false" customWidth="true" hidden="false" outlineLevel="0" max="23" min="22" style="21" width="11.41"/>
    <col collapsed="false" customWidth="true" hidden="false" outlineLevel="0" max="24" min="24" style="21" width="0.99"/>
    <col collapsed="false" customWidth="true" hidden="false" outlineLevel="0" max="27" min="25" style="21" width="11.41"/>
    <col collapsed="false" customWidth="true" hidden="false" outlineLevel="0" max="28" min="28" style="21" width="0.99"/>
    <col collapsed="false" customWidth="true" hidden="false" outlineLevel="0" max="31" min="29" style="21" width="10.7"/>
    <col collapsed="false" customWidth="true" hidden="false" outlineLevel="0" max="32" min="32" style="21" width="0.84"/>
    <col collapsed="false" customWidth="true" hidden="false" outlineLevel="0" max="33" min="33" style="21" width="11.99"/>
    <col collapsed="false" customWidth="true" hidden="false" outlineLevel="0" max="35" min="34" style="21" width="8.56"/>
    <col collapsed="false" customWidth="true" hidden="false" outlineLevel="0" max="36" min="36" style="21" width="0.99"/>
    <col collapsed="false" customWidth="true" hidden="false" outlineLevel="0" max="37" min="37" style="21" width="11.41"/>
    <col collapsed="false" customWidth="true" hidden="false" outlineLevel="0" max="38" min="38" style="21" width="3.56"/>
    <col collapsed="false" customWidth="true" hidden="false" outlineLevel="0" max="39" min="39" style="21" width="23.99"/>
    <col collapsed="false" customWidth="true" hidden="false" outlineLevel="0" max="40" min="40" style="21" width="7.7"/>
    <col collapsed="false" customWidth="true" hidden="false" outlineLevel="0" max="41" min="41" style="21" width="13.7"/>
    <col collapsed="false" customWidth="true" hidden="false" outlineLevel="0" max="42" min="42" style="21" width="9.56"/>
    <col collapsed="false" customWidth="true" hidden="false" outlineLevel="0" max="43" min="43" style="21" width="9.41"/>
    <col collapsed="false" customWidth="false" hidden="false" outlineLevel="0" max="44" min="44" style="21" width="7.56"/>
    <col collapsed="false" customWidth="true" hidden="false" outlineLevel="0" max="45" min="45" style="21" width="11.41"/>
    <col collapsed="false" customWidth="true" hidden="false" outlineLevel="0" max="46" min="46" style="21" width="18.99"/>
    <col collapsed="false" customWidth="true" hidden="false" outlineLevel="0" max="47" min="47" style="21" width="16.28"/>
    <col collapsed="false" customWidth="true" hidden="false" outlineLevel="0" max="48" min="48" style="21" width="19.98"/>
    <col collapsed="false" customWidth="false" hidden="false" outlineLevel="0" max="257" min="49" style="21" width="7.56"/>
  </cols>
  <sheetData>
    <row r="1" customFormat="false" ht="12" hidden="false" customHeight="false" outlineLevel="0" collapsed="false">
      <c r="B1" s="21" t="s">
        <v>42</v>
      </c>
      <c r="L1" s="22" t="n">
        <v>1.125</v>
      </c>
      <c r="AD1" s="67" t="n">
        <f aca="false">75/295</f>
        <v>0.254237288135593</v>
      </c>
    </row>
    <row r="2" customFormat="false" ht="12" hidden="false" customHeight="false" outlineLevel="0" collapsed="false">
      <c r="B2" s="21" t="s">
        <v>43</v>
      </c>
      <c r="L2" s="23" t="n">
        <v>14</v>
      </c>
      <c r="Q2" s="21" t="s">
        <v>44</v>
      </c>
      <c r="R2" s="21" t="n">
        <v>134</v>
      </c>
      <c r="AD2" s="21" t="n">
        <f aca="false">475*3</f>
        <v>1425</v>
      </c>
    </row>
    <row r="3" customFormat="false" ht="12.75" hidden="false" customHeight="false" outlineLevel="0" collapsed="false">
      <c r="A3" s="20" t="s">
        <v>45</v>
      </c>
      <c r="B3" s="21" t="s">
        <v>46</v>
      </c>
      <c r="L3" s="21" t="s">
        <v>47</v>
      </c>
      <c r="AD3" s="21" t="n">
        <f aca="false">75*12</f>
        <v>900</v>
      </c>
    </row>
    <row r="4" customFormat="false" ht="12.75" hidden="false" customHeight="false" outlineLevel="0" collapsed="false">
      <c r="B4" s="24" t="s">
        <v>48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  <c r="O4" s="96"/>
    </row>
    <row r="5" customFormat="false" ht="12" hidden="false" customHeight="false" outlineLevel="0" collapsed="false">
      <c r="E5" s="27" t="s">
        <v>49</v>
      </c>
      <c r="F5" s="27" t="s">
        <v>50</v>
      </c>
      <c r="G5" s="27" t="s">
        <v>51</v>
      </c>
      <c r="H5" s="27" t="s">
        <v>52</v>
      </c>
      <c r="I5" s="27" t="s">
        <v>53</v>
      </c>
      <c r="J5" s="27" t="s">
        <v>54</v>
      </c>
      <c r="K5" s="27" t="s">
        <v>55</v>
      </c>
      <c r="Q5" s="28" t="s">
        <v>56</v>
      </c>
      <c r="R5" s="28"/>
      <c r="S5" s="28"/>
      <c r="U5" s="28" t="s">
        <v>57</v>
      </c>
      <c r="V5" s="28"/>
      <c r="W5" s="28"/>
      <c r="X5" s="29"/>
      <c r="Y5" s="28" t="s">
        <v>305</v>
      </c>
      <c r="Z5" s="28"/>
      <c r="AA5" s="28"/>
      <c r="AB5" s="29"/>
      <c r="AC5" s="28" t="s">
        <v>306</v>
      </c>
      <c r="AD5" s="28"/>
      <c r="AE5" s="28"/>
      <c r="AF5" s="29"/>
      <c r="AG5" s="28" t="s">
        <v>59</v>
      </c>
      <c r="AH5" s="28"/>
      <c r="AI5" s="28"/>
      <c r="AJ5" s="29"/>
      <c r="AK5" s="29"/>
    </row>
    <row r="6" customFormat="false" ht="22.9" hidden="false" customHeight="true" outlineLevel="0" collapsed="false">
      <c r="B6" s="19" t="s">
        <v>60</v>
      </c>
      <c r="C6" s="30" t="s">
        <v>61</v>
      </c>
      <c r="D6" s="31" t="s">
        <v>62</v>
      </c>
      <c r="E6" s="27" t="s">
        <v>63</v>
      </c>
      <c r="F6" s="27" t="s">
        <v>64</v>
      </c>
      <c r="G6" s="27" t="s">
        <v>65</v>
      </c>
      <c r="H6" s="27" t="s">
        <v>66</v>
      </c>
      <c r="I6" s="27" t="s">
        <v>67</v>
      </c>
      <c r="J6" s="27" t="s">
        <v>68</v>
      </c>
      <c r="K6" s="27" t="s">
        <v>69</v>
      </c>
      <c r="L6" s="32" t="s">
        <v>70</v>
      </c>
      <c r="M6" s="32" t="s">
        <v>4</v>
      </c>
      <c r="N6" s="32" t="s">
        <v>307</v>
      </c>
      <c r="O6" s="32" t="s">
        <v>308</v>
      </c>
      <c r="P6" s="32"/>
      <c r="Q6" s="32" t="s">
        <v>70</v>
      </c>
      <c r="R6" s="32" t="s">
        <v>4</v>
      </c>
      <c r="S6" s="32" t="s">
        <v>5</v>
      </c>
      <c r="U6" s="32" t="s">
        <v>70</v>
      </c>
      <c r="V6" s="32" t="s">
        <v>4</v>
      </c>
      <c r="W6" s="32" t="s">
        <v>5</v>
      </c>
      <c r="X6" s="32"/>
      <c r="Y6" s="32" t="s">
        <v>70</v>
      </c>
      <c r="Z6" s="32" t="s">
        <v>4</v>
      </c>
      <c r="AA6" s="32" t="s">
        <v>5</v>
      </c>
      <c r="AB6" s="32"/>
      <c r="AC6" s="32" t="s">
        <v>70</v>
      </c>
      <c r="AD6" s="32" t="s">
        <v>4</v>
      </c>
      <c r="AE6" s="32" t="s">
        <v>5</v>
      </c>
      <c r="AF6" s="32"/>
      <c r="AG6" s="32" t="s">
        <v>70</v>
      </c>
      <c r="AH6" s="32" t="s">
        <v>4</v>
      </c>
      <c r="AI6" s="32" t="s">
        <v>5</v>
      </c>
      <c r="AJ6" s="32"/>
      <c r="AK6" s="33"/>
      <c r="AM6" s="34" t="s">
        <v>60</v>
      </c>
      <c r="AN6" s="32" t="s">
        <v>71</v>
      </c>
      <c r="AO6" s="32" t="s">
        <v>72</v>
      </c>
      <c r="AP6" s="32" t="s">
        <v>4</v>
      </c>
      <c r="AQ6" s="32" t="s">
        <v>73</v>
      </c>
    </row>
    <row r="7" customFormat="false" ht="22.9" hidden="false" customHeight="true" outlineLevel="0" collapsed="false">
      <c r="B7" s="19" t="s">
        <v>74</v>
      </c>
      <c r="C7" s="30"/>
      <c r="D7" s="31"/>
      <c r="E7" s="27"/>
      <c r="F7" s="27"/>
      <c r="G7" s="27"/>
      <c r="H7" s="27"/>
      <c r="I7" s="27"/>
      <c r="J7" s="27"/>
      <c r="K7" s="27"/>
      <c r="L7" s="35" t="n">
        <f aca="false">TRUnits</f>
        <v>14</v>
      </c>
      <c r="M7" s="32"/>
      <c r="N7" s="32"/>
      <c r="O7" s="32"/>
      <c r="P7" s="32"/>
      <c r="Q7" s="35" t="n">
        <v>0</v>
      </c>
      <c r="R7" s="32"/>
      <c r="S7" s="32"/>
      <c r="U7" s="35" t="n">
        <f aca="false">ROUND(0.35*SM134Units,0)</f>
        <v>47</v>
      </c>
      <c r="V7" s="32"/>
      <c r="W7" s="32"/>
      <c r="X7" s="32"/>
      <c r="Y7" s="35" t="n">
        <f aca="false">134-U7-Q7-AC7</f>
        <v>53</v>
      </c>
      <c r="Z7" s="32"/>
      <c r="AA7" s="32"/>
      <c r="AB7" s="32"/>
      <c r="AC7" s="35" t="n">
        <f aca="false">ROUND(134*0.25,0)</f>
        <v>34</v>
      </c>
      <c r="AD7" s="32"/>
      <c r="AE7" s="32"/>
      <c r="AF7" s="32"/>
      <c r="AG7" s="35" t="n">
        <f aca="false">ROUND(Y7+U7+Q7+AC7,0)</f>
        <v>134</v>
      </c>
      <c r="AH7" s="32"/>
      <c r="AI7" s="32"/>
      <c r="AJ7" s="32"/>
      <c r="AK7" s="33"/>
      <c r="AM7" s="34"/>
      <c r="AN7" s="32"/>
      <c r="AO7" s="32"/>
      <c r="AP7" s="35" t="n">
        <f aca="false">+AG7</f>
        <v>134</v>
      </c>
      <c r="AQ7" s="36" t="n">
        <f aca="false">AG7*AH8</f>
        <v>159996</v>
      </c>
    </row>
    <row r="8" customFormat="false" ht="22.9" hidden="false" customHeight="true" outlineLevel="0" collapsed="false">
      <c r="B8" s="19" t="s">
        <v>75</v>
      </c>
      <c r="C8" s="30"/>
      <c r="D8" s="31"/>
      <c r="E8" s="27"/>
      <c r="F8" s="27"/>
      <c r="G8" s="27"/>
      <c r="H8" s="27"/>
      <c r="I8" s="27"/>
      <c r="J8" s="27"/>
      <c r="K8" s="27"/>
      <c r="L8" s="35"/>
      <c r="M8" s="32"/>
      <c r="N8" s="35" t="n">
        <v>1376</v>
      </c>
      <c r="O8" s="35" t="n">
        <f aca="false">+N8+360</f>
        <v>1736</v>
      </c>
      <c r="P8" s="32"/>
      <c r="Q8" s="35"/>
      <c r="R8" s="35" t="n">
        <v>1198</v>
      </c>
      <c r="S8" s="35" t="n">
        <f aca="false">+R8</f>
        <v>1198</v>
      </c>
      <c r="U8" s="35"/>
      <c r="V8" s="35" t="n">
        <v>900</v>
      </c>
      <c r="W8" s="35" t="n">
        <f aca="false">V8+295</f>
        <v>1195</v>
      </c>
      <c r="X8" s="32"/>
      <c r="Y8" s="35"/>
      <c r="Z8" s="35" t="n">
        <v>1287</v>
      </c>
      <c r="AA8" s="35" t="n">
        <f aca="false">Z8+295</f>
        <v>1582</v>
      </c>
      <c r="AB8" s="32"/>
      <c r="AC8" s="35"/>
      <c r="AD8" s="35" t="n">
        <f aca="false">Z8+167</f>
        <v>1454</v>
      </c>
      <c r="AE8" s="35" t="n">
        <f aca="false">AD8+295</f>
        <v>1749</v>
      </c>
      <c r="AF8" s="35"/>
      <c r="AG8" s="32"/>
      <c r="AH8" s="35" t="n">
        <f aca="false">ROUND(($AD8*$AC7+Z8*$Y7+V8*$U7+R8*$Q7)/$AG$7,0)</f>
        <v>1194</v>
      </c>
      <c r="AI8" s="35" t="n">
        <f aca="false">ROUND((AE8*AC$7+AA8*$Y7+W8*$U7+S8*$Q7)/$AG$7,0)</f>
        <v>1489</v>
      </c>
      <c r="AJ8" s="32"/>
      <c r="AK8" s="33"/>
      <c r="AM8" s="34"/>
      <c r="AN8" s="32"/>
      <c r="AO8" s="32"/>
      <c r="AP8" s="32"/>
      <c r="AQ8" s="32"/>
    </row>
    <row r="9" customFormat="false" ht="12" hidden="false" customHeight="false" outlineLevel="0" collapsed="false">
      <c r="A9" s="20" t="s">
        <v>76</v>
      </c>
      <c r="B9" s="21" t="s">
        <v>77</v>
      </c>
      <c r="C9" s="37"/>
      <c r="D9" s="38" t="n">
        <f aca="false">L9/$L$88</f>
        <v>0.0237164028413085</v>
      </c>
      <c r="E9" s="39" t="s">
        <v>78</v>
      </c>
      <c r="F9" s="39" t="s">
        <v>78</v>
      </c>
      <c r="G9" s="39" t="s">
        <v>78</v>
      </c>
      <c r="H9" s="39" t="s">
        <v>78</v>
      </c>
      <c r="I9" s="39" t="s">
        <v>78</v>
      </c>
      <c r="J9" s="39" t="s">
        <v>78</v>
      </c>
      <c r="K9" s="39" t="s">
        <v>78</v>
      </c>
      <c r="L9" s="40" t="n">
        <f aca="false">M9*TRUnits</f>
        <v>16673.3</v>
      </c>
      <c r="M9" s="40" t="n">
        <f aca="false">2381.9/2</f>
        <v>1190.95</v>
      </c>
      <c r="N9" s="41" t="n">
        <f aca="false">$M9/N$8</f>
        <v>0.865515988372093</v>
      </c>
      <c r="O9" s="41" t="n">
        <f aca="false">$M9/O$8</f>
        <v>0.686031105990783</v>
      </c>
      <c r="P9" s="41"/>
      <c r="Q9" s="42" t="n">
        <f aca="false">R9*Q$7</f>
        <v>0</v>
      </c>
      <c r="R9" s="42" t="n">
        <f aca="false">R$8*$N9*CMF</f>
        <v>1166.49917332849</v>
      </c>
      <c r="S9" s="12" t="n">
        <f aca="false">+R9/R$8</f>
        <v>0.973705486918605</v>
      </c>
      <c r="T9" s="40"/>
      <c r="U9" s="42" t="n">
        <f aca="false">V9*U$7</f>
        <v>41187.742096657</v>
      </c>
      <c r="V9" s="42" t="n">
        <f aca="false">V$8*$N9*CMF</f>
        <v>876.334938226744</v>
      </c>
      <c r="W9" s="12" t="n">
        <f aca="false">+V9/V$8</f>
        <v>0.973705486918605</v>
      </c>
      <c r="X9" s="40"/>
      <c r="Y9" s="42" t="n">
        <f aca="false">Z9*Y$7</f>
        <v>66417.424968205</v>
      </c>
      <c r="Z9" s="42" t="n">
        <f aca="false">Z$8*$N9*CMF</f>
        <v>1253.15896166424</v>
      </c>
      <c r="AA9" s="12" t="n">
        <f aca="false">+Z9/Z$8</f>
        <v>0.973705486918605</v>
      </c>
      <c r="AB9" s="40"/>
      <c r="AC9" s="42" t="n">
        <f aca="false">AD9*AC$7</f>
        <v>48136.1044513081</v>
      </c>
      <c r="AD9" s="42" t="n">
        <f aca="false">AD$8*$N9*CMF</f>
        <v>1415.76777797965</v>
      </c>
      <c r="AE9" s="12" t="n">
        <f aca="false">+AD9/AD$8</f>
        <v>0.973705486918605</v>
      </c>
      <c r="AF9" s="12"/>
      <c r="AG9" s="42" t="n">
        <f aca="false">+Y9+U9+Q9+AC9</f>
        <v>155741.27151617</v>
      </c>
      <c r="AH9" s="42" t="n">
        <f aca="false">AG9/AG$7</f>
        <v>1162.24829489679</v>
      </c>
      <c r="AI9" s="12" t="n">
        <f aca="false">+AH9/AH$8</f>
        <v>0.973407282158117</v>
      </c>
      <c r="AJ9" s="40"/>
      <c r="AK9" s="43"/>
      <c r="AL9" s="44" t="s">
        <v>79</v>
      </c>
      <c r="AM9" s="21" t="s">
        <v>80</v>
      </c>
      <c r="AN9" s="38" t="n">
        <f aca="false">AO9/$AO$48</f>
        <v>0.0116023301674422</v>
      </c>
      <c r="AO9" s="45" t="n">
        <f aca="false">+AG9</f>
        <v>155741.27151617</v>
      </c>
      <c r="AP9" s="45" t="n">
        <f aca="false">+AO9/AP$7</f>
        <v>1162.24829489679</v>
      </c>
      <c r="AQ9" s="12" t="n">
        <f aca="false">+AO9/AQ$7</f>
        <v>0.973407282158117</v>
      </c>
    </row>
    <row r="10" customFormat="false" ht="12" hidden="false" customHeight="false" outlineLevel="0" collapsed="false">
      <c r="A10" s="20" t="s">
        <v>81</v>
      </c>
      <c r="B10" s="21" t="s">
        <v>309</v>
      </c>
      <c r="C10" s="37"/>
      <c r="D10" s="38"/>
      <c r="E10" s="39"/>
      <c r="F10" s="39"/>
      <c r="G10" s="39"/>
      <c r="H10" s="39"/>
      <c r="I10" s="39"/>
      <c r="J10" s="39"/>
      <c r="K10" s="39"/>
      <c r="L10" s="40" t="n">
        <v>0</v>
      </c>
      <c r="M10" s="40" t="n">
        <v>0</v>
      </c>
      <c r="N10" s="41" t="n">
        <f aca="false">$M10/N$8</f>
        <v>0</v>
      </c>
      <c r="O10" s="41" t="n">
        <f aca="false">$M10/O$8</f>
        <v>0</v>
      </c>
      <c r="P10" s="41"/>
      <c r="Q10" s="46" t="n">
        <f aca="false">R10*Q$7</f>
        <v>0</v>
      </c>
      <c r="R10" s="46" t="n">
        <f aca="false">(((68000+9450+54000+8000+2000)/134)+0.15*S$8)*CMF</f>
        <v>1389.70914179104</v>
      </c>
      <c r="S10" s="41" t="n">
        <f aca="false">+R10/R$8</f>
        <v>1.16002432536815</v>
      </c>
      <c r="T10" s="40"/>
      <c r="U10" s="46" t="n">
        <f aca="false">V10*U$7</f>
        <v>65292.5359141791</v>
      </c>
      <c r="V10" s="46" t="n">
        <f aca="false">(((68000+9450+54000+8000+2000)/134)+0.15*W$8)*CMF</f>
        <v>1389.20289179104</v>
      </c>
      <c r="W10" s="41" t="n">
        <f aca="false">+V10/V$8</f>
        <v>1.54355876865672</v>
      </c>
      <c r="X10" s="40"/>
      <c r="Y10" s="46" t="n">
        <f aca="false">Z10*Y$7</f>
        <v>77088.9845149254</v>
      </c>
      <c r="Z10" s="46" t="n">
        <f aca="false">(((68000+9450+54000+8000+2000)/134)+0.15*AA$8)*CMF</f>
        <v>1454.50914179104</v>
      </c>
      <c r="AA10" s="41" t="n">
        <f aca="false">+Z10/Z$8</f>
        <v>1.13015473332638</v>
      </c>
      <c r="AB10" s="40"/>
      <c r="AC10" s="46" t="n">
        <f aca="false">AD10*AC$7</f>
        <v>50411.4733208955</v>
      </c>
      <c r="AD10" s="46" t="n">
        <f aca="false">(((68000+9450+54000+8000+2000)/134)+0.15*AE$8)*CMF</f>
        <v>1482.69039179104</v>
      </c>
      <c r="AE10" s="41" t="n">
        <f aca="false">+AD10/AD$8</f>
        <v>1.0197320438728</v>
      </c>
      <c r="AF10" s="41"/>
      <c r="AG10" s="46" t="n">
        <f aca="false">+Y10+U10+Q10+AC10</f>
        <v>192792.99375</v>
      </c>
      <c r="AH10" s="23" t="n">
        <f aca="false">+AG10/AG$7</f>
        <v>1438.75368470149</v>
      </c>
      <c r="AI10" s="41" t="n">
        <f aca="false">+AH10/AH$8</f>
        <v>1.20498633559589</v>
      </c>
      <c r="AJ10" s="40"/>
      <c r="AK10" s="43"/>
      <c r="AL10" s="44" t="s">
        <v>83</v>
      </c>
      <c r="AM10" s="21" t="s">
        <v>84</v>
      </c>
      <c r="AN10" s="38" t="n">
        <f aca="false">AO10/$AO$48</f>
        <v>0.014362589605703</v>
      </c>
      <c r="AO10" s="45" t="n">
        <f aca="false">+AG10</f>
        <v>192792.99375</v>
      </c>
      <c r="AP10" s="45" t="n">
        <f aca="false">+AO10/AP$7</f>
        <v>1438.75368470149</v>
      </c>
      <c r="AQ10" s="41" t="n">
        <f aca="false">+AO10/AQ$7</f>
        <v>1.20498633559589</v>
      </c>
    </row>
    <row r="11" customFormat="false" ht="12" hidden="false" customHeight="false" outlineLevel="0" collapsed="false">
      <c r="A11" s="20" t="s">
        <v>85</v>
      </c>
      <c r="B11" s="21" t="s">
        <v>86</v>
      </c>
      <c r="C11" s="37"/>
      <c r="D11" s="38" t="n">
        <f aca="false">L11/$L$88</f>
        <v>0.00261867162654357</v>
      </c>
      <c r="E11" s="39" t="s">
        <v>78</v>
      </c>
      <c r="F11" s="39" t="s">
        <v>78</v>
      </c>
      <c r="G11" s="39" t="s">
        <v>78</v>
      </c>
      <c r="H11" s="39" t="s">
        <v>78</v>
      </c>
      <c r="I11" s="39" t="s">
        <v>78</v>
      </c>
      <c r="J11" s="39" t="s">
        <v>78</v>
      </c>
      <c r="K11" s="39" t="s">
        <v>78</v>
      </c>
      <c r="L11" s="40" t="n">
        <f aca="false">M11*TRUnits</f>
        <v>1841</v>
      </c>
      <c r="M11" s="40" t="n">
        <f aca="false">263/2</f>
        <v>131.5</v>
      </c>
      <c r="N11" s="41" t="n">
        <f aca="false">$M11/N$8</f>
        <v>0.0955668604651163</v>
      </c>
      <c r="O11" s="41" t="n">
        <f aca="false">$M11/O$8</f>
        <v>0.0757488479262673</v>
      </c>
      <c r="P11" s="41"/>
      <c r="Q11" s="46" t="n">
        <f aca="false">R11*Q$7</f>
        <v>0</v>
      </c>
      <c r="R11" s="46" t="n">
        <f aca="false">0.42/100*60*R8</f>
        <v>301.896</v>
      </c>
      <c r="S11" s="41" t="n">
        <f aca="false">+R11/R$8</f>
        <v>0.252</v>
      </c>
      <c r="T11" s="40"/>
      <c r="U11" s="46" t="n">
        <f aca="false">V11*U$7</f>
        <v>10659.6</v>
      </c>
      <c r="V11" s="46" t="n">
        <f aca="false">0.42/100*60*V8</f>
        <v>226.8</v>
      </c>
      <c r="W11" s="41" t="n">
        <f aca="false">+V11/V$8</f>
        <v>0.252</v>
      </c>
      <c r="X11" s="40"/>
      <c r="Y11" s="46" t="n">
        <f aca="false">Z11*Y$7</f>
        <v>17189.172</v>
      </c>
      <c r="Z11" s="46" t="n">
        <f aca="false">0.42/100*60*Z8</f>
        <v>324.324</v>
      </c>
      <c r="AA11" s="41" t="n">
        <f aca="false">+Z11/Z$8</f>
        <v>0.252</v>
      </c>
      <c r="AB11" s="40"/>
      <c r="AC11" s="46" t="n">
        <f aca="false">AD11*AC$7</f>
        <v>12457.872</v>
      </c>
      <c r="AD11" s="46" t="n">
        <f aca="false">0.42/100*60*AD8</f>
        <v>366.408</v>
      </c>
      <c r="AE11" s="41" t="n">
        <f aca="false">+AD11/AD$8</f>
        <v>0.252</v>
      </c>
      <c r="AF11" s="41"/>
      <c r="AG11" s="46" t="n">
        <f aca="false">+Y11+U11+Q11+AC11</f>
        <v>40306.644</v>
      </c>
      <c r="AH11" s="23" t="n">
        <f aca="false">+AG11/AG$7</f>
        <v>300.795850746269</v>
      </c>
      <c r="AI11" s="41" t="n">
        <f aca="false">+AH11/AH$8</f>
        <v>0.251922823070577</v>
      </c>
      <c r="AJ11" s="40"/>
      <c r="AK11" s="43"/>
      <c r="AL11" s="44" t="s">
        <v>87</v>
      </c>
      <c r="AM11" s="21" t="s">
        <v>88</v>
      </c>
      <c r="AN11" s="38" t="n">
        <f aca="false">AO11/$AO$48</f>
        <v>0</v>
      </c>
      <c r="AO11" s="45" t="n">
        <v>0</v>
      </c>
      <c r="AP11" s="45" t="n">
        <f aca="false">+AO11/AP$7</f>
        <v>0</v>
      </c>
      <c r="AQ11" s="41" t="n">
        <f aca="false">+AO11/AQ$7</f>
        <v>0</v>
      </c>
    </row>
    <row r="12" customFormat="false" ht="12" hidden="false" customHeight="false" outlineLevel="0" collapsed="false">
      <c r="A12" s="20" t="s">
        <v>89</v>
      </c>
      <c r="B12" s="21" t="s">
        <v>90</v>
      </c>
      <c r="C12" s="37"/>
      <c r="D12" s="38" t="n">
        <f aca="false">L12/$L$88</f>
        <v>0.00174246210891683</v>
      </c>
      <c r="E12" s="39"/>
      <c r="F12" s="39"/>
      <c r="G12" s="39"/>
      <c r="H12" s="39"/>
      <c r="I12" s="39"/>
      <c r="J12" s="39"/>
      <c r="K12" s="39"/>
      <c r="L12" s="40" t="n">
        <f aca="false">M12*TRUnits</f>
        <v>1225</v>
      </c>
      <c r="M12" s="40" t="n">
        <f aca="false">175/2</f>
        <v>87.5</v>
      </c>
      <c r="N12" s="41" t="n">
        <f aca="false">$M12/N$8</f>
        <v>0.0635901162790698</v>
      </c>
      <c r="O12" s="41" t="n">
        <f aca="false">$M12/O$8</f>
        <v>0.0504032258064516</v>
      </c>
      <c r="P12" s="41"/>
      <c r="Q12" s="46" t="n">
        <f aca="false">R12*Q$7</f>
        <v>0</v>
      </c>
      <c r="R12" s="46"/>
      <c r="S12" s="41" t="n">
        <f aca="false">+R12/R$8</f>
        <v>0</v>
      </c>
      <c r="T12" s="40"/>
      <c r="U12" s="46" t="n">
        <f aca="false">V12*U$7</f>
        <v>0</v>
      </c>
      <c r="V12" s="46" t="n">
        <v>0</v>
      </c>
      <c r="W12" s="41" t="n">
        <f aca="false">+V12/V$8</f>
        <v>0</v>
      </c>
      <c r="X12" s="40"/>
      <c r="Y12" s="46" t="n">
        <f aca="false">Z12*Y$7</f>
        <v>0</v>
      </c>
      <c r="Z12" s="46" t="n">
        <v>0</v>
      </c>
      <c r="AA12" s="41" t="n">
        <f aca="false">+Z12/Z$8</f>
        <v>0</v>
      </c>
      <c r="AB12" s="40"/>
      <c r="AC12" s="46" t="n">
        <f aca="false">AD12*AC$7</f>
        <v>0</v>
      </c>
      <c r="AD12" s="46" t="n">
        <v>0</v>
      </c>
      <c r="AE12" s="41" t="n">
        <f aca="false">+AD12/AD$8</f>
        <v>0</v>
      </c>
      <c r="AF12" s="41"/>
      <c r="AG12" s="46" t="n">
        <f aca="false">+Y12+U12+Q12+AC12</f>
        <v>0</v>
      </c>
      <c r="AH12" s="23" t="n">
        <f aca="false">+AG12/AG$7</f>
        <v>0</v>
      </c>
      <c r="AI12" s="41" t="n">
        <f aca="false">+AH12/AH$8</f>
        <v>0</v>
      </c>
      <c r="AJ12" s="40"/>
      <c r="AK12" s="43"/>
      <c r="AL12" s="44" t="s">
        <v>91</v>
      </c>
      <c r="AM12" s="21" t="s">
        <v>92</v>
      </c>
      <c r="AN12" s="38" t="n">
        <f aca="false">AO12/$AO$48</f>
        <v>0.0146172889276238</v>
      </c>
      <c r="AO12" s="45" t="n">
        <f aca="false">AG12+AG13</f>
        <v>196211.892857143</v>
      </c>
      <c r="AP12" s="45" t="n">
        <f aca="false">+AO12/AP$7</f>
        <v>1464.26785714286</v>
      </c>
      <c r="AQ12" s="41" t="n">
        <f aca="false">+AO12/AQ$7</f>
        <v>1.22635498923187</v>
      </c>
    </row>
    <row r="13" customFormat="false" ht="12" hidden="false" customHeight="false" outlineLevel="0" collapsed="false">
      <c r="A13" s="20" t="s">
        <v>89</v>
      </c>
      <c r="B13" s="21" t="s">
        <v>93</v>
      </c>
      <c r="C13" s="37"/>
      <c r="D13" s="38" t="n">
        <f aca="false">L13/$L$88</f>
        <v>0.0259193016723938</v>
      </c>
      <c r="E13" s="39" t="s">
        <v>78</v>
      </c>
      <c r="F13" s="39" t="s">
        <v>78</v>
      </c>
      <c r="G13" s="39" t="s">
        <v>78</v>
      </c>
      <c r="H13" s="39" t="s">
        <v>78</v>
      </c>
      <c r="I13" s="39" t="s">
        <v>78</v>
      </c>
      <c r="J13" s="39" t="s">
        <v>78</v>
      </c>
      <c r="K13" s="39" t="s">
        <v>78</v>
      </c>
      <c r="L13" s="40" t="n">
        <f aca="false">M13*TRUnits</f>
        <v>18222</v>
      </c>
      <c r="M13" s="40" t="n">
        <f aca="false">(6797+11425)/14</f>
        <v>1301.57142857143</v>
      </c>
      <c r="N13" s="41" t="n">
        <f aca="false">$M13/N$8</f>
        <v>0.945909468438538</v>
      </c>
      <c r="O13" s="41" t="n">
        <f aca="false">$M13/O$8</f>
        <v>0.749753127057275</v>
      </c>
      <c r="P13" s="41"/>
      <c r="Q13" s="46" t="n">
        <f aca="false">R13*Q$7</f>
        <v>0</v>
      </c>
      <c r="R13" s="46" t="n">
        <f aca="false">+$M13*CMF</f>
        <v>1464.26785714286</v>
      </c>
      <c r="S13" s="41" t="n">
        <f aca="false">+R13/R$8</f>
        <v>1.2222603148104</v>
      </c>
      <c r="T13" s="40"/>
      <c r="U13" s="46" t="n">
        <f aca="false">V13*U$7</f>
        <v>68820.5892857143</v>
      </c>
      <c r="V13" s="46" t="n">
        <f aca="false">+$M13*CMF</f>
        <v>1464.26785714286</v>
      </c>
      <c r="W13" s="41" t="n">
        <f aca="false">+V13/V$8</f>
        <v>1.62696428571429</v>
      </c>
      <c r="X13" s="40"/>
      <c r="Y13" s="46" t="n">
        <f aca="false">Z13*Y$7</f>
        <v>77606.1964285714</v>
      </c>
      <c r="Z13" s="46" t="n">
        <f aca="false">+$M13*CMF</f>
        <v>1464.26785714286</v>
      </c>
      <c r="AA13" s="41" t="n">
        <f aca="false">+Z13/Z$8</f>
        <v>1.13773726273726</v>
      </c>
      <c r="AB13" s="40"/>
      <c r="AC13" s="46" t="n">
        <f aca="false">AD13*AC$7</f>
        <v>49785.1071428572</v>
      </c>
      <c r="AD13" s="46" t="n">
        <f aca="false">+$M13*CMF</f>
        <v>1464.26785714286</v>
      </c>
      <c r="AE13" s="41" t="n">
        <f aca="false">+AD13/AD$8</f>
        <v>1.0070617999607</v>
      </c>
      <c r="AF13" s="41"/>
      <c r="AG13" s="46" t="n">
        <f aca="false">+Y13+U13+Q13+AC13</f>
        <v>196211.892857143</v>
      </c>
      <c r="AH13" s="23" t="n">
        <f aca="false">+AG13/AG$7</f>
        <v>1464.26785714286</v>
      </c>
      <c r="AI13" s="41" t="n">
        <f aca="false">+AH13/AH$8</f>
        <v>1.22635498923187</v>
      </c>
      <c r="AJ13" s="40"/>
      <c r="AK13" s="43"/>
      <c r="AL13" s="44" t="s">
        <v>94</v>
      </c>
      <c r="AM13" s="21" t="s">
        <v>95</v>
      </c>
      <c r="AN13" s="38" t="n">
        <f aca="false">AO13/$AO$48</f>
        <v>0.0957399535458182</v>
      </c>
      <c r="AO13" s="45" t="n">
        <f aca="false">+AG15</f>
        <v>1285143.75</v>
      </c>
      <c r="AP13" s="45" t="n">
        <f aca="false">+AO13/AP$7</f>
        <v>9590.625</v>
      </c>
      <c r="AQ13" s="41" t="n">
        <f aca="false">+AO13/AQ$7</f>
        <v>8.03234924623116</v>
      </c>
    </row>
    <row r="14" customFormat="false" ht="12" hidden="false" customHeight="false" outlineLevel="0" collapsed="false">
      <c r="B14" s="63" t="s">
        <v>96</v>
      </c>
      <c r="C14" s="37"/>
      <c r="E14" s="39"/>
      <c r="F14" s="39"/>
      <c r="G14" s="39"/>
      <c r="H14" s="39"/>
      <c r="I14" s="39"/>
      <c r="J14" s="39"/>
      <c r="K14" s="39"/>
      <c r="L14" s="40"/>
      <c r="M14" s="40"/>
      <c r="N14" s="41"/>
      <c r="O14" s="41"/>
      <c r="P14" s="41"/>
      <c r="Q14" s="46"/>
      <c r="R14" s="46"/>
      <c r="S14" s="41"/>
      <c r="T14" s="40"/>
      <c r="U14" s="46"/>
      <c r="V14" s="46"/>
      <c r="W14" s="41"/>
      <c r="X14" s="40"/>
      <c r="Y14" s="46"/>
      <c r="Z14" s="46"/>
      <c r="AA14" s="41"/>
      <c r="AB14" s="40"/>
      <c r="AC14" s="46"/>
      <c r="AD14" s="46"/>
      <c r="AE14" s="41"/>
      <c r="AF14" s="41"/>
      <c r="AG14" s="46"/>
      <c r="AH14" s="23"/>
      <c r="AI14" s="41"/>
      <c r="AJ14" s="40"/>
      <c r="AK14" s="43"/>
      <c r="AL14" s="44" t="s">
        <v>97</v>
      </c>
      <c r="AM14" s="21" t="s">
        <v>98</v>
      </c>
      <c r="AN14" s="38" t="n">
        <f aca="false">AO14/$AO$48</f>
        <v>0.0497137890703731</v>
      </c>
      <c r="AO14" s="45" t="n">
        <f aca="false">+AG19+AG20</f>
        <v>667321.875</v>
      </c>
      <c r="AP14" s="45" t="n">
        <f aca="false">+AO14/AP$7</f>
        <v>4980.01399253731</v>
      </c>
      <c r="AQ14" s="41" t="n">
        <f aca="false">+AO14/AQ$7</f>
        <v>4.17086599039976</v>
      </c>
    </row>
    <row r="15" customFormat="false" ht="12" hidden="false" customHeight="false" outlineLevel="0" collapsed="false">
      <c r="A15" s="20" t="s">
        <v>99</v>
      </c>
      <c r="B15" s="20" t="s">
        <v>100</v>
      </c>
      <c r="C15" s="37"/>
      <c r="D15" s="38" t="n">
        <f aca="false">L15/$L$88</f>
        <v>0.0028875086376336</v>
      </c>
      <c r="E15" s="39" t="s">
        <v>78</v>
      </c>
      <c r="F15" s="39" t="s">
        <v>78</v>
      </c>
      <c r="G15" s="39" t="s">
        <v>78</v>
      </c>
      <c r="H15" s="39" t="s">
        <v>78</v>
      </c>
      <c r="I15" s="39" t="s">
        <v>78</v>
      </c>
      <c r="J15" s="39" t="s">
        <v>78</v>
      </c>
      <c r="K15" s="39" t="s">
        <v>78</v>
      </c>
      <c r="L15" s="40" t="n">
        <f aca="false">M15*TRUnits</f>
        <v>2030</v>
      </c>
      <c r="M15" s="40" t="n">
        <f aca="false">290/2</f>
        <v>145</v>
      </c>
      <c r="N15" s="41" t="n">
        <f aca="false">$M15/N$8</f>
        <v>0.105377906976744</v>
      </c>
      <c r="O15" s="41" t="n">
        <f aca="false">$M15/O$8</f>
        <v>0.0835253456221198</v>
      </c>
      <c r="P15" s="41"/>
      <c r="Q15" s="46" t="n">
        <f aca="false">R15*Q$7</f>
        <v>0</v>
      </c>
      <c r="R15" s="46" t="n">
        <f aca="false">5.5*S8*CMF</f>
        <v>7412.625</v>
      </c>
      <c r="S15" s="41" t="n">
        <f aca="false">+R15/R$8</f>
        <v>6.1875</v>
      </c>
      <c r="T15" s="40"/>
      <c r="U15" s="46" t="n">
        <f aca="false">V15*U$7</f>
        <v>450759.375</v>
      </c>
      <c r="V15" s="46" t="n">
        <f aca="false">5.5*1550*CMF</f>
        <v>9590.625</v>
      </c>
      <c r="W15" s="41" t="n">
        <f aca="false">+V15/V$8</f>
        <v>10.65625</v>
      </c>
      <c r="X15" s="40"/>
      <c r="Y15" s="46" t="n">
        <f aca="false">Z15*Y$7</f>
        <v>508303.125</v>
      </c>
      <c r="Z15" s="46" t="n">
        <f aca="false">5.5*1550*CMF</f>
        <v>9590.625</v>
      </c>
      <c r="AA15" s="41" t="n">
        <f aca="false">+Z15/Z$8</f>
        <v>7.45192307692308</v>
      </c>
      <c r="AB15" s="40"/>
      <c r="AC15" s="46" t="n">
        <f aca="false">AD15*AC$7</f>
        <v>326081.25</v>
      </c>
      <c r="AD15" s="46" t="n">
        <f aca="false">5.5*1550*CMF</f>
        <v>9590.625</v>
      </c>
      <c r="AE15" s="41" t="n">
        <f aca="false">+AD15/AD$8</f>
        <v>6.59602819807428</v>
      </c>
      <c r="AF15" s="41"/>
      <c r="AG15" s="46" t="n">
        <f aca="false">+Y15+U15+Q15+AC15</f>
        <v>1285143.75</v>
      </c>
      <c r="AH15" s="23" t="n">
        <f aca="false">+AG15/AG$7</f>
        <v>9590.625</v>
      </c>
      <c r="AI15" s="41" t="n">
        <f aca="false">+AH15/AH$8</f>
        <v>8.03234924623116</v>
      </c>
      <c r="AJ15" s="40"/>
      <c r="AK15" s="43"/>
      <c r="AL15" s="44" t="s">
        <v>101</v>
      </c>
      <c r="AM15" s="21" t="s">
        <v>102</v>
      </c>
      <c r="AN15" s="38" t="n">
        <f aca="false">AO15/$AO$48</f>
        <v>0.161314909360247</v>
      </c>
      <c r="AO15" s="45" t="n">
        <f aca="false">SUM(AG23:AG25)+SUM(AG28:AG32)+AG35</f>
        <v>2165374.43217919</v>
      </c>
      <c r="AP15" s="45" t="n">
        <f aca="false">+AO15/AP$7</f>
        <v>16159.5106879044</v>
      </c>
      <c r="AQ15" s="41" t="n">
        <f aca="false">+AO15/AQ$7</f>
        <v>13.5339285493337</v>
      </c>
    </row>
    <row r="16" customFormat="false" ht="12" hidden="false" customHeight="false" outlineLevel="0" collapsed="false">
      <c r="A16" s="20" t="s">
        <v>99</v>
      </c>
      <c r="B16" s="20" t="s">
        <v>103</v>
      </c>
      <c r="C16" s="37"/>
      <c r="D16" s="38" t="n">
        <f aca="false">L16/$L$88</f>
        <v>0.025937793107019</v>
      </c>
      <c r="E16" s="39" t="s">
        <v>78</v>
      </c>
      <c r="F16" s="39" t="s">
        <v>78</v>
      </c>
      <c r="G16" s="39" t="s">
        <v>78</v>
      </c>
      <c r="H16" s="39" t="s">
        <v>78</v>
      </c>
      <c r="I16" s="39" t="s">
        <v>78</v>
      </c>
      <c r="J16" s="39" t="s">
        <v>78</v>
      </c>
      <c r="K16" s="39" t="s">
        <v>78</v>
      </c>
      <c r="L16" s="40" t="n">
        <f aca="false">M16*TRUnits</f>
        <v>18235</v>
      </c>
      <c r="M16" s="40" t="n">
        <f aca="false">2605/2</f>
        <v>1302.5</v>
      </c>
      <c r="N16" s="41" t="n">
        <f aca="false">$M16/N$8</f>
        <v>0.946584302325581</v>
      </c>
      <c r="O16" s="41" t="n">
        <f aca="false">$M16/O$8</f>
        <v>0.75028801843318</v>
      </c>
      <c r="P16" s="41"/>
      <c r="Q16" s="46"/>
      <c r="R16" s="46"/>
      <c r="S16" s="41" t="n">
        <f aca="false">+R16/R$8</f>
        <v>0</v>
      </c>
      <c r="T16" s="40"/>
      <c r="U16" s="46"/>
      <c r="V16" s="46"/>
      <c r="W16" s="41" t="n">
        <f aca="false">+V16/V$8</f>
        <v>0</v>
      </c>
      <c r="X16" s="40"/>
      <c r="Y16" s="46"/>
      <c r="Z16" s="46"/>
      <c r="AA16" s="41" t="n">
        <f aca="false">+Z16/Z$8</f>
        <v>0</v>
      </c>
      <c r="AB16" s="40"/>
      <c r="AC16" s="46"/>
      <c r="AD16" s="46"/>
      <c r="AE16" s="41" t="n">
        <f aca="false">+AD16/AD$8</f>
        <v>0</v>
      </c>
      <c r="AF16" s="41"/>
      <c r="AG16" s="46" t="n">
        <f aca="false">+Y16+U16+Q16+AC16</f>
        <v>0</v>
      </c>
      <c r="AH16" s="23" t="n">
        <f aca="false">+AG16/AG$7</f>
        <v>0</v>
      </c>
      <c r="AI16" s="41" t="n">
        <f aca="false">+AH16/AH$8</f>
        <v>0</v>
      </c>
      <c r="AJ16" s="40"/>
      <c r="AK16" s="43"/>
      <c r="AL16" s="44" t="s">
        <v>104</v>
      </c>
      <c r="AM16" s="21" t="s">
        <v>105</v>
      </c>
      <c r="AN16" s="38" t="n">
        <f aca="false">AO16/$AO$48</f>
        <v>0.00892746408104977</v>
      </c>
      <c r="AO16" s="45" t="n">
        <f aca="false">AG40+AG41</f>
        <v>119835.80775</v>
      </c>
      <c r="AP16" s="45" t="n">
        <f aca="false">+AO16/AP$7</f>
        <v>894.297072761194</v>
      </c>
      <c r="AQ16" s="41" t="n">
        <f aca="false">+AO16/AQ$7</f>
        <v>0.748992523250581</v>
      </c>
    </row>
    <row r="17" customFormat="false" ht="12" hidden="false" customHeight="false" outlineLevel="0" collapsed="false">
      <c r="A17" s="20" t="s">
        <v>99</v>
      </c>
      <c r="B17" s="20" t="s">
        <v>106</v>
      </c>
      <c r="C17" s="37"/>
      <c r="D17" s="38" t="n">
        <f aca="false">L17/$L$88</f>
        <v>0.0749557414624335</v>
      </c>
      <c r="E17" s="39" t="s">
        <v>78</v>
      </c>
      <c r="F17" s="39" t="s">
        <v>78</v>
      </c>
      <c r="G17" s="39" t="s">
        <v>78</v>
      </c>
      <c r="H17" s="39" t="s">
        <v>78</v>
      </c>
      <c r="I17" s="39" t="s">
        <v>78</v>
      </c>
      <c r="J17" s="39" t="s">
        <v>78</v>
      </c>
      <c r="K17" s="39" t="s">
        <v>78</v>
      </c>
      <c r="L17" s="40" t="n">
        <f aca="false">M17*TRUnits</f>
        <v>52696</v>
      </c>
      <c r="M17" s="40" t="n">
        <f aca="false">7528/2</f>
        <v>3764</v>
      </c>
      <c r="N17" s="41" t="n">
        <f aca="false">$M17/N$8</f>
        <v>2.73546511627907</v>
      </c>
      <c r="O17" s="41" t="n">
        <f aca="false">$M17/O$8</f>
        <v>2.16820276497696</v>
      </c>
      <c r="P17" s="41"/>
      <c r="Q17" s="46"/>
      <c r="R17" s="46"/>
      <c r="S17" s="41" t="n">
        <f aca="false">+R17/R$8</f>
        <v>0</v>
      </c>
      <c r="T17" s="40"/>
      <c r="U17" s="46"/>
      <c r="V17" s="46"/>
      <c r="W17" s="41" t="n">
        <f aca="false">+V17/V$8</f>
        <v>0</v>
      </c>
      <c r="X17" s="40"/>
      <c r="Y17" s="46"/>
      <c r="Z17" s="46"/>
      <c r="AA17" s="41" t="n">
        <f aca="false">+Z17/Z$8</f>
        <v>0</v>
      </c>
      <c r="AB17" s="40"/>
      <c r="AC17" s="46"/>
      <c r="AD17" s="46"/>
      <c r="AE17" s="41" t="n">
        <f aca="false">+AD17/AD$8</f>
        <v>0</v>
      </c>
      <c r="AF17" s="41"/>
      <c r="AG17" s="46" t="n">
        <f aca="false">+Y17+U17+Q17+AC17</f>
        <v>0</v>
      </c>
      <c r="AH17" s="23" t="n">
        <f aca="false">+AG17/AG$7</f>
        <v>0</v>
      </c>
      <c r="AI17" s="41" t="n">
        <f aca="false">+AH17/AH$8</f>
        <v>0</v>
      </c>
      <c r="AJ17" s="40"/>
      <c r="AK17" s="43"/>
      <c r="AL17" s="44" t="s">
        <v>107</v>
      </c>
      <c r="AM17" s="21" t="s">
        <v>108</v>
      </c>
      <c r="AN17" s="38" t="n">
        <f aca="false">AO17/$AO$48</f>
        <v>0.0165323097478059</v>
      </c>
      <c r="AO17" s="45" t="n">
        <f aca="false">AG26+AG33</f>
        <v>221917.744458576</v>
      </c>
      <c r="AP17" s="45" t="n">
        <f aca="false">+AO17/AP$7</f>
        <v>1656.10257058639</v>
      </c>
      <c r="AQ17" s="41" t="n">
        <f aca="false">+AO17/AQ$7</f>
        <v>1.38702057838056</v>
      </c>
    </row>
    <row r="18" customFormat="false" ht="12" hidden="false" customHeight="false" outlineLevel="0" collapsed="false">
      <c r="B18" s="63" t="s">
        <v>109</v>
      </c>
      <c r="C18" s="37"/>
      <c r="E18" s="39"/>
      <c r="F18" s="39"/>
      <c r="G18" s="39"/>
      <c r="H18" s="39"/>
      <c r="I18" s="39"/>
      <c r="J18" s="39"/>
      <c r="K18" s="39"/>
      <c r="L18" s="40" t="n">
        <f aca="false">M18*TRUnits</f>
        <v>0</v>
      </c>
      <c r="M18" s="40"/>
      <c r="N18" s="41" t="n">
        <f aca="false">M18/1376</f>
        <v>0</v>
      </c>
      <c r="O18" s="41"/>
      <c r="P18" s="41"/>
      <c r="Q18" s="46"/>
      <c r="R18" s="46"/>
      <c r="S18" s="41"/>
      <c r="T18" s="40"/>
      <c r="U18" s="46"/>
      <c r="V18" s="46"/>
      <c r="W18" s="41"/>
      <c r="X18" s="40"/>
      <c r="Y18" s="46"/>
      <c r="Z18" s="46"/>
      <c r="AA18" s="41"/>
      <c r="AB18" s="40"/>
      <c r="AC18" s="46"/>
      <c r="AD18" s="46"/>
      <c r="AE18" s="41"/>
      <c r="AF18" s="41"/>
      <c r="AG18" s="46"/>
      <c r="AH18" s="23"/>
      <c r="AI18" s="41"/>
      <c r="AJ18" s="40"/>
      <c r="AK18" s="43"/>
      <c r="AL18" s="44" t="s">
        <v>110</v>
      </c>
      <c r="AM18" s="21" t="s">
        <v>111</v>
      </c>
      <c r="AN18" s="38" t="n">
        <f aca="false">AO18/$AO$48</f>
        <v>0.00701235340585513</v>
      </c>
      <c r="AO18" s="45" t="n">
        <f aca="false">+AG34</f>
        <v>94128.75</v>
      </c>
      <c r="AP18" s="45" t="n">
        <f aca="false">+AO18/AP$7</f>
        <v>702.453358208955</v>
      </c>
      <c r="AQ18" s="41" t="n">
        <f aca="false">+AO18/AQ$7</f>
        <v>0.588319395484887</v>
      </c>
    </row>
    <row r="19" customFormat="false" ht="12" hidden="false" customHeight="false" outlineLevel="0" collapsed="false">
      <c r="A19" s="20" t="s">
        <v>112</v>
      </c>
      <c r="B19" s="20" t="s">
        <v>113</v>
      </c>
      <c r="C19" s="37" t="n">
        <v>0.333</v>
      </c>
      <c r="D19" s="38" t="n">
        <f aca="false">L19/$L$88</f>
        <v>0.0454334548742142</v>
      </c>
      <c r="E19" s="39" t="s">
        <v>78</v>
      </c>
      <c r="F19" s="39" t="s">
        <v>78</v>
      </c>
      <c r="G19" s="39" t="s">
        <v>78</v>
      </c>
      <c r="H19" s="39" t="s">
        <v>78</v>
      </c>
      <c r="I19" s="39" t="s">
        <v>78</v>
      </c>
      <c r="J19" s="39" t="s">
        <v>78</v>
      </c>
      <c r="K19" s="39" t="s">
        <v>78</v>
      </c>
      <c r="L19" s="40" t="n">
        <f aca="false">M19*TRUnits</f>
        <v>31941</v>
      </c>
      <c r="M19" s="40" t="n">
        <f aca="false">4563/2</f>
        <v>2281.5</v>
      </c>
      <c r="N19" s="41" t="n">
        <f aca="false">$M19/N$8</f>
        <v>1.65806686046512</v>
      </c>
      <c r="O19" s="41" t="n">
        <f aca="false">$M19/O$8</f>
        <v>1.31422811059908</v>
      </c>
      <c r="P19" s="41"/>
      <c r="Q19" s="46" t="n">
        <f aca="false">R19*Q$7</f>
        <v>0</v>
      </c>
      <c r="R19" s="46" t="n">
        <f aca="false">(13500+300-1500)/2*0.33*CMF</f>
        <v>2283.1875</v>
      </c>
      <c r="S19" s="41" t="n">
        <f aca="false">+R19/R$8</f>
        <v>1.90583263772955</v>
      </c>
      <c r="T19" s="40"/>
      <c r="U19" s="46" t="n">
        <f aca="false">V19*U$7</f>
        <v>110799.5625</v>
      </c>
      <c r="V19" s="46" t="n">
        <f aca="false">(13500+300-1100)/2*0.33*CMF</f>
        <v>2357.4375</v>
      </c>
      <c r="W19" s="41" t="n">
        <f aca="false">+V19/V$8</f>
        <v>2.619375</v>
      </c>
      <c r="X19" s="40"/>
      <c r="Y19" s="46" t="n">
        <f aca="false">Z19*Y$7</f>
        <v>135766.125</v>
      </c>
      <c r="Z19" s="46" t="n">
        <f aca="false">(13500+300)/2*0.33*CMF</f>
        <v>2561.625</v>
      </c>
      <c r="AA19" s="41" t="n">
        <f aca="false">+Z19/Z$8</f>
        <v>1.99038461538462</v>
      </c>
      <c r="AB19" s="40"/>
      <c r="AC19" s="46" t="n">
        <f aca="false">AD19*AC$7</f>
        <v>87095.25</v>
      </c>
      <c r="AD19" s="46" t="n">
        <f aca="false">(13500+300)/2*0.33*CMF</f>
        <v>2561.625</v>
      </c>
      <c r="AE19" s="41" t="n">
        <f aca="false">+AD19/AD$8</f>
        <v>1.76177785419532</v>
      </c>
      <c r="AF19" s="41"/>
      <c r="AG19" s="46" t="n">
        <f aca="false">+Y19+U19+Q19+AC19</f>
        <v>333660.9375</v>
      </c>
      <c r="AH19" s="23" t="n">
        <f aca="false">+AG19/AG$7</f>
        <v>2490.00699626866</v>
      </c>
      <c r="AI19" s="41" t="n">
        <f aca="false">+AH19/AH$8</f>
        <v>2.08543299519988</v>
      </c>
      <c r="AJ19" s="40"/>
      <c r="AK19" s="43"/>
      <c r="AL19" s="44" t="s">
        <v>114</v>
      </c>
      <c r="AM19" s="21" t="s">
        <v>115</v>
      </c>
      <c r="AN19" s="38" t="n">
        <f aca="false">AO19/$AO$48</f>
        <v>0.0110339443698368</v>
      </c>
      <c r="AO19" s="45" t="n">
        <f aca="false">+AG62</f>
        <v>148111.6725</v>
      </c>
      <c r="AP19" s="45" t="n">
        <f aca="false">+AO19/AP$7</f>
        <v>1105.31098880597</v>
      </c>
      <c r="AQ19" s="41" t="n">
        <f aca="false">+AO19/AQ$7</f>
        <v>0.925721096152404</v>
      </c>
    </row>
    <row r="20" customFormat="false" ht="12.75" hidden="false" customHeight="false" outlineLevel="0" collapsed="false">
      <c r="A20" s="20" t="s">
        <v>116</v>
      </c>
      <c r="B20" s="20" t="s">
        <v>117</v>
      </c>
      <c r="C20" s="37" t="n">
        <v>0.333</v>
      </c>
      <c r="D20" s="38" t="n">
        <f aca="false">L20/$L$88</f>
        <v>0.0454334548742142</v>
      </c>
      <c r="E20" s="39" t="s">
        <v>78</v>
      </c>
      <c r="F20" s="39" t="s">
        <v>78</v>
      </c>
      <c r="G20" s="39" t="s">
        <v>78</v>
      </c>
      <c r="H20" s="39" t="s">
        <v>78</v>
      </c>
      <c r="I20" s="39" t="s">
        <v>78</v>
      </c>
      <c r="J20" s="39" t="s">
        <v>78</v>
      </c>
      <c r="K20" s="39" t="s">
        <v>78</v>
      </c>
      <c r="L20" s="40" t="n">
        <f aca="false">M20*TRUnits</f>
        <v>31941</v>
      </c>
      <c r="M20" s="40" t="n">
        <f aca="false">4563/2</f>
        <v>2281.5</v>
      </c>
      <c r="N20" s="41" t="n">
        <f aca="false">$M20/N$8</f>
        <v>1.65806686046512</v>
      </c>
      <c r="O20" s="41" t="n">
        <f aca="false">$M20/O$8</f>
        <v>1.31422811059908</v>
      </c>
      <c r="P20" s="41"/>
      <c r="Q20" s="46" t="n">
        <f aca="false">R20*Q$7</f>
        <v>0</v>
      </c>
      <c r="R20" s="46" t="n">
        <f aca="false">(13500+300-1500)/2*0.33*CMF</f>
        <v>2283.1875</v>
      </c>
      <c r="S20" s="41" t="n">
        <f aca="false">+R20/R$8</f>
        <v>1.90583263772955</v>
      </c>
      <c r="T20" s="40"/>
      <c r="U20" s="46" t="n">
        <f aca="false">V20*U$7</f>
        <v>110799.5625</v>
      </c>
      <c r="V20" s="46" t="n">
        <f aca="false">(13500+300-1100)/2*0.33*CMF</f>
        <v>2357.4375</v>
      </c>
      <c r="W20" s="41" t="n">
        <f aca="false">+V20/V$8</f>
        <v>2.619375</v>
      </c>
      <c r="X20" s="40"/>
      <c r="Y20" s="46" t="n">
        <f aca="false">Z20*Y$7</f>
        <v>135766.125</v>
      </c>
      <c r="Z20" s="46" t="n">
        <f aca="false">(13500+300)/2*0.33*CMF</f>
        <v>2561.625</v>
      </c>
      <c r="AA20" s="41" t="n">
        <f aca="false">+Z20/Z$8</f>
        <v>1.99038461538462</v>
      </c>
      <c r="AB20" s="40"/>
      <c r="AC20" s="46" t="n">
        <f aca="false">AD20*AC$7</f>
        <v>87095.25</v>
      </c>
      <c r="AD20" s="46" t="n">
        <f aca="false">(13500+300)/2*0.33*CMF</f>
        <v>2561.625</v>
      </c>
      <c r="AE20" s="41" t="n">
        <f aca="false">+AD20/AD$8</f>
        <v>1.76177785419532</v>
      </c>
      <c r="AF20" s="41"/>
      <c r="AG20" s="46" t="n">
        <f aca="false">+Y20+U20+Q20+AC20</f>
        <v>333660.9375</v>
      </c>
      <c r="AH20" s="23" t="n">
        <f aca="false">+AG20/AG$7</f>
        <v>2490.00699626866</v>
      </c>
      <c r="AI20" s="41" t="n">
        <f aca="false">+AH20/AH$8</f>
        <v>2.08543299519988</v>
      </c>
      <c r="AJ20" s="40"/>
      <c r="AK20" s="43"/>
      <c r="AL20" s="44" t="s">
        <v>118</v>
      </c>
      <c r="AM20" s="47" t="s">
        <v>119</v>
      </c>
      <c r="AN20" s="38" t="n">
        <f aca="false">AO20/$AO$48</f>
        <v>0.0189349842934991</v>
      </c>
      <c r="AO20" s="45" t="n">
        <f aca="false">AG43+AG44</f>
        <v>254169.50625</v>
      </c>
      <c r="AP20" s="45" t="n">
        <f aca="false">+AO20/AP$7</f>
        <v>1896.78736007463</v>
      </c>
      <c r="AQ20" s="41" t="n">
        <f aca="false">+AO20/AQ$7</f>
        <v>1.58859912904073</v>
      </c>
    </row>
    <row r="21" customFormat="false" ht="12.75" hidden="false" customHeight="false" outlineLevel="0" collapsed="false">
      <c r="A21" s="20" t="s">
        <v>116</v>
      </c>
      <c r="B21" s="20" t="s">
        <v>120</v>
      </c>
      <c r="C21" s="37" t="n">
        <v>0.333</v>
      </c>
      <c r="D21" s="38" t="n">
        <f aca="false">L21/$L$88</f>
        <v>0.0454334548742142</v>
      </c>
      <c r="E21" s="39" t="s">
        <v>78</v>
      </c>
      <c r="F21" s="39" t="s">
        <v>78</v>
      </c>
      <c r="G21" s="48"/>
      <c r="H21" s="39" t="s">
        <v>78</v>
      </c>
      <c r="I21" s="39" t="s">
        <v>78</v>
      </c>
      <c r="J21" s="48"/>
      <c r="K21" s="49" t="s">
        <v>78</v>
      </c>
      <c r="L21" s="40" t="n">
        <f aca="false">M21*TRUnits</f>
        <v>31941</v>
      </c>
      <c r="M21" s="40" t="n">
        <f aca="false">4563/2</f>
        <v>2281.5</v>
      </c>
      <c r="N21" s="41" t="n">
        <f aca="false">$M21/N$8</f>
        <v>1.65806686046512</v>
      </c>
      <c r="O21" s="41" t="n">
        <f aca="false">$M21/O$8</f>
        <v>1.31422811059908</v>
      </c>
      <c r="P21" s="41"/>
      <c r="Q21" s="46" t="n">
        <f aca="false">R21*Q$7</f>
        <v>0</v>
      </c>
      <c r="R21" s="46" t="n">
        <f aca="false">(13500+300-1500)/2*0.33*CMF</f>
        <v>2283.1875</v>
      </c>
      <c r="S21" s="41" t="n">
        <f aca="false">+R21/R$8</f>
        <v>1.90583263772955</v>
      </c>
      <c r="T21" s="40"/>
      <c r="U21" s="46" t="n">
        <f aca="false">V21*U$7</f>
        <v>110799.5625</v>
      </c>
      <c r="V21" s="46" t="n">
        <f aca="false">(13500+300-1100)/2*0.33*CMF</f>
        <v>2357.4375</v>
      </c>
      <c r="W21" s="41" t="n">
        <f aca="false">+V21/V$8</f>
        <v>2.619375</v>
      </c>
      <c r="X21" s="40"/>
      <c r="Y21" s="46" t="n">
        <f aca="false">Z21*Y$7</f>
        <v>135766.125</v>
      </c>
      <c r="Z21" s="46" t="n">
        <f aca="false">(13500+300)/2*0.33*CMF</f>
        <v>2561.625</v>
      </c>
      <c r="AA21" s="41" t="n">
        <f aca="false">+Z21/Z$8</f>
        <v>1.99038461538462</v>
      </c>
      <c r="AB21" s="40"/>
      <c r="AC21" s="46" t="n">
        <f aca="false">AD21*AC$7</f>
        <v>87095.25</v>
      </c>
      <c r="AD21" s="46" t="n">
        <f aca="false">(13500+300)/2*0.33*CMF</f>
        <v>2561.625</v>
      </c>
      <c r="AE21" s="41" t="n">
        <f aca="false">+AD21/AD$8</f>
        <v>1.76177785419532</v>
      </c>
      <c r="AF21" s="41"/>
      <c r="AG21" s="46" t="n">
        <f aca="false">+Y21+U21+Q21+AC21</f>
        <v>333660.9375</v>
      </c>
      <c r="AH21" s="23" t="n">
        <f aca="false">+AG21/AG$7</f>
        <v>2490.00699626866</v>
      </c>
      <c r="AI21" s="41" t="n">
        <f aca="false">+AH21/AH$8</f>
        <v>2.08543299519988</v>
      </c>
      <c r="AJ21" s="40"/>
      <c r="AK21" s="43"/>
      <c r="AL21" s="44" t="s">
        <v>121</v>
      </c>
      <c r="AM21" s="21" t="s">
        <v>122</v>
      </c>
      <c r="AN21" s="38" t="n">
        <f aca="false">AO21/$AO$48</f>
        <v>0.0156839694220316</v>
      </c>
      <c r="AO21" s="45" t="n">
        <f aca="false">AG50</f>
        <v>210530.23875</v>
      </c>
      <c r="AP21" s="45" t="n">
        <f aca="false">+AO21/AP$7</f>
        <v>1571.12118470149</v>
      </c>
      <c r="AQ21" s="41" t="n">
        <f aca="false">+AO21/AQ$7</f>
        <v>1.31584688835971</v>
      </c>
    </row>
    <row r="22" customFormat="false" ht="12" hidden="false" customHeight="false" outlineLevel="0" collapsed="false">
      <c r="B22" s="63" t="s">
        <v>123</v>
      </c>
      <c r="C22" s="37"/>
      <c r="E22" s="39"/>
      <c r="F22" s="39"/>
      <c r="G22" s="39"/>
      <c r="H22" s="39"/>
      <c r="I22" s="39"/>
      <c r="J22" s="39"/>
      <c r="K22" s="39"/>
      <c r="L22" s="40"/>
      <c r="M22" s="40"/>
      <c r="N22" s="41" t="n">
        <f aca="false">M22/1376</f>
        <v>0</v>
      </c>
      <c r="O22" s="41"/>
      <c r="P22" s="41"/>
      <c r="Q22" s="46"/>
      <c r="R22" s="46"/>
      <c r="S22" s="41"/>
      <c r="T22" s="40"/>
      <c r="U22" s="46"/>
      <c r="V22" s="46"/>
      <c r="W22" s="41"/>
      <c r="X22" s="40"/>
      <c r="Y22" s="46"/>
      <c r="Z22" s="46"/>
      <c r="AA22" s="41"/>
      <c r="AB22" s="40"/>
      <c r="AC22" s="46"/>
      <c r="AD22" s="46"/>
      <c r="AE22" s="41"/>
      <c r="AF22" s="41"/>
      <c r="AG22" s="46"/>
      <c r="AH22" s="23"/>
      <c r="AI22" s="41"/>
      <c r="AJ22" s="40"/>
      <c r="AK22" s="43"/>
      <c r="AL22" s="44" t="s">
        <v>124</v>
      </c>
      <c r="AM22" s="21" t="s">
        <v>125</v>
      </c>
      <c r="AN22" s="38" t="n">
        <f aca="false">AO22/$AO$48</f>
        <v>0.0156839694220316</v>
      </c>
      <c r="AO22" s="45" t="n">
        <f aca="false">AG51</f>
        <v>210530.23875</v>
      </c>
      <c r="AP22" s="45" t="n">
        <f aca="false">+AO22/AP$7</f>
        <v>1571.12118470149</v>
      </c>
      <c r="AQ22" s="41" t="n">
        <f aca="false">+AO22/AQ$7</f>
        <v>1.31584688835971</v>
      </c>
    </row>
    <row r="23" customFormat="false" ht="12" hidden="false" customHeight="false" outlineLevel="0" collapsed="false">
      <c r="A23" s="20" t="s">
        <v>126</v>
      </c>
      <c r="B23" s="20" t="s">
        <v>127</v>
      </c>
      <c r="C23" s="37" t="n">
        <v>0.15</v>
      </c>
      <c r="D23" s="38" t="n">
        <f aca="false">L23/$L$88</f>
        <v>0.0144873278198513</v>
      </c>
      <c r="E23" s="39" t="s">
        <v>78</v>
      </c>
      <c r="F23" s="39" t="s">
        <v>78</v>
      </c>
      <c r="G23" s="39" t="s">
        <v>78</v>
      </c>
      <c r="H23" s="39" t="s">
        <v>78</v>
      </c>
      <c r="I23" s="39" t="s">
        <v>78</v>
      </c>
      <c r="J23" s="39" t="s">
        <v>78</v>
      </c>
      <c r="K23" s="39" t="s">
        <v>78</v>
      </c>
      <c r="L23" s="40" t="n">
        <f aca="false">M23*TRUnits</f>
        <v>10185</v>
      </c>
      <c r="M23" s="40" t="n">
        <f aca="false">1455/2</f>
        <v>727.5</v>
      </c>
      <c r="N23" s="41" t="n">
        <f aca="false">$M23/N$8</f>
        <v>0.528706395348837</v>
      </c>
      <c r="O23" s="41" t="n">
        <f aca="false">$M23/O$8</f>
        <v>0.419066820276498</v>
      </c>
      <c r="P23" s="41"/>
      <c r="Q23" s="46" t="n">
        <f aca="false">R23*Q$7</f>
        <v>0</v>
      </c>
      <c r="R23" s="46" t="n">
        <f aca="false">R$8*$N23*CMF</f>
        <v>712.564044331395</v>
      </c>
      <c r="S23" s="41" t="n">
        <f aca="false">+R23/R$8</f>
        <v>0.594794694767442</v>
      </c>
      <c r="T23" s="40"/>
      <c r="U23" s="46" t="n">
        <f aca="false">V23*U$7</f>
        <v>25159.8155886628</v>
      </c>
      <c r="V23" s="46" t="n">
        <f aca="false">V$8*$N23*CMF</f>
        <v>535.315225290698</v>
      </c>
      <c r="W23" s="41" t="n">
        <f aca="false">+V23/V$8</f>
        <v>0.594794694767442</v>
      </c>
      <c r="X23" s="40"/>
      <c r="Y23" s="46" t="n">
        <f aca="false">Z23*Y$7</f>
        <v>40571.540924782</v>
      </c>
      <c r="Z23" s="46" t="n">
        <f aca="false">Z$8*$N23*CMF</f>
        <v>765.500772165698</v>
      </c>
      <c r="AA23" s="41" t="n">
        <f aca="false">+Z23/Z$8</f>
        <v>0.594794694767442</v>
      </c>
      <c r="AB23" s="40"/>
      <c r="AC23" s="46" t="n">
        <f aca="false">AD23*AC$7</f>
        <v>29404.2705305233</v>
      </c>
      <c r="AD23" s="46" t="n">
        <f aca="false">AD$8*$N23*CMF</f>
        <v>864.83148619186</v>
      </c>
      <c r="AE23" s="41" t="n">
        <f aca="false">+AD23/AD$8</f>
        <v>0.594794694767442</v>
      </c>
      <c r="AF23" s="41"/>
      <c r="AG23" s="46" t="n">
        <f aca="false">+Y23+U23+Q23+AC23</f>
        <v>95135.627043968</v>
      </c>
      <c r="AH23" s="23" t="n">
        <f aca="false">+AG23/AG$7</f>
        <v>709.967365999761</v>
      </c>
      <c r="AI23" s="41" t="n">
        <f aca="false">+AH23/AH$8</f>
        <v>0.594612534338159</v>
      </c>
      <c r="AJ23" s="40"/>
      <c r="AK23" s="43"/>
      <c r="AL23" s="44" t="s">
        <v>128</v>
      </c>
      <c r="AM23" s="21" t="s">
        <v>129</v>
      </c>
      <c r="AN23" s="38" t="n">
        <f aca="false">AO23/$AO$48</f>
        <v>0.0113943367595956</v>
      </c>
      <c r="AO23" s="50" t="n">
        <f aca="false">AG52</f>
        <v>152949.31875</v>
      </c>
      <c r="AP23" s="45" t="n">
        <f aca="false">+AO23/AP$7</f>
        <v>1141.41282649254</v>
      </c>
      <c r="AQ23" s="41" t="n">
        <f aca="false">+AO23/AQ$7</f>
        <v>0.955957141116028</v>
      </c>
    </row>
    <row r="24" customFormat="false" ht="12" hidden="false" customHeight="false" outlineLevel="0" collapsed="false">
      <c r="A24" s="20" t="s">
        <v>126</v>
      </c>
      <c r="B24" s="20" t="s">
        <v>130</v>
      </c>
      <c r="C24" s="37" t="n">
        <v>0.25</v>
      </c>
      <c r="D24" s="38" t="n">
        <f aca="false">L24/$L$88</f>
        <v>0.0241455463664189</v>
      </c>
      <c r="E24" s="39" t="s">
        <v>78</v>
      </c>
      <c r="F24" s="39" t="s">
        <v>78</v>
      </c>
      <c r="G24" s="39" t="s">
        <v>78</v>
      </c>
      <c r="H24" s="39" t="s">
        <v>78</v>
      </c>
      <c r="I24" s="39" t="s">
        <v>78</v>
      </c>
      <c r="J24" s="39" t="s">
        <v>78</v>
      </c>
      <c r="K24" s="39" t="s">
        <v>78</v>
      </c>
      <c r="L24" s="40" t="n">
        <f aca="false">M24*TRUnits</f>
        <v>16975</v>
      </c>
      <c r="M24" s="40" t="n">
        <f aca="false">2425/2</f>
        <v>1212.5</v>
      </c>
      <c r="N24" s="41" t="n">
        <f aca="false">$M24/N$8</f>
        <v>0.881177325581395</v>
      </c>
      <c r="O24" s="41" t="n">
        <f aca="false">$M24/O$8</f>
        <v>0.69844470046083</v>
      </c>
      <c r="P24" s="41"/>
      <c r="Q24" s="46" t="n">
        <f aca="false">R24*Q$7</f>
        <v>0</v>
      </c>
      <c r="R24" s="46" t="n">
        <v>0</v>
      </c>
      <c r="S24" s="41" t="n">
        <f aca="false">+R24/R$8</f>
        <v>0</v>
      </c>
      <c r="T24" s="40"/>
      <c r="U24" s="46" t="n">
        <f aca="false">V24*U$7</f>
        <v>41933.0259811047</v>
      </c>
      <c r="V24" s="46" t="n">
        <f aca="false">V$8*$N24*CMF</f>
        <v>892.192042151163</v>
      </c>
      <c r="W24" s="41" t="n">
        <f aca="false">+V24/V$8</f>
        <v>0.99132449127907</v>
      </c>
      <c r="X24" s="40"/>
      <c r="Y24" s="46" t="n">
        <f aca="false">Z24*Y$7</f>
        <v>67619.2348746366</v>
      </c>
      <c r="Z24" s="46" t="n">
        <f aca="false">Z$8*$N24*CMF</f>
        <v>1275.83462027616</v>
      </c>
      <c r="AA24" s="41" t="n">
        <f aca="false">+Z24/Z$8</f>
        <v>0.99132449127907</v>
      </c>
      <c r="AB24" s="40"/>
      <c r="AC24" s="46" t="n">
        <f aca="false">AD24*AC$7</f>
        <v>49007.1175508721</v>
      </c>
      <c r="AD24" s="46" t="n">
        <f aca="false">AD$8*$N24*CMF</f>
        <v>1441.38581031977</v>
      </c>
      <c r="AE24" s="41" t="n">
        <f aca="false">+AD24/AD$8</f>
        <v>0.99132449127907</v>
      </c>
      <c r="AF24" s="41"/>
      <c r="AG24" s="46" t="n">
        <f aca="false">+Y24+U24+Q24+AC24</f>
        <v>158559.378406613</v>
      </c>
      <c r="AH24" s="23" t="n">
        <f aca="false">+AG24/AG$7</f>
        <v>1183.27894333294</v>
      </c>
      <c r="AI24" s="41" t="n">
        <f aca="false">+AH24/AH$8</f>
        <v>0.991020890563598</v>
      </c>
      <c r="AJ24" s="40"/>
      <c r="AK24" s="43"/>
      <c r="AL24" s="44" t="s">
        <v>131</v>
      </c>
      <c r="AM24" s="21" t="s">
        <v>132</v>
      </c>
      <c r="AN24" s="21" t="s">
        <v>133</v>
      </c>
      <c r="AO24" s="45"/>
      <c r="AP24" s="45" t="n">
        <f aca="false">+AO24/AP$7</f>
        <v>0</v>
      </c>
      <c r="AQ24" s="41" t="n">
        <f aca="false">+AO24/AQ$7</f>
        <v>0</v>
      </c>
    </row>
    <row r="25" customFormat="false" ht="12" hidden="false" customHeight="false" outlineLevel="0" collapsed="false">
      <c r="A25" s="20" t="s">
        <v>126</v>
      </c>
      <c r="B25" s="20" t="s">
        <v>134</v>
      </c>
      <c r="C25" s="37" t="n">
        <v>0.25</v>
      </c>
      <c r="D25" s="38" t="n">
        <f aca="false">L25/$L$88</f>
        <v>0.0241455463664189</v>
      </c>
      <c r="E25" s="39" t="s">
        <v>78</v>
      </c>
      <c r="F25" s="39" t="s">
        <v>78</v>
      </c>
      <c r="G25" s="39" t="s">
        <v>78</v>
      </c>
      <c r="H25" s="39" t="s">
        <v>78</v>
      </c>
      <c r="I25" s="39" t="s">
        <v>78</v>
      </c>
      <c r="J25" s="39" t="s">
        <v>78</v>
      </c>
      <c r="K25" s="39" t="s">
        <v>78</v>
      </c>
      <c r="L25" s="40" t="n">
        <f aca="false">M25*TRUnits</f>
        <v>16975</v>
      </c>
      <c r="M25" s="40" t="n">
        <f aca="false">2425/2</f>
        <v>1212.5</v>
      </c>
      <c r="N25" s="41" t="n">
        <f aca="false">$M25/N$8</f>
        <v>0.881177325581395</v>
      </c>
      <c r="O25" s="41" t="n">
        <f aca="false">$M25/O$8</f>
        <v>0.69844470046083</v>
      </c>
      <c r="P25" s="41"/>
      <c r="Q25" s="46" t="n">
        <f aca="false">R25*Q$7</f>
        <v>0</v>
      </c>
      <c r="R25" s="46" t="n">
        <f aca="false">R$8*$N25*CMF</f>
        <v>1187.60674055233</v>
      </c>
      <c r="S25" s="41" t="n">
        <f aca="false">+R25/R$8</f>
        <v>0.99132449127907</v>
      </c>
      <c r="T25" s="40"/>
      <c r="U25" s="46" t="n">
        <f aca="false">V25*U$7</f>
        <v>41933.0259811047</v>
      </c>
      <c r="V25" s="46" t="n">
        <f aca="false">V$8*$N25*CMF</f>
        <v>892.192042151163</v>
      </c>
      <c r="W25" s="41" t="n">
        <f aca="false">+V25/V$8</f>
        <v>0.99132449127907</v>
      </c>
      <c r="X25" s="40"/>
      <c r="Y25" s="46" t="n">
        <f aca="false">Z25*Y$7</f>
        <v>67619.2348746366</v>
      </c>
      <c r="Z25" s="46" t="n">
        <f aca="false">Z$8*$N25*CMF</f>
        <v>1275.83462027616</v>
      </c>
      <c r="AA25" s="41" t="n">
        <f aca="false">+Z25/Z$8</f>
        <v>0.99132449127907</v>
      </c>
      <c r="AB25" s="40"/>
      <c r="AC25" s="46" t="n">
        <f aca="false">AD25*AC$7</f>
        <v>49007.1175508721</v>
      </c>
      <c r="AD25" s="46" t="n">
        <f aca="false">AD$8*$N25*CMF</f>
        <v>1441.38581031977</v>
      </c>
      <c r="AE25" s="41" t="n">
        <f aca="false">+AD25/AD$8</f>
        <v>0.99132449127907</v>
      </c>
      <c r="AF25" s="41"/>
      <c r="AG25" s="46" t="n">
        <f aca="false">+Y25+U25+Q25+AC25</f>
        <v>158559.378406613</v>
      </c>
      <c r="AH25" s="23" t="n">
        <f aca="false">+AG25/AG$7</f>
        <v>1183.27894333294</v>
      </c>
      <c r="AI25" s="41" t="n">
        <f aca="false">+AH25/AH$8</f>
        <v>0.991020890563598</v>
      </c>
      <c r="AJ25" s="40"/>
      <c r="AK25" s="43"/>
      <c r="AL25" s="44" t="s">
        <v>135</v>
      </c>
      <c r="AM25" s="21" t="s">
        <v>136</v>
      </c>
      <c r="AN25" s="38" t="n">
        <f aca="false">AO25/$AO$48</f>
        <v>0.0248568945351866</v>
      </c>
      <c r="AO25" s="45" t="n">
        <f aca="false">+AG21</f>
        <v>333660.9375</v>
      </c>
      <c r="AP25" s="45" t="n">
        <f aca="false">+AO25/AP$7</f>
        <v>2490.00699626866</v>
      </c>
      <c r="AQ25" s="41" t="n">
        <f aca="false">+AO25/AQ$7</f>
        <v>2.08543299519988</v>
      </c>
    </row>
    <row r="26" customFormat="false" ht="12" hidden="false" customHeight="false" outlineLevel="0" collapsed="false">
      <c r="A26" s="20" t="s">
        <v>137</v>
      </c>
      <c r="B26" s="20" t="s">
        <v>138</v>
      </c>
      <c r="C26" s="37" t="n">
        <v>0.35</v>
      </c>
      <c r="D26" s="38" t="n">
        <f aca="false">L26/$L$88</f>
        <v>0.0337938079866498</v>
      </c>
      <c r="E26" s="39" t="s">
        <v>78</v>
      </c>
      <c r="F26" s="39" t="s">
        <v>78</v>
      </c>
      <c r="G26" s="39" t="s">
        <v>78</v>
      </c>
      <c r="H26" s="39" t="s">
        <v>78</v>
      </c>
      <c r="I26" s="39" t="s">
        <v>78</v>
      </c>
      <c r="J26" s="39" t="s">
        <v>78</v>
      </c>
      <c r="K26" s="39" t="s">
        <v>78</v>
      </c>
      <c r="L26" s="40" t="n">
        <f aca="false">M26*TRUnits</f>
        <v>23758</v>
      </c>
      <c r="M26" s="40" t="n">
        <f aca="false">3394/2</f>
        <v>1697</v>
      </c>
      <c r="N26" s="41" t="n">
        <f aca="false">$M26/N$8</f>
        <v>1.23328488372093</v>
      </c>
      <c r="O26" s="41" t="n">
        <f aca="false">$M26/O$8</f>
        <v>0.977534562211982</v>
      </c>
      <c r="P26" s="41"/>
      <c r="Q26" s="46" t="n">
        <f aca="false">R26*Q$7</f>
        <v>0</v>
      </c>
      <c r="R26" s="46" t="n">
        <f aca="false">R$8*$N26*CMF</f>
        <v>1662.15970203488</v>
      </c>
      <c r="S26" s="41" t="n">
        <f aca="false">+R26/R$8</f>
        <v>1.38744549418605</v>
      </c>
      <c r="T26" s="40"/>
      <c r="U26" s="46" t="n">
        <f aca="false">V26*U$7</f>
        <v>58688.9444040698</v>
      </c>
      <c r="V26" s="46" t="n">
        <f aca="false">V$8*$N26*CMF</f>
        <v>1248.70094476744</v>
      </c>
      <c r="W26" s="41" t="n">
        <f aca="false">+V26/V$8</f>
        <v>1.38744549418605</v>
      </c>
      <c r="X26" s="40"/>
      <c r="Y26" s="46" t="n">
        <f aca="false">Z26*Y$7</f>
        <v>94639.0446039244</v>
      </c>
      <c r="Z26" s="46" t="n">
        <f aca="false">Z$8*$N26*CMF</f>
        <v>1785.64235101744</v>
      </c>
      <c r="AA26" s="41" t="n">
        <f aca="false">+Z26/Z$8</f>
        <v>1.38744549418605</v>
      </c>
      <c r="AB26" s="40"/>
      <c r="AC26" s="46" t="n">
        <f aca="false">AD26*AC$7</f>
        <v>68589.7554505814</v>
      </c>
      <c r="AD26" s="46" t="n">
        <f aca="false">AD$8*$N26*CMF</f>
        <v>2017.34574854651</v>
      </c>
      <c r="AE26" s="41" t="n">
        <f aca="false">+AD26/AD$8</f>
        <v>1.38744549418605</v>
      </c>
      <c r="AF26" s="41"/>
      <c r="AG26" s="46" t="n">
        <f aca="false">+Y26+U26+Q26+AC26</f>
        <v>221917.744458576</v>
      </c>
      <c r="AH26" s="23" t="n">
        <f aca="false">+AG26/AG$7</f>
        <v>1656.10257058639</v>
      </c>
      <c r="AI26" s="41" t="n">
        <f aca="false">+AH26/AH$8</f>
        <v>1.38702057838056</v>
      </c>
      <c r="AJ26" s="40"/>
      <c r="AK26" s="43"/>
      <c r="AL26" s="44" t="s">
        <v>139</v>
      </c>
      <c r="AM26" s="21" t="s">
        <v>140</v>
      </c>
      <c r="AN26" s="38" t="n">
        <f aca="false">AO26/$AO$48</f>
        <v>0</v>
      </c>
      <c r="AO26" s="21" t="n">
        <f aca="false">+AG37+AG38</f>
        <v>0</v>
      </c>
      <c r="AP26" s="45" t="n">
        <f aca="false">+AO26/AP$7</f>
        <v>0</v>
      </c>
      <c r="AQ26" s="41" t="n">
        <f aca="false">+AO26/AQ$7</f>
        <v>0</v>
      </c>
    </row>
    <row r="27" customFormat="false" ht="12" hidden="false" customHeight="false" outlineLevel="0" collapsed="false">
      <c r="B27" s="63" t="s">
        <v>141</v>
      </c>
      <c r="C27" s="37"/>
      <c r="E27" s="51"/>
      <c r="F27" s="51"/>
      <c r="G27" s="51"/>
      <c r="H27" s="51"/>
      <c r="I27" s="51"/>
      <c r="J27" s="51"/>
      <c r="K27" s="51"/>
      <c r="L27" s="40"/>
      <c r="M27" s="40"/>
      <c r="N27" s="41"/>
      <c r="O27" s="41"/>
      <c r="P27" s="41"/>
      <c r="Q27" s="46"/>
      <c r="R27" s="52"/>
      <c r="S27" s="41"/>
      <c r="T27" s="40"/>
      <c r="U27" s="46"/>
      <c r="V27" s="46"/>
      <c r="W27" s="41"/>
      <c r="X27" s="40"/>
      <c r="Y27" s="46"/>
      <c r="Z27" s="46"/>
      <c r="AA27" s="41"/>
      <c r="AB27" s="40"/>
      <c r="AC27" s="46"/>
      <c r="AD27" s="46"/>
      <c r="AE27" s="41"/>
      <c r="AF27" s="41"/>
      <c r="AG27" s="46"/>
      <c r="AH27" s="23"/>
      <c r="AI27" s="41"/>
      <c r="AJ27" s="40"/>
      <c r="AK27" s="43"/>
      <c r="AL27" s="44" t="s">
        <v>142</v>
      </c>
      <c r="AM27" s="21" t="s">
        <v>143</v>
      </c>
      <c r="AN27" s="38" t="n">
        <f aca="false">AO27/$AO$48</f>
        <v>0</v>
      </c>
      <c r="AO27" s="45" t="n">
        <v>0</v>
      </c>
      <c r="AP27" s="45" t="n">
        <f aca="false">+AO27/AP$7</f>
        <v>0</v>
      </c>
      <c r="AQ27" s="41" t="n">
        <f aca="false">+AO27/AQ$7</f>
        <v>0</v>
      </c>
    </row>
    <row r="28" customFormat="false" ht="12" hidden="false" customHeight="false" outlineLevel="0" collapsed="false">
      <c r="A28" s="20" t="s">
        <v>126</v>
      </c>
      <c r="B28" s="20" t="s">
        <v>144</v>
      </c>
      <c r="C28" s="37"/>
      <c r="D28" s="38" t="n">
        <f aca="false">L28/$L$88</f>
        <v>0.0649092027887359</v>
      </c>
      <c r="E28" s="39" t="s">
        <v>78</v>
      </c>
      <c r="F28" s="39" t="s">
        <v>78</v>
      </c>
      <c r="G28" s="39" t="s">
        <v>78</v>
      </c>
      <c r="H28" s="39" t="s">
        <v>78</v>
      </c>
      <c r="I28" s="39" t="s">
        <v>78</v>
      </c>
      <c r="J28" s="39" t="s">
        <v>78</v>
      </c>
      <c r="K28" s="39" t="s">
        <v>78</v>
      </c>
      <c r="L28" s="40" t="n">
        <f aca="false">M28*TRUnits</f>
        <v>45633</v>
      </c>
      <c r="M28" s="53" t="n">
        <f aca="false">(2975+(24808/7))/2</f>
        <v>3259.5</v>
      </c>
      <c r="N28" s="41" t="n">
        <f aca="false">$M28/N$8</f>
        <v>2.3688226744186</v>
      </c>
      <c r="O28" s="41" t="n">
        <f aca="false">$M28/O$8</f>
        <v>1.87759216589862</v>
      </c>
      <c r="P28" s="41"/>
      <c r="Q28" s="46" t="n">
        <f aca="false">R28*Q$7</f>
        <v>0</v>
      </c>
      <c r="R28" s="46" t="n">
        <f aca="false">R$8*$N28*CMF</f>
        <v>3192.58075944767</v>
      </c>
      <c r="S28" s="41" t="n">
        <f aca="false">+R28/R$8</f>
        <v>2.66492550872093</v>
      </c>
      <c r="T28" s="40"/>
      <c r="U28" s="46" t="n">
        <f aca="false">V28*U$7</f>
        <v>112726.349018895</v>
      </c>
      <c r="V28" s="46" t="n">
        <f aca="false">V$8*$N28*CMF</f>
        <v>2398.43295784884</v>
      </c>
      <c r="W28" s="41" t="n">
        <f aca="false">+V28/V$8</f>
        <v>2.66492550872093</v>
      </c>
      <c r="X28" s="40"/>
      <c r="Y28" s="46" t="n">
        <f aca="false">Z28*Y$7</f>
        <v>181777.233875363</v>
      </c>
      <c r="Z28" s="46" t="n">
        <f aca="false">Z$8*$N28*CMF</f>
        <v>3429.75912972384</v>
      </c>
      <c r="AA28" s="41" t="n">
        <f aca="false">+Z28/Z$8</f>
        <v>2.66492550872093</v>
      </c>
      <c r="AB28" s="40"/>
      <c r="AC28" s="46" t="n">
        <f aca="false">AD28*AC$7</f>
        <v>131743.257449128</v>
      </c>
      <c r="AD28" s="46" t="n">
        <f aca="false">AD$8*$N28*CMF</f>
        <v>3874.80168968023</v>
      </c>
      <c r="AE28" s="41" t="n">
        <f aca="false">+AD28/AD$8</f>
        <v>2.66492550872093</v>
      </c>
      <c r="AF28" s="41"/>
      <c r="AG28" s="46" t="n">
        <f aca="false">+Y28+U28+Q28+AC28</f>
        <v>426246.840343387</v>
      </c>
      <c r="AH28" s="23" t="n">
        <f aca="false">+AG28/AG$7</f>
        <v>3180.94656972677</v>
      </c>
      <c r="AI28" s="41" t="n">
        <f aca="false">+AH28/AH$8</f>
        <v>2.66410935488004</v>
      </c>
      <c r="AJ28" s="40"/>
      <c r="AK28" s="43"/>
      <c r="AL28" s="44" t="s">
        <v>145</v>
      </c>
      <c r="AM28" s="21" t="s">
        <v>146</v>
      </c>
      <c r="AN28" s="38" t="n">
        <f aca="false">AO28/$AO$48</f>
        <v>0.0403138537871544</v>
      </c>
      <c r="AO28" s="45" t="n">
        <f aca="false">+AG54+AG55</f>
        <v>541143.95625</v>
      </c>
      <c r="AP28" s="45" t="n">
        <f aca="false">+AO28/AP$7</f>
        <v>4038.38773320896</v>
      </c>
      <c r="AQ28" s="41" t="n">
        <f aca="false">+AO28/AQ$7</f>
        <v>3.38223428241956</v>
      </c>
    </row>
    <row r="29" customFormat="false" ht="12" hidden="false" customHeight="false" outlineLevel="0" collapsed="false">
      <c r="A29" s="20" t="s">
        <v>126</v>
      </c>
      <c r="B29" s="20" t="s">
        <v>147</v>
      </c>
      <c r="C29" s="37"/>
      <c r="D29" s="38" t="n">
        <f aca="false">L29/$L$88</f>
        <v>0.0582266827987839</v>
      </c>
      <c r="E29" s="39" t="s">
        <v>78</v>
      </c>
      <c r="F29" s="39" t="s">
        <v>78</v>
      </c>
      <c r="G29" s="39" t="s">
        <v>78</v>
      </c>
      <c r="H29" s="39" t="s">
        <v>78</v>
      </c>
      <c r="I29" s="39" t="s">
        <v>78</v>
      </c>
      <c r="J29" s="39" t="s">
        <v>78</v>
      </c>
      <c r="K29" s="39" t="s">
        <v>78</v>
      </c>
      <c r="L29" s="40" t="n">
        <f aca="false">M29*TRUnits</f>
        <v>40935</v>
      </c>
      <c r="M29" s="53" t="n">
        <f aca="false">(2465+(23680/7))/2</f>
        <v>2923.92857142857</v>
      </c>
      <c r="N29" s="41" t="n">
        <f aca="false">$M29/N$8</f>
        <v>2.124948089701</v>
      </c>
      <c r="O29" s="41" t="n">
        <f aca="false">$M29/O$8</f>
        <v>1.68429065174457</v>
      </c>
      <c r="P29" s="41"/>
      <c r="Q29" s="46" t="n">
        <f aca="false">R29*Q$7</f>
        <v>0</v>
      </c>
      <c r="R29" s="46" t="n">
        <f aca="false">R$8*$N29*CMF</f>
        <v>2863.89878789452</v>
      </c>
      <c r="S29" s="41" t="n">
        <f aca="false">+R29/R$8</f>
        <v>2.39056660091362</v>
      </c>
      <c r="T29" s="40"/>
      <c r="U29" s="46" t="n">
        <f aca="false">V29*U$7</f>
        <v>101120.967218646</v>
      </c>
      <c r="V29" s="46" t="n">
        <f aca="false">V$8*$N29*CMF</f>
        <v>2151.50994082226</v>
      </c>
      <c r="W29" s="41" t="n">
        <f aca="false">+V29/V$8</f>
        <v>2.39056660091362</v>
      </c>
      <c r="X29" s="40"/>
      <c r="Y29" s="46" t="n">
        <f aca="false">Z29*Y$7</f>
        <v>163062.938414919</v>
      </c>
      <c r="Z29" s="46" t="n">
        <f aca="false">Z$8*$N29*CMF</f>
        <v>3076.65921537583</v>
      </c>
      <c r="AA29" s="41" t="n">
        <f aca="false">+Z29/Z$8</f>
        <v>2.39056660091362</v>
      </c>
      <c r="AB29" s="40"/>
      <c r="AC29" s="46" t="n">
        <f aca="false">AD29*AC$7</f>
        <v>118180.050482766</v>
      </c>
      <c r="AD29" s="46" t="n">
        <f aca="false">AD$8*$N29*CMF</f>
        <v>3475.88383772841</v>
      </c>
      <c r="AE29" s="41" t="n">
        <f aca="false">+AD29/AD$8</f>
        <v>2.39056660091362</v>
      </c>
      <c r="AF29" s="41"/>
      <c r="AG29" s="46" t="n">
        <f aca="false">+Y29+U29+Q29+AC29</f>
        <v>382363.956116331</v>
      </c>
      <c r="AH29" s="23" t="n">
        <f aca="false">+AG29/AG$7</f>
        <v>2853.4623590771</v>
      </c>
      <c r="AI29" s="41" t="n">
        <f aca="false">+AH29/AH$8</f>
        <v>2.38983447158886</v>
      </c>
      <c r="AJ29" s="40"/>
      <c r="AK29" s="43"/>
      <c r="AL29" s="44" t="s">
        <v>148</v>
      </c>
      <c r="AM29" s="21" t="s">
        <v>149</v>
      </c>
      <c r="AN29" s="38" t="n">
        <f aca="false">AO29/$AO$48</f>
        <v>0.0247422122364236</v>
      </c>
      <c r="AO29" s="45" t="n">
        <f aca="false">+AG56+SUM(AG58:AG60)+AG72</f>
        <v>332121.525436047</v>
      </c>
      <c r="AP29" s="45" t="n">
        <f aca="false">+AO29/AP$7</f>
        <v>2478.51884653766</v>
      </c>
      <c r="AQ29" s="41" t="n">
        <f aca="false">+AO29/AQ$7</f>
        <v>2.07581142926102</v>
      </c>
    </row>
    <row r="30" customFormat="false" ht="12" hidden="false" customHeight="false" outlineLevel="0" collapsed="false">
      <c r="A30" s="20" t="s">
        <v>126</v>
      </c>
      <c r="B30" s="20" t="s">
        <v>150</v>
      </c>
      <c r="C30" s="37"/>
      <c r="D30" s="38" t="n">
        <f aca="false">L30/$L$88</f>
        <v>0.131939230887182</v>
      </c>
      <c r="E30" s="39" t="s">
        <v>78</v>
      </c>
      <c r="F30" s="39" t="s">
        <v>78</v>
      </c>
      <c r="G30" s="39" t="s">
        <v>78</v>
      </c>
      <c r="H30" s="39" t="s">
        <v>78</v>
      </c>
      <c r="I30" s="39" t="s">
        <v>78</v>
      </c>
      <c r="J30" s="39" t="s">
        <v>78</v>
      </c>
      <c r="K30" s="39" t="s">
        <v>78</v>
      </c>
      <c r="L30" s="40" t="n">
        <f aca="false">M30*TRUnits</f>
        <v>92757</v>
      </c>
      <c r="M30" s="53" t="n">
        <f aca="false">13251/2</f>
        <v>6625.5</v>
      </c>
      <c r="N30" s="41" t="n">
        <f aca="false">$M30/N$8</f>
        <v>4.81504360465116</v>
      </c>
      <c r="O30" s="41" t="n">
        <f aca="false">$M30/O$8</f>
        <v>3.81653225806452</v>
      </c>
      <c r="P30" s="41"/>
      <c r="Q30" s="46" t="n">
        <f aca="false">R30*Q$7</f>
        <v>0</v>
      </c>
      <c r="R30" s="46" t="n">
        <f aca="false">R$8*$N30*CMF</f>
        <v>6489.47501816861</v>
      </c>
      <c r="S30" s="41" t="n">
        <f aca="false">+R30/R$8</f>
        <v>5.41692405523256</v>
      </c>
      <c r="T30" s="40"/>
      <c r="U30" s="46" t="n">
        <f aca="false">V30*U$7</f>
        <v>229135.887536337</v>
      </c>
      <c r="V30" s="46" t="n">
        <f aca="false">V$8*$N30*CMF</f>
        <v>4875.2316497093</v>
      </c>
      <c r="W30" s="41" t="n">
        <f aca="false">+V30/V$8</f>
        <v>5.41692405523256</v>
      </c>
      <c r="X30" s="40"/>
      <c r="Y30" s="46" t="n">
        <f aca="false">Z30*Y$7</f>
        <v>369493.806731468</v>
      </c>
      <c r="Z30" s="46" t="n">
        <f aca="false">Z$8*$N30*CMF</f>
        <v>6971.5812590843</v>
      </c>
      <c r="AA30" s="41" t="n">
        <f aca="false">+Z30/Z$8</f>
        <v>5.41692405523256</v>
      </c>
      <c r="AB30" s="40"/>
      <c r="AC30" s="46" t="n">
        <f aca="false">AD30*AC$7</f>
        <v>267791.057594477</v>
      </c>
      <c r="AD30" s="46" t="n">
        <f aca="false">AD$8*$N30*CMF</f>
        <v>7876.20757630814</v>
      </c>
      <c r="AE30" s="41" t="n">
        <f aca="false">+AD30/AD$8</f>
        <v>5.41692405523256</v>
      </c>
      <c r="AF30" s="41"/>
      <c r="AG30" s="46" t="n">
        <f aca="false">+Y30+U30+Q30+AC30</f>
        <v>866420.751862282</v>
      </c>
      <c r="AH30" s="23" t="n">
        <f aca="false">+AG30/AG$7</f>
        <v>6465.82650643494</v>
      </c>
      <c r="AI30" s="41" t="n">
        <f aca="false">+AH30/AH$8</f>
        <v>5.41526508076628</v>
      </c>
      <c r="AJ30" s="40"/>
      <c r="AK30" s="43"/>
      <c r="AL30" s="44" t="s">
        <v>151</v>
      </c>
      <c r="AM30" s="21" t="s">
        <v>152</v>
      </c>
      <c r="AN30" s="38" t="n">
        <f aca="false">AO30/$AO$48</f>
        <v>0.0190918382437409</v>
      </c>
      <c r="AO30" s="45" t="n">
        <f aca="false">AG66+AG67</f>
        <v>256275</v>
      </c>
      <c r="AP30" s="45" t="n">
        <f aca="false">+AO30/AP$7</f>
        <v>1912.5</v>
      </c>
      <c r="AQ30" s="41" t="n">
        <f aca="false">+AO30/AQ$7</f>
        <v>1.60175879396985</v>
      </c>
    </row>
    <row r="31" customFormat="false" ht="12" hidden="false" customHeight="false" outlineLevel="0" collapsed="false">
      <c r="A31" s="20" t="s">
        <v>126</v>
      </c>
      <c r="B31" s="20" t="s">
        <v>153</v>
      </c>
      <c r="C31" s="37"/>
      <c r="D31" s="38" t="n">
        <f aca="false">L31/$L$88</f>
        <v>0</v>
      </c>
      <c r="E31" s="39" t="s">
        <v>78</v>
      </c>
      <c r="F31" s="39" t="s">
        <v>78</v>
      </c>
      <c r="G31" s="39" t="s">
        <v>78</v>
      </c>
      <c r="H31" s="39" t="s">
        <v>78</v>
      </c>
      <c r="I31" s="39" t="s">
        <v>78</v>
      </c>
      <c r="J31" s="39" t="s">
        <v>78</v>
      </c>
      <c r="K31" s="39" t="s">
        <v>78</v>
      </c>
      <c r="L31" s="40" t="n">
        <f aca="false">M31*TRUnits</f>
        <v>0</v>
      </c>
      <c r="M31" s="40"/>
      <c r="N31" s="41" t="n">
        <f aca="false">$M31/N$8</f>
        <v>0</v>
      </c>
      <c r="O31" s="41" t="n">
        <f aca="false">$M31/O$8</f>
        <v>0</v>
      </c>
      <c r="P31" s="41"/>
      <c r="Q31" s="46" t="n">
        <f aca="false">R31*Q$7</f>
        <v>0</v>
      </c>
      <c r="R31" s="46" t="n">
        <f aca="false">R$8*$N31*CMF</f>
        <v>0</v>
      </c>
      <c r="S31" s="41" t="n">
        <f aca="false">+R31/R$8</f>
        <v>0</v>
      </c>
      <c r="T31" s="40"/>
      <c r="U31" s="46" t="n">
        <f aca="false">V31*U$7</f>
        <v>0</v>
      </c>
      <c r="V31" s="46" t="n">
        <f aca="false">V$8*$N31*CMF</f>
        <v>0</v>
      </c>
      <c r="W31" s="41" t="n">
        <f aca="false">+V31/V$8</f>
        <v>0</v>
      </c>
      <c r="X31" s="40"/>
      <c r="Y31" s="46" t="n">
        <f aca="false">Z31*Y$7</f>
        <v>0</v>
      </c>
      <c r="Z31" s="46" t="n">
        <f aca="false">Z$8*$N31*CMF</f>
        <v>0</v>
      </c>
      <c r="AA31" s="41" t="n">
        <f aca="false">+Z31/Z$8</f>
        <v>0</v>
      </c>
      <c r="AB31" s="40"/>
      <c r="AC31" s="46" t="n">
        <f aca="false">AD31*AC$7</f>
        <v>0</v>
      </c>
      <c r="AD31" s="46" t="n">
        <f aca="false">AD$8*$N31*CMF</f>
        <v>0</v>
      </c>
      <c r="AE31" s="41" t="n">
        <f aca="false">+AD31/AD$8</f>
        <v>0</v>
      </c>
      <c r="AF31" s="41"/>
      <c r="AG31" s="46" t="n">
        <f aca="false">+Y31+U31+Q31+AC31</f>
        <v>0</v>
      </c>
      <c r="AH31" s="23" t="n">
        <f aca="false">+AG31/AG$7</f>
        <v>0</v>
      </c>
      <c r="AI31" s="41" t="n">
        <f aca="false">+AH31/AH$8</f>
        <v>0</v>
      </c>
      <c r="AJ31" s="40"/>
      <c r="AK31" s="43"/>
      <c r="AL31" s="44" t="s">
        <v>154</v>
      </c>
      <c r="AM31" s="21" t="s">
        <v>155</v>
      </c>
      <c r="AN31" s="38" t="n">
        <f aca="false">AO31/$AO$48</f>
        <v>0</v>
      </c>
      <c r="AO31" s="45" t="n">
        <v>0</v>
      </c>
      <c r="AP31" s="45" t="n">
        <f aca="false">+AO31/AP$7</f>
        <v>0</v>
      </c>
      <c r="AQ31" s="41" t="n">
        <f aca="false">+AO31/AQ$7</f>
        <v>0</v>
      </c>
    </row>
    <row r="32" customFormat="false" ht="12" hidden="false" customHeight="false" outlineLevel="0" collapsed="false">
      <c r="A32" s="20" t="s">
        <v>126</v>
      </c>
      <c r="B32" s="20" t="s">
        <v>156</v>
      </c>
      <c r="C32" s="37"/>
      <c r="D32" s="38" t="n">
        <f aca="false">L32/$L$88</f>
        <v>0</v>
      </c>
      <c r="E32" s="39" t="s">
        <v>78</v>
      </c>
      <c r="F32" s="39" t="s">
        <v>78</v>
      </c>
      <c r="G32" s="39" t="s">
        <v>78</v>
      </c>
      <c r="H32" s="39" t="s">
        <v>78</v>
      </c>
      <c r="I32" s="39" t="s">
        <v>78</v>
      </c>
      <c r="J32" s="39" t="s">
        <v>78</v>
      </c>
      <c r="K32" s="39" t="s">
        <v>78</v>
      </c>
      <c r="L32" s="40" t="n">
        <f aca="false">M32*TRUnits</f>
        <v>0</v>
      </c>
      <c r="M32" s="40"/>
      <c r="N32" s="41" t="n">
        <f aca="false">$M32/N$8</f>
        <v>0</v>
      </c>
      <c r="O32" s="41" t="n">
        <f aca="false">$M32/O$8</f>
        <v>0</v>
      </c>
      <c r="P32" s="41"/>
      <c r="Q32" s="46" t="n">
        <f aca="false">R32*Q$7</f>
        <v>0</v>
      </c>
      <c r="R32" s="46" t="n">
        <f aca="false">R$8*$N32*CMF</f>
        <v>0</v>
      </c>
      <c r="S32" s="41" t="n">
        <f aca="false">+R32/R$8</f>
        <v>0</v>
      </c>
      <c r="T32" s="40"/>
      <c r="U32" s="46" t="n">
        <f aca="false">V32*U$7</f>
        <v>0</v>
      </c>
      <c r="V32" s="46" t="n">
        <f aca="false">V$8*$N32*CMF</f>
        <v>0</v>
      </c>
      <c r="W32" s="41" t="n">
        <f aca="false">+V32/V$8</f>
        <v>0</v>
      </c>
      <c r="X32" s="40"/>
      <c r="Y32" s="46" t="n">
        <f aca="false">Z32*Y$7</f>
        <v>0</v>
      </c>
      <c r="Z32" s="46" t="n">
        <f aca="false">Z$8*$N32*CMF</f>
        <v>0</v>
      </c>
      <c r="AA32" s="41" t="n">
        <f aca="false">+Z32/Z$8</f>
        <v>0</v>
      </c>
      <c r="AB32" s="40"/>
      <c r="AC32" s="46" t="n">
        <f aca="false">AD32*AC$7</f>
        <v>0</v>
      </c>
      <c r="AD32" s="46" t="n">
        <f aca="false">AD$8*$N32*CMF</f>
        <v>0</v>
      </c>
      <c r="AE32" s="41" t="n">
        <f aca="false">+AD32/AD$8</f>
        <v>0</v>
      </c>
      <c r="AF32" s="41"/>
      <c r="AG32" s="46" t="n">
        <f aca="false">+Y32+U32+Q32+AC32</f>
        <v>0</v>
      </c>
      <c r="AH32" s="23" t="n">
        <f aca="false">+AG32/AG$7</f>
        <v>0</v>
      </c>
      <c r="AI32" s="41" t="n">
        <f aca="false">+AH32/AH$8</f>
        <v>0</v>
      </c>
      <c r="AJ32" s="40"/>
      <c r="AK32" s="43"/>
      <c r="AL32" s="44" t="s">
        <v>157</v>
      </c>
      <c r="AM32" s="21" t="s">
        <v>158</v>
      </c>
      <c r="AN32" s="38" t="n">
        <f aca="false">AO32/$AO$48</f>
        <v>0.0246185738886399</v>
      </c>
      <c r="AO32" s="45" t="n">
        <f aca="false">AG63+AG64</f>
        <v>330461.893860829</v>
      </c>
      <c r="AP32" s="45" t="n">
        <f aca="false">+AO32/AP$7</f>
        <v>2466.13353627484</v>
      </c>
      <c r="AQ32" s="41" t="n">
        <f aca="false">+AO32/AQ$7</f>
        <v>2.06543847259199</v>
      </c>
    </row>
    <row r="33" customFormat="false" ht="12" hidden="false" customHeight="false" outlineLevel="0" collapsed="false">
      <c r="A33" s="20" t="s">
        <v>137</v>
      </c>
      <c r="B33" s="20" t="s">
        <v>159</v>
      </c>
      <c r="C33" s="37"/>
      <c r="D33" s="38" t="n">
        <f aca="false">L33/$L$88</f>
        <v>0</v>
      </c>
      <c r="E33" s="39" t="s">
        <v>78</v>
      </c>
      <c r="F33" s="39" t="s">
        <v>78</v>
      </c>
      <c r="G33" s="39" t="s">
        <v>78</v>
      </c>
      <c r="H33" s="39" t="s">
        <v>78</v>
      </c>
      <c r="I33" s="39" t="s">
        <v>78</v>
      </c>
      <c r="J33" s="39" t="s">
        <v>78</v>
      </c>
      <c r="K33" s="39" t="s">
        <v>78</v>
      </c>
      <c r="L33" s="40" t="n">
        <f aca="false">M33*TRUnits</f>
        <v>0</v>
      </c>
      <c r="N33" s="41" t="n">
        <f aca="false">$M33/N$8</f>
        <v>0</v>
      </c>
      <c r="O33" s="41" t="n">
        <f aca="false">$M33/O$8</f>
        <v>0</v>
      </c>
      <c r="P33" s="41"/>
      <c r="Q33" s="46" t="n">
        <f aca="false">R33*Q$7</f>
        <v>0</v>
      </c>
      <c r="R33" s="46" t="n">
        <f aca="false">R$8*$N33*CMF</f>
        <v>0</v>
      </c>
      <c r="S33" s="41" t="n">
        <f aca="false">+R33/R$8</f>
        <v>0</v>
      </c>
      <c r="U33" s="46" t="n">
        <f aca="false">V33*U$7</f>
        <v>0</v>
      </c>
      <c r="V33" s="46" t="n">
        <f aca="false">V$8*$N33*CMF</f>
        <v>0</v>
      </c>
      <c r="W33" s="41" t="n">
        <f aca="false">+V33/V$8</f>
        <v>0</v>
      </c>
      <c r="X33" s="40"/>
      <c r="Y33" s="46" t="n">
        <f aca="false">Z33*Y$7</f>
        <v>0</v>
      </c>
      <c r="Z33" s="46" t="n">
        <f aca="false">Z$8*$N33*CMF</f>
        <v>0</v>
      </c>
      <c r="AA33" s="41" t="n">
        <f aca="false">+Z33/Z$8</f>
        <v>0</v>
      </c>
      <c r="AB33" s="40"/>
      <c r="AC33" s="46" t="n">
        <f aca="false">AD33*AC$7</f>
        <v>0</v>
      </c>
      <c r="AD33" s="46" t="n">
        <f aca="false">AD$8*$N33*CMF</f>
        <v>0</v>
      </c>
      <c r="AE33" s="41" t="n">
        <f aca="false">+AD33/AD$8</f>
        <v>0</v>
      </c>
      <c r="AF33" s="41"/>
      <c r="AG33" s="46" t="n">
        <f aca="false">+Y33+U33+Q33+AC33</f>
        <v>0</v>
      </c>
      <c r="AH33" s="23" t="n">
        <f aca="false">+AG33/AG$7</f>
        <v>0</v>
      </c>
      <c r="AI33" s="41" t="n">
        <f aca="false">+AH33/AH$8</f>
        <v>0</v>
      </c>
      <c r="AJ33" s="40"/>
      <c r="AK33" s="43"/>
      <c r="AL33" s="44" t="s">
        <v>160</v>
      </c>
      <c r="AM33" s="21" t="s">
        <v>161</v>
      </c>
      <c r="AN33" s="38" t="n">
        <f aca="false">AO33/$AO$48</f>
        <v>0</v>
      </c>
      <c r="AO33" s="45" t="n">
        <v>0</v>
      </c>
      <c r="AP33" s="45" t="n">
        <f aca="false">+AO33/AP$7</f>
        <v>0</v>
      </c>
      <c r="AQ33" s="41" t="n">
        <f aca="false">+AO33/AQ$7</f>
        <v>0</v>
      </c>
    </row>
    <row r="34" customFormat="false" ht="12" hidden="false" customHeight="false" outlineLevel="0" collapsed="false">
      <c r="A34" s="20" t="s">
        <v>162</v>
      </c>
      <c r="B34" s="20" t="s">
        <v>163</v>
      </c>
      <c r="C34" s="37"/>
      <c r="D34" s="38" t="n">
        <f aca="false">L34/$L$88</f>
        <v>0.00890149214498081</v>
      </c>
      <c r="E34" s="39" t="s">
        <v>78</v>
      </c>
      <c r="F34" s="39" t="s">
        <v>78</v>
      </c>
      <c r="G34" s="39" t="s">
        <v>78</v>
      </c>
      <c r="H34" s="39" t="s">
        <v>78</v>
      </c>
      <c r="I34" s="39" t="s">
        <v>78</v>
      </c>
      <c r="J34" s="39" t="s">
        <v>78</v>
      </c>
      <c r="K34" s="39" t="s">
        <v>78</v>
      </c>
      <c r="L34" s="40" t="n">
        <f aca="false">M34*TRUnits</f>
        <v>6258</v>
      </c>
      <c r="M34" s="40" t="n">
        <f aca="false">894/2</f>
        <v>447</v>
      </c>
      <c r="N34" s="41" t="n">
        <f aca="false">$M34/N$8</f>
        <v>0.324854651162791</v>
      </c>
      <c r="O34" s="41" t="n">
        <f aca="false">$M34/O$8</f>
        <v>0.257488479262673</v>
      </c>
      <c r="P34" s="41"/>
      <c r="Q34" s="46" t="n">
        <f aca="false">R34*Q$7</f>
        <v>0</v>
      </c>
      <c r="R34" s="46" t="n">
        <f aca="false">(120+80+70+40)*CMF</f>
        <v>348.75</v>
      </c>
      <c r="S34" s="41" t="n">
        <f aca="false">+R34/R$8</f>
        <v>0.291110183639399</v>
      </c>
      <c r="T34" s="40"/>
      <c r="U34" s="46" t="n">
        <f aca="false">V34*U$7</f>
        <v>28552.5</v>
      </c>
      <c r="V34" s="46" t="n">
        <f aca="false">(120+3*70+2*65+2*40)*CMF</f>
        <v>607.5</v>
      </c>
      <c r="W34" s="41" t="n">
        <f aca="false">+V34/V$8</f>
        <v>0.675</v>
      </c>
      <c r="X34" s="40"/>
      <c r="Y34" s="46" t="n">
        <f aca="false">Z34*Y$7</f>
        <v>39948.75</v>
      </c>
      <c r="Z34" s="46" t="n">
        <f aca="false">(120+4*80+70+4*40)*CMF</f>
        <v>753.75</v>
      </c>
      <c r="AA34" s="41" t="n">
        <f aca="false">+Z34/Z$8</f>
        <v>0.585664335664336</v>
      </c>
      <c r="AB34" s="40"/>
      <c r="AC34" s="46" t="n">
        <f aca="false">AD34*AC$7</f>
        <v>25627.5</v>
      </c>
      <c r="AD34" s="46" t="n">
        <f aca="false">(120+4*80+70+4*40)*CMF</f>
        <v>753.75</v>
      </c>
      <c r="AE34" s="41" t="n">
        <f aca="false">+AD34/AD$8</f>
        <v>0.518397524071527</v>
      </c>
      <c r="AF34" s="41"/>
      <c r="AG34" s="46" t="n">
        <f aca="false">+Y34+U34+Q34+AC34</f>
        <v>94128.75</v>
      </c>
      <c r="AH34" s="23" t="n">
        <f aca="false">+AG34/AG$7</f>
        <v>702.453358208955</v>
      </c>
      <c r="AI34" s="41" t="n">
        <f aca="false">+AH34/AH$8</f>
        <v>0.588319395484887</v>
      </c>
      <c r="AJ34" s="40"/>
      <c r="AK34" s="43"/>
      <c r="AL34" s="44" t="s">
        <v>164</v>
      </c>
      <c r="AM34" s="21" t="s">
        <v>165</v>
      </c>
      <c r="AN34" s="38" t="n">
        <f aca="false">AO34/$AO$48</f>
        <v>0.0101074437760981</v>
      </c>
      <c r="AO34" s="45" t="n">
        <f aca="false">+AG70</f>
        <v>135675</v>
      </c>
      <c r="AP34" s="45" t="n">
        <f aca="false">+AO34/AP$7</f>
        <v>1012.5</v>
      </c>
      <c r="AQ34" s="41" t="n">
        <f aca="false">+AO34/AQ$7</f>
        <v>0.847989949748744</v>
      </c>
    </row>
    <row r="35" customFormat="false" ht="12" hidden="false" customHeight="false" outlineLevel="0" collapsed="false">
      <c r="A35" s="20" t="s">
        <v>126</v>
      </c>
      <c r="B35" s="20" t="s">
        <v>166</v>
      </c>
      <c r="C35" s="37"/>
      <c r="D35" s="38" t="n">
        <f aca="false">L35/$L$88</f>
        <v>0.00597415580200055</v>
      </c>
      <c r="E35" s="39" t="s">
        <v>78</v>
      </c>
      <c r="F35" s="39" t="s">
        <v>78</v>
      </c>
      <c r="G35" s="39" t="s">
        <v>78</v>
      </c>
      <c r="H35" s="39" t="s">
        <v>78</v>
      </c>
      <c r="I35" s="39" t="s">
        <v>78</v>
      </c>
      <c r="J35" s="39" t="s">
        <v>78</v>
      </c>
      <c r="K35" s="39" t="s">
        <v>78</v>
      </c>
      <c r="L35" s="40" t="n">
        <f aca="false">M35*TRUnits</f>
        <v>4200</v>
      </c>
      <c r="M35" s="54" t="n">
        <f aca="false">600/2</f>
        <v>300</v>
      </c>
      <c r="N35" s="41" t="n">
        <f aca="false">$M35/N$8</f>
        <v>0.218023255813954</v>
      </c>
      <c r="O35" s="41" t="n">
        <f aca="false">$M35/O$8</f>
        <v>0.172811059907834</v>
      </c>
      <c r="P35" s="41"/>
      <c r="Q35" s="46" t="n">
        <f aca="false">R35*Q$7</f>
        <v>0</v>
      </c>
      <c r="R35" s="55" t="n">
        <f aca="false">((75+46+13)*2+180+70)*CMF</f>
        <v>582.75</v>
      </c>
      <c r="S35" s="41" t="n">
        <f aca="false">+R35/R$8</f>
        <v>0.486435726210351</v>
      </c>
      <c r="T35" s="40"/>
      <c r="U35" s="46" t="n">
        <f aca="false">V35*U$7</f>
        <v>27389.25</v>
      </c>
      <c r="V35" s="55" t="n">
        <f aca="false">((75+46+13)*2+180+70)*CMF</f>
        <v>582.75</v>
      </c>
      <c r="W35" s="41" t="n">
        <f aca="false">+V35/V$8</f>
        <v>0.6475</v>
      </c>
      <c r="X35" s="40"/>
      <c r="Y35" s="46" t="n">
        <f aca="false">Z35*Y$7</f>
        <v>30885.75</v>
      </c>
      <c r="Z35" s="55" t="n">
        <f aca="false">((75+46+13)*2+180+70)*CMF</f>
        <v>582.75</v>
      </c>
      <c r="AA35" s="41" t="n">
        <f aca="false">+Z35/Z$8</f>
        <v>0.452797202797203</v>
      </c>
      <c r="AB35" s="40"/>
      <c r="AC35" s="46" t="n">
        <f aca="false">AD35*AC$7</f>
        <v>19813.5</v>
      </c>
      <c r="AD35" s="55" t="n">
        <f aca="false">((75+46+13)*2+180+70)*CMF</f>
        <v>582.75</v>
      </c>
      <c r="AE35" s="41" t="n">
        <f aca="false">+AD35/AD$8</f>
        <v>0.400790921595598</v>
      </c>
      <c r="AF35" s="41"/>
      <c r="AG35" s="46" t="n">
        <f aca="false">+Y35+U35+Q35+AC35</f>
        <v>78088.5</v>
      </c>
      <c r="AH35" s="23" t="n">
        <f aca="false">+AG35/AG$7</f>
        <v>582.75</v>
      </c>
      <c r="AI35" s="41" t="n">
        <f aca="false">+AH35/AH$8</f>
        <v>0.488065326633166</v>
      </c>
      <c r="AJ35" s="40"/>
      <c r="AK35" s="43"/>
      <c r="AL35" s="44" t="s">
        <v>167</v>
      </c>
      <c r="AM35" s="21" t="s">
        <v>168</v>
      </c>
      <c r="AN35" s="38" t="n">
        <f aca="false">AO35/$AO$48</f>
        <v>0.0163542245255372</v>
      </c>
      <c r="AO35" s="45" t="n">
        <f aca="false">+AG71</f>
        <v>219527.2575</v>
      </c>
      <c r="AP35" s="45" t="n">
        <f aca="false">+AO35/AP$7</f>
        <v>1638.26311567164</v>
      </c>
      <c r="AQ35" s="41" t="n">
        <f aca="false">+AO35/AQ$7</f>
        <v>1.37207966136653</v>
      </c>
    </row>
    <row r="36" customFormat="false" ht="12" hidden="false" customHeight="false" outlineLevel="0" collapsed="false">
      <c r="B36" s="63" t="s">
        <v>169</v>
      </c>
      <c r="C36" s="37"/>
      <c r="D36" s="38"/>
      <c r="E36" s="39"/>
      <c r="F36" s="39"/>
      <c r="G36" s="39"/>
      <c r="H36" s="39"/>
      <c r="I36" s="39"/>
      <c r="J36" s="39"/>
      <c r="K36" s="39"/>
      <c r="L36" s="40"/>
      <c r="M36" s="40"/>
      <c r="N36" s="41"/>
      <c r="O36" s="41"/>
      <c r="P36" s="41"/>
      <c r="Q36" s="46"/>
      <c r="R36" s="52"/>
      <c r="S36" s="41"/>
      <c r="T36" s="40"/>
      <c r="U36" s="46"/>
      <c r="V36" s="46"/>
      <c r="W36" s="41"/>
      <c r="X36" s="40"/>
      <c r="Y36" s="46"/>
      <c r="Z36" s="46"/>
      <c r="AA36" s="41"/>
      <c r="AB36" s="40"/>
      <c r="AC36" s="46"/>
      <c r="AD36" s="46"/>
      <c r="AE36" s="41"/>
      <c r="AF36" s="41"/>
      <c r="AG36" s="46"/>
      <c r="AH36" s="23"/>
      <c r="AI36" s="41"/>
      <c r="AJ36" s="40"/>
      <c r="AK36" s="43"/>
      <c r="AL36" s="44" t="s">
        <v>170</v>
      </c>
      <c r="AM36" s="21" t="s">
        <v>171</v>
      </c>
      <c r="AN36" s="38" t="n">
        <f aca="false">AO36/$AO$48</f>
        <v>0.0016171910041757</v>
      </c>
      <c r="AO36" s="45" t="n">
        <f aca="false">SUM(AG73:AG76)</f>
        <v>21708</v>
      </c>
      <c r="AP36" s="45" t="n">
        <f aca="false">+AO36/AP$7</f>
        <v>162</v>
      </c>
      <c r="AQ36" s="41" t="n">
        <f aca="false">+AO36/AQ$7</f>
        <v>0.135678391959799</v>
      </c>
    </row>
    <row r="37" customFormat="false" ht="12" hidden="false" customHeight="false" outlineLevel="0" collapsed="false">
      <c r="A37" s="20" t="s">
        <v>172</v>
      </c>
      <c r="B37" s="20" t="s">
        <v>173</v>
      </c>
      <c r="C37" s="37"/>
      <c r="D37" s="38"/>
      <c r="E37" s="39"/>
      <c r="F37" s="39"/>
      <c r="G37" s="39"/>
      <c r="H37" s="39"/>
      <c r="I37" s="39"/>
      <c r="J37" s="39"/>
      <c r="K37" s="39"/>
      <c r="L37" s="40" t="n">
        <v>0</v>
      </c>
      <c r="M37" s="40" t="n">
        <v>0</v>
      </c>
      <c r="N37" s="41" t="n">
        <f aca="false">$M37/N$8</f>
        <v>0</v>
      </c>
      <c r="O37" s="41" t="n">
        <f aca="false">$M37/O$8</f>
        <v>0</v>
      </c>
      <c r="P37" s="41"/>
      <c r="Q37" s="46" t="n">
        <f aca="false">R37*Q$7</f>
        <v>0</v>
      </c>
      <c r="R37" s="46" t="n">
        <v>0</v>
      </c>
      <c r="S37" s="41" t="n">
        <f aca="false">+R37/R$8</f>
        <v>0</v>
      </c>
      <c r="T37" s="40"/>
      <c r="U37" s="46" t="n">
        <f aca="false">V37*U$7</f>
        <v>0</v>
      </c>
      <c r="V37" s="46" t="n">
        <v>0</v>
      </c>
      <c r="W37" s="41" t="n">
        <f aca="false">+V37/V$8</f>
        <v>0</v>
      </c>
      <c r="X37" s="40"/>
      <c r="Y37" s="46" t="n">
        <f aca="false">Z37*Y$7</f>
        <v>0</v>
      </c>
      <c r="Z37" s="46" t="n">
        <v>0</v>
      </c>
      <c r="AA37" s="41" t="n">
        <f aca="false">+Z37/Z$8</f>
        <v>0</v>
      </c>
      <c r="AB37" s="40"/>
      <c r="AC37" s="46" t="n">
        <f aca="false">AD37*AC$7</f>
        <v>0</v>
      </c>
      <c r="AD37" s="46" t="n">
        <v>0</v>
      </c>
      <c r="AE37" s="41" t="n">
        <f aca="false">+AD37/AD$8</f>
        <v>0</v>
      </c>
      <c r="AF37" s="41"/>
      <c r="AG37" s="46" t="n">
        <f aca="false">+Y37+U37+Q37+AC37</f>
        <v>0</v>
      </c>
      <c r="AH37" s="23" t="n">
        <f aca="false">+AG37/AG$7</f>
        <v>0</v>
      </c>
      <c r="AI37" s="41" t="n">
        <f aca="false">+AH37/AH$8</f>
        <v>0</v>
      </c>
      <c r="AJ37" s="40"/>
      <c r="AK37" s="43"/>
      <c r="AL37" s="44" t="s">
        <v>174</v>
      </c>
      <c r="AM37" s="21" t="s">
        <v>175</v>
      </c>
      <c r="AN37" s="38" t="n">
        <f aca="false">AO37/$AO$48</f>
        <v>0.00690281285347593</v>
      </c>
      <c r="AO37" s="45" t="n">
        <f aca="false">+AG68</f>
        <v>92658.3570130814</v>
      </c>
      <c r="AP37" s="45" t="n">
        <f aca="false">+AO37/AP$7</f>
        <v>691.480276217025</v>
      </c>
      <c r="AQ37" s="41" t="n">
        <f aca="false">+AO37/AQ$7</f>
        <v>0.579129209561998</v>
      </c>
    </row>
    <row r="38" customFormat="false" ht="12" hidden="false" customHeight="false" outlineLevel="0" collapsed="false">
      <c r="A38" s="20" t="s">
        <v>172</v>
      </c>
      <c r="B38" s="20" t="s">
        <v>176</v>
      </c>
      <c r="C38" s="37"/>
      <c r="D38" s="38"/>
      <c r="E38" s="39"/>
      <c r="F38" s="39"/>
      <c r="G38" s="39"/>
      <c r="H38" s="39"/>
      <c r="I38" s="39"/>
      <c r="J38" s="39"/>
      <c r="K38" s="39"/>
      <c r="L38" s="40" t="n">
        <v>0</v>
      </c>
      <c r="M38" s="40" t="n">
        <v>0</v>
      </c>
      <c r="N38" s="41" t="n">
        <f aca="false">$M38/N$8</f>
        <v>0</v>
      </c>
      <c r="O38" s="41" t="n">
        <f aca="false">$M38/O$8</f>
        <v>0</v>
      </c>
      <c r="P38" s="41"/>
      <c r="Q38" s="46" t="n">
        <f aca="false">R38*Q$7</f>
        <v>0</v>
      </c>
      <c r="R38" s="46" t="n">
        <v>0</v>
      </c>
      <c r="S38" s="41" t="n">
        <f aca="false">+R38/R$8</f>
        <v>0</v>
      </c>
      <c r="T38" s="40"/>
      <c r="U38" s="46" t="n">
        <f aca="false">V38*U$7</f>
        <v>0</v>
      </c>
      <c r="V38" s="46" t="n">
        <v>0</v>
      </c>
      <c r="W38" s="41" t="n">
        <f aca="false">+V38/V$8</f>
        <v>0</v>
      </c>
      <c r="X38" s="40"/>
      <c r="Y38" s="46" t="n">
        <f aca="false">Z38*Y$7</f>
        <v>0</v>
      </c>
      <c r="Z38" s="46" t="n">
        <v>0</v>
      </c>
      <c r="AA38" s="41" t="n">
        <f aca="false">+Z38/Z$8</f>
        <v>0</v>
      </c>
      <c r="AB38" s="40"/>
      <c r="AC38" s="46" t="n">
        <f aca="false">AD38*AC$7</f>
        <v>0</v>
      </c>
      <c r="AD38" s="46" t="n">
        <v>0</v>
      </c>
      <c r="AE38" s="41" t="n">
        <f aca="false">+AD38/AD$8</f>
        <v>0</v>
      </c>
      <c r="AF38" s="41"/>
      <c r="AG38" s="46" t="n">
        <f aca="false">+Y38+U38+Q38+AC38</f>
        <v>0</v>
      </c>
      <c r="AH38" s="23" t="n">
        <f aca="false">+AG38/AG$7</f>
        <v>0</v>
      </c>
      <c r="AI38" s="41" t="n">
        <f aca="false">+AH38/AH$8</f>
        <v>0</v>
      </c>
      <c r="AJ38" s="40"/>
      <c r="AK38" s="43"/>
      <c r="AL38" s="44" t="s">
        <v>177</v>
      </c>
      <c r="AM38" s="21" t="s">
        <v>178</v>
      </c>
      <c r="AN38" s="38" t="n">
        <f aca="false">AO38/$AO$48</f>
        <v>0.00714813761011587</v>
      </c>
      <c r="AO38" s="45" t="n">
        <f aca="false">SUM(AG77:AG79)</f>
        <v>95951.41875</v>
      </c>
      <c r="AP38" s="45" t="n">
        <f aca="false">+AO38/AP$7</f>
        <v>716.05536380597</v>
      </c>
      <c r="AQ38" s="41" t="n">
        <f aca="false">+AO38/AQ$7</f>
        <v>0.599711359971499</v>
      </c>
    </row>
    <row r="39" customFormat="false" ht="12" hidden="false" customHeight="false" outlineLevel="0" collapsed="false">
      <c r="B39" s="19" t="s">
        <v>179</v>
      </c>
      <c r="C39" s="37"/>
      <c r="D39" s="38"/>
      <c r="E39" s="39"/>
      <c r="F39" s="39"/>
      <c r="G39" s="39"/>
      <c r="H39" s="39"/>
      <c r="I39" s="39"/>
      <c r="J39" s="39"/>
      <c r="K39" s="39"/>
      <c r="L39" s="40"/>
      <c r="M39" s="40"/>
      <c r="N39" s="41"/>
      <c r="O39" s="41"/>
      <c r="P39" s="41"/>
      <c r="Q39" s="46"/>
      <c r="R39" s="46"/>
      <c r="S39" s="41"/>
      <c r="T39" s="40"/>
      <c r="U39" s="46"/>
      <c r="V39" s="46"/>
      <c r="W39" s="41"/>
      <c r="X39" s="40"/>
      <c r="Y39" s="46"/>
      <c r="Z39" s="46"/>
      <c r="AA39" s="41"/>
      <c r="AB39" s="40"/>
      <c r="AC39" s="46"/>
      <c r="AD39" s="46"/>
      <c r="AE39" s="41"/>
      <c r="AF39" s="41"/>
      <c r="AG39" s="46"/>
      <c r="AH39" s="23"/>
      <c r="AI39" s="41"/>
      <c r="AJ39" s="40"/>
      <c r="AK39" s="43"/>
      <c r="AL39" s="44" t="s">
        <v>180</v>
      </c>
      <c r="AM39" s="21" t="s">
        <v>181</v>
      </c>
      <c r="AN39" s="38" t="n">
        <f aca="false">AO39/$AO$48</f>
        <v>0.0163424249649299</v>
      </c>
      <c r="AO39" s="50" t="n">
        <f aca="false">SUM(AG81:AG85)</f>
        <v>219368.86875</v>
      </c>
      <c r="AP39" s="45" t="n">
        <f aca="false">+AO39/AP$7</f>
        <v>1637.08111007463</v>
      </c>
      <c r="AQ39" s="41" t="n">
        <f aca="false">+AO39/AQ$7</f>
        <v>1.37108970693017</v>
      </c>
    </row>
    <row r="40" customFormat="false" ht="14.45" hidden="false" customHeight="true" outlineLevel="0" collapsed="false">
      <c r="A40" s="20" t="s">
        <v>182</v>
      </c>
      <c r="B40" s="21" t="s">
        <v>173</v>
      </c>
      <c r="C40" s="37"/>
      <c r="D40" s="38" t="n">
        <f aca="false">L40/$L$88</f>
        <v>0.00746769475250068</v>
      </c>
      <c r="E40" s="39" t="s">
        <v>78</v>
      </c>
      <c r="F40" s="39" t="s">
        <v>78</v>
      </c>
      <c r="G40" s="39" t="s">
        <v>78</v>
      </c>
      <c r="H40" s="39" t="s">
        <v>78</v>
      </c>
      <c r="I40" s="39" t="s">
        <v>78</v>
      </c>
      <c r="J40" s="39" t="s">
        <v>78</v>
      </c>
      <c r="K40" s="39" t="s">
        <v>78</v>
      </c>
      <c r="L40" s="40" t="n">
        <f aca="false">M40*TRUnits</f>
        <v>5250</v>
      </c>
      <c r="M40" s="40" t="n">
        <f aca="false">750/2</f>
        <v>375</v>
      </c>
      <c r="N40" s="41" t="n">
        <f aca="false">$M40/N$8</f>
        <v>0.272529069767442</v>
      </c>
      <c r="O40" s="41" t="n">
        <f aca="false">$M40/O$8</f>
        <v>0.216013824884793</v>
      </c>
      <c r="P40" s="41"/>
      <c r="Q40" s="46" t="n">
        <f aca="false">R40*Q$7</f>
        <v>0</v>
      </c>
      <c r="R40" s="46" t="n">
        <f aca="false">((S$8*1.2)/100*23.5)*CMF</f>
        <v>380.0655</v>
      </c>
      <c r="S40" s="41" t="n">
        <f aca="false">+R40/R$8</f>
        <v>0.31725</v>
      </c>
      <c r="T40" s="40"/>
      <c r="U40" s="46" t="n">
        <f aca="false">V40*U$7</f>
        <v>17818.34625</v>
      </c>
      <c r="V40" s="46" t="n">
        <f aca="false">((W$8*1.2)/100*23.5)*CMF</f>
        <v>379.11375</v>
      </c>
      <c r="W40" s="41" t="n">
        <f aca="false">+V40/V$8</f>
        <v>0.4212375</v>
      </c>
      <c r="X40" s="40"/>
      <c r="Y40" s="46" t="n">
        <f aca="false">Z40*Y$7</f>
        <v>26600.1435</v>
      </c>
      <c r="Z40" s="46" t="n">
        <f aca="false">((AA$8*1.2)/100*23.5)*CMF</f>
        <v>501.8895</v>
      </c>
      <c r="AA40" s="41" t="n">
        <f aca="false">+Z40/Z$8</f>
        <v>0.389968531468531</v>
      </c>
      <c r="AB40" s="40"/>
      <c r="AC40" s="46" t="n">
        <f aca="false">AD40*AC$7</f>
        <v>18865.5885</v>
      </c>
      <c r="AD40" s="46" t="n">
        <f aca="false">((AE$8*1.2)/100*23.5)*CMF</f>
        <v>554.87025</v>
      </c>
      <c r="AE40" s="41" t="n">
        <f aca="false">+AD40/AD$8</f>
        <v>0.381616403026135</v>
      </c>
      <c r="AF40" s="41"/>
      <c r="AG40" s="46" t="n">
        <f aca="false">+Y40+U40+Q40+AC40</f>
        <v>63284.07825</v>
      </c>
      <c r="AH40" s="23" t="n">
        <f aca="false">+AG40/AG$7</f>
        <v>472.269240671642</v>
      </c>
      <c r="AI40" s="41" t="n">
        <f aca="false">+AH40/AH$8</f>
        <v>0.395535377446936</v>
      </c>
      <c r="AJ40" s="40"/>
      <c r="AK40" s="43"/>
      <c r="AL40" s="44" t="s">
        <v>183</v>
      </c>
      <c r="AM40" s="21" t="s">
        <v>184</v>
      </c>
      <c r="AN40" s="38" t="n">
        <f aca="false">AO40/$AO$48</f>
        <v>0</v>
      </c>
      <c r="AO40" s="50"/>
      <c r="AP40" s="45" t="n">
        <f aca="false">+AO40/AP$7</f>
        <v>0</v>
      </c>
      <c r="AQ40" s="41" t="n">
        <f aca="false">+AO40/AQ$7</f>
        <v>0</v>
      </c>
    </row>
    <row r="41" customFormat="false" ht="12" hidden="false" customHeight="false" outlineLevel="0" collapsed="false">
      <c r="A41" s="20" t="s">
        <v>182</v>
      </c>
      <c r="B41" s="21" t="s">
        <v>176</v>
      </c>
      <c r="C41" s="37"/>
      <c r="D41" s="38" t="n">
        <f aca="false">L41/$L$88</f>
        <v>0.00706941769903398</v>
      </c>
      <c r="E41" s="39" t="s">
        <v>78</v>
      </c>
      <c r="F41" s="39" t="s">
        <v>78</v>
      </c>
      <c r="G41" s="39" t="s">
        <v>78</v>
      </c>
      <c r="H41" s="39" t="s">
        <v>78</v>
      </c>
      <c r="I41" s="39" t="s">
        <v>78</v>
      </c>
      <c r="J41" s="39" t="s">
        <v>78</v>
      </c>
      <c r="K41" s="39" t="s">
        <v>78</v>
      </c>
      <c r="L41" s="40" t="n">
        <f aca="false">M41*TRUnits</f>
        <v>4970</v>
      </c>
      <c r="M41" s="40" t="n">
        <f aca="false">710/2</f>
        <v>355</v>
      </c>
      <c r="N41" s="41" t="n">
        <f aca="false">$M41/N$8</f>
        <v>0.257994186046512</v>
      </c>
      <c r="O41" s="41" t="n">
        <f aca="false">$M41/O$8</f>
        <v>0.204493087557604</v>
      </c>
      <c r="P41" s="41"/>
      <c r="Q41" s="46" t="n">
        <f aca="false">R41*Q$7</f>
        <v>0</v>
      </c>
      <c r="R41" s="46" t="n">
        <f aca="false">((S$8*1.2)/100*21)*CMF</f>
        <v>339.633</v>
      </c>
      <c r="S41" s="41" t="n">
        <f aca="false">+R41/R$8</f>
        <v>0.2835</v>
      </c>
      <c r="T41" s="40"/>
      <c r="U41" s="46" t="n">
        <f aca="false">V41*U$7</f>
        <v>15922.7775</v>
      </c>
      <c r="V41" s="46" t="n">
        <f aca="false">((W$8*1.2)/100*21)*CMF</f>
        <v>338.7825</v>
      </c>
      <c r="W41" s="41" t="n">
        <f aca="false">+V41/V$8</f>
        <v>0.376425</v>
      </c>
      <c r="X41" s="40"/>
      <c r="Y41" s="46" t="n">
        <f aca="false">Z41*Y$7</f>
        <v>23770.341</v>
      </c>
      <c r="Z41" s="46" t="n">
        <f aca="false">((AA$8*1.2)/100*21)*CMF</f>
        <v>448.497</v>
      </c>
      <c r="AA41" s="41" t="n">
        <f aca="false">+Z41/Z$8</f>
        <v>0.348482517482517</v>
      </c>
      <c r="AB41" s="40"/>
      <c r="AC41" s="46" t="n">
        <f aca="false">AD41*AC$7</f>
        <v>16858.611</v>
      </c>
      <c r="AD41" s="46" t="n">
        <f aca="false">((AE$8*1.2)/100*21)*CMF</f>
        <v>495.8415</v>
      </c>
      <c r="AE41" s="41" t="n">
        <f aca="false">+AD41/AD$8</f>
        <v>0.341018913342503</v>
      </c>
      <c r="AF41" s="41"/>
      <c r="AG41" s="46" t="n">
        <f aca="false">+Y41+U41+Q41+AC41</f>
        <v>56551.7295</v>
      </c>
      <c r="AH41" s="23" t="n">
        <f aca="false">+AG41/AG$7</f>
        <v>422.027832089552</v>
      </c>
      <c r="AI41" s="41" t="n">
        <f aca="false">+AH41/AH$8</f>
        <v>0.353457145803645</v>
      </c>
      <c r="AJ41" s="40"/>
      <c r="AK41" s="43"/>
      <c r="AL41" s="44" t="s">
        <v>185</v>
      </c>
      <c r="AM41" s="21" t="s">
        <v>186</v>
      </c>
      <c r="AN41" s="38" t="n">
        <f aca="false">AO41/$AO$48</f>
        <v>0.0280030761024698</v>
      </c>
      <c r="AO41" s="50" t="n">
        <f aca="false">(SUM(AO9:AO40)+SUM(AO42:AO45))*1.0125*0.7*0.095/12*6</f>
        <v>375892.998701328</v>
      </c>
      <c r="AP41" s="45" t="n">
        <f aca="false">+AO41/AP$7</f>
        <v>2805.17163209946</v>
      </c>
      <c r="AQ41" s="41" t="n">
        <f aca="false">+AO41/AQ$7</f>
        <v>2.34938997663271</v>
      </c>
    </row>
    <row r="42" customFormat="false" ht="12" hidden="false" customHeight="false" outlineLevel="0" collapsed="false">
      <c r="B42" s="19" t="s">
        <v>187</v>
      </c>
      <c r="C42" s="37"/>
      <c r="E42" s="39"/>
      <c r="F42" s="39"/>
      <c r="G42" s="39"/>
      <c r="H42" s="39"/>
      <c r="I42" s="39"/>
      <c r="J42" s="39"/>
      <c r="K42" s="39"/>
      <c r="L42" s="40"/>
      <c r="M42" s="40"/>
      <c r="N42" s="41"/>
      <c r="O42" s="41"/>
      <c r="P42" s="41"/>
      <c r="Q42" s="46"/>
      <c r="R42" s="46"/>
      <c r="S42" s="41"/>
      <c r="T42" s="40"/>
      <c r="U42" s="46"/>
      <c r="V42" s="46"/>
      <c r="W42" s="41"/>
      <c r="X42" s="40"/>
      <c r="Y42" s="46"/>
      <c r="Z42" s="46"/>
      <c r="AA42" s="41"/>
      <c r="AB42" s="40"/>
      <c r="AC42" s="46"/>
      <c r="AD42" s="46"/>
      <c r="AE42" s="41"/>
      <c r="AF42" s="41"/>
      <c r="AG42" s="46"/>
      <c r="AH42" s="23" t="s">
        <v>188</v>
      </c>
      <c r="AI42" s="41"/>
      <c r="AJ42" s="40"/>
      <c r="AK42" s="43"/>
      <c r="AL42" s="44" t="s">
        <v>189</v>
      </c>
      <c r="AM42" s="21" t="s">
        <v>190</v>
      </c>
      <c r="AN42" s="38" t="n">
        <f aca="false">AO42/$AO$48</f>
        <v>0.141110866241915</v>
      </c>
      <c r="AO42" s="50" t="n">
        <f aca="false">(2.5*43560+75000)*10.3</f>
        <v>1894170</v>
      </c>
      <c r="AP42" s="45" t="n">
        <f aca="false">+AO42/AP$7</f>
        <v>14135.5970149254</v>
      </c>
      <c r="AQ42" s="41" t="n">
        <f aca="false">+AO42/AQ$7</f>
        <v>11.8388584714618</v>
      </c>
    </row>
    <row r="43" customFormat="false" ht="12" hidden="false" customHeight="false" outlineLevel="0" collapsed="false">
      <c r="A43" s="20" t="s">
        <v>191</v>
      </c>
      <c r="B43" s="21" t="s">
        <v>192</v>
      </c>
      <c r="C43" s="37" t="n">
        <v>0.1</v>
      </c>
      <c r="D43" s="38" t="n">
        <f aca="false">L43/$L$88</f>
        <v>0.00298707790100027</v>
      </c>
      <c r="E43" s="39" t="s">
        <v>78</v>
      </c>
      <c r="F43" s="39" t="s">
        <v>78</v>
      </c>
      <c r="G43" s="39" t="s">
        <v>78</v>
      </c>
      <c r="H43" s="39" t="s">
        <v>78</v>
      </c>
      <c r="I43" s="39" t="s">
        <v>78</v>
      </c>
      <c r="J43" s="39" t="s">
        <v>78</v>
      </c>
      <c r="K43" s="39" t="s">
        <v>78</v>
      </c>
      <c r="L43" s="40" t="n">
        <f aca="false">M43*TRUnits</f>
        <v>2100</v>
      </c>
      <c r="M43" s="40" t="n">
        <f aca="false">300/2</f>
        <v>150</v>
      </c>
      <c r="N43" s="41" t="n">
        <f aca="false">$M43/N$8</f>
        <v>0.109011627906977</v>
      </c>
      <c r="O43" s="41" t="n">
        <f aca="false">$M43/O$8</f>
        <v>0.0864055299539171</v>
      </c>
      <c r="P43" s="41"/>
      <c r="Q43" s="46" t="n">
        <f aca="false">R43*Q$7</f>
        <v>0</v>
      </c>
      <c r="R43" s="46" t="n">
        <f aca="false">10000/SM134Units*CMF</f>
        <v>83.955223880597</v>
      </c>
      <c r="S43" s="41" t="n">
        <f aca="false">+R43/R$8</f>
        <v>0.0700794857100142</v>
      </c>
      <c r="T43" s="40"/>
      <c r="U43" s="46" t="n">
        <f aca="false">V43*U$7</f>
        <v>3945.89552238806</v>
      </c>
      <c r="V43" s="46" t="n">
        <f aca="false">10000/SM134Units*CMF</f>
        <v>83.955223880597</v>
      </c>
      <c r="W43" s="41" t="n">
        <f aca="false">+V43/V$8</f>
        <v>0.0932835820895522</v>
      </c>
      <c r="X43" s="40"/>
      <c r="Y43" s="46" t="n">
        <f aca="false">Z43*Y$7</f>
        <v>4449.62686567164</v>
      </c>
      <c r="Z43" s="46" t="n">
        <f aca="false">10000/SM134Units*CMF</f>
        <v>83.955223880597</v>
      </c>
      <c r="AA43" s="41" t="n">
        <f aca="false">+Z43/Z$8</f>
        <v>0.0652332741884981</v>
      </c>
      <c r="AB43" s="40"/>
      <c r="AC43" s="46" t="n">
        <f aca="false">AD43*AC$7</f>
        <v>2854.4776119403</v>
      </c>
      <c r="AD43" s="46" t="n">
        <f aca="false">10000/SM134Units*CMF</f>
        <v>83.955223880597</v>
      </c>
      <c r="AE43" s="41" t="n">
        <f aca="false">+AD43/AD$8</f>
        <v>0.0577408692438769</v>
      </c>
      <c r="AF43" s="41"/>
      <c r="AG43" s="46" t="n">
        <f aca="false">+Y43+U43+Q43+AC43</f>
        <v>11250</v>
      </c>
      <c r="AH43" s="23" t="n">
        <f aca="false">+AG43/AG$7</f>
        <v>83.955223880597</v>
      </c>
      <c r="AI43" s="41" t="n">
        <f aca="false">+AH43/AH$8</f>
        <v>0.0703142578564464</v>
      </c>
      <c r="AJ43" s="40"/>
      <c r="AK43" s="43"/>
      <c r="AL43" s="44" t="s">
        <v>193</v>
      </c>
      <c r="AM43" s="21" t="s">
        <v>194</v>
      </c>
      <c r="AN43" s="38" t="n">
        <f aca="false">AO43/$AO$48</f>
        <v>0.0142332359482586</v>
      </c>
      <c r="AO43" s="50" t="n">
        <f aca="false">AG11+AG86</f>
        <v>191056.644</v>
      </c>
      <c r="AP43" s="45" t="n">
        <f aca="false">+AO43/AP$7</f>
        <v>1425.79585074627</v>
      </c>
      <c r="AQ43" s="41" t="n">
        <f aca="false">+AO43/AQ$7</f>
        <v>1.19413387834696</v>
      </c>
    </row>
    <row r="44" customFormat="false" ht="12.75" hidden="false" customHeight="false" outlineLevel="0" collapsed="false">
      <c r="A44" s="20" t="s">
        <v>191</v>
      </c>
      <c r="B44" s="21" t="s">
        <v>113</v>
      </c>
      <c r="C44" s="37" t="n">
        <v>0.5</v>
      </c>
      <c r="D44" s="38" t="n">
        <f aca="false">L44/$L$88</f>
        <v>0.0309759978333728</v>
      </c>
      <c r="E44" s="39" t="s">
        <v>78</v>
      </c>
      <c r="F44" s="39" t="s">
        <v>78</v>
      </c>
      <c r="G44" s="39" t="s">
        <v>78</v>
      </c>
      <c r="H44" s="39" t="s">
        <v>78</v>
      </c>
      <c r="I44" s="39" t="s">
        <v>78</v>
      </c>
      <c r="J44" s="39" t="s">
        <v>78</v>
      </c>
      <c r="K44" s="39" t="s">
        <v>78</v>
      </c>
      <c r="L44" s="40" t="n">
        <f aca="false">M44*TRUnits</f>
        <v>21777</v>
      </c>
      <c r="M44" s="40" t="n">
        <f aca="false">3111/2</f>
        <v>1555.5</v>
      </c>
      <c r="N44" s="41" t="n">
        <f aca="false">$M44/N$8</f>
        <v>1.13045058139535</v>
      </c>
      <c r="O44" s="41" t="n">
        <f aca="false">$M44/O$8</f>
        <v>0.89602534562212</v>
      </c>
      <c r="P44" s="41"/>
      <c r="Q44" s="46" t="n">
        <f aca="false">R44*Q$7</f>
        <v>0</v>
      </c>
      <c r="R44" s="46" t="n">
        <f aca="false">2.25*CMF*60%*R$8</f>
        <v>1819.4625</v>
      </c>
      <c r="S44" s="41" t="n">
        <f aca="false">+R44/R$8</f>
        <v>1.51875</v>
      </c>
      <c r="T44" s="40"/>
      <c r="U44" s="46" t="n">
        <f aca="false">V44*U$7</f>
        <v>64243.125</v>
      </c>
      <c r="V44" s="46" t="n">
        <f aca="false">2.25*CMF*60%*V$8</f>
        <v>1366.875</v>
      </c>
      <c r="W44" s="41" t="n">
        <f aca="false">+V44/V$8</f>
        <v>1.51875</v>
      </c>
      <c r="X44" s="40"/>
      <c r="Y44" s="46" t="n">
        <f aca="false">Z44*Y$7</f>
        <v>103595.45625</v>
      </c>
      <c r="Z44" s="46" t="n">
        <f aca="false">2.25*CMF*60%*Z$8</f>
        <v>1954.63125</v>
      </c>
      <c r="AA44" s="41" t="n">
        <f aca="false">+Z44/Z$8</f>
        <v>1.51875</v>
      </c>
      <c r="AB44" s="40"/>
      <c r="AC44" s="46" t="n">
        <f aca="false">AD44*AC$7</f>
        <v>75080.925</v>
      </c>
      <c r="AD44" s="46" t="n">
        <f aca="false">2.25*CMF*60%*AD$8</f>
        <v>2208.2625</v>
      </c>
      <c r="AE44" s="41" t="n">
        <f aca="false">+AD44/AD$8</f>
        <v>1.51875</v>
      </c>
      <c r="AF44" s="41"/>
      <c r="AG44" s="46" t="n">
        <f aca="false">+Y44+U44+Q44+AC44</f>
        <v>242919.50625</v>
      </c>
      <c r="AH44" s="23" t="n">
        <f aca="false">+AG44/AG$7</f>
        <v>1812.83213619403</v>
      </c>
      <c r="AI44" s="41" t="n">
        <f aca="false">+AH44/AH$8</f>
        <v>1.51828487118428</v>
      </c>
      <c r="AJ44" s="40"/>
      <c r="AK44" s="43"/>
      <c r="AL44" s="44" t="s">
        <v>195</v>
      </c>
      <c r="AM44" s="21" t="s">
        <v>196</v>
      </c>
      <c r="AN44" s="38" t="n">
        <f aca="false">AO44/$AO$48</f>
        <v>0.0181977803971448</v>
      </c>
      <c r="AO44" s="50" t="n">
        <f aca="false">AG45+AG47+AG48+AG69</f>
        <v>244273.815425145</v>
      </c>
      <c r="AP44" s="45" t="n">
        <f aca="false">+AO44/AP$7</f>
        <v>1822.93892108317</v>
      </c>
      <c r="AQ44" s="41" t="n">
        <f aca="false">+AO44/AQ$7</f>
        <v>1.52674951514504</v>
      </c>
    </row>
    <row r="45" customFormat="false" ht="12.75" hidden="false" customHeight="false" outlineLevel="0" collapsed="false">
      <c r="A45" s="20" t="s">
        <v>197</v>
      </c>
      <c r="B45" s="56" t="s">
        <v>198</v>
      </c>
      <c r="C45" s="37" t="n">
        <v>0.4</v>
      </c>
      <c r="D45" s="38" t="n">
        <f aca="false">L45/$L$88</f>
        <v>0.0247827896519656</v>
      </c>
      <c r="E45" s="39" t="s">
        <v>78</v>
      </c>
      <c r="F45" s="39" t="s">
        <v>78</v>
      </c>
      <c r="G45" s="48"/>
      <c r="H45" s="39" t="s">
        <v>78</v>
      </c>
      <c r="I45" s="39" t="s">
        <v>78</v>
      </c>
      <c r="J45" s="48"/>
      <c r="K45" s="49" t="s">
        <v>78</v>
      </c>
      <c r="L45" s="40" t="n">
        <f aca="false">M45*TRUnits</f>
        <v>17423</v>
      </c>
      <c r="M45" s="40" t="n">
        <f aca="false">2489/2</f>
        <v>1244.5</v>
      </c>
      <c r="N45" s="41" t="n">
        <f aca="false">$M45/N$8</f>
        <v>0.904433139534884</v>
      </c>
      <c r="O45" s="41" t="n">
        <f aca="false">$M45/O$8</f>
        <v>0.716877880184332</v>
      </c>
      <c r="P45" s="41"/>
      <c r="Q45" s="46" t="n">
        <f aca="false">R45*Q$7</f>
        <v>0</v>
      </c>
      <c r="R45" s="46" t="n">
        <f aca="false">2.25*CMF*40%*R$8</f>
        <v>1212.975</v>
      </c>
      <c r="S45" s="41" t="n">
        <f aca="false">+R45/R$8</f>
        <v>1.0125</v>
      </c>
      <c r="T45" s="40"/>
      <c r="U45" s="46" t="n">
        <f aca="false">V45*U$7</f>
        <v>42828.75</v>
      </c>
      <c r="V45" s="46" t="n">
        <f aca="false">2.25*CMF*40%*V$8</f>
        <v>911.25</v>
      </c>
      <c r="W45" s="41" t="n">
        <f aca="false">+V45/V$8</f>
        <v>1.0125</v>
      </c>
      <c r="X45" s="40"/>
      <c r="Y45" s="46" t="n">
        <f aca="false">Z45*Y$7</f>
        <v>69063.6375</v>
      </c>
      <c r="Z45" s="46" t="n">
        <f aca="false">2.25*CMF*40%*Z$8</f>
        <v>1303.0875</v>
      </c>
      <c r="AA45" s="41" t="n">
        <f aca="false">+Z45/Z$8</f>
        <v>1.0125</v>
      </c>
      <c r="AB45" s="40"/>
      <c r="AC45" s="46" t="n">
        <f aca="false">AD45*AC$7</f>
        <v>50053.95</v>
      </c>
      <c r="AD45" s="46" t="n">
        <f aca="false">2.25*CMF*40%*AD$8</f>
        <v>1472.175</v>
      </c>
      <c r="AE45" s="41" t="n">
        <f aca="false">+AD45/AD$8</f>
        <v>1.0125</v>
      </c>
      <c r="AF45" s="41"/>
      <c r="AG45" s="46" t="n">
        <f aca="false">+Y45+U45+Q45+AC45</f>
        <v>161946.3375</v>
      </c>
      <c r="AH45" s="23" t="n">
        <f aca="false">+AG45/AG$7</f>
        <v>1208.55475746269</v>
      </c>
      <c r="AI45" s="41" t="n">
        <f aca="false">+AH45/AH$8</f>
        <v>1.01218991412285</v>
      </c>
      <c r="AJ45" s="40"/>
      <c r="AK45" s="43"/>
      <c r="AL45" s="44" t="s">
        <v>199</v>
      </c>
      <c r="AM45" s="21" t="s">
        <v>200</v>
      </c>
      <c r="AN45" s="38" t="n">
        <f aca="false">AO45/$AO$48</f>
        <v>0.0136085919000326</v>
      </c>
      <c r="AO45" s="20" t="n">
        <f aca="false">+AG87</f>
        <v>182671.875</v>
      </c>
      <c r="AP45" s="45" t="n">
        <f aca="false">+AO45/AP$7</f>
        <v>1363.22294776119</v>
      </c>
      <c r="AQ45" s="41" t="n">
        <f aca="false">+AO45/AQ$7</f>
        <v>1.14172776194405</v>
      </c>
    </row>
    <row r="46" customFormat="false" ht="12" hidden="false" customHeight="false" outlineLevel="0" collapsed="false">
      <c r="B46" s="19" t="s">
        <v>201</v>
      </c>
      <c r="C46" s="37"/>
      <c r="E46" s="39"/>
      <c r="F46" s="39"/>
      <c r="G46" s="39"/>
      <c r="H46" s="39"/>
      <c r="I46" s="39"/>
      <c r="J46" s="39"/>
      <c r="K46" s="39"/>
      <c r="L46" s="40"/>
      <c r="N46" s="41"/>
      <c r="O46" s="41"/>
      <c r="P46" s="41"/>
      <c r="Q46" s="46"/>
      <c r="R46" s="22"/>
      <c r="S46" s="41"/>
      <c r="T46" s="40"/>
      <c r="U46" s="46"/>
      <c r="V46" s="46"/>
      <c r="W46" s="41"/>
      <c r="X46" s="40"/>
      <c r="Y46" s="46"/>
      <c r="Z46" s="46"/>
      <c r="AA46" s="41"/>
      <c r="AB46" s="40"/>
      <c r="AC46" s="46"/>
      <c r="AD46" s="46"/>
      <c r="AE46" s="41"/>
      <c r="AF46" s="41"/>
      <c r="AG46" s="46"/>
      <c r="AH46" s="23" t="s">
        <v>188</v>
      </c>
      <c r="AI46" s="41"/>
      <c r="AJ46" s="40"/>
      <c r="AK46" s="43"/>
      <c r="AL46" s="44" t="s">
        <v>193</v>
      </c>
      <c r="AM46" s="21" t="s">
        <v>202</v>
      </c>
      <c r="AN46" s="38" t="n">
        <f aca="false">AO46/$AO$48</f>
        <v>0.0318202075028817</v>
      </c>
      <c r="AO46" s="20" t="n">
        <f aca="false">(SUM(AO$43:AO45)+SUM(AO$9:AO$40))*0.1-500000</f>
        <v>427131.404199619</v>
      </c>
      <c r="AP46" s="45" t="n">
        <f aca="false">+AO46/AP$7</f>
        <v>3187.54779253447</v>
      </c>
      <c r="AQ46" s="41" t="n">
        <f aca="false">+AO46/AQ$7</f>
        <v>2.66963801719805</v>
      </c>
    </row>
    <row r="47" customFormat="false" ht="12" hidden="false" customHeight="false" outlineLevel="0" collapsed="false">
      <c r="A47" s="20" t="s">
        <v>197</v>
      </c>
      <c r="B47" s="21" t="s">
        <v>113</v>
      </c>
      <c r="C47" s="37" t="n">
        <v>0.75</v>
      </c>
      <c r="D47" s="38" t="n">
        <f aca="false">L47/$L$88</f>
        <v>0</v>
      </c>
      <c r="E47" s="39" t="s">
        <v>78</v>
      </c>
      <c r="F47" s="39" t="s">
        <v>78</v>
      </c>
      <c r="G47" s="39" t="s">
        <v>78</v>
      </c>
      <c r="H47" s="39" t="s">
        <v>78</v>
      </c>
      <c r="I47" s="39" t="s">
        <v>78</v>
      </c>
      <c r="J47" s="39" t="s">
        <v>78</v>
      </c>
      <c r="K47" s="39" t="s">
        <v>78</v>
      </c>
      <c r="L47" s="40" t="n">
        <f aca="false">M47*TRUnits</f>
        <v>0</v>
      </c>
      <c r="M47" s="40" t="n">
        <v>0</v>
      </c>
      <c r="N47" s="41" t="n">
        <f aca="false">$M47/N$8</f>
        <v>0</v>
      </c>
      <c r="O47" s="41" t="n">
        <f aca="false">$M47/O$8</f>
        <v>0</v>
      </c>
      <c r="P47" s="41"/>
      <c r="Q47" s="46" t="n">
        <f aca="false">R47*Q$7</f>
        <v>0</v>
      </c>
      <c r="R47" s="46" t="n">
        <f aca="false">0*CMF</f>
        <v>0</v>
      </c>
      <c r="S47" s="41" t="n">
        <f aca="false">+R47/R$8</f>
        <v>0</v>
      </c>
      <c r="T47" s="40"/>
      <c r="U47" s="46" t="n">
        <f aca="false">V47*U$7</f>
        <v>0</v>
      </c>
      <c r="V47" s="46" t="n">
        <f aca="false">0*CMF</f>
        <v>0</v>
      </c>
      <c r="W47" s="41" t="n">
        <f aca="false">+V47/V$8</f>
        <v>0</v>
      </c>
      <c r="X47" s="40"/>
      <c r="Y47" s="46" t="n">
        <f aca="false">Z47*Y$7</f>
        <v>0</v>
      </c>
      <c r="Z47" s="46" t="n">
        <f aca="false">0*CMF</f>
        <v>0</v>
      </c>
      <c r="AA47" s="41" t="n">
        <f aca="false">+Z47/Z$8</f>
        <v>0</v>
      </c>
      <c r="AB47" s="40"/>
      <c r="AC47" s="46" t="n">
        <f aca="false">AD47*AC$7</f>
        <v>0</v>
      </c>
      <c r="AD47" s="46" t="n">
        <f aca="false">0*CMF</f>
        <v>0</v>
      </c>
      <c r="AE47" s="41" t="n">
        <f aca="false">+AD47/AD$8</f>
        <v>0</v>
      </c>
      <c r="AF47" s="41"/>
      <c r="AG47" s="46" t="n">
        <f aca="false">+Y47+U47+Q47+AC47</f>
        <v>0</v>
      </c>
      <c r="AH47" s="23" t="n">
        <f aca="false">+AG47/AG$7</f>
        <v>0</v>
      </c>
      <c r="AI47" s="41" t="n">
        <f aca="false">+AH47/AH$8</f>
        <v>0</v>
      </c>
      <c r="AJ47" s="40"/>
      <c r="AK47" s="43"/>
      <c r="AL47" s="44" t="s">
        <v>195</v>
      </c>
      <c r="AM47" s="21" t="s">
        <v>203</v>
      </c>
      <c r="AN47" s="38" t="n">
        <f aca="false">AO47/$AO$48</f>
        <v>0.108376442302906</v>
      </c>
      <c r="AO47" s="20" t="n">
        <f aca="false">(SUM(AO$43:AO46)+SUM(AO$9:AO$40))*0.15</f>
        <v>1454766.81692937</v>
      </c>
      <c r="AP47" s="45" t="n">
        <f aca="false">+AO47/AP$7</f>
        <v>10856.468783055</v>
      </c>
      <c r="AQ47" s="41" t="n">
        <f aca="false">+AO47/AQ$7</f>
        <v>9.09251991880654</v>
      </c>
    </row>
    <row r="48" customFormat="false" ht="12.75" hidden="false" customHeight="false" outlineLevel="0" collapsed="false">
      <c r="A48" s="20" t="s">
        <v>197</v>
      </c>
      <c r="B48" s="21" t="s">
        <v>198</v>
      </c>
      <c r="C48" s="37" t="n">
        <v>0.25</v>
      </c>
      <c r="D48" s="38" t="n">
        <f aca="false">L48/$L$88</f>
        <v>0.00398277053466703</v>
      </c>
      <c r="E48" s="39" t="s">
        <v>78</v>
      </c>
      <c r="F48" s="39" t="s">
        <v>78</v>
      </c>
      <c r="G48" s="39" t="s">
        <v>78</v>
      </c>
      <c r="H48" s="39" t="s">
        <v>78</v>
      </c>
      <c r="I48" s="39" t="s">
        <v>78</v>
      </c>
      <c r="J48" s="39" t="s">
        <v>78</v>
      </c>
      <c r="K48" s="39" t="s">
        <v>78</v>
      </c>
      <c r="L48" s="40" t="n">
        <f aca="false">M48*TRUnits</f>
        <v>2800</v>
      </c>
      <c r="M48" s="40" t="n">
        <f aca="false">400/2</f>
        <v>200</v>
      </c>
      <c r="N48" s="41" t="n">
        <f aca="false">$M48/N$8</f>
        <v>0.145348837209302</v>
      </c>
      <c r="O48" s="41" t="n">
        <f aca="false">$M48/O$8</f>
        <v>0.115207373271889</v>
      </c>
      <c r="P48" s="41"/>
      <c r="Q48" s="46" t="n">
        <f aca="false">R48*Q$7</f>
        <v>0</v>
      </c>
      <c r="R48" s="46" t="n">
        <f aca="false">$M48*CMF</f>
        <v>225</v>
      </c>
      <c r="S48" s="41" t="n">
        <f aca="false">+R48/R$8</f>
        <v>0.187813021702838</v>
      </c>
      <c r="T48" s="40"/>
      <c r="U48" s="46" t="n">
        <f aca="false">V48*U$7</f>
        <v>10575</v>
      </c>
      <c r="V48" s="46" t="n">
        <f aca="false">$M48*CMF</f>
        <v>225</v>
      </c>
      <c r="W48" s="41" t="n">
        <f aca="false">+V48/V$8</f>
        <v>0.25</v>
      </c>
      <c r="X48" s="40"/>
      <c r="Y48" s="46" t="n">
        <f aca="false">Z48*Y$7</f>
        <v>11925</v>
      </c>
      <c r="Z48" s="46" t="n">
        <f aca="false">$M48*CMF</f>
        <v>225</v>
      </c>
      <c r="AA48" s="41" t="n">
        <f aca="false">+Z48/Z$8</f>
        <v>0.174825174825175</v>
      </c>
      <c r="AB48" s="40"/>
      <c r="AC48" s="46" t="n">
        <f aca="false">AD48*AC$7</f>
        <v>7650</v>
      </c>
      <c r="AD48" s="46" t="n">
        <f aca="false">$M48*CMF</f>
        <v>225</v>
      </c>
      <c r="AE48" s="41" t="n">
        <f aca="false">+AD48/AD$8</f>
        <v>0.15474552957359</v>
      </c>
      <c r="AF48" s="41"/>
      <c r="AG48" s="46" t="n">
        <f aca="false">+Y48+U48+Q48+AC48</f>
        <v>30150</v>
      </c>
      <c r="AH48" s="23" t="n">
        <f aca="false">+AG48/AG$7</f>
        <v>225</v>
      </c>
      <c r="AI48" s="41" t="n">
        <f aca="false">+AH48/AH$8</f>
        <v>0.188442211055276</v>
      </c>
      <c r="AJ48" s="40"/>
      <c r="AK48" s="43"/>
      <c r="AL48" s="44"/>
      <c r="AM48" s="57" t="s">
        <v>70</v>
      </c>
      <c r="AN48" s="58" t="n">
        <f aca="false">SUM(AN9:AN47)</f>
        <v>1</v>
      </c>
      <c r="AO48" s="59" t="n">
        <f aca="false">SUM(AO9:AO47)</f>
        <v>13423275.2618265</v>
      </c>
      <c r="AP48" s="59" t="n">
        <f aca="false">+AO48/AP$7</f>
        <v>100173.69598378</v>
      </c>
      <c r="AQ48" s="60" t="n">
        <f aca="false">+AO48/AQ$7</f>
        <v>83.8975678256113</v>
      </c>
    </row>
    <row r="49" customFormat="false" ht="12.75" hidden="false" customHeight="false" outlineLevel="0" collapsed="false">
      <c r="B49" s="19" t="s">
        <v>204</v>
      </c>
      <c r="C49" s="37"/>
      <c r="D49" s="38"/>
      <c r="E49" s="39"/>
      <c r="F49" s="39"/>
      <c r="G49" s="39"/>
      <c r="H49" s="39"/>
      <c r="I49" s="39"/>
      <c r="J49" s="39"/>
      <c r="K49" s="39"/>
      <c r="L49" s="40" t="n">
        <f aca="false">M49*TRUnits</f>
        <v>0</v>
      </c>
      <c r="M49" s="40"/>
      <c r="N49" s="41"/>
      <c r="O49" s="41"/>
      <c r="P49" s="41"/>
      <c r="Q49" s="52"/>
      <c r="R49" s="52"/>
      <c r="S49" s="41"/>
      <c r="T49" s="40"/>
      <c r="U49" s="46"/>
      <c r="V49" s="46"/>
      <c r="W49" s="41"/>
      <c r="X49" s="40"/>
      <c r="Y49" s="46"/>
      <c r="Z49" s="46"/>
      <c r="AA49" s="41"/>
      <c r="AB49" s="40"/>
      <c r="AC49" s="46"/>
      <c r="AD49" s="46"/>
      <c r="AE49" s="41"/>
      <c r="AF49" s="41"/>
      <c r="AG49" s="46"/>
      <c r="AH49" s="23" t="s">
        <v>188</v>
      </c>
      <c r="AI49" s="41"/>
      <c r="AJ49" s="40"/>
      <c r="AK49" s="43"/>
      <c r="AL49" s="44"/>
      <c r="AM49" s="61" t="s">
        <v>205</v>
      </c>
    </row>
    <row r="50" customFormat="false" ht="12.75" hidden="false" customHeight="false" outlineLevel="0" collapsed="false">
      <c r="A50" s="20" t="s">
        <v>206</v>
      </c>
      <c r="B50" s="21" t="s">
        <v>113</v>
      </c>
      <c r="C50" s="37" t="n">
        <v>0.6</v>
      </c>
      <c r="D50" s="38" t="n">
        <f aca="false">L50/$L$88</f>
        <v>0.0238966232080022</v>
      </c>
      <c r="E50" s="39" t="s">
        <v>78</v>
      </c>
      <c r="F50" s="39" t="s">
        <v>78</v>
      </c>
      <c r="G50" s="39" t="s">
        <v>78</v>
      </c>
      <c r="H50" s="39" t="s">
        <v>78</v>
      </c>
      <c r="I50" s="39" t="s">
        <v>78</v>
      </c>
      <c r="J50" s="39" t="s">
        <v>78</v>
      </c>
      <c r="K50" s="39" t="s">
        <v>78</v>
      </c>
      <c r="L50" s="40" t="n">
        <f aca="false">M50*TRUnits</f>
        <v>16800</v>
      </c>
      <c r="M50" s="40" t="n">
        <f aca="false">2400/2</f>
        <v>1200</v>
      </c>
      <c r="N50" s="41" t="n">
        <f aca="false">$M50/N$8</f>
        <v>0.872093023255814</v>
      </c>
      <c r="O50" s="41" t="n">
        <f aca="false">$M50/O$8</f>
        <v>0.691244239631336</v>
      </c>
      <c r="P50" s="41"/>
      <c r="Q50" s="46" t="n">
        <f aca="false">R50*Q$7</f>
        <v>0</v>
      </c>
      <c r="R50" s="46" t="n">
        <f aca="false">1.17*R$8*CMF</f>
        <v>1576.8675</v>
      </c>
      <c r="S50" s="41" t="n">
        <f aca="false">+R50/R$8</f>
        <v>1.31625</v>
      </c>
      <c r="T50" s="40"/>
      <c r="U50" s="46" t="n">
        <f aca="false">V50*U$7</f>
        <v>55677.375</v>
      </c>
      <c r="V50" s="46" t="n">
        <f aca="false">1.17*V$8*CMF</f>
        <v>1184.625</v>
      </c>
      <c r="W50" s="41" t="n">
        <f aca="false">+V50/V$8</f>
        <v>1.31625</v>
      </c>
      <c r="X50" s="40"/>
      <c r="Y50" s="46" t="n">
        <f aca="false">Z50*Y$7</f>
        <v>89782.72875</v>
      </c>
      <c r="Z50" s="46" t="n">
        <f aca="false">1.17*Z$8*CMF</f>
        <v>1694.01375</v>
      </c>
      <c r="AA50" s="41" t="n">
        <f aca="false">+Z50/Z$8</f>
        <v>1.31625</v>
      </c>
      <c r="AB50" s="40"/>
      <c r="AC50" s="46" t="n">
        <f aca="false">AD50*AC$7</f>
        <v>65070.135</v>
      </c>
      <c r="AD50" s="46" t="n">
        <f aca="false">1.17*AD$8*CMF</f>
        <v>1913.8275</v>
      </c>
      <c r="AE50" s="41" t="n">
        <f aca="false">+AD50/AD$8</f>
        <v>1.31625</v>
      </c>
      <c r="AF50" s="41"/>
      <c r="AG50" s="46" t="n">
        <f aca="false">+Y50+U50+Q50+AC50</f>
        <v>210530.23875</v>
      </c>
      <c r="AH50" s="23" t="n">
        <f aca="false">+AG50/AG$7</f>
        <v>1571.12118470149</v>
      </c>
      <c r="AI50" s="41" t="n">
        <f aca="false">+AH50/AH$8</f>
        <v>1.31584688835971</v>
      </c>
      <c r="AJ50" s="40"/>
      <c r="AK50" s="43"/>
      <c r="AL50" s="44"/>
      <c r="AM50" s="21" t="s">
        <v>207</v>
      </c>
      <c r="AN50" s="38" t="n">
        <f aca="false">AO50/$AO$48</f>
        <v>-0.141110866241915</v>
      </c>
      <c r="AO50" s="21" t="n">
        <f aca="false">-AO42</f>
        <v>-1894170</v>
      </c>
      <c r="AP50" s="40" t="n">
        <f aca="false">AO50/AP$7</f>
        <v>-14135.5970149254</v>
      </c>
      <c r="AQ50" s="62" t="n">
        <f aca="false">AP50/AQ$7</f>
        <v>-0.0883496900855357</v>
      </c>
    </row>
    <row r="51" customFormat="false" ht="12.75" hidden="false" customHeight="false" outlineLevel="0" collapsed="false">
      <c r="A51" s="20" t="s">
        <v>208</v>
      </c>
      <c r="B51" s="21" t="s">
        <v>209</v>
      </c>
      <c r="C51" s="37" t="n">
        <v>0.4</v>
      </c>
      <c r="D51" s="38" t="n">
        <f aca="false">L51/$L$88</f>
        <v>0.0159310821386681</v>
      </c>
      <c r="E51" s="39" t="s">
        <v>78</v>
      </c>
      <c r="F51" s="39" t="s">
        <v>78</v>
      </c>
      <c r="G51" s="48"/>
      <c r="H51" s="39" t="s">
        <v>78</v>
      </c>
      <c r="I51" s="39" t="s">
        <v>78</v>
      </c>
      <c r="J51" s="49" t="s">
        <v>78</v>
      </c>
      <c r="K51" s="39" t="s">
        <v>78</v>
      </c>
      <c r="L51" s="40" t="n">
        <f aca="false">M51*TRUnits</f>
        <v>11200</v>
      </c>
      <c r="M51" s="40" t="n">
        <f aca="false">1600/2</f>
        <v>800</v>
      </c>
      <c r="N51" s="41" t="n">
        <f aca="false">$M51/N$8</f>
        <v>0.581395348837209</v>
      </c>
      <c r="O51" s="41" t="n">
        <f aca="false">$M51/O$8</f>
        <v>0.460829493087558</v>
      </c>
      <c r="P51" s="41"/>
      <c r="Q51" s="46" t="n">
        <f aca="false">R51*Q$7</f>
        <v>0</v>
      </c>
      <c r="R51" s="46" t="n">
        <f aca="false">1.17*R$8*CMF</f>
        <v>1576.8675</v>
      </c>
      <c r="S51" s="41" t="n">
        <f aca="false">+R51/R$8</f>
        <v>1.31625</v>
      </c>
      <c r="T51" s="40"/>
      <c r="U51" s="46" t="n">
        <f aca="false">V51*U$7</f>
        <v>55677.375</v>
      </c>
      <c r="V51" s="46" t="n">
        <f aca="false">1.17*V$8*CMF</f>
        <v>1184.625</v>
      </c>
      <c r="W51" s="41" t="n">
        <f aca="false">+V51/V$8</f>
        <v>1.31625</v>
      </c>
      <c r="X51" s="40"/>
      <c r="Y51" s="46" t="n">
        <f aca="false">Z51*Y$7</f>
        <v>89782.72875</v>
      </c>
      <c r="Z51" s="46" t="n">
        <f aca="false">1.17*Z$8*CMF</f>
        <v>1694.01375</v>
      </c>
      <c r="AA51" s="41" t="n">
        <f aca="false">+Z51/Z$8</f>
        <v>1.31625</v>
      </c>
      <c r="AB51" s="40"/>
      <c r="AC51" s="46" t="n">
        <f aca="false">AD51*AC$7</f>
        <v>65070.135</v>
      </c>
      <c r="AD51" s="46" t="n">
        <f aca="false">1.17*AD$8*CMF</f>
        <v>1913.8275</v>
      </c>
      <c r="AE51" s="41" t="n">
        <f aca="false">+AD51/AD$8</f>
        <v>1.31625</v>
      </c>
      <c r="AF51" s="41"/>
      <c r="AG51" s="46" t="n">
        <f aca="false">+Y51+U51+Q51+AC51</f>
        <v>210530.23875</v>
      </c>
      <c r="AH51" s="23" t="n">
        <f aca="false">+AG51/AG$7</f>
        <v>1571.12118470149</v>
      </c>
      <c r="AI51" s="41" t="n">
        <f aca="false">+AH51/AH$8</f>
        <v>1.31584688835971</v>
      </c>
      <c r="AJ51" s="40"/>
      <c r="AK51" s="43"/>
      <c r="AL51" s="44"/>
      <c r="AM51" s="21" t="s">
        <v>210</v>
      </c>
      <c r="AN51" s="38" t="n">
        <f aca="false">AO51/$AO$48</f>
        <v>-0.0280030761024698</v>
      </c>
      <c r="AO51" s="21" t="n">
        <f aca="false">-AO41</f>
        <v>-375892.998701328</v>
      </c>
      <c r="AP51" s="40" t="n">
        <f aca="false">AO51/AP$7</f>
        <v>-2805.17163209946</v>
      </c>
      <c r="AQ51" s="62" t="n">
        <f aca="false">AP51/AQ$7</f>
        <v>-0.0175327610196471</v>
      </c>
    </row>
    <row r="52" customFormat="false" ht="12" hidden="false" customHeight="false" outlineLevel="0" collapsed="false">
      <c r="A52" s="20" t="s">
        <v>211</v>
      </c>
      <c r="B52" s="19" t="s">
        <v>212</v>
      </c>
      <c r="C52" s="37"/>
      <c r="D52" s="38" t="n">
        <f aca="false">L52/$L$88</f>
        <v>0.00959051144747821</v>
      </c>
      <c r="E52" s="39" t="s">
        <v>78</v>
      </c>
      <c r="F52" s="39" t="s">
        <v>78</v>
      </c>
      <c r="G52" s="39" t="s">
        <v>78</v>
      </c>
      <c r="H52" s="39" t="s">
        <v>78</v>
      </c>
      <c r="I52" s="39" t="s">
        <v>78</v>
      </c>
      <c r="J52" s="39" t="s">
        <v>78</v>
      </c>
      <c r="K52" s="39" t="s">
        <v>78</v>
      </c>
      <c r="L52" s="40" t="n">
        <f aca="false">M52*TRUnits</f>
        <v>6742.4</v>
      </c>
      <c r="M52" s="40" t="n">
        <f aca="false">(1376*0.7)/2</f>
        <v>481.6</v>
      </c>
      <c r="N52" s="41" t="n">
        <f aca="false">$M52/N$8</f>
        <v>0.35</v>
      </c>
      <c r="O52" s="41" t="n">
        <f aca="false">$M52/O$8</f>
        <v>0.27741935483871</v>
      </c>
      <c r="P52" s="41"/>
      <c r="Q52" s="46" t="n">
        <f aca="false">R52*Q$7</f>
        <v>0</v>
      </c>
      <c r="R52" s="46" t="n">
        <f aca="false">R$8*0.85*CMF</f>
        <v>1145.5875</v>
      </c>
      <c r="S52" s="41" t="n">
        <f aca="false">+R52/R$8</f>
        <v>0.95625</v>
      </c>
      <c r="T52" s="40"/>
      <c r="U52" s="46" t="n">
        <f aca="false">V52*U$7</f>
        <v>40449.375</v>
      </c>
      <c r="V52" s="46" t="n">
        <f aca="false">V$8*0.85*CMF</f>
        <v>860.625</v>
      </c>
      <c r="W52" s="41" t="n">
        <f aca="false">+V52/V$8</f>
        <v>0.95625</v>
      </c>
      <c r="X52" s="40"/>
      <c r="Y52" s="46" t="n">
        <f aca="false">Z52*Y$7</f>
        <v>65226.76875</v>
      </c>
      <c r="Z52" s="46" t="n">
        <f aca="false">Z$8*0.85*CMF</f>
        <v>1230.69375</v>
      </c>
      <c r="AA52" s="41" t="n">
        <f aca="false">+Z52/Z$8</f>
        <v>0.95625</v>
      </c>
      <c r="AB52" s="40"/>
      <c r="AC52" s="46" t="n">
        <f aca="false">AD52*AC$7</f>
        <v>47273.175</v>
      </c>
      <c r="AD52" s="46" t="n">
        <f aca="false">AD$8*0.85*CMF</f>
        <v>1390.3875</v>
      </c>
      <c r="AE52" s="41" t="n">
        <f aca="false">+AD52/AD$8</f>
        <v>0.95625</v>
      </c>
      <c r="AF52" s="41"/>
      <c r="AG52" s="46" t="n">
        <f aca="false">+Y52+U52+Q52+AC52</f>
        <v>152949.31875</v>
      </c>
      <c r="AH52" s="23" t="n">
        <f aca="false">+AG52/AG$7</f>
        <v>1141.41282649254</v>
      </c>
      <c r="AI52" s="41" t="n">
        <f aca="false">+AH52/AH$8</f>
        <v>0.955957141116028</v>
      </c>
      <c r="AJ52" s="40"/>
      <c r="AK52" s="43"/>
      <c r="AL52" s="44"/>
      <c r="AM52" s="21" t="s">
        <v>202</v>
      </c>
      <c r="AN52" s="38" t="n">
        <f aca="false">AO52/$AO$48</f>
        <v>-0.0318202075028817</v>
      </c>
      <c r="AO52" s="21" t="n">
        <f aca="false">-AO46</f>
        <v>-427131.404199619</v>
      </c>
      <c r="AP52" s="40" t="n">
        <f aca="false">AO52/AP$7</f>
        <v>-3187.54779253447</v>
      </c>
      <c r="AQ52" s="62" t="n">
        <f aca="false">AP52/AQ$7</f>
        <v>-0.0199226717701347</v>
      </c>
    </row>
    <row r="53" customFormat="false" ht="12" hidden="false" customHeight="false" outlineLevel="0" collapsed="false">
      <c r="A53" s="20" t="s">
        <v>213</v>
      </c>
      <c r="B53" s="19" t="s">
        <v>214</v>
      </c>
      <c r="C53" s="37"/>
      <c r="E53" s="39"/>
      <c r="F53" s="39"/>
      <c r="G53" s="39"/>
      <c r="H53" s="39"/>
      <c r="I53" s="39"/>
      <c r="K53" s="39"/>
      <c r="L53" s="40"/>
      <c r="M53" s="40"/>
      <c r="N53" s="41"/>
      <c r="O53" s="41"/>
      <c r="P53" s="41"/>
      <c r="Q53" s="46"/>
      <c r="R53" s="52"/>
      <c r="S53" s="41"/>
      <c r="T53" s="40"/>
      <c r="U53" s="46"/>
      <c r="V53" s="46"/>
      <c r="W53" s="41"/>
      <c r="X53" s="40"/>
      <c r="Y53" s="46"/>
      <c r="Z53" s="46"/>
      <c r="AA53" s="41"/>
      <c r="AB53" s="40"/>
      <c r="AC53" s="46"/>
      <c r="AD53" s="46"/>
      <c r="AE53" s="41"/>
      <c r="AF53" s="41"/>
      <c r="AG53" s="46"/>
      <c r="AH53" s="23" t="s">
        <v>188</v>
      </c>
      <c r="AI53" s="41"/>
      <c r="AJ53" s="40"/>
      <c r="AK53" s="43"/>
      <c r="AL53" s="44"/>
      <c r="AM53" s="21" t="s">
        <v>39</v>
      </c>
      <c r="AN53" s="38" t="n">
        <f aca="false">AO53/$AO$48</f>
        <v>-0.108376442302906</v>
      </c>
      <c r="AO53" s="21" t="n">
        <f aca="false">-AO47</f>
        <v>-1454766.81692937</v>
      </c>
      <c r="AP53" s="40" t="n">
        <f aca="false">AO53/AP$7</f>
        <v>-10856.468783055</v>
      </c>
      <c r="AQ53" s="62" t="n">
        <f aca="false">AP53/AQ$7</f>
        <v>-0.0678546262597503</v>
      </c>
    </row>
    <row r="54" customFormat="false" ht="12.75" hidden="false" customHeight="false" outlineLevel="0" collapsed="false">
      <c r="A54" s="20" t="s">
        <v>213</v>
      </c>
      <c r="B54" s="21" t="s">
        <v>215</v>
      </c>
      <c r="C54" s="37"/>
      <c r="D54" s="38" t="n">
        <f aca="false">L54/$L$88</f>
        <v>0.029069246439901</v>
      </c>
      <c r="E54" s="39" t="s">
        <v>78</v>
      </c>
      <c r="F54" s="39" t="s">
        <v>78</v>
      </c>
      <c r="G54" s="39" t="s">
        <v>78</v>
      </c>
      <c r="H54" s="39" t="s">
        <v>78</v>
      </c>
      <c r="I54" s="39" t="s">
        <v>78</v>
      </c>
      <c r="J54" s="39" t="s">
        <v>78</v>
      </c>
      <c r="K54" s="39" t="s">
        <v>78</v>
      </c>
      <c r="L54" s="40" t="n">
        <f aca="false">7*M54</f>
        <v>20436.5</v>
      </c>
      <c r="M54" s="40" t="n">
        <f aca="false">(2739+(21700/7))/2</f>
        <v>2919.5</v>
      </c>
      <c r="N54" s="41" t="n">
        <f aca="false">$M54/N$8</f>
        <v>2.12172965116279</v>
      </c>
      <c r="O54" s="41" t="n">
        <f aca="false">$M54/O$8</f>
        <v>1.68173963133641</v>
      </c>
      <c r="P54" s="41"/>
      <c r="Q54" s="46" t="n">
        <f aca="false">R54*Q$7</f>
        <v>0</v>
      </c>
      <c r="R54" s="46" t="n">
        <f aca="false">R$8*3*0.33*CMF</f>
        <v>1334.2725</v>
      </c>
      <c r="S54" s="41" t="n">
        <f aca="false">+R54/R$8</f>
        <v>1.11375</v>
      </c>
      <c r="T54" s="40"/>
      <c r="U54" s="46" t="n">
        <f aca="false">V54*U$7</f>
        <v>47111.625</v>
      </c>
      <c r="V54" s="46" t="n">
        <f aca="false">V$8*3*0.33*CMF</f>
        <v>1002.375</v>
      </c>
      <c r="W54" s="41" t="n">
        <f aca="false">+V54/V$8</f>
        <v>1.11375</v>
      </c>
      <c r="X54" s="40"/>
      <c r="Y54" s="46" t="n">
        <f aca="false">Z54*Y$7</f>
        <v>75970.00125</v>
      </c>
      <c r="Z54" s="46" t="n">
        <f aca="false">Z$8*3*0.33*CMF</f>
        <v>1433.39625</v>
      </c>
      <c r="AA54" s="41" t="n">
        <f aca="false">+Z54/Z$8</f>
        <v>1.11375</v>
      </c>
      <c r="AB54" s="40"/>
      <c r="AC54" s="46" t="n">
        <f aca="false">AD54*AC$7</f>
        <v>55059.345</v>
      </c>
      <c r="AD54" s="46" t="n">
        <f aca="false">AD$8*3*0.33*CMF</f>
        <v>1619.3925</v>
      </c>
      <c r="AE54" s="41" t="n">
        <f aca="false">+AD54/AD$8</f>
        <v>1.11375</v>
      </c>
      <c r="AF54" s="41"/>
      <c r="AG54" s="46" t="n">
        <f aca="false">+Y54+U54+Q54+AC54</f>
        <v>178140.97125</v>
      </c>
      <c r="AH54" s="23" t="n">
        <f aca="false">+AG54/AG$7</f>
        <v>1329.41023320896</v>
      </c>
      <c r="AI54" s="41" t="n">
        <f aca="false">+AH54/AH$8</f>
        <v>1.11340890553514</v>
      </c>
      <c r="AJ54" s="40"/>
      <c r="AK54" s="43"/>
      <c r="AL54" s="44"/>
      <c r="AM54" s="57" t="s">
        <v>216</v>
      </c>
      <c r="AN54" s="58" t="n">
        <f aca="false">AO54/$AO$48</f>
        <v>0.690689407849828</v>
      </c>
      <c r="AO54" s="59" t="n">
        <f aca="false">SUM(AO48:AO53)</f>
        <v>9271314.04199619</v>
      </c>
      <c r="AP54" s="59" t="n">
        <f aca="false">+AO54/AP$7</f>
        <v>69188.9107611656</v>
      </c>
      <c r="AQ54" s="60" t="n">
        <f aca="false">+AO54/AQ$7</f>
        <v>57.9471614415122</v>
      </c>
    </row>
    <row r="55" customFormat="false" ht="13.5" hidden="false" customHeight="false" outlineLevel="0" collapsed="false">
      <c r="A55" s="20" t="s">
        <v>213</v>
      </c>
      <c r="B55" s="21" t="s">
        <v>217</v>
      </c>
      <c r="C55" s="37"/>
      <c r="D55" s="38" t="n">
        <f aca="false">L55/$L$88</f>
        <v>0.0201627758317518</v>
      </c>
      <c r="E55" s="39" t="s">
        <v>78</v>
      </c>
      <c r="F55" s="39" t="s">
        <v>78</v>
      </c>
      <c r="G55" s="49" t="s">
        <v>78</v>
      </c>
      <c r="H55" s="39" t="s">
        <v>78</v>
      </c>
      <c r="I55" s="39" t="s">
        <v>78</v>
      </c>
      <c r="J55" s="49" t="s">
        <v>78</v>
      </c>
      <c r="K55" s="49" t="s">
        <v>78</v>
      </c>
      <c r="L55" s="40" t="n">
        <f aca="false">7*M55</f>
        <v>14175</v>
      </c>
      <c r="M55" s="40" t="n">
        <f aca="false">4050/2</f>
        <v>2025</v>
      </c>
      <c r="N55" s="41" t="n">
        <f aca="false">$M55/N$8</f>
        <v>1.47165697674419</v>
      </c>
      <c r="O55" s="41" t="n">
        <f aca="false">$M55/O$8</f>
        <v>1.16647465437788</v>
      </c>
      <c r="P55" s="41"/>
      <c r="Q55" s="46" t="n">
        <f aca="false">R55*Q$7</f>
        <v>0</v>
      </c>
      <c r="R55" s="46" t="n">
        <f aca="false">$R$8*3*0.67*CMF</f>
        <v>2708.9775</v>
      </c>
      <c r="S55" s="41" t="n">
        <f aca="false">+R55/R$8</f>
        <v>2.26125</v>
      </c>
      <c r="T55" s="40"/>
      <c r="U55" s="46" t="n">
        <f aca="false">V55*U$7</f>
        <v>127321.9425</v>
      </c>
      <c r="V55" s="46" t="n">
        <f aca="false">$R$8*3*0.67*CMF</f>
        <v>2708.9775</v>
      </c>
      <c r="W55" s="41" t="n">
        <f aca="false">+V55/V$8</f>
        <v>3.009975</v>
      </c>
      <c r="X55" s="40"/>
      <c r="Y55" s="46" t="n">
        <f aca="false">Z55*Y$7</f>
        <v>143575.8075</v>
      </c>
      <c r="Z55" s="46" t="n">
        <f aca="false">$R$8*3*0.67*CMF</f>
        <v>2708.9775</v>
      </c>
      <c r="AA55" s="41" t="n">
        <f aca="false">+Z55/Z$8</f>
        <v>2.10487762237762</v>
      </c>
      <c r="AB55" s="40"/>
      <c r="AC55" s="46" t="n">
        <f aca="false">AD55*AC$7</f>
        <v>92105.235</v>
      </c>
      <c r="AD55" s="46" t="n">
        <f aca="false">$R$8*3*0.67*CMF</f>
        <v>2708.9775</v>
      </c>
      <c r="AE55" s="41" t="n">
        <f aca="false">+AD55/AD$8</f>
        <v>1.86312070151307</v>
      </c>
      <c r="AF55" s="41"/>
      <c r="AG55" s="46" t="n">
        <f aca="false">+Y55+U55+Q55+AC55</f>
        <v>363002.985</v>
      </c>
      <c r="AH55" s="23" t="n">
        <f aca="false">+AG55/AG$7</f>
        <v>2708.9775</v>
      </c>
      <c r="AI55" s="41" t="n">
        <f aca="false">+AH55/AH$8</f>
        <v>2.26882537688442</v>
      </c>
      <c r="AJ55" s="40"/>
      <c r="AK55" s="43"/>
      <c r="AL55" s="44"/>
    </row>
    <row r="56" customFormat="false" ht="12.75" hidden="false" customHeight="false" outlineLevel="0" collapsed="false">
      <c r="A56" s="20" t="s">
        <v>218</v>
      </c>
      <c r="B56" s="63" t="s">
        <v>219</v>
      </c>
      <c r="C56" s="37"/>
      <c r="D56" s="38" t="n">
        <f aca="false">L56/$L$88</f>
        <v>0.00363427811288367</v>
      </c>
      <c r="E56" s="39" t="s">
        <v>78</v>
      </c>
      <c r="F56" s="39" t="s">
        <v>78</v>
      </c>
      <c r="G56" s="48"/>
      <c r="H56" s="39" t="s">
        <v>78</v>
      </c>
      <c r="I56" s="39" t="s">
        <v>78</v>
      </c>
      <c r="J56" s="49" t="s">
        <v>78</v>
      </c>
      <c r="K56" s="49" t="s">
        <v>78</v>
      </c>
      <c r="L56" s="40" t="n">
        <f aca="false">7*M56</f>
        <v>2555</v>
      </c>
      <c r="M56" s="40" t="n">
        <f aca="false">730/2</f>
        <v>365</v>
      </c>
      <c r="N56" s="41" t="n">
        <f aca="false">$M56/N$8</f>
        <v>0.265261627906977</v>
      </c>
      <c r="O56" s="41" t="n">
        <f aca="false">$M56/O$8</f>
        <v>0.210253456221198</v>
      </c>
      <c r="P56" s="41"/>
      <c r="Q56" s="46" t="n">
        <f aca="false">R56*Q$7</f>
        <v>0</v>
      </c>
      <c r="R56" s="46" t="n">
        <v>0</v>
      </c>
      <c r="S56" s="41" t="n">
        <f aca="false">+R56/R$8</f>
        <v>0</v>
      </c>
      <c r="T56" s="40"/>
      <c r="U56" s="46" t="n">
        <f aca="false">V56*U$7</f>
        <v>0</v>
      </c>
      <c r="V56" s="46" t="n">
        <v>0</v>
      </c>
      <c r="W56" s="41" t="n">
        <f aca="false">+V56/V$8</f>
        <v>0</v>
      </c>
      <c r="X56" s="40"/>
      <c r="Y56" s="46" t="n">
        <f aca="false">Z56*Y$7</f>
        <v>0</v>
      </c>
      <c r="Z56" s="46" t="n">
        <v>0</v>
      </c>
      <c r="AA56" s="41" t="n">
        <f aca="false">+Z56/Z$8</f>
        <v>0</v>
      </c>
      <c r="AB56" s="40"/>
      <c r="AC56" s="46" t="n">
        <f aca="false">AD56*AC$7</f>
        <v>0</v>
      </c>
      <c r="AD56" s="46" t="n">
        <v>0</v>
      </c>
      <c r="AE56" s="41" t="n">
        <f aca="false">+AD56/AD$8</f>
        <v>0</v>
      </c>
      <c r="AF56" s="41"/>
      <c r="AG56" s="46" t="n">
        <f aca="false">+Y56+U56+Q56+AC56</f>
        <v>0</v>
      </c>
      <c r="AH56" s="23" t="n">
        <f aca="false">+AG56/AG$7</f>
        <v>0</v>
      </c>
      <c r="AI56" s="41" t="n">
        <f aca="false">+AH56/AH$8</f>
        <v>0</v>
      </c>
      <c r="AJ56" s="40"/>
      <c r="AK56" s="43"/>
      <c r="AL56" s="44"/>
      <c r="AO56" s="21" t="n">
        <f aca="false">0.75*AO48</f>
        <v>10067456.4463699</v>
      </c>
    </row>
    <row r="57" customFormat="false" ht="12.75" hidden="false" customHeight="false" outlineLevel="0" collapsed="false">
      <c r="A57" s="20" t="s">
        <v>218</v>
      </c>
      <c r="B57" s="19" t="s">
        <v>220</v>
      </c>
      <c r="C57" s="37"/>
      <c r="D57" s="38"/>
      <c r="E57" s="39"/>
      <c r="F57" s="39"/>
      <c r="G57" s="39"/>
      <c r="H57" s="39"/>
      <c r="I57" s="39"/>
      <c r="J57" s="39"/>
      <c r="K57" s="39"/>
      <c r="L57" s="40"/>
      <c r="M57" s="64"/>
      <c r="N57" s="41"/>
      <c r="O57" s="41"/>
      <c r="P57" s="41"/>
      <c r="Q57" s="46"/>
      <c r="R57" s="46"/>
      <c r="S57" s="41"/>
      <c r="T57" s="40"/>
      <c r="U57" s="46"/>
      <c r="V57" s="46"/>
      <c r="W57" s="41"/>
      <c r="X57" s="40"/>
      <c r="Y57" s="46"/>
      <c r="Z57" s="46"/>
      <c r="AA57" s="41"/>
      <c r="AB57" s="40"/>
      <c r="AC57" s="46"/>
      <c r="AD57" s="46"/>
      <c r="AE57" s="41"/>
      <c r="AF57" s="41"/>
      <c r="AG57" s="46"/>
      <c r="AH57" s="23" t="s">
        <v>188</v>
      </c>
      <c r="AI57" s="41"/>
      <c r="AJ57" s="40"/>
      <c r="AK57" s="43"/>
      <c r="AL57" s="44"/>
      <c r="AO57" s="21" t="n">
        <f aca="false">+AO48-AO56</f>
        <v>3355818.81545663</v>
      </c>
    </row>
    <row r="58" customFormat="false" ht="12.75" hidden="false" customHeight="false" outlineLevel="0" collapsed="false">
      <c r="A58" s="20" t="s">
        <v>218</v>
      </c>
      <c r="B58" s="97" t="s">
        <v>221</v>
      </c>
      <c r="C58" s="37"/>
      <c r="D58" s="38" t="n">
        <f aca="false">L58/$L$88</f>
        <v>0.00734323317329234</v>
      </c>
      <c r="E58" s="39" t="s">
        <v>78</v>
      </c>
      <c r="F58" s="39" t="s">
        <v>78</v>
      </c>
      <c r="G58" s="48"/>
      <c r="H58" s="39" t="s">
        <v>78</v>
      </c>
      <c r="I58" s="39" t="s">
        <v>78</v>
      </c>
      <c r="J58" s="49" t="s">
        <v>78</v>
      </c>
      <c r="K58" s="49" t="s">
        <v>78</v>
      </c>
      <c r="L58" s="40" t="n">
        <f aca="false">7*M58</f>
        <v>5162.5</v>
      </c>
      <c r="M58" s="40" t="n">
        <f aca="false">1475/2</f>
        <v>737.5</v>
      </c>
      <c r="N58" s="41" t="n">
        <f aca="false">$M58/N$8</f>
        <v>0.535973837209302</v>
      </c>
      <c r="O58" s="41" t="n">
        <f aca="false">$M58/O$8</f>
        <v>0.424827188940092</v>
      </c>
      <c r="P58" s="41"/>
      <c r="Q58" s="46" t="n">
        <f aca="false">R58*Q$7</f>
        <v>0</v>
      </c>
      <c r="R58" s="46" t="n">
        <f aca="false">12*75*CMF</f>
        <v>1012.5</v>
      </c>
      <c r="S58" s="41" t="n">
        <f aca="false">+R58/R$8</f>
        <v>0.845158597662771</v>
      </c>
      <c r="T58" s="40"/>
      <c r="U58" s="46" t="n">
        <f aca="false">V58*U$7</f>
        <v>47587.5</v>
      </c>
      <c r="V58" s="46" t="n">
        <f aca="false">12*75*CMF</f>
        <v>1012.5</v>
      </c>
      <c r="W58" s="41" t="n">
        <f aca="false">+V58/V$8</f>
        <v>1.125</v>
      </c>
      <c r="X58" s="40"/>
      <c r="Y58" s="46" t="n">
        <f aca="false">Z58*Y$7</f>
        <v>53662.5</v>
      </c>
      <c r="Z58" s="46" t="n">
        <f aca="false">12*75*CMF</f>
        <v>1012.5</v>
      </c>
      <c r="AA58" s="41" t="n">
        <f aca="false">+Z58/Z$8</f>
        <v>0.786713286713287</v>
      </c>
      <c r="AB58" s="40"/>
      <c r="AC58" s="46" t="n">
        <f aca="false">AD58*AC$7</f>
        <v>43031.25</v>
      </c>
      <c r="AD58" s="46" t="n">
        <f aca="false">15*75*CMF</f>
        <v>1265.625</v>
      </c>
      <c r="AE58" s="41" t="n">
        <f aca="false">+AD58/AD$8</f>
        <v>0.870443603851444</v>
      </c>
      <c r="AF58" s="41"/>
      <c r="AG58" s="46" t="n">
        <f aca="false">+Y58+U58+Q58+AC58</f>
        <v>144281.25</v>
      </c>
      <c r="AH58" s="23" t="n">
        <f aca="false">+AG58/AG$7</f>
        <v>1076.72574626866</v>
      </c>
      <c r="AI58" s="41" t="n">
        <f aca="false">+AH58/AH$8</f>
        <v>0.901780357008925</v>
      </c>
      <c r="AJ58" s="40"/>
      <c r="AK58" s="43"/>
      <c r="AL58" s="44"/>
      <c r="AN58" s="38"/>
      <c r="AO58" s="45" t="n">
        <f aca="false">AO57-AO47-AO46</f>
        <v>1473920.59432764</v>
      </c>
    </row>
    <row r="59" customFormat="false" ht="12.75" hidden="false" customHeight="false" outlineLevel="0" collapsed="false">
      <c r="A59" s="20" t="s">
        <v>218</v>
      </c>
      <c r="B59" s="21" t="s">
        <v>222</v>
      </c>
      <c r="C59" s="37"/>
      <c r="D59" s="38" t="n">
        <f aca="false">L59/$L$88</f>
        <v>0.00629775590794224</v>
      </c>
      <c r="E59" s="39" t="s">
        <v>78</v>
      </c>
      <c r="F59" s="39" t="s">
        <v>78</v>
      </c>
      <c r="G59" s="48"/>
      <c r="H59" s="39" t="s">
        <v>78</v>
      </c>
      <c r="I59" s="39" t="s">
        <v>78</v>
      </c>
      <c r="J59" s="49" t="s">
        <v>78</v>
      </c>
      <c r="K59" s="49" t="s">
        <v>78</v>
      </c>
      <c r="L59" s="40" t="n">
        <f aca="false">7*M59</f>
        <v>4427.5</v>
      </c>
      <c r="M59" s="40" t="n">
        <f aca="false">1265/2</f>
        <v>632.5</v>
      </c>
      <c r="N59" s="41" t="n">
        <f aca="false">$M59/N$8</f>
        <v>0.459665697674419</v>
      </c>
      <c r="O59" s="41" t="n">
        <f aca="false">$M59/O$8</f>
        <v>0.36434331797235</v>
      </c>
      <c r="P59" s="41"/>
      <c r="Q59" s="46" t="n">
        <f aca="false">R59*Q$7</f>
        <v>0</v>
      </c>
      <c r="R59" s="46" t="n">
        <f aca="false">R$8*$N59*CMF</f>
        <v>619.514444040698</v>
      </c>
      <c r="S59" s="41" t="n">
        <f aca="false">+R59/R$8</f>
        <v>0.517123909883721</v>
      </c>
      <c r="T59" s="40"/>
      <c r="U59" s="46" t="n">
        <f aca="false">V59*U$7</f>
        <v>21874.3413880814</v>
      </c>
      <c r="V59" s="46" t="n">
        <f aca="false">V$8*$N59*CMF</f>
        <v>465.411518895349</v>
      </c>
      <c r="W59" s="41" t="n">
        <f aca="false">+V59/V$8</f>
        <v>0.517123909883721</v>
      </c>
      <c r="X59" s="40"/>
      <c r="Y59" s="46" t="n">
        <f aca="false">Z59*Y$7</f>
        <v>35273.5390170785</v>
      </c>
      <c r="Z59" s="46" t="n">
        <f aca="false">Z$8*$N59*CMF</f>
        <v>665.538472020349</v>
      </c>
      <c r="AA59" s="41" t="n">
        <f aca="false">+Z59/Z$8</f>
        <v>0.517123909883721</v>
      </c>
      <c r="AB59" s="40"/>
      <c r="AC59" s="46" t="n">
        <f aca="false">AD59*AC$7</f>
        <v>25564.5376090116</v>
      </c>
      <c r="AD59" s="46" t="n">
        <f aca="false">AD$8*$N59*CMF</f>
        <v>751.89816497093</v>
      </c>
      <c r="AE59" s="41" t="n">
        <f aca="false">+AD59/AD$8</f>
        <v>0.517123909883721</v>
      </c>
      <c r="AF59" s="41"/>
      <c r="AG59" s="46" t="n">
        <f aca="false">+Y59+U59+Q59+AC59</f>
        <v>82712.4180141715</v>
      </c>
      <c r="AH59" s="23" t="n">
        <f aca="false">+AG59/AG$7</f>
        <v>617.256850852026</v>
      </c>
      <c r="AI59" s="41" t="n">
        <f aca="false">+AH59/AH$8</f>
        <v>0.51696553672699</v>
      </c>
      <c r="AJ59" s="40"/>
      <c r="AK59" s="43"/>
      <c r="AL59" s="44"/>
      <c r="AN59" s="38"/>
      <c r="AO59" s="45"/>
    </row>
    <row r="60" customFormat="false" ht="12.75" hidden="false" customHeight="false" outlineLevel="0" collapsed="false">
      <c r="A60" s="20" t="s">
        <v>218</v>
      </c>
      <c r="B60" s="21" t="s">
        <v>176</v>
      </c>
      <c r="C60" s="37"/>
      <c r="D60" s="38" t="n">
        <f aca="false">L60/$L$88</f>
        <v>0.00620814357091223</v>
      </c>
      <c r="E60" s="39" t="s">
        <v>78</v>
      </c>
      <c r="F60" s="39" t="s">
        <v>78</v>
      </c>
      <c r="G60" s="48"/>
      <c r="H60" s="39" t="s">
        <v>78</v>
      </c>
      <c r="I60" s="39" t="s">
        <v>78</v>
      </c>
      <c r="J60" s="49" t="s">
        <v>78</v>
      </c>
      <c r="K60" s="49" t="s">
        <v>78</v>
      </c>
      <c r="L60" s="40" t="n">
        <f aca="false">7*M60</f>
        <v>4364.5</v>
      </c>
      <c r="M60" s="40" t="n">
        <f aca="false">1247/2</f>
        <v>623.5</v>
      </c>
      <c r="N60" s="41" t="n">
        <f aca="false">$M60/N$8</f>
        <v>0.453125</v>
      </c>
      <c r="O60" s="41" t="n">
        <f aca="false">$M60/O$8</f>
        <v>0.359158986175115</v>
      </c>
      <c r="P60" s="41"/>
      <c r="Q60" s="46" t="n">
        <f aca="false">R60*Q$7</f>
        <v>0</v>
      </c>
      <c r="R60" s="46" t="n">
        <f aca="false">R$8*$N60*CMF</f>
        <v>610.69921875</v>
      </c>
      <c r="S60" s="41" t="n">
        <f aca="false">+R60/R$8</f>
        <v>0.509765625</v>
      </c>
      <c r="T60" s="40"/>
      <c r="U60" s="46" t="n">
        <f aca="false">V60*U$7</f>
        <v>21563.0859375</v>
      </c>
      <c r="V60" s="46" t="n">
        <f aca="false">V$8*$N60*CMF</f>
        <v>458.7890625</v>
      </c>
      <c r="W60" s="41" t="n">
        <f aca="false">+V60/V$8</f>
        <v>0.509765625</v>
      </c>
      <c r="X60" s="40"/>
      <c r="Y60" s="46" t="n">
        <f aca="false">Z60*Y$7</f>
        <v>34771.623046875</v>
      </c>
      <c r="Z60" s="46" t="n">
        <f aca="false">Z$8*$N60*CMF</f>
        <v>656.068359375</v>
      </c>
      <c r="AA60" s="41" t="n">
        <f aca="false">+Z60/Z$8</f>
        <v>0.509765625</v>
      </c>
      <c r="AB60" s="40"/>
      <c r="AC60" s="46" t="n">
        <f aca="false">AD60*AC$7</f>
        <v>25200.7734375</v>
      </c>
      <c r="AD60" s="46" t="n">
        <f aca="false">AD$8*$N60*CMF</f>
        <v>741.19921875</v>
      </c>
      <c r="AE60" s="41" t="n">
        <f aca="false">+AD60/AD$8</f>
        <v>0.509765625</v>
      </c>
      <c r="AF60" s="41"/>
      <c r="AG60" s="46" t="n">
        <f aca="false">+Y60+U60+Q60+AC60</f>
        <v>81535.482421875</v>
      </c>
      <c r="AH60" s="23" t="n">
        <f aca="false">+AG60/AG$7</f>
        <v>608.473749416978</v>
      </c>
      <c r="AI60" s="41" t="n">
        <f aca="false">+AH60/AH$8</f>
        <v>0.509609505374353</v>
      </c>
      <c r="AJ60" s="40"/>
      <c r="AK60" s="43"/>
      <c r="AL60" s="44"/>
      <c r="AN60" s="38"/>
      <c r="AO60" s="40" t="n">
        <f aca="false">Y7</f>
        <v>53</v>
      </c>
      <c r="AP60" s="21" t="n">
        <f aca="false">475*3</f>
        <v>1425</v>
      </c>
      <c r="AQ60" s="21" t="n">
        <f aca="false">AP60*AO60</f>
        <v>75525</v>
      </c>
      <c r="AS60" s="12" t="n">
        <f aca="false">AP60/AH$8</f>
        <v>1.19346733668342</v>
      </c>
    </row>
    <row r="61" customFormat="false" ht="12" hidden="false" customHeight="false" outlineLevel="0" collapsed="false">
      <c r="B61" s="19" t="s">
        <v>223</v>
      </c>
      <c r="C61" s="37"/>
      <c r="D61" s="38" t="n">
        <f aca="false">L61/$L$88</f>
        <v>0</v>
      </c>
      <c r="E61" s="39"/>
      <c r="F61" s="39"/>
      <c r="G61" s="39"/>
      <c r="H61" s="39"/>
      <c r="I61" s="39"/>
      <c r="J61" s="39"/>
      <c r="K61" s="39"/>
      <c r="L61" s="40"/>
      <c r="M61" s="40"/>
      <c r="N61" s="41"/>
      <c r="O61" s="41"/>
      <c r="P61" s="41"/>
      <c r="Q61" s="46"/>
      <c r="R61" s="46"/>
      <c r="S61" s="41"/>
      <c r="T61" s="40"/>
      <c r="U61" s="46"/>
      <c r="V61" s="46"/>
      <c r="W61" s="41"/>
      <c r="X61" s="40"/>
      <c r="Y61" s="46"/>
      <c r="Z61" s="46"/>
      <c r="AA61" s="41"/>
      <c r="AB61" s="40"/>
      <c r="AC61" s="46"/>
      <c r="AD61" s="46"/>
      <c r="AE61" s="41"/>
      <c r="AF61" s="41"/>
      <c r="AG61" s="46"/>
      <c r="AH61" s="23" t="s">
        <v>188</v>
      </c>
      <c r="AI61" s="41"/>
      <c r="AJ61" s="40"/>
      <c r="AK61" s="43"/>
      <c r="AL61" s="44"/>
      <c r="AN61" s="38"/>
      <c r="AO61" s="40" t="n">
        <f aca="false">U7</f>
        <v>47</v>
      </c>
      <c r="AP61" s="21" t="n">
        <v>1200</v>
      </c>
      <c r="AQ61" s="21" t="n">
        <f aca="false">AP61*AO61</f>
        <v>56400</v>
      </c>
      <c r="AS61" s="12" t="n">
        <f aca="false">AP61/V$8</f>
        <v>1.33333333333333</v>
      </c>
    </row>
    <row r="62" customFormat="false" ht="12.75" hidden="false" customHeight="false" outlineLevel="0" collapsed="false">
      <c r="A62" s="20" t="s">
        <v>224</v>
      </c>
      <c r="B62" s="21" t="s">
        <v>225</v>
      </c>
      <c r="C62" s="37"/>
      <c r="D62" s="38" t="n">
        <f aca="false">L62/$L$88</f>
        <v>0.0113260037079594</v>
      </c>
      <c r="E62" s="39" t="s">
        <v>78</v>
      </c>
      <c r="F62" s="39" t="s">
        <v>78</v>
      </c>
      <c r="G62" s="39" t="s">
        <v>78</v>
      </c>
      <c r="H62" s="39" t="s">
        <v>78</v>
      </c>
      <c r="I62" s="39" t="s">
        <v>78</v>
      </c>
      <c r="J62" s="39" t="s">
        <v>78</v>
      </c>
      <c r="K62" s="39" t="s">
        <v>78</v>
      </c>
      <c r="L62" s="40" t="n">
        <f aca="false">7*M62</f>
        <v>7962.5</v>
      </c>
      <c r="M62" s="40" t="n">
        <f aca="false">2275/2</f>
        <v>1137.5</v>
      </c>
      <c r="N62" s="41" t="n">
        <f aca="false">$M62/N$8</f>
        <v>0.826671511627907</v>
      </c>
      <c r="O62" s="41" t="n">
        <f aca="false">$M62/O$8</f>
        <v>0.655241935483871</v>
      </c>
      <c r="P62" s="41"/>
      <c r="Q62" s="46" t="n">
        <f aca="false">R62*Q$7</f>
        <v>0</v>
      </c>
      <c r="R62" s="46" t="n">
        <f aca="false">2*S$8*0.33*CMF</f>
        <v>889.515</v>
      </c>
      <c r="S62" s="41" t="n">
        <f aca="false">+R62/R$8</f>
        <v>0.7425</v>
      </c>
      <c r="T62" s="40"/>
      <c r="U62" s="46" t="n">
        <f aca="false">V62*U$7</f>
        <v>41702.5125</v>
      </c>
      <c r="V62" s="46" t="n">
        <f aca="false">2*W$8*0.33*CMF</f>
        <v>887.2875</v>
      </c>
      <c r="W62" s="41" t="n">
        <f aca="false">+V62/V$8</f>
        <v>0.985875</v>
      </c>
      <c r="X62" s="40"/>
      <c r="Y62" s="46" t="n">
        <f aca="false">Z62*Y$7</f>
        <v>62255.655</v>
      </c>
      <c r="Z62" s="46" t="n">
        <f aca="false">2*AA$8*0.33*CMF</f>
        <v>1174.635</v>
      </c>
      <c r="AA62" s="41" t="n">
        <f aca="false">+Z62/Z$8</f>
        <v>0.912692307692308</v>
      </c>
      <c r="AB62" s="40"/>
      <c r="AC62" s="46" t="n">
        <f aca="false">AD62*AC$7</f>
        <v>44153.505</v>
      </c>
      <c r="AD62" s="46" t="n">
        <f aca="false">2*AE$8*0.33*CMF</f>
        <v>1298.6325</v>
      </c>
      <c r="AE62" s="41" t="n">
        <f aca="false">+AD62/AD$8</f>
        <v>0.89314477303989</v>
      </c>
      <c r="AF62" s="41"/>
      <c r="AG62" s="46" t="n">
        <f aca="false">+Y62+U62+Q62+AC62</f>
        <v>148111.6725</v>
      </c>
      <c r="AH62" s="23" t="n">
        <f aca="false">+AG62/AG$7</f>
        <v>1105.31098880597</v>
      </c>
      <c r="AI62" s="41" t="n">
        <f aca="false">+AH62/AH$8</f>
        <v>0.925721096152404</v>
      </c>
      <c r="AJ62" s="40"/>
      <c r="AK62" s="43"/>
      <c r="AL62" s="44"/>
      <c r="AN62" s="38"/>
      <c r="AO62" s="21" t="n">
        <f aca="false">Q7</f>
        <v>0</v>
      </c>
      <c r="AP62" s="40" t="n">
        <v>1250</v>
      </c>
      <c r="AQ62" s="21" t="n">
        <f aca="false">AP62*AO62</f>
        <v>0</v>
      </c>
      <c r="AR62" s="21" t="n">
        <f aca="false">SUM(AQ60:AQ62)</f>
        <v>131925</v>
      </c>
      <c r="AS62" s="12" t="n">
        <f aca="false">AP62/R$8</f>
        <v>1.04340567612688</v>
      </c>
    </row>
    <row r="63" customFormat="false" ht="12.75" hidden="false" customHeight="false" outlineLevel="0" collapsed="false">
      <c r="A63" s="20" t="s">
        <v>226</v>
      </c>
      <c r="B63" s="21" t="s">
        <v>227</v>
      </c>
      <c r="C63" s="37"/>
      <c r="D63" s="38" t="n">
        <f aca="false">L63/$L$88</f>
        <v>0.00906080296636749</v>
      </c>
      <c r="E63" s="39" t="s">
        <v>78</v>
      </c>
      <c r="F63" s="39" t="s">
        <v>78</v>
      </c>
      <c r="G63" s="48"/>
      <c r="H63" s="39" t="s">
        <v>78</v>
      </c>
      <c r="I63" s="39" t="s">
        <v>78</v>
      </c>
      <c r="J63" s="49" t="s">
        <v>78</v>
      </c>
      <c r="K63" s="49" t="s">
        <v>78</v>
      </c>
      <c r="L63" s="40" t="n">
        <f aca="false">7*M63</f>
        <v>6370</v>
      </c>
      <c r="M63" s="40" t="n">
        <f aca="false">1820/2</f>
        <v>910</v>
      </c>
      <c r="N63" s="41" t="n">
        <f aca="false">$M63/N$8</f>
        <v>0.661337209302326</v>
      </c>
      <c r="O63" s="41" t="n">
        <f aca="false">$M63/O$8</f>
        <v>0.524193548387097</v>
      </c>
      <c r="P63" s="41"/>
      <c r="Q63" s="46" t="n">
        <f aca="false">R63*Q$7</f>
        <v>0</v>
      </c>
      <c r="R63" s="46" t="n">
        <f aca="false">2*S$8*0.67*CMF</f>
        <v>1805.985</v>
      </c>
      <c r="S63" s="41" t="n">
        <f aca="false">+R63/R$8</f>
        <v>1.5075</v>
      </c>
      <c r="T63" s="40"/>
      <c r="U63" s="46" t="n">
        <f aca="false">V63*U$7</f>
        <v>84668.7375</v>
      </c>
      <c r="V63" s="46" t="n">
        <f aca="false">2*W$8*0.67*CMF</f>
        <v>1801.4625</v>
      </c>
      <c r="W63" s="41" t="n">
        <f aca="false">+V63/V$8</f>
        <v>2.001625</v>
      </c>
      <c r="X63" s="40"/>
      <c r="Y63" s="46" t="n">
        <f aca="false">Z63*Y$7</f>
        <v>126397.845</v>
      </c>
      <c r="Z63" s="46" t="n">
        <f aca="false">2*AA$8*0.67*CMF</f>
        <v>2384.865</v>
      </c>
      <c r="AA63" s="41" t="n">
        <f aca="false">+Z63/Z$8</f>
        <v>1.85304195804196</v>
      </c>
      <c r="AB63" s="40"/>
      <c r="AC63" s="46" t="n">
        <f aca="false">AD63*AC$7</f>
        <v>89644.995</v>
      </c>
      <c r="AD63" s="46" t="n">
        <f aca="false">2*AE$8*0.67*CMF</f>
        <v>2636.6175</v>
      </c>
      <c r="AE63" s="41" t="n">
        <f aca="false">+AD63/AD$8</f>
        <v>1.8133545392022</v>
      </c>
      <c r="AF63" s="41"/>
      <c r="AG63" s="46" t="n">
        <f aca="false">+Y63+U63+Q63+AC63</f>
        <v>300711.5775</v>
      </c>
      <c r="AH63" s="23" t="n">
        <f aca="false">+AG63/AG$7</f>
        <v>2244.11625</v>
      </c>
      <c r="AI63" s="41" t="n">
        <f aca="false">+AH63/AH$8</f>
        <v>1.87949434673367</v>
      </c>
      <c r="AJ63" s="40"/>
      <c r="AK63" s="43"/>
      <c r="AL63" s="44"/>
      <c r="AN63" s="38"/>
      <c r="AO63" s="21" t="n">
        <f aca="false">2900000/28</f>
        <v>103571.428571429</v>
      </c>
      <c r="AP63" s="12" t="n">
        <f aca="false">AO63/1343</f>
        <v>77.1194553770875</v>
      </c>
      <c r="AQ63" s="40"/>
    </row>
    <row r="64" customFormat="false" ht="12.75" hidden="false" customHeight="false" outlineLevel="0" collapsed="false">
      <c r="A64" s="20" t="s">
        <v>226</v>
      </c>
      <c r="B64" s="21" t="s">
        <v>228</v>
      </c>
      <c r="C64" s="37"/>
      <c r="D64" s="38" t="n">
        <f aca="false">L64/$L$88</f>
        <v>0.00226520074159187</v>
      </c>
      <c r="E64" s="39" t="s">
        <v>78</v>
      </c>
      <c r="F64" s="39" t="s">
        <v>78</v>
      </c>
      <c r="G64" s="48"/>
      <c r="H64" s="39" t="s">
        <v>78</v>
      </c>
      <c r="I64" s="39" t="s">
        <v>78</v>
      </c>
      <c r="J64" s="49" t="s">
        <v>78</v>
      </c>
      <c r="K64" s="49" t="s">
        <v>78</v>
      </c>
      <c r="L64" s="40" t="n">
        <f aca="false">7*M64</f>
        <v>1592.5</v>
      </c>
      <c r="M64" s="40" t="n">
        <f aca="false">455/2</f>
        <v>227.5</v>
      </c>
      <c r="N64" s="41" t="n">
        <f aca="false">$M64/N$8</f>
        <v>0.165334302325581</v>
      </c>
      <c r="O64" s="41" t="n">
        <f aca="false">$M64/O$8</f>
        <v>0.131048387096774</v>
      </c>
      <c r="P64" s="41"/>
      <c r="Q64" s="46" t="n">
        <f aca="false">R64*Q$7</f>
        <v>0</v>
      </c>
      <c r="R64" s="46" t="n">
        <f aca="false">R$8*$N64*CMF</f>
        <v>222.829305959302</v>
      </c>
      <c r="S64" s="41" t="n">
        <f aca="false">+R64/R$8</f>
        <v>0.186001090116279</v>
      </c>
      <c r="T64" s="40"/>
      <c r="U64" s="46" t="n">
        <f aca="false">V64*U$7</f>
        <v>7867.84611191861</v>
      </c>
      <c r="V64" s="46" t="n">
        <f aca="false">V$8*$N64*CMF</f>
        <v>167.400981104651</v>
      </c>
      <c r="W64" s="41" t="n">
        <f aca="false">+V64/V$8</f>
        <v>0.186001090116279</v>
      </c>
      <c r="X64" s="40"/>
      <c r="Y64" s="46" t="n">
        <f aca="false">Z64*Y$7</f>
        <v>12687.3203579215</v>
      </c>
      <c r="Z64" s="46" t="n">
        <f aca="false">Z$8*$N64*CMF</f>
        <v>239.383402979651</v>
      </c>
      <c r="AA64" s="41" t="n">
        <f aca="false">+Z64/Z$8</f>
        <v>0.186001090116279</v>
      </c>
      <c r="AB64" s="40"/>
      <c r="AC64" s="46" t="n">
        <f aca="false">AD64*AC$7</f>
        <v>9195.14989098837</v>
      </c>
      <c r="AD64" s="46" t="n">
        <f aca="false">AD$8*$N64*CMF</f>
        <v>270.44558502907</v>
      </c>
      <c r="AE64" s="41" t="n">
        <f aca="false">+AD64/AD$8</f>
        <v>0.186001090116279</v>
      </c>
      <c r="AF64" s="41"/>
      <c r="AG64" s="46" t="n">
        <f aca="false">+Y64+U64+Q64+AC64</f>
        <v>29750.3163608285</v>
      </c>
      <c r="AH64" s="23" t="n">
        <f aca="false">+AG64/AG$7</f>
        <v>222.017286274839</v>
      </c>
      <c r="AI64" s="41" t="n">
        <f aca="false">+AH64/AH$8</f>
        <v>0.185944125858325</v>
      </c>
      <c r="AJ64" s="40"/>
      <c r="AK64" s="43"/>
      <c r="AL64" s="44"/>
      <c r="AO64" s="21" t="n">
        <f aca="false">2700000/28</f>
        <v>96428.5714285714</v>
      </c>
      <c r="AP64" s="12" t="n">
        <f aca="false">AO64/1343</f>
        <v>71.8008722476332</v>
      </c>
    </row>
    <row r="65" customFormat="false" ht="12" hidden="false" customHeight="false" outlineLevel="0" collapsed="false">
      <c r="B65" s="19" t="s">
        <v>229</v>
      </c>
      <c r="C65" s="37"/>
      <c r="D65" s="38"/>
      <c r="E65" s="39"/>
      <c r="F65" s="39"/>
      <c r="G65" s="39"/>
      <c r="H65" s="39"/>
      <c r="I65" s="39"/>
      <c r="J65" s="39"/>
      <c r="K65" s="39"/>
      <c r="L65" s="40"/>
      <c r="M65" s="40"/>
      <c r="N65" s="41"/>
      <c r="O65" s="41"/>
      <c r="P65" s="41"/>
      <c r="Q65" s="46"/>
      <c r="R65" s="52"/>
      <c r="S65" s="41"/>
      <c r="T65" s="40"/>
      <c r="U65" s="46"/>
      <c r="V65" s="46"/>
      <c r="W65" s="41"/>
      <c r="X65" s="40"/>
      <c r="Y65" s="46"/>
      <c r="Z65" s="46"/>
      <c r="AA65" s="41"/>
      <c r="AB65" s="40"/>
      <c r="AC65" s="46"/>
      <c r="AD65" s="46"/>
      <c r="AE65" s="41"/>
      <c r="AF65" s="41"/>
      <c r="AG65" s="46"/>
      <c r="AH65" s="23" t="s">
        <v>188</v>
      </c>
      <c r="AI65" s="41"/>
      <c r="AJ65" s="40"/>
      <c r="AK65" s="43"/>
      <c r="AL65" s="44"/>
    </row>
    <row r="66" customFormat="false" ht="12.75" hidden="false" customHeight="false" outlineLevel="0" collapsed="false">
      <c r="A66" s="20" t="s">
        <v>230</v>
      </c>
      <c r="B66" s="21" t="s">
        <v>231</v>
      </c>
      <c r="C66" s="37"/>
      <c r="D66" s="38" t="n">
        <f aca="false">L66/$L$88</f>
        <v>0.00943916616716086</v>
      </c>
      <c r="E66" s="39" t="s">
        <v>78</v>
      </c>
      <c r="F66" s="39" t="s">
        <v>78</v>
      </c>
      <c r="G66" s="39" t="s">
        <v>78</v>
      </c>
      <c r="H66" s="39" t="s">
        <v>78</v>
      </c>
      <c r="I66" s="39" t="s">
        <v>78</v>
      </c>
      <c r="J66" s="39" t="s">
        <v>78</v>
      </c>
      <c r="K66" s="39" t="s">
        <v>78</v>
      </c>
      <c r="L66" s="40" t="n">
        <f aca="false">7*M66</f>
        <v>6636</v>
      </c>
      <c r="M66" s="40" t="n">
        <f aca="false">1896/2</f>
        <v>948</v>
      </c>
      <c r="N66" s="41" t="n">
        <f aca="false">$M66/N$8</f>
        <v>0.688953488372093</v>
      </c>
      <c r="O66" s="41" t="n">
        <f aca="false">$M66/O$8</f>
        <v>0.546082949308756</v>
      </c>
      <c r="P66" s="41"/>
      <c r="Q66" s="46" t="n">
        <f aca="false">R66*Q$7</f>
        <v>0</v>
      </c>
      <c r="R66" s="46" t="n">
        <f aca="false">1100*CMF</f>
        <v>1237.5</v>
      </c>
      <c r="S66" s="41" t="n">
        <f aca="false">+R66/R$8</f>
        <v>1.03297161936561</v>
      </c>
      <c r="T66" s="40"/>
      <c r="U66" s="46" t="n">
        <f aca="false">V66*U$7</f>
        <v>58162.5</v>
      </c>
      <c r="V66" s="46" t="n">
        <f aca="false">1100*CMF</f>
        <v>1237.5</v>
      </c>
      <c r="W66" s="41" t="n">
        <f aca="false">+V66/V$8</f>
        <v>1.375</v>
      </c>
      <c r="X66" s="40"/>
      <c r="Y66" s="46" t="n">
        <f aca="false">Z66*Y$7</f>
        <v>65587.5</v>
      </c>
      <c r="Z66" s="46" t="n">
        <f aca="false">1100*CMF</f>
        <v>1237.5</v>
      </c>
      <c r="AA66" s="41" t="n">
        <f aca="false">+Z66/Z$8</f>
        <v>0.961538461538462</v>
      </c>
      <c r="AB66" s="40"/>
      <c r="AC66" s="46" t="n">
        <f aca="false">AD66*AC$7</f>
        <v>42075</v>
      </c>
      <c r="AD66" s="46" t="n">
        <f aca="false">1100*CMF</f>
        <v>1237.5</v>
      </c>
      <c r="AE66" s="41" t="n">
        <f aca="false">+AD66/AD$8</f>
        <v>0.851100412654746</v>
      </c>
      <c r="AF66" s="41"/>
      <c r="AG66" s="46" t="n">
        <f aca="false">+Y66+U66+Q66+AC66</f>
        <v>165825</v>
      </c>
      <c r="AH66" s="23" t="n">
        <f aca="false">+AG66/AG$7</f>
        <v>1237.5</v>
      </c>
      <c r="AI66" s="41" t="n">
        <f aca="false">+AH66/AH$8</f>
        <v>1.03643216080402</v>
      </c>
      <c r="AJ66" s="40"/>
      <c r="AK66" s="43"/>
      <c r="AL66" s="44"/>
      <c r="AO66" s="65" t="n">
        <f aca="false">0.0725/12</f>
        <v>0.00604166666666667</v>
      </c>
    </row>
    <row r="67" customFormat="false" ht="12.75" hidden="false" customHeight="false" outlineLevel="0" collapsed="false">
      <c r="A67" s="20" t="s">
        <v>230</v>
      </c>
      <c r="B67" s="20" t="s">
        <v>232</v>
      </c>
      <c r="C67" s="37"/>
      <c r="D67" s="38" t="n">
        <f aca="false">L67/$L$88</f>
        <v>0.00588454346497054</v>
      </c>
      <c r="E67" s="39" t="s">
        <v>78</v>
      </c>
      <c r="F67" s="39" t="s">
        <v>78</v>
      </c>
      <c r="G67" s="48"/>
      <c r="H67" s="39" t="s">
        <v>78</v>
      </c>
      <c r="I67" s="39" t="s">
        <v>78</v>
      </c>
      <c r="J67" s="48"/>
      <c r="K67" s="66" t="s">
        <v>233</v>
      </c>
      <c r="L67" s="40" t="n">
        <f aca="false">7*M67</f>
        <v>4137</v>
      </c>
      <c r="M67" s="40" t="n">
        <f aca="false">1182/2</f>
        <v>591</v>
      </c>
      <c r="N67" s="41" t="n">
        <f aca="false">$M67/N$8</f>
        <v>0.429505813953488</v>
      </c>
      <c r="O67" s="41" t="n">
        <f aca="false">$M67/O$8</f>
        <v>0.340437788018433</v>
      </c>
      <c r="P67" s="41"/>
      <c r="Q67" s="46" t="n">
        <f aca="false">R67*Q$7</f>
        <v>0</v>
      </c>
      <c r="R67" s="46" t="n">
        <f aca="false">600*CMF</f>
        <v>675</v>
      </c>
      <c r="S67" s="41" t="n">
        <f aca="false">+R67/R$8</f>
        <v>0.563439065108514</v>
      </c>
      <c r="T67" s="40"/>
      <c r="U67" s="46" t="n">
        <f aca="false">V67*U$7</f>
        <v>31725</v>
      </c>
      <c r="V67" s="46" t="n">
        <f aca="false">600*CMF</f>
        <v>675</v>
      </c>
      <c r="W67" s="41" t="n">
        <f aca="false">+V67/V$8</f>
        <v>0.75</v>
      </c>
      <c r="X67" s="40"/>
      <c r="Y67" s="46" t="n">
        <f aca="false">Z67*Y$7</f>
        <v>35775</v>
      </c>
      <c r="Z67" s="46" t="n">
        <f aca="false">600*CMF</f>
        <v>675</v>
      </c>
      <c r="AA67" s="41" t="n">
        <f aca="false">+Z67/Z$8</f>
        <v>0.524475524475525</v>
      </c>
      <c r="AB67" s="40"/>
      <c r="AC67" s="46" t="n">
        <f aca="false">AD67*AC$7</f>
        <v>22950</v>
      </c>
      <c r="AD67" s="46" t="n">
        <f aca="false">600*CMF</f>
        <v>675</v>
      </c>
      <c r="AE67" s="41" t="n">
        <f aca="false">+AD67/AD$8</f>
        <v>0.46423658872077</v>
      </c>
      <c r="AF67" s="41"/>
      <c r="AG67" s="46" t="n">
        <f aca="false">+Y67+U67+Q67+AC67</f>
        <v>90450</v>
      </c>
      <c r="AH67" s="23" t="n">
        <f aca="false">+AG67/AG$7</f>
        <v>675</v>
      </c>
      <c r="AI67" s="41" t="n">
        <f aca="false">+AH67/AH$8</f>
        <v>0.565326633165829</v>
      </c>
      <c r="AJ67" s="40"/>
      <c r="AK67" s="43"/>
      <c r="AL67" s="44"/>
      <c r="AO67" s="21" t="n">
        <v>360</v>
      </c>
    </row>
    <row r="68" customFormat="false" ht="12.75" hidden="false" customHeight="false" outlineLevel="0" collapsed="false">
      <c r="A68" s="20" t="s">
        <v>234</v>
      </c>
      <c r="B68" s="20" t="s">
        <v>235</v>
      </c>
      <c r="C68" s="37"/>
      <c r="D68" s="38" t="n">
        <f aca="false">L68/$L$88</f>
        <v>0.0047594107889271</v>
      </c>
      <c r="E68" s="39" t="s">
        <v>78</v>
      </c>
      <c r="F68" s="39" t="s">
        <v>78</v>
      </c>
      <c r="G68" s="48"/>
      <c r="H68" s="39" t="s">
        <v>78</v>
      </c>
      <c r="I68" s="39" t="s">
        <v>78</v>
      </c>
      <c r="J68" s="48"/>
      <c r="K68" s="49" t="s">
        <v>78</v>
      </c>
      <c r="L68" s="40" t="n">
        <f aca="false">7*M68</f>
        <v>3346</v>
      </c>
      <c r="M68" s="40" t="n">
        <f aca="false">956/2</f>
        <v>478</v>
      </c>
      <c r="N68" s="41" t="n">
        <f aca="false">$M68/N$8</f>
        <v>0.347383720930233</v>
      </c>
      <c r="O68" s="41" t="n">
        <f aca="false">$M68/O$8</f>
        <v>0.275345622119816</v>
      </c>
      <c r="P68" s="41"/>
      <c r="Q68" s="46" t="n">
        <f aca="false">R68*Q$7</f>
        <v>0</v>
      </c>
      <c r="R68" s="46" t="n">
        <f aca="false">(R$8*$N68+200)*CMF</f>
        <v>693.186409883721</v>
      </c>
      <c r="S68" s="41" t="n">
        <f aca="false">+R68/R$8</f>
        <v>0.57861970774935</v>
      </c>
      <c r="T68" s="40"/>
      <c r="U68" s="46" t="n">
        <f aca="false">V68*U$7</f>
        <v>27106.1228197674</v>
      </c>
      <c r="V68" s="46" t="n">
        <f aca="false">(V$8*$N68+200)*CMF</f>
        <v>576.72601744186</v>
      </c>
      <c r="W68" s="41" t="n">
        <f aca="false">+V68/V$8</f>
        <v>0.640806686046512</v>
      </c>
      <c r="X68" s="40"/>
      <c r="Y68" s="46" t="n">
        <f aca="false">Z68*Y$7</f>
        <v>38582.3148619186</v>
      </c>
      <c r="Z68" s="46" t="n">
        <f aca="false">(Z$8*$N68+200)*CMF</f>
        <v>727.96820494186</v>
      </c>
      <c r="AA68" s="41" t="n">
        <f aca="false">+Z68/Z$8</f>
        <v>0.565631860871687</v>
      </c>
      <c r="AB68" s="40"/>
      <c r="AC68" s="46" t="n">
        <f aca="false">AD68*AC$7</f>
        <v>26969.9193313954</v>
      </c>
      <c r="AD68" s="46" t="n">
        <f aca="false">(AD$8*$N68+200)*CMF</f>
        <v>793.232921511628</v>
      </c>
      <c r="AE68" s="41" t="n">
        <f aca="false">+AD68/AD$8</f>
        <v>0.545552215620102</v>
      </c>
      <c r="AF68" s="41"/>
      <c r="AG68" s="46" t="n">
        <f aca="false">+Y68+U68+Q68+AC68</f>
        <v>92658.3570130814</v>
      </c>
      <c r="AH68" s="23" t="n">
        <f aca="false">+AG68/AG$7</f>
        <v>691.480276217025</v>
      </c>
      <c r="AI68" s="41" t="n">
        <f aca="false">+AH68/AH$8</f>
        <v>0.579129209561998</v>
      </c>
      <c r="AJ68" s="40"/>
      <c r="AK68" s="43"/>
      <c r="AL68" s="44"/>
      <c r="AN68" s="38"/>
      <c r="AO68" s="40" t="n">
        <f aca="false">PMT(AO66,AO67,AO48)</f>
        <v>-91570.3998428311</v>
      </c>
      <c r="AP68" s="40"/>
    </row>
    <row r="69" customFormat="false" ht="12.75" hidden="false" customHeight="false" outlineLevel="0" collapsed="false">
      <c r="A69" s="20" t="s">
        <v>197</v>
      </c>
      <c r="B69" s="20" t="s">
        <v>236</v>
      </c>
      <c r="C69" s="37"/>
      <c r="D69" s="38" t="n">
        <f aca="false">L69/$L$88</f>
        <v>0.00397281360833036</v>
      </c>
      <c r="E69" s="39" t="s">
        <v>78</v>
      </c>
      <c r="F69" s="39" t="s">
        <v>78</v>
      </c>
      <c r="G69" s="48"/>
      <c r="H69" s="39" t="s">
        <v>78</v>
      </c>
      <c r="I69" s="39" t="s">
        <v>78</v>
      </c>
      <c r="J69" s="49" t="s">
        <v>78</v>
      </c>
      <c r="K69" s="49" t="s">
        <v>78</v>
      </c>
      <c r="L69" s="40" t="n">
        <f aca="false">7*M69</f>
        <v>2793</v>
      </c>
      <c r="M69" s="40" t="n">
        <f aca="false">798/2</f>
        <v>399</v>
      </c>
      <c r="N69" s="41" t="n">
        <f aca="false">$M69/N$8</f>
        <v>0.289970930232558</v>
      </c>
      <c r="O69" s="41" t="n">
        <f aca="false">$M69/O$8</f>
        <v>0.229838709677419</v>
      </c>
      <c r="P69" s="41"/>
      <c r="Q69" s="46" t="n">
        <f aca="false">R69*Q$7</f>
        <v>0</v>
      </c>
      <c r="R69" s="46" t="n">
        <f aca="false">R$8*$N69*CMF</f>
        <v>390.80832122093</v>
      </c>
      <c r="S69" s="41" t="n">
        <f aca="false">+R69/R$8</f>
        <v>0.326217296511628</v>
      </c>
      <c r="T69" s="40"/>
      <c r="U69" s="46" t="n">
        <f aca="false">V69*U$7</f>
        <v>13798.9916424419</v>
      </c>
      <c r="V69" s="46" t="n">
        <f aca="false">V$8*$N69*CMF</f>
        <v>293.595566860465</v>
      </c>
      <c r="W69" s="41" t="n">
        <f aca="false">+V69/V$8</f>
        <v>0.326217296511628</v>
      </c>
      <c r="X69" s="40"/>
      <c r="Y69" s="46" t="n">
        <f aca="false">Z69*Y$7</f>
        <v>22251.6080123547</v>
      </c>
      <c r="Z69" s="46" t="n">
        <f aca="false">Z$8*$N69*CMF</f>
        <v>419.841660610465</v>
      </c>
      <c r="AA69" s="41" t="n">
        <f aca="false">+Z69/Z$8</f>
        <v>0.326217296511628</v>
      </c>
      <c r="AB69" s="40"/>
      <c r="AC69" s="46" t="n">
        <f aca="false">AD69*AC$7</f>
        <v>16126.8782703488</v>
      </c>
      <c r="AD69" s="46" t="n">
        <f aca="false">AD$8*$N69*CMF</f>
        <v>474.319949127907</v>
      </c>
      <c r="AE69" s="41" t="n">
        <f aca="false">+AD69/AD$8</f>
        <v>0.326217296511628</v>
      </c>
      <c r="AF69" s="41"/>
      <c r="AG69" s="46" t="n">
        <f aca="false">+Y69+U69+Q69+AC69</f>
        <v>52177.4779251454</v>
      </c>
      <c r="AH69" s="23" t="n">
        <f aca="false">+AG69/AG$7</f>
        <v>389.384163620488</v>
      </c>
      <c r="AI69" s="41" t="n">
        <f aca="false">+AH69/AH$8</f>
        <v>0.326117389966908</v>
      </c>
      <c r="AJ69" s="40"/>
      <c r="AK69" s="43"/>
      <c r="AL69" s="44"/>
      <c r="AN69" s="38" t="s">
        <v>237</v>
      </c>
      <c r="AO69" s="40" t="n">
        <f aca="false">+AR62</f>
        <v>131925</v>
      </c>
      <c r="AP69" s="40"/>
      <c r="AQ69" s="40" t="n">
        <f aca="false">2700000*0.105</f>
        <v>283500</v>
      </c>
    </row>
    <row r="70" customFormat="false" ht="12.75" hidden="false" customHeight="false" outlineLevel="0" collapsed="false">
      <c r="A70" s="20" t="s">
        <v>238</v>
      </c>
      <c r="B70" s="20" t="s">
        <v>165</v>
      </c>
      <c r="C70" s="37"/>
      <c r="D70" s="38" t="n">
        <f aca="false">L70/$L$88</f>
        <v>0.0103850741691443</v>
      </c>
      <c r="E70" s="39" t="s">
        <v>78</v>
      </c>
      <c r="F70" s="39" t="s">
        <v>78</v>
      </c>
      <c r="G70" s="48"/>
      <c r="H70" s="39" t="s">
        <v>78</v>
      </c>
      <c r="I70" s="39" t="s">
        <v>78</v>
      </c>
      <c r="J70" s="49" t="s">
        <v>78</v>
      </c>
      <c r="K70" s="49" t="s">
        <v>78</v>
      </c>
      <c r="L70" s="40" t="n">
        <f aca="false">7*M70</f>
        <v>7301</v>
      </c>
      <c r="M70" s="40" t="n">
        <f aca="false">2086/2</f>
        <v>1043</v>
      </c>
      <c r="N70" s="41" t="n">
        <f aca="false">$M70/N$8</f>
        <v>0.757994186046512</v>
      </c>
      <c r="O70" s="41" t="n">
        <f aca="false">$M70/O$8</f>
        <v>0.600806451612903</v>
      </c>
      <c r="P70" s="41"/>
      <c r="Q70" s="46" t="n">
        <f aca="false">R70*Q$7</f>
        <v>0</v>
      </c>
      <c r="R70" s="46" t="n">
        <f aca="false">(250+300+250+100)*CMF</f>
        <v>1012.5</v>
      </c>
      <c r="S70" s="41" t="n">
        <f aca="false">+R70/R$8</f>
        <v>0.845158597662771</v>
      </c>
      <c r="T70" s="40"/>
      <c r="U70" s="46" t="n">
        <f aca="false">V70*U$7</f>
        <v>47587.5</v>
      </c>
      <c r="V70" s="46" t="n">
        <f aca="false">(250+300+250+100)*CMF</f>
        <v>1012.5</v>
      </c>
      <c r="W70" s="41" t="n">
        <f aca="false">+V70/V$8</f>
        <v>1.125</v>
      </c>
      <c r="X70" s="40"/>
      <c r="Y70" s="46" t="n">
        <f aca="false">Z70*Y$7</f>
        <v>53662.5</v>
      </c>
      <c r="Z70" s="46" t="n">
        <f aca="false">(250+300+250+100)*CMF</f>
        <v>1012.5</v>
      </c>
      <c r="AA70" s="41" t="n">
        <f aca="false">+Z70/Z$8</f>
        <v>0.786713286713287</v>
      </c>
      <c r="AB70" s="40"/>
      <c r="AC70" s="46" t="n">
        <f aca="false">AD70*AC$7</f>
        <v>34425</v>
      </c>
      <c r="AD70" s="46" t="n">
        <f aca="false">(250+300+250+100)*CMF</f>
        <v>1012.5</v>
      </c>
      <c r="AE70" s="41" t="n">
        <f aca="false">+AD70/AD$8</f>
        <v>0.696354883081156</v>
      </c>
      <c r="AF70" s="41"/>
      <c r="AG70" s="46" t="n">
        <f aca="false">+Y70+U70+Q70+AC70</f>
        <v>135675</v>
      </c>
      <c r="AH70" s="23" t="n">
        <f aca="false">+AG70/AG$7</f>
        <v>1012.5</v>
      </c>
      <c r="AI70" s="41" t="n">
        <f aca="false">+AH70/AH$8</f>
        <v>0.847989949748744</v>
      </c>
      <c r="AJ70" s="40"/>
      <c r="AK70" s="43"/>
      <c r="AL70" s="44"/>
      <c r="AM70" s="34"/>
      <c r="AO70" s="40" t="n">
        <f aca="false">0.9*AO69</f>
        <v>118732.5</v>
      </c>
      <c r="AP70" s="40"/>
      <c r="AQ70" s="40" t="n">
        <f aca="false">AQ69/12</f>
        <v>23625</v>
      </c>
    </row>
    <row r="71" customFormat="false" ht="12.75" hidden="false" customHeight="false" outlineLevel="0" collapsed="false">
      <c r="A71" s="20" t="s">
        <v>239</v>
      </c>
      <c r="B71" s="20" t="s">
        <v>240</v>
      </c>
      <c r="C71" s="37"/>
      <c r="D71" s="38" t="n">
        <f aca="false">L71/$L$88</f>
        <v>0.0159310821386681</v>
      </c>
      <c r="E71" s="39" t="s">
        <v>78</v>
      </c>
      <c r="F71" s="39" t="s">
        <v>78</v>
      </c>
      <c r="G71" s="48"/>
      <c r="H71" s="39" t="s">
        <v>78</v>
      </c>
      <c r="I71" s="39" t="s">
        <v>78</v>
      </c>
      <c r="J71" s="48"/>
      <c r="K71" s="49" t="s">
        <v>78</v>
      </c>
      <c r="L71" s="40" t="n">
        <f aca="false">7*M71</f>
        <v>11200</v>
      </c>
      <c r="M71" s="40" t="n">
        <f aca="false">3200/2</f>
        <v>1600</v>
      </c>
      <c r="N71" s="41" t="n">
        <f aca="false">$M71/N$8</f>
        <v>1.16279069767442</v>
      </c>
      <c r="O71" s="41" t="n">
        <f aca="false">$M71/O$8</f>
        <v>0.921658986175115</v>
      </c>
      <c r="P71" s="41"/>
      <c r="Q71" s="46" t="n">
        <f aca="false">R71*Q$7</f>
        <v>0</v>
      </c>
      <c r="R71" s="46" t="n">
        <f aca="false">1.22*R$8*CMF</f>
        <v>1644.255</v>
      </c>
      <c r="S71" s="41" t="n">
        <f aca="false">+R71/R$8</f>
        <v>1.3725</v>
      </c>
      <c r="T71" s="40"/>
      <c r="U71" s="46" t="n">
        <f aca="false">V71*U$7</f>
        <v>58056.75</v>
      </c>
      <c r="V71" s="46" t="n">
        <f aca="false">1.22*V$8*CMF</f>
        <v>1235.25</v>
      </c>
      <c r="W71" s="41" t="n">
        <f aca="false">+V71/V$8</f>
        <v>1.3725</v>
      </c>
      <c r="X71" s="40"/>
      <c r="Y71" s="46" t="n">
        <f aca="false">Z71*Y$7</f>
        <v>93619.5975</v>
      </c>
      <c r="Z71" s="46" t="n">
        <f aca="false">1.22*Z$8*CMF</f>
        <v>1766.4075</v>
      </c>
      <c r="AA71" s="41" t="n">
        <f aca="false">+Z71/Z$8</f>
        <v>1.3725</v>
      </c>
      <c r="AB71" s="40"/>
      <c r="AC71" s="46" t="n">
        <f aca="false">AD71*AC$7</f>
        <v>67850.91</v>
      </c>
      <c r="AD71" s="46" t="n">
        <f aca="false">1.22*AD$8*CMF</f>
        <v>1995.615</v>
      </c>
      <c r="AE71" s="41" t="n">
        <f aca="false">+AD71/AD$8</f>
        <v>1.3725</v>
      </c>
      <c r="AF71" s="41"/>
      <c r="AG71" s="46" t="n">
        <f aca="false">+Y71+U71+Q71+AC71</f>
        <v>219527.2575</v>
      </c>
      <c r="AH71" s="23" t="n">
        <f aca="false">+AG71/AG$7</f>
        <v>1638.26311567164</v>
      </c>
      <c r="AI71" s="41" t="n">
        <f aca="false">+AH71/AH$8</f>
        <v>1.37207966136653</v>
      </c>
      <c r="AJ71" s="40"/>
      <c r="AK71" s="43"/>
      <c r="AL71" s="44"/>
      <c r="AN71" s="38"/>
      <c r="AO71" s="67" t="n">
        <f aca="false">((110000/28/1343)*1187*134)/12</f>
        <v>38773.3131227174</v>
      </c>
      <c r="AP71" s="40"/>
      <c r="AQ71" s="40"/>
    </row>
    <row r="72" customFormat="false" ht="12.75" hidden="false" customHeight="false" outlineLevel="0" collapsed="false">
      <c r="A72" s="20" t="s">
        <v>218</v>
      </c>
      <c r="B72" s="20" t="s">
        <v>241</v>
      </c>
      <c r="C72" s="37"/>
      <c r="D72" s="38" t="n">
        <f aca="false">L72/$L$88</f>
        <v>0.00155825897168848</v>
      </c>
      <c r="E72" s="39" t="s">
        <v>78</v>
      </c>
      <c r="F72" s="39" t="s">
        <v>78</v>
      </c>
      <c r="G72" s="66" t="s">
        <v>233</v>
      </c>
      <c r="H72" s="39" t="s">
        <v>78</v>
      </c>
      <c r="I72" s="39" t="s">
        <v>78</v>
      </c>
      <c r="J72" s="48"/>
      <c r="K72" s="66" t="s">
        <v>233</v>
      </c>
      <c r="L72" s="40" t="n">
        <f aca="false">7*M72</f>
        <v>1095.5</v>
      </c>
      <c r="M72" s="40" t="n">
        <f aca="false">313/2</f>
        <v>156.5</v>
      </c>
      <c r="N72" s="41" t="n">
        <f aca="false">$M72/N$8</f>
        <v>0.113735465116279</v>
      </c>
      <c r="O72" s="41" t="n">
        <f aca="false">$M72/O$8</f>
        <v>0.0901497695852535</v>
      </c>
      <c r="P72" s="41"/>
      <c r="Q72" s="46" t="n">
        <f aca="false">R72*Q$7</f>
        <v>0</v>
      </c>
      <c r="R72" s="46" t="n">
        <f aca="false">$M72*CMF</f>
        <v>176.0625</v>
      </c>
      <c r="S72" s="41" t="n">
        <f aca="false">+R72/R$8</f>
        <v>0.146963689482471</v>
      </c>
      <c r="T72" s="40"/>
      <c r="U72" s="46" t="n">
        <f aca="false">V72*U$7</f>
        <v>8274.9375</v>
      </c>
      <c r="V72" s="46" t="n">
        <f aca="false">$M72*CMF</f>
        <v>176.0625</v>
      </c>
      <c r="W72" s="41" t="n">
        <f aca="false">+V72/V$8</f>
        <v>0.195625</v>
      </c>
      <c r="X72" s="40"/>
      <c r="Y72" s="46" t="n">
        <f aca="false">Z72*Y$7</f>
        <v>9331.3125</v>
      </c>
      <c r="Z72" s="46" t="n">
        <f aca="false">$M72*CMF</f>
        <v>176.0625</v>
      </c>
      <c r="AA72" s="41" t="n">
        <f aca="false">+Z72/Z$8</f>
        <v>0.136800699300699</v>
      </c>
      <c r="AB72" s="40"/>
      <c r="AC72" s="46" t="n">
        <f aca="false">AD72*AC$7</f>
        <v>5986.125</v>
      </c>
      <c r="AD72" s="46" t="n">
        <f aca="false">$M72*CMF</f>
        <v>176.0625</v>
      </c>
      <c r="AE72" s="41" t="n">
        <f aca="false">+AD72/AD$8</f>
        <v>0.121088376891334</v>
      </c>
      <c r="AF72" s="41"/>
      <c r="AG72" s="46" t="n">
        <f aca="false">+Y72+U72+Q72+AC72</f>
        <v>23592.375</v>
      </c>
      <c r="AH72" s="23" t="n">
        <f aca="false">+AG72/AG$7</f>
        <v>176.0625</v>
      </c>
      <c r="AI72" s="41" t="n">
        <f aca="false">+AH72/AH$8</f>
        <v>0.147456030150754</v>
      </c>
      <c r="AJ72" s="40"/>
      <c r="AK72" s="43"/>
      <c r="AL72" s="44"/>
      <c r="AN72" s="38"/>
      <c r="AO72" s="40" t="n">
        <f aca="false">+AO70-AO71</f>
        <v>79959.1868772826</v>
      </c>
      <c r="AP72" s="40"/>
      <c r="AQ72" s="40"/>
    </row>
    <row r="73" customFormat="false" ht="12" hidden="false" customHeight="false" outlineLevel="0" collapsed="false">
      <c r="A73" s="20" t="s">
        <v>242</v>
      </c>
      <c r="B73" s="63" t="s">
        <v>243</v>
      </c>
      <c r="C73" s="37"/>
      <c r="D73" s="38" t="n">
        <f aca="false">L73/$L$88</f>
        <v>0.0157070512960931</v>
      </c>
      <c r="E73" s="39"/>
      <c r="F73" s="39"/>
      <c r="G73" s="39"/>
      <c r="H73" s="39"/>
      <c r="I73" s="39"/>
      <c r="J73" s="39"/>
      <c r="K73" s="39"/>
      <c r="L73" s="40" t="n">
        <f aca="false">7*M73</f>
        <v>11042.5</v>
      </c>
      <c r="M73" s="40" t="n">
        <f aca="false">3155/2</f>
        <v>1577.5</v>
      </c>
      <c r="N73" s="41" t="n">
        <f aca="false">$M73/N$8</f>
        <v>1.14643895348837</v>
      </c>
      <c r="O73" s="41" t="n">
        <f aca="false">$M73/O$8</f>
        <v>0.908698156682028</v>
      </c>
      <c r="P73" s="41"/>
      <c r="Q73" s="46" t="n">
        <f aca="false">R73*Q$7</f>
        <v>0</v>
      </c>
      <c r="R73" s="46" t="n">
        <f aca="false">8*8*2.25*CMF</f>
        <v>162</v>
      </c>
      <c r="S73" s="41" t="n">
        <f aca="false">+R73/R$8</f>
        <v>0.135225375626043</v>
      </c>
      <c r="T73" s="40"/>
      <c r="U73" s="46" t="n">
        <f aca="false">V73*U$7</f>
        <v>7614</v>
      </c>
      <c r="V73" s="46" t="n">
        <f aca="false">8*8*2.25*CMF</f>
        <v>162</v>
      </c>
      <c r="W73" s="41" t="n">
        <f aca="false">+V73/V$8</f>
        <v>0.18</v>
      </c>
      <c r="X73" s="40"/>
      <c r="Y73" s="46" t="n">
        <f aca="false">Z73*Y$7</f>
        <v>8586</v>
      </c>
      <c r="Z73" s="46" t="n">
        <f aca="false">8*8*2.25*CMF</f>
        <v>162</v>
      </c>
      <c r="AA73" s="41" t="n">
        <f aca="false">+Z73/Z$8</f>
        <v>0.125874125874126</v>
      </c>
      <c r="AB73" s="40"/>
      <c r="AC73" s="46" t="n">
        <f aca="false">AD73*AC$7</f>
        <v>5508</v>
      </c>
      <c r="AD73" s="46" t="n">
        <f aca="false">8*8*2.25*CMF</f>
        <v>162</v>
      </c>
      <c r="AE73" s="41" t="n">
        <f aca="false">+AD73/AD$8</f>
        <v>0.111416781292985</v>
      </c>
      <c r="AF73" s="41"/>
      <c r="AG73" s="46" t="n">
        <f aca="false">+Y73+U73+Q73+AC73</f>
        <v>21708</v>
      </c>
      <c r="AH73" s="23" t="n">
        <f aca="false">+AG73/AG$7</f>
        <v>162</v>
      </c>
      <c r="AI73" s="41" t="n">
        <f aca="false">+AH73/AH$8</f>
        <v>0.135678391959799</v>
      </c>
      <c r="AJ73" s="40"/>
      <c r="AK73" s="43"/>
      <c r="AL73" s="44"/>
      <c r="AN73" s="38"/>
      <c r="AO73" s="67" t="n">
        <f aca="false">+AO72/-AO68</f>
        <v>0.87319905793272</v>
      </c>
      <c r="AP73" s="40"/>
      <c r="AQ73" s="40"/>
    </row>
    <row r="74" customFormat="false" ht="12.75" hidden="false" customHeight="false" outlineLevel="0" collapsed="false">
      <c r="A74" s="20" t="s">
        <v>242</v>
      </c>
      <c r="B74" s="20" t="s">
        <v>244</v>
      </c>
      <c r="C74" s="37"/>
      <c r="D74" s="38" t="n">
        <f aca="false">L74/$L$88</f>
        <v>0</v>
      </c>
      <c r="E74" s="39" t="s">
        <v>78</v>
      </c>
      <c r="F74" s="39" t="s">
        <v>78</v>
      </c>
      <c r="G74" s="39" t="s">
        <v>78</v>
      </c>
      <c r="H74" s="39" t="s">
        <v>78</v>
      </c>
      <c r="I74" s="39" t="s">
        <v>78</v>
      </c>
      <c r="J74" s="39" t="s">
        <v>78</v>
      </c>
      <c r="K74" s="39" t="s">
        <v>78</v>
      </c>
      <c r="L74" s="40" t="n">
        <f aca="false">7*M74</f>
        <v>0</v>
      </c>
      <c r="M74" s="40"/>
      <c r="N74" s="41" t="n">
        <f aca="false">$M74/N$8</f>
        <v>0</v>
      </c>
      <c r="O74" s="41" t="n">
        <f aca="false">$M74/O$8</f>
        <v>0</v>
      </c>
      <c r="P74" s="41"/>
      <c r="Q74" s="46" t="n">
        <f aca="false">R74*Q$7</f>
        <v>0</v>
      </c>
      <c r="R74" s="46" t="n">
        <f aca="false">$M74*CMF</f>
        <v>0</v>
      </c>
      <c r="S74" s="41" t="n">
        <f aca="false">+R74/R$8</f>
        <v>0</v>
      </c>
      <c r="T74" s="40"/>
      <c r="U74" s="46" t="n">
        <f aca="false">V74*U$7</f>
        <v>0</v>
      </c>
      <c r="V74" s="46" t="n">
        <f aca="false">$M74*CMF</f>
        <v>0</v>
      </c>
      <c r="W74" s="41" t="n">
        <f aca="false">+V74/V$8</f>
        <v>0</v>
      </c>
      <c r="X74" s="40"/>
      <c r="Y74" s="46" t="n">
        <f aca="false">Z74*Y$7</f>
        <v>0</v>
      </c>
      <c r="Z74" s="46" t="n">
        <f aca="false">$M74*CMF</f>
        <v>0</v>
      </c>
      <c r="AA74" s="41" t="n">
        <f aca="false">+Z74/Z$8</f>
        <v>0</v>
      </c>
      <c r="AB74" s="40"/>
      <c r="AC74" s="46" t="n">
        <f aca="false">AD74*AC$7</f>
        <v>0</v>
      </c>
      <c r="AD74" s="46" t="n">
        <f aca="false">$M74*CMF</f>
        <v>0</v>
      </c>
      <c r="AE74" s="41" t="n">
        <f aca="false">+AD74/AD$8</f>
        <v>0</v>
      </c>
      <c r="AF74" s="41"/>
      <c r="AG74" s="46" t="n">
        <f aca="false">+Y74+U74+Q74+AC74</f>
        <v>0</v>
      </c>
      <c r="AH74" s="23" t="n">
        <f aca="false">+AG74/AG$7</f>
        <v>0</v>
      </c>
      <c r="AI74" s="41" t="n">
        <f aca="false">+AH74/AH$8</f>
        <v>0</v>
      </c>
      <c r="AJ74" s="40"/>
      <c r="AK74" s="43"/>
      <c r="AL74" s="44"/>
      <c r="AM74" s="34"/>
      <c r="AN74" s="38"/>
      <c r="AO74" s="40"/>
      <c r="AP74" s="40"/>
      <c r="AQ74" s="40"/>
    </row>
    <row r="75" customFormat="false" ht="12.75" hidden="false" customHeight="false" outlineLevel="0" collapsed="false">
      <c r="A75" s="20" t="s">
        <v>242</v>
      </c>
      <c r="B75" s="20" t="s">
        <v>245</v>
      </c>
      <c r="C75" s="37"/>
      <c r="D75" s="38" t="n">
        <f aca="false">L75/$L$88</f>
        <v>0</v>
      </c>
      <c r="E75" s="39" t="s">
        <v>78</v>
      </c>
      <c r="F75" s="39" t="s">
        <v>78</v>
      </c>
      <c r="G75" s="48"/>
      <c r="H75" s="39" t="s">
        <v>78</v>
      </c>
      <c r="I75" s="39" t="s">
        <v>78</v>
      </c>
      <c r="J75" s="48"/>
      <c r="K75" s="66" t="s">
        <v>233</v>
      </c>
      <c r="L75" s="40" t="n">
        <f aca="false">7*M75</f>
        <v>0</v>
      </c>
      <c r="M75" s="40"/>
      <c r="N75" s="41" t="n">
        <f aca="false">$M75/N$8</f>
        <v>0</v>
      </c>
      <c r="O75" s="41" t="n">
        <f aca="false">$M75/O$8</f>
        <v>0</v>
      </c>
      <c r="P75" s="41"/>
      <c r="Q75" s="46" t="n">
        <f aca="false">R75*Q$7</f>
        <v>0</v>
      </c>
      <c r="R75" s="46" t="n">
        <f aca="false">$M75*CMF</f>
        <v>0</v>
      </c>
      <c r="S75" s="41" t="n">
        <f aca="false">+R75/R$8</f>
        <v>0</v>
      </c>
      <c r="T75" s="40"/>
      <c r="U75" s="46" t="n">
        <f aca="false">V75*U$7</f>
        <v>0</v>
      </c>
      <c r="V75" s="46" t="n">
        <f aca="false">$M75*CMF</f>
        <v>0</v>
      </c>
      <c r="W75" s="41" t="n">
        <f aca="false">+V75/V$8</f>
        <v>0</v>
      </c>
      <c r="X75" s="40"/>
      <c r="Y75" s="46" t="n">
        <f aca="false">Z75*Y$7</f>
        <v>0</v>
      </c>
      <c r="Z75" s="46" t="n">
        <f aca="false">$M75*CMF</f>
        <v>0</v>
      </c>
      <c r="AA75" s="41" t="n">
        <f aca="false">+Z75/Z$8</f>
        <v>0</v>
      </c>
      <c r="AB75" s="40"/>
      <c r="AC75" s="46" t="n">
        <f aca="false">AD75*AC$7</f>
        <v>0</v>
      </c>
      <c r="AD75" s="46" t="n">
        <f aca="false">$M75*CMF</f>
        <v>0</v>
      </c>
      <c r="AE75" s="41" t="n">
        <f aca="false">+AD75/AD$8</f>
        <v>0</v>
      </c>
      <c r="AF75" s="41"/>
      <c r="AG75" s="46" t="n">
        <f aca="false">+Y75+U75+Q75+AC75</f>
        <v>0</v>
      </c>
      <c r="AH75" s="23" t="n">
        <f aca="false">+AG75/AG$7</f>
        <v>0</v>
      </c>
      <c r="AI75" s="41" t="n">
        <f aca="false">+AH75/AH$8</f>
        <v>0</v>
      </c>
      <c r="AJ75" s="40"/>
      <c r="AK75" s="43"/>
      <c r="AL75" s="44"/>
      <c r="AO75" s="40" t="n">
        <f aca="false">+AO69-AO71+0.05*AO69</f>
        <v>99747.9368772826</v>
      </c>
      <c r="AP75" s="40"/>
      <c r="AQ75" s="21" t="n">
        <f aca="false">AT75*12</f>
        <v>11399764.2145466</v>
      </c>
      <c r="AT75" s="23" t="n">
        <f aca="false">AO75/0.105</f>
        <v>949980.351212215</v>
      </c>
    </row>
    <row r="76" customFormat="false" ht="12.75" hidden="false" customHeight="false" outlineLevel="0" collapsed="false">
      <c r="A76" s="20" t="s">
        <v>242</v>
      </c>
      <c r="B76" s="20" t="s">
        <v>246</v>
      </c>
      <c r="C76" s="37"/>
      <c r="D76" s="38" t="n">
        <f aca="false">L76/$L$88</f>
        <v>0</v>
      </c>
      <c r="E76" s="39" t="s">
        <v>78</v>
      </c>
      <c r="F76" s="39" t="s">
        <v>78</v>
      </c>
      <c r="G76" s="48"/>
      <c r="H76" s="39" t="s">
        <v>78</v>
      </c>
      <c r="I76" s="39" t="s">
        <v>78</v>
      </c>
      <c r="J76" s="48"/>
      <c r="K76" s="66" t="s">
        <v>233</v>
      </c>
      <c r="L76" s="40" t="n">
        <f aca="false">7*M76</f>
        <v>0</v>
      </c>
      <c r="M76" s="40"/>
      <c r="N76" s="41" t="n">
        <f aca="false">$M76/N$8</f>
        <v>0</v>
      </c>
      <c r="O76" s="41" t="n">
        <f aca="false">$M76/O$8</f>
        <v>0</v>
      </c>
      <c r="P76" s="41"/>
      <c r="Q76" s="46" t="n">
        <f aca="false">R76*Q$7</f>
        <v>0</v>
      </c>
      <c r="R76" s="46" t="n">
        <f aca="false">$M76*CMF</f>
        <v>0</v>
      </c>
      <c r="S76" s="41" t="n">
        <f aca="false">+R76/R$8</f>
        <v>0</v>
      </c>
      <c r="T76" s="40"/>
      <c r="U76" s="46" t="n">
        <f aca="false">V76*U$7</f>
        <v>0</v>
      </c>
      <c r="V76" s="46" t="n">
        <f aca="false">$M76*CMF</f>
        <v>0</v>
      </c>
      <c r="W76" s="41" t="n">
        <f aca="false">+V76/V$8</f>
        <v>0</v>
      </c>
      <c r="X76" s="40"/>
      <c r="Y76" s="46" t="n">
        <f aca="false">Z76*Y$7</f>
        <v>0</v>
      </c>
      <c r="Z76" s="46" t="n">
        <f aca="false">$M76*CMF</f>
        <v>0</v>
      </c>
      <c r="AA76" s="41" t="n">
        <f aca="false">+Z76/Z$8</f>
        <v>0</v>
      </c>
      <c r="AB76" s="40"/>
      <c r="AC76" s="46" t="n">
        <f aca="false">AD76*AC$7</f>
        <v>0</v>
      </c>
      <c r="AD76" s="46" t="n">
        <f aca="false">$M76*CMF</f>
        <v>0</v>
      </c>
      <c r="AE76" s="41" t="n">
        <f aca="false">+AD76/AD$8</f>
        <v>0</v>
      </c>
      <c r="AF76" s="41"/>
      <c r="AG76" s="46" t="n">
        <f aca="false">+Y76+U76+Q76+AC76</f>
        <v>0</v>
      </c>
      <c r="AH76" s="23" t="n">
        <f aca="false">+AG76/AG$7</f>
        <v>0</v>
      </c>
      <c r="AI76" s="41" t="n">
        <f aca="false">+AH76/AH$8</f>
        <v>0</v>
      </c>
      <c r="AJ76" s="40"/>
      <c r="AK76" s="43"/>
      <c r="AL76" s="44"/>
      <c r="AN76" s="38"/>
      <c r="AO76" s="40" t="n">
        <f aca="false">+AO68</f>
        <v>-91570.3998428311</v>
      </c>
      <c r="AP76" s="40"/>
      <c r="AQ76" s="40" t="n">
        <f aca="false">0.8*AQ75</f>
        <v>9119811.37163726</v>
      </c>
    </row>
    <row r="77" customFormat="false" ht="12.75" hidden="false" customHeight="false" outlineLevel="0" collapsed="false">
      <c r="A77" s="20" t="s">
        <v>247</v>
      </c>
      <c r="B77" s="63" t="s">
        <v>248</v>
      </c>
      <c r="C77" s="37"/>
      <c r="D77" s="38" t="n">
        <f aca="false">L77/$L$88</f>
        <v>0.00792073490081906</v>
      </c>
      <c r="E77" s="39" t="s">
        <v>78</v>
      </c>
      <c r="F77" s="39" t="s">
        <v>78</v>
      </c>
      <c r="G77" s="39" t="s">
        <v>78</v>
      </c>
      <c r="H77" s="39" t="s">
        <v>78</v>
      </c>
      <c r="I77" s="39" t="s">
        <v>78</v>
      </c>
      <c r="J77" s="39" t="s">
        <v>78</v>
      </c>
      <c r="K77" s="39" t="s">
        <v>78</v>
      </c>
      <c r="L77" s="40" t="n">
        <f aca="false">7*M77</f>
        <v>5568.5</v>
      </c>
      <c r="M77" s="40" t="n">
        <f aca="false">1591/2</f>
        <v>795.5</v>
      </c>
      <c r="N77" s="41" t="n">
        <f aca="false">$M77/N$8</f>
        <v>0.578125</v>
      </c>
      <c r="O77" s="41" t="n">
        <f aca="false">$M77/O$8</f>
        <v>0.45823732718894</v>
      </c>
      <c r="P77" s="41"/>
      <c r="Q77" s="46" t="n">
        <f aca="false">R77*Q$7</f>
        <v>0</v>
      </c>
      <c r="R77" s="46" t="n">
        <f aca="false">(28+20)*15*CMF</f>
        <v>810</v>
      </c>
      <c r="S77" s="41" t="n">
        <f aca="false">+R77/R$8</f>
        <v>0.676126878130217</v>
      </c>
      <c r="T77" s="40"/>
      <c r="U77" s="46" t="n">
        <f aca="false">V77*U$7</f>
        <v>28417.66875</v>
      </c>
      <c r="V77" s="46" t="n">
        <f aca="false">(15.83+20)*15*CMF</f>
        <v>604.63125</v>
      </c>
      <c r="W77" s="41" t="n">
        <f aca="false">+V77/V$8</f>
        <v>0.6718125</v>
      </c>
      <c r="X77" s="40"/>
      <c r="Y77" s="46" t="n">
        <f aca="false">Z77*Y$7</f>
        <v>41141.25</v>
      </c>
      <c r="Z77" s="46" t="n">
        <f aca="false">(26+20)*15*CMF</f>
        <v>776.25</v>
      </c>
      <c r="AA77" s="41" t="n">
        <f aca="false">+Z77/Z$8</f>
        <v>0.603146853146853</v>
      </c>
      <c r="AB77" s="40"/>
      <c r="AC77" s="46" t="n">
        <f aca="false">AD77*AC$7</f>
        <v>26392.5</v>
      </c>
      <c r="AD77" s="46" t="n">
        <f aca="false">(26+20)*15*CMF</f>
        <v>776.25</v>
      </c>
      <c r="AE77" s="41" t="n">
        <f aca="false">+AD77/AD$8</f>
        <v>0.533872077028886</v>
      </c>
      <c r="AF77" s="41"/>
      <c r="AG77" s="46" t="n">
        <f aca="false">+Y77+U77+Q77+AC77</f>
        <v>95951.41875</v>
      </c>
      <c r="AH77" s="23" t="n">
        <f aca="false">+AG77/AG$7</f>
        <v>716.05536380597</v>
      </c>
      <c r="AI77" s="41" t="n">
        <f aca="false">+AH77/AH$8</f>
        <v>0.599711359971499</v>
      </c>
      <c r="AJ77" s="40"/>
      <c r="AK77" s="43"/>
      <c r="AL77" s="44"/>
      <c r="AM77" s="34"/>
      <c r="AO77" s="40" t="n">
        <f aca="false">+AO76+AO75</f>
        <v>8177.5370344515</v>
      </c>
      <c r="AP77" s="40"/>
      <c r="AQ77" s="40"/>
    </row>
    <row r="78" customFormat="false" ht="12.75" hidden="false" customHeight="false" outlineLevel="0" collapsed="false">
      <c r="A78" s="20" t="s">
        <v>247</v>
      </c>
      <c r="B78" s="63" t="s">
        <v>249</v>
      </c>
      <c r="C78" s="37"/>
      <c r="D78" s="38" t="n">
        <f aca="false">L78/$L$88</f>
        <v>0.00273317627941525</v>
      </c>
      <c r="E78" s="39" t="s">
        <v>78</v>
      </c>
      <c r="F78" s="39" t="s">
        <v>78</v>
      </c>
      <c r="G78" s="48"/>
      <c r="H78" s="39" t="s">
        <v>78</v>
      </c>
      <c r="I78" s="39" t="s">
        <v>78</v>
      </c>
      <c r="J78" s="48"/>
      <c r="K78" s="48"/>
      <c r="L78" s="40" t="n">
        <f aca="false">7*M78</f>
        <v>1921.5</v>
      </c>
      <c r="M78" s="40" t="n">
        <f aca="false">549/2</f>
        <v>274.5</v>
      </c>
      <c r="N78" s="41" t="n">
        <f aca="false">$M78/N$8</f>
        <v>0.199491279069767</v>
      </c>
      <c r="O78" s="41" t="n">
        <f aca="false">$M78/O$8</f>
        <v>0.158122119815668</v>
      </c>
      <c r="P78" s="41"/>
      <c r="Q78" s="46" t="n">
        <f aca="false">R78*Q$7</f>
        <v>0</v>
      </c>
      <c r="R78" s="21" t="n">
        <v>0</v>
      </c>
      <c r="S78" s="41" t="n">
        <f aca="false">+R78/R$8</f>
        <v>0</v>
      </c>
      <c r="T78" s="40"/>
      <c r="U78" s="46" t="n">
        <f aca="false">V78*U$7</f>
        <v>0</v>
      </c>
      <c r="V78" s="21" t="n">
        <v>0</v>
      </c>
      <c r="W78" s="41" t="n">
        <f aca="false">+V78/V$8</f>
        <v>0</v>
      </c>
      <c r="X78" s="40"/>
      <c r="Y78" s="46" t="n">
        <f aca="false">Z78*Y$7</f>
        <v>0</v>
      </c>
      <c r="Z78" s="21" t="n">
        <v>0</v>
      </c>
      <c r="AA78" s="41" t="n">
        <f aca="false">+Z78/Z$8</f>
        <v>0</v>
      </c>
      <c r="AB78" s="40"/>
      <c r="AC78" s="46" t="n">
        <f aca="false">AD78*AC$7</f>
        <v>0</v>
      </c>
      <c r="AD78" s="21" t="n">
        <v>0</v>
      </c>
      <c r="AE78" s="41" t="n">
        <f aca="false">+AD78/AD$8</f>
        <v>0</v>
      </c>
      <c r="AF78" s="41"/>
      <c r="AG78" s="46" t="n">
        <f aca="false">+Y78+U78+Q78+AC78</f>
        <v>0</v>
      </c>
      <c r="AH78" s="23" t="n">
        <f aca="false">+AG78/AG$7</f>
        <v>0</v>
      </c>
      <c r="AI78" s="41" t="n">
        <f aca="false">+AH78/AH$8</f>
        <v>0</v>
      </c>
      <c r="AJ78" s="40"/>
      <c r="AK78" s="43"/>
      <c r="AL78" s="44"/>
      <c r="AN78" s="38"/>
      <c r="AO78" s="40" t="n">
        <f aca="false">AO77*12</f>
        <v>98130.444413418</v>
      </c>
      <c r="AP78" s="40"/>
      <c r="AQ78" s="40"/>
    </row>
    <row r="79" customFormat="false" ht="12" hidden="false" customHeight="false" outlineLevel="0" collapsed="false">
      <c r="A79" s="20" t="s">
        <v>247</v>
      </c>
      <c r="B79" s="21" t="s">
        <v>250</v>
      </c>
      <c r="C79" s="37"/>
      <c r="D79" s="38" t="n">
        <f aca="false">L79/$L$88</f>
        <v>0</v>
      </c>
      <c r="E79" s="39" t="s">
        <v>251</v>
      </c>
      <c r="F79" s="39"/>
      <c r="G79" s="39"/>
      <c r="H79" s="39"/>
      <c r="I79" s="39"/>
      <c r="J79" s="39"/>
      <c r="K79" s="39"/>
      <c r="L79" s="40" t="n">
        <f aca="false">7*M79</f>
        <v>0</v>
      </c>
      <c r="M79" s="40" t="n">
        <f aca="false">0/2</f>
        <v>0</v>
      </c>
      <c r="N79" s="41" t="n">
        <f aca="false">$M79/N$8</f>
        <v>0</v>
      </c>
      <c r="O79" s="41" t="n">
        <f aca="false">$M79/O$8</f>
        <v>0</v>
      </c>
      <c r="P79" s="41"/>
      <c r="Q79" s="46" t="n">
        <f aca="false">R79*Q$7</f>
        <v>0</v>
      </c>
      <c r="R79" s="46"/>
      <c r="S79" s="41" t="n">
        <f aca="false">+R79/R$8</f>
        <v>0</v>
      </c>
      <c r="T79" s="40"/>
      <c r="U79" s="46" t="n">
        <f aca="false">V79*U$7</f>
        <v>0</v>
      </c>
      <c r="V79" s="46"/>
      <c r="W79" s="41" t="n">
        <f aca="false">+V79/V$8</f>
        <v>0</v>
      </c>
      <c r="X79" s="40"/>
      <c r="Y79" s="46" t="n">
        <f aca="false">Z79*Y$7</f>
        <v>0</v>
      </c>
      <c r="Z79" s="46"/>
      <c r="AA79" s="41" t="n">
        <f aca="false">+Z79/Z$8</f>
        <v>0</v>
      </c>
      <c r="AB79" s="40"/>
      <c r="AC79" s="46" t="n">
        <f aca="false">AD79*AC$7</f>
        <v>0</v>
      </c>
      <c r="AD79" s="46"/>
      <c r="AE79" s="41" t="n">
        <f aca="false">+AD79/AD$8</f>
        <v>0</v>
      </c>
      <c r="AF79" s="41"/>
      <c r="AG79" s="46" t="n">
        <f aca="false">+Y79+U79+Q79+AC79</f>
        <v>0</v>
      </c>
      <c r="AH79" s="23" t="n">
        <f aca="false">+AG79/AG$7</f>
        <v>0</v>
      </c>
      <c r="AI79" s="41" t="n">
        <f aca="false">+AH79/AH$8</f>
        <v>0</v>
      </c>
      <c r="AJ79" s="40"/>
      <c r="AK79" s="43"/>
      <c r="AL79" s="44"/>
      <c r="AN79" s="38"/>
      <c r="AO79" s="40" t="n">
        <f aca="false">AO78/0.105</f>
        <v>934575.661080171</v>
      </c>
      <c r="AP79" s="62"/>
      <c r="AQ79" s="40"/>
    </row>
    <row r="80" customFormat="false" ht="12.75" hidden="false" customHeight="false" outlineLevel="0" collapsed="false">
      <c r="B80" s="19" t="s">
        <v>252</v>
      </c>
      <c r="C80" s="37"/>
      <c r="D80" s="38"/>
      <c r="E80" s="39"/>
      <c r="F80" s="39"/>
      <c r="G80" s="39"/>
      <c r="H80" s="39"/>
      <c r="I80" s="39"/>
      <c r="J80" s="39"/>
      <c r="K80" s="39"/>
      <c r="L80" s="40"/>
      <c r="M80" s="40"/>
      <c r="N80" s="41"/>
      <c r="O80" s="41"/>
      <c r="P80" s="41"/>
      <c r="Q80" s="46"/>
      <c r="R80" s="46"/>
      <c r="S80" s="41"/>
      <c r="T80" s="40"/>
      <c r="U80" s="46"/>
      <c r="V80" s="46"/>
      <c r="W80" s="41"/>
      <c r="X80" s="40"/>
      <c r="Y80" s="46"/>
      <c r="Z80" s="46"/>
      <c r="AA80" s="41"/>
      <c r="AB80" s="40"/>
      <c r="AC80" s="46"/>
      <c r="AD80" s="46"/>
      <c r="AE80" s="41"/>
      <c r="AF80" s="41"/>
      <c r="AG80" s="46"/>
      <c r="AH80" s="23" t="s">
        <v>188</v>
      </c>
      <c r="AI80" s="41"/>
      <c r="AJ80" s="40"/>
      <c r="AK80" s="43"/>
      <c r="AL80" s="44"/>
      <c r="AN80" s="38"/>
      <c r="AO80" s="40"/>
      <c r="AP80" s="40"/>
      <c r="AQ80" s="40"/>
    </row>
    <row r="81" customFormat="false" ht="12.75" hidden="false" customHeight="false" outlineLevel="0" collapsed="false">
      <c r="A81" s="20" t="s">
        <v>253</v>
      </c>
      <c r="B81" s="21" t="s">
        <v>254</v>
      </c>
      <c r="C81" s="37"/>
      <c r="D81" s="38" t="n">
        <f aca="false">L81/$L$88</f>
        <v>0.00478430310476877</v>
      </c>
      <c r="E81" s="39" t="s">
        <v>78</v>
      </c>
      <c r="F81" s="39" t="s">
        <v>78</v>
      </c>
      <c r="G81" s="48"/>
      <c r="H81" s="39" t="s">
        <v>78</v>
      </c>
      <c r="I81" s="39" t="s">
        <v>78</v>
      </c>
      <c r="J81" s="48"/>
      <c r="K81" s="49" t="s">
        <v>78</v>
      </c>
      <c r="L81" s="40" t="n">
        <f aca="false">7*M81</f>
        <v>3363.5</v>
      </c>
      <c r="M81" s="40" t="n">
        <f aca="false">961/2</f>
        <v>480.5</v>
      </c>
      <c r="N81" s="41" t="n">
        <f aca="false">$M81/N$8</f>
        <v>0.349200581395349</v>
      </c>
      <c r="O81" s="41" t="n">
        <f aca="false">$M81/O$8</f>
        <v>0.276785714285714</v>
      </c>
      <c r="P81" s="41"/>
      <c r="Q81" s="46" t="n">
        <f aca="false">R81*Q$7</f>
        <v>0</v>
      </c>
      <c r="R81" s="46" t="n">
        <f aca="false">(((40*8*2)*4.33*15)*CMF)/SM134Units</f>
        <v>348.985074626866</v>
      </c>
      <c r="S81" s="41" t="n">
        <f aca="false">+R81/R$8</f>
        <v>0.291306406199387</v>
      </c>
      <c r="T81" s="40"/>
      <c r="U81" s="46" t="n">
        <f aca="false">V81*U$7</f>
        <v>16402.2985074627</v>
      </c>
      <c r="V81" s="46" t="n">
        <f aca="false">(((40*8*2)*4.33*15)*CMF)/SM134Units</f>
        <v>348.985074626866</v>
      </c>
      <c r="W81" s="41" t="n">
        <f aca="false">+V81/V$8</f>
        <v>0.387761194029851</v>
      </c>
      <c r="X81" s="40"/>
      <c r="Y81" s="46" t="n">
        <f aca="false">Z81*Y$7</f>
        <v>18496.2089552239</v>
      </c>
      <c r="Z81" s="46" t="n">
        <f aca="false">(((40*8*2)*4.33*15)*CMF)/SM134Units</f>
        <v>348.985074626866</v>
      </c>
      <c r="AA81" s="41" t="n">
        <f aca="false">+Z81/Z$8</f>
        <v>0.271161674146749</v>
      </c>
      <c r="AB81" s="40"/>
      <c r="AC81" s="46" t="n">
        <f aca="false">AD81*AC$7</f>
        <v>11865.4925373134</v>
      </c>
      <c r="AD81" s="46" t="n">
        <f aca="false">(((40*8*2)*4.33*15)*CMF)/SM134Units</f>
        <v>348.985074626866</v>
      </c>
      <c r="AE81" s="41" t="n">
        <f aca="false">+AD81/AD$8</f>
        <v>0.240017245272948</v>
      </c>
      <c r="AF81" s="41"/>
      <c r="AG81" s="46" t="n">
        <f aca="false">+Y81+U81+Q81+AC81</f>
        <v>46764</v>
      </c>
      <c r="AH81" s="23" t="n">
        <f aca="false">+AG81/AG$7</f>
        <v>348.985074626866</v>
      </c>
      <c r="AI81" s="41" t="n">
        <f aca="false">+AH81/AH$8</f>
        <v>0.292282307057676</v>
      </c>
      <c r="AJ81" s="40"/>
      <c r="AK81" s="43"/>
      <c r="AL81" s="44"/>
      <c r="AM81" s="34"/>
      <c r="AO81" s="40" t="n">
        <v>7000</v>
      </c>
      <c r="AP81" s="40"/>
      <c r="AQ81" s="40"/>
    </row>
    <row r="82" customFormat="false" ht="12.75" hidden="false" customHeight="false" outlineLevel="0" collapsed="false">
      <c r="A82" s="20" t="s">
        <v>253</v>
      </c>
      <c r="B82" s="21" t="s">
        <v>255</v>
      </c>
      <c r="C82" s="37"/>
      <c r="D82" s="38" t="n">
        <f aca="false">L82/$L$88</f>
        <v>0.00174246210891683</v>
      </c>
      <c r="E82" s="39" t="s">
        <v>78</v>
      </c>
      <c r="F82" s="39" t="s">
        <v>78</v>
      </c>
      <c r="G82" s="48"/>
      <c r="H82" s="39" t="s">
        <v>78</v>
      </c>
      <c r="I82" s="39" t="s">
        <v>78</v>
      </c>
      <c r="J82" s="48"/>
      <c r="K82" s="49" t="s">
        <v>78</v>
      </c>
      <c r="L82" s="40" t="n">
        <f aca="false">7*M82</f>
        <v>1225</v>
      </c>
      <c r="M82" s="40" t="n">
        <f aca="false">350/2</f>
        <v>175</v>
      </c>
      <c r="N82" s="41" t="n">
        <f aca="false">$M82/N$8</f>
        <v>0.12718023255814</v>
      </c>
      <c r="O82" s="41" t="n">
        <f aca="false">$M82/O$8</f>
        <v>0.100806451612903</v>
      </c>
      <c r="P82" s="41"/>
      <c r="Q82" s="46" t="n">
        <f aca="false">R82*Q$7</f>
        <v>0</v>
      </c>
      <c r="R82" s="46" t="n">
        <f aca="false">0.15*R$8*CMF</f>
        <v>202.1625</v>
      </c>
      <c r="S82" s="41" t="n">
        <f aca="false">+R82/R$8</f>
        <v>0.16875</v>
      </c>
      <c r="T82" s="40"/>
      <c r="U82" s="46" t="n">
        <f aca="false">V82*U$7</f>
        <v>7138.125</v>
      </c>
      <c r="V82" s="46" t="n">
        <f aca="false">0.15*V$8*CMF</f>
        <v>151.875</v>
      </c>
      <c r="W82" s="41" t="n">
        <f aca="false">+V82/V$8</f>
        <v>0.16875</v>
      </c>
      <c r="X82" s="40"/>
      <c r="Y82" s="46" t="n">
        <f aca="false">Z82*Y$7</f>
        <v>11510.60625</v>
      </c>
      <c r="Z82" s="46" t="n">
        <f aca="false">0.15*Z$8*CMF</f>
        <v>217.18125</v>
      </c>
      <c r="AA82" s="41" t="n">
        <f aca="false">+Z82/Z$8</f>
        <v>0.16875</v>
      </c>
      <c r="AB82" s="40"/>
      <c r="AC82" s="46" t="n">
        <f aca="false">AD82*AC$7</f>
        <v>8342.325</v>
      </c>
      <c r="AD82" s="46" t="n">
        <f aca="false">0.15*AD$8*CMF</f>
        <v>245.3625</v>
      </c>
      <c r="AE82" s="41" t="n">
        <f aca="false">+AD82/AD$8</f>
        <v>0.16875</v>
      </c>
      <c r="AF82" s="41"/>
      <c r="AG82" s="46" t="n">
        <f aca="false">+Y82+U82+Q82+AC82</f>
        <v>26991.05625</v>
      </c>
      <c r="AH82" s="23" t="n">
        <f aca="false">+AG82/AG$7</f>
        <v>201.425792910448</v>
      </c>
      <c r="AI82" s="41" t="n">
        <f aca="false">+AH82/AH$8</f>
        <v>0.168698319020475</v>
      </c>
      <c r="AJ82" s="40"/>
      <c r="AK82" s="43"/>
      <c r="AL82" s="44"/>
      <c r="AN82" s="38"/>
      <c r="AO82" s="40" t="n">
        <f aca="false">1250*14+1220*14</f>
        <v>34580</v>
      </c>
      <c r="AP82" s="40"/>
      <c r="AQ82" s="40"/>
    </row>
    <row r="83" customFormat="false" ht="12.75" hidden="false" customHeight="false" outlineLevel="0" collapsed="false">
      <c r="A83" s="20" t="s">
        <v>253</v>
      </c>
      <c r="B83" s="21" t="s">
        <v>256</v>
      </c>
      <c r="C83" s="37"/>
      <c r="D83" s="38" t="n">
        <f aca="false">L83/$L$88</f>
        <v>0.00488387236813545</v>
      </c>
      <c r="E83" s="39" t="s">
        <v>78</v>
      </c>
      <c r="F83" s="39" t="s">
        <v>78</v>
      </c>
      <c r="G83" s="48"/>
      <c r="H83" s="39" t="s">
        <v>78</v>
      </c>
      <c r="I83" s="39" t="s">
        <v>78</v>
      </c>
      <c r="J83" s="48"/>
      <c r="K83" s="49" t="s">
        <v>78</v>
      </c>
      <c r="L83" s="40" t="n">
        <f aca="false">7*M83</f>
        <v>3433.5</v>
      </c>
      <c r="M83" s="40" t="n">
        <f aca="false">981/2</f>
        <v>490.5</v>
      </c>
      <c r="N83" s="41" t="n">
        <f aca="false">$M83/N$8</f>
        <v>0.356468023255814</v>
      </c>
      <c r="O83" s="41" t="n">
        <f aca="false">$M83/O$8</f>
        <v>0.282546082949309</v>
      </c>
      <c r="P83" s="41"/>
      <c r="Q83" s="46" t="n">
        <f aca="false">R83*Q$7</f>
        <v>0</v>
      </c>
      <c r="R83" s="46" t="n">
        <f aca="false">$M83*CMF</f>
        <v>551.8125</v>
      </c>
      <c r="S83" s="41" t="n">
        <f aca="false">+R83/R$8</f>
        <v>0.46061143572621</v>
      </c>
      <c r="T83" s="40"/>
      <c r="U83" s="46" t="n">
        <f aca="false">V83*U$7</f>
        <v>25935.1875</v>
      </c>
      <c r="V83" s="46" t="n">
        <f aca="false">$M83*CMF</f>
        <v>551.8125</v>
      </c>
      <c r="W83" s="41" t="n">
        <f aca="false">+V83/V$8</f>
        <v>0.613125</v>
      </c>
      <c r="X83" s="40"/>
      <c r="Y83" s="46" t="n">
        <f aca="false">Z83*Y$7</f>
        <v>29246.0625</v>
      </c>
      <c r="Z83" s="46" t="n">
        <f aca="false">$M83*CMF</f>
        <v>551.8125</v>
      </c>
      <c r="AA83" s="41" t="n">
        <f aca="false">+Z83/Z$8</f>
        <v>0.428758741258741</v>
      </c>
      <c r="AB83" s="40"/>
      <c r="AC83" s="46" t="n">
        <f aca="false">AD83*AC$7</f>
        <v>18761.625</v>
      </c>
      <c r="AD83" s="46" t="n">
        <f aca="false">$M83*CMF</f>
        <v>551.8125</v>
      </c>
      <c r="AE83" s="41" t="n">
        <f aca="false">+AD83/AD$8</f>
        <v>0.37951341127923</v>
      </c>
      <c r="AF83" s="41"/>
      <c r="AG83" s="46" t="n">
        <f aca="false">+Y83+U83+Q83+AC83</f>
        <v>73942.875</v>
      </c>
      <c r="AH83" s="23" t="n">
        <f aca="false">+AG83/AG$7</f>
        <v>551.8125</v>
      </c>
      <c r="AI83" s="41" t="n">
        <f aca="false">+AH83/AH$8</f>
        <v>0.462154522613065</v>
      </c>
      <c r="AJ83" s="40"/>
      <c r="AK83" s="43"/>
      <c r="AL83" s="44"/>
      <c r="AN83" s="38"/>
      <c r="AO83" s="40" t="n">
        <f aca="false">28*3*475</f>
        <v>39900</v>
      </c>
      <c r="AP83" s="40"/>
      <c r="AQ83" s="40"/>
    </row>
    <row r="84" customFormat="false" ht="12.75" hidden="false" customHeight="false" outlineLevel="0" collapsed="false">
      <c r="A84" s="20" t="s">
        <v>253</v>
      </c>
      <c r="B84" s="21" t="s">
        <v>257</v>
      </c>
      <c r="C84" s="37"/>
      <c r="D84" s="38" t="n">
        <f aca="false">L84/$L$88</f>
        <v>0.00439598297763874</v>
      </c>
      <c r="E84" s="39" t="s">
        <v>78</v>
      </c>
      <c r="F84" s="39" t="s">
        <v>78</v>
      </c>
      <c r="G84" s="48"/>
      <c r="H84" s="39" t="s">
        <v>78</v>
      </c>
      <c r="I84" s="39" t="s">
        <v>78</v>
      </c>
      <c r="J84" s="48"/>
      <c r="K84" s="49" t="s">
        <v>78</v>
      </c>
      <c r="L84" s="40" t="n">
        <f aca="false">7*M84</f>
        <v>3090.5</v>
      </c>
      <c r="M84" s="40" t="n">
        <f aca="false">883/2</f>
        <v>441.5</v>
      </c>
      <c r="N84" s="41" t="n">
        <f aca="false">$M84/N$8</f>
        <v>0.320857558139535</v>
      </c>
      <c r="O84" s="41" t="n">
        <f aca="false">$M84/O$8</f>
        <v>0.254320276497696</v>
      </c>
      <c r="P84" s="41"/>
      <c r="Q84" s="46" t="n">
        <f aca="false">R84*Q$7</f>
        <v>0</v>
      </c>
      <c r="R84" s="46" t="n">
        <f aca="false">$M84*CMF</f>
        <v>496.6875</v>
      </c>
      <c r="S84" s="41" t="n">
        <f aca="false">+R84/R$8</f>
        <v>0.414597245409015</v>
      </c>
      <c r="T84" s="40"/>
      <c r="U84" s="46" t="n">
        <f aca="false">V84*U$7</f>
        <v>23344.3125</v>
      </c>
      <c r="V84" s="46" t="n">
        <f aca="false">$M84*CMF</f>
        <v>496.6875</v>
      </c>
      <c r="W84" s="41" t="n">
        <f aca="false">+V84/V$8</f>
        <v>0.551875</v>
      </c>
      <c r="X84" s="40"/>
      <c r="Y84" s="46" t="n">
        <f aca="false">Z84*Y$7</f>
        <v>26324.4375</v>
      </c>
      <c r="Z84" s="46" t="n">
        <f aca="false">$M84*CMF</f>
        <v>496.6875</v>
      </c>
      <c r="AA84" s="41" t="n">
        <f aca="false">+Z84/Z$8</f>
        <v>0.385926573426573</v>
      </c>
      <c r="AB84" s="40"/>
      <c r="AC84" s="46" t="n">
        <f aca="false">AD84*AC$7</f>
        <v>16887.375</v>
      </c>
      <c r="AD84" s="46" t="n">
        <f aca="false">$M84*CMF</f>
        <v>496.6875</v>
      </c>
      <c r="AE84" s="41" t="n">
        <f aca="false">+AD84/AD$8</f>
        <v>0.3416007565337</v>
      </c>
      <c r="AF84" s="41"/>
      <c r="AG84" s="46" t="n">
        <f aca="false">+Y84+U84+Q84+AC84</f>
        <v>66556.125</v>
      </c>
      <c r="AH84" s="23" t="n">
        <f aca="false">+AG84/AG$7</f>
        <v>496.6875</v>
      </c>
      <c r="AI84" s="41" t="n">
        <f aca="false">+AH84/AH$8</f>
        <v>0.415986180904523</v>
      </c>
      <c r="AJ84" s="40"/>
      <c r="AK84" s="43"/>
      <c r="AM84" s="34"/>
      <c r="AO84" s="40" t="n">
        <f aca="false">+AO83-AO82</f>
        <v>5320</v>
      </c>
      <c r="AP84" s="40"/>
      <c r="AQ84" s="40"/>
    </row>
    <row r="85" customFormat="false" ht="12.75" hidden="false" customHeight="false" outlineLevel="0" collapsed="false">
      <c r="A85" s="20" t="s">
        <v>253</v>
      </c>
      <c r="B85" s="21" t="s">
        <v>258</v>
      </c>
      <c r="C85" s="37"/>
      <c r="D85" s="38" t="n">
        <f aca="false">L85/$L$88</f>
        <v>0.000492867853665045</v>
      </c>
      <c r="E85" s="39" t="s">
        <v>78</v>
      </c>
      <c r="F85" s="39" t="s">
        <v>78</v>
      </c>
      <c r="G85" s="48"/>
      <c r="H85" s="39" t="s">
        <v>78</v>
      </c>
      <c r="I85" s="39" t="s">
        <v>78</v>
      </c>
      <c r="J85" s="48"/>
      <c r="K85" s="49" t="s">
        <v>78</v>
      </c>
      <c r="L85" s="40" t="n">
        <f aca="false">7*M85</f>
        <v>346.5</v>
      </c>
      <c r="M85" s="40" t="n">
        <f aca="false">99/2</f>
        <v>49.5</v>
      </c>
      <c r="N85" s="41" t="n">
        <f aca="false">$M85/N$8</f>
        <v>0.0359738372093023</v>
      </c>
      <c r="O85" s="41" t="n">
        <f aca="false">$M85/O$8</f>
        <v>0.0285138248847926</v>
      </c>
      <c r="P85" s="41"/>
      <c r="Q85" s="46" t="n">
        <f aca="false">R85*Q$7</f>
        <v>0</v>
      </c>
      <c r="R85" s="46" t="n">
        <f aca="false">((70*4.33*15)*CMF)/SM134Units</f>
        <v>38.1702425373134</v>
      </c>
      <c r="S85" s="41" t="n">
        <f aca="false">+R85/R$8</f>
        <v>0.031861638178058</v>
      </c>
      <c r="T85" s="40"/>
      <c r="U85" s="46" t="n">
        <f aca="false">V85*U$7</f>
        <v>1794.00139925373</v>
      </c>
      <c r="V85" s="46" t="n">
        <f aca="false">((70*4.33*15)*CMF)/SM134Units</f>
        <v>38.1702425373134</v>
      </c>
      <c r="W85" s="41" t="n">
        <f aca="false">+V85/V$8</f>
        <v>0.0424113805970149</v>
      </c>
      <c r="X85" s="40"/>
      <c r="Y85" s="46" t="n">
        <f aca="false">Z85*Y$7</f>
        <v>2023.02285447761</v>
      </c>
      <c r="Z85" s="46" t="n">
        <f aca="false">((70*4.33*15)*CMF)/SM134Units</f>
        <v>38.1702425373134</v>
      </c>
      <c r="AA85" s="41" t="n">
        <f aca="false">+Z85/Z$8</f>
        <v>0.0296583081098007</v>
      </c>
      <c r="AB85" s="40"/>
      <c r="AC85" s="46" t="n">
        <f aca="false">AD85*AC$7</f>
        <v>1297.78824626866</v>
      </c>
      <c r="AD85" s="46" t="n">
        <f aca="false">((70*4.33*15)*CMF)/SM134Units</f>
        <v>38.1702425373134</v>
      </c>
      <c r="AE85" s="41" t="n">
        <f aca="false">+AD85/AD$8</f>
        <v>0.0262518862017286</v>
      </c>
      <c r="AF85" s="41"/>
      <c r="AG85" s="46" t="n">
        <f aca="false">+Y85+U85+Q85+AC85</f>
        <v>5114.8125</v>
      </c>
      <c r="AH85" s="23" t="n">
        <f aca="false">+AG85/AG$7</f>
        <v>38.1702425373134</v>
      </c>
      <c r="AI85" s="41" t="n">
        <f aca="false">+AH85/AH$8</f>
        <v>0.0319683773344334</v>
      </c>
      <c r="AJ85" s="40"/>
      <c r="AK85" s="43"/>
      <c r="AL85" s="40"/>
      <c r="AN85" s="38"/>
      <c r="AO85" s="40" t="n">
        <f aca="false">+AO84+AO81</f>
        <v>12320</v>
      </c>
      <c r="AP85" s="40"/>
      <c r="AQ85" s="40"/>
    </row>
    <row r="86" customFormat="false" ht="12.75" hidden="false" customHeight="false" outlineLevel="0" collapsed="false">
      <c r="A86" s="20" t="s">
        <v>85</v>
      </c>
      <c r="B86" s="19" t="s">
        <v>259</v>
      </c>
      <c r="C86" s="37"/>
      <c r="D86" s="38" t="n">
        <f aca="false">L86/$L$88</f>
        <v>0.00995692633666758</v>
      </c>
      <c r="E86" s="39" t="s">
        <v>78</v>
      </c>
      <c r="F86" s="39" t="s">
        <v>78</v>
      </c>
      <c r="G86" s="48"/>
      <c r="H86" s="39" t="s">
        <v>78</v>
      </c>
      <c r="I86" s="39" t="s">
        <v>78</v>
      </c>
      <c r="J86" s="48"/>
      <c r="K86" s="49" t="s">
        <v>78</v>
      </c>
      <c r="L86" s="40" t="n">
        <f aca="false">7*M86</f>
        <v>7000</v>
      </c>
      <c r="M86" s="40" t="n">
        <f aca="false">2000/2</f>
        <v>1000</v>
      </c>
      <c r="N86" s="41" t="n">
        <f aca="false">$M86/N$8</f>
        <v>0.726744186046512</v>
      </c>
      <c r="O86" s="41" t="n">
        <f aca="false">$M86/O$8</f>
        <v>0.576036866359447</v>
      </c>
      <c r="P86" s="41"/>
      <c r="Q86" s="46" t="n">
        <f aca="false">R86*Q$7</f>
        <v>0</v>
      </c>
      <c r="R86" s="46" t="n">
        <f aca="false">$M86*CMF</f>
        <v>1125</v>
      </c>
      <c r="S86" s="41" t="n">
        <f aca="false">+R86/R$8</f>
        <v>0.93906510851419</v>
      </c>
      <c r="T86" s="40"/>
      <c r="U86" s="46" t="n">
        <f aca="false">V86*U$7</f>
        <v>52875</v>
      </c>
      <c r="V86" s="46" t="n">
        <f aca="false">$M86*CMF</f>
        <v>1125</v>
      </c>
      <c r="W86" s="41" t="n">
        <f aca="false">+V86/V$8</f>
        <v>1.25</v>
      </c>
      <c r="X86" s="40"/>
      <c r="Y86" s="46" t="n">
        <f aca="false">Z86*Y$7</f>
        <v>59625</v>
      </c>
      <c r="Z86" s="46" t="n">
        <f aca="false">$M86*CMF</f>
        <v>1125</v>
      </c>
      <c r="AA86" s="41" t="n">
        <f aca="false">+Z86/Z$8</f>
        <v>0.874125874125874</v>
      </c>
      <c r="AB86" s="40"/>
      <c r="AC86" s="46" t="n">
        <f aca="false">AD86*AC$7</f>
        <v>38250</v>
      </c>
      <c r="AD86" s="46" t="n">
        <f aca="false">$M86*CMF</f>
        <v>1125</v>
      </c>
      <c r="AE86" s="41" t="n">
        <f aca="false">+AD86/AD$8</f>
        <v>0.773727647867951</v>
      </c>
      <c r="AF86" s="41"/>
      <c r="AG86" s="46" t="n">
        <f aca="false">+Y86+U86+Q86+AC86</f>
        <v>150750</v>
      </c>
      <c r="AH86" s="23" t="n">
        <f aca="false">+AG86/AG$7</f>
        <v>1125</v>
      </c>
      <c r="AI86" s="41" t="n">
        <f aca="false">+AH86/AH$8</f>
        <v>0.942211055276382</v>
      </c>
      <c r="AJ86" s="40"/>
      <c r="AK86" s="43"/>
      <c r="AN86" s="38"/>
      <c r="AO86" s="40" t="n">
        <f aca="false">AO85*0.58</f>
        <v>7145.6</v>
      </c>
      <c r="AP86" s="40"/>
      <c r="AQ86" s="40"/>
    </row>
    <row r="87" customFormat="false" ht="12.75" hidden="false" customHeight="false" outlineLevel="0" collapsed="false">
      <c r="A87" s="20" t="s">
        <v>260</v>
      </c>
      <c r="B87" s="19" t="s">
        <v>261</v>
      </c>
      <c r="C87" s="37"/>
      <c r="D87" s="38" t="n">
        <f aca="false">L87/$L$88</f>
        <v>0.0127996288057862</v>
      </c>
      <c r="E87" s="39" t="s">
        <v>78</v>
      </c>
      <c r="F87" s="39" t="s">
        <v>78</v>
      </c>
      <c r="G87" s="48"/>
      <c r="H87" s="39" t="s">
        <v>78</v>
      </c>
      <c r="I87" s="39" t="s">
        <v>78</v>
      </c>
      <c r="J87" s="48"/>
      <c r="K87" s="49" t="s">
        <v>78</v>
      </c>
      <c r="L87" s="40" t="n">
        <f aca="false">7*M87</f>
        <v>8998.5</v>
      </c>
      <c r="M87" s="40" t="n">
        <f aca="false">2571/2</f>
        <v>1285.5</v>
      </c>
      <c r="N87" s="41" t="n">
        <f aca="false">$M87/N$8</f>
        <v>0.934229651162791</v>
      </c>
      <c r="O87" s="41" t="n">
        <f aca="false">$M87/O$8</f>
        <v>0.740495391705069</v>
      </c>
      <c r="P87" s="41"/>
      <c r="Q87" s="46" t="n">
        <f aca="false">R87*Q$7</f>
        <v>0</v>
      </c>
      <c r="R87" s="46" t="n">
        <f aca="false">(((1000+500+500+500)*4.33*15)*CMF)/SM134Units</f>
        <v>1363.22294776119</v>
      </c>
      <c r="S87" s="41" t="n">
        <f aca="false">+R87/R$8</f>
        <v>1.13791564921636</v>
      </c>
      <c r="T87" s="40"/>
      <c r="U87" s="46" t="n">
        <f aca="false">V87*U$7</f>
        <v>64071.4785447761</v>
      </c>
      <c r="V87" s="46" t="n">
        <f aca="false">(((1000+500+500+500)*4.33*15)*CMF)/SM134Units</f>
        <v>1363.22294776119</v>
      </c>
      <c r="W87" s="41" t="n">
        <f aca="false">+V87/V$8</f>
        <v>1.5146921641791</v>
      </c>
      <c r="X87" s="40"/>
      <c r="Y87" s="46" t="n">
        <f aca="false">Z87*Y$7</f>
        <v>72250.8162313433</v>
      </c>
      <c r="Z87" s="46" t="n">
        <f aca="false">(((1000+500+500+500)*4.33*15)*CMF)/SM134Units</f>
        <v>1363.22294776119</v>
      </c>
      <c r="AA87" s="41" t="n">
        <f aca="false">+Z87/Z$8</f>
        <v>1.05922528963574</v>
      </c>
      <c r="AB87" s="40"/>
      <c r="AC87" s="46" t="n">
        <f aca="false">AD87*AC$7</f>
        <v>46349.5802238806</v>
      </c>
      <c r="AD87" s="46" t="n">
        <f aca="false">(((1000+500+500+500)*4.33*15)*CMF)/SM134Units</f>
        <v>1363.22294776119</v>
      </c>
      <c r="AE87" s="41" t="n">
        <f aca="false">+AD87/AD$8</f>
        <v>0.937567364347451</v>
      </c>
      <c r="AF87" s="41"/>
      <c r="AG87" s="46" t="n">
        <f aca="false">+Y87+U87+Q87+AC87</f>
        <v>182671.875</v>
      </c>
      <c r="AH87" s="23" t="n">
        <f aca="false">+AG87/AG$7</f>
        <v>1363.22294776119</v>
      </c>
      <c r="AI87" s="41" t="n">
        <f aca="false">+AH87/AH$8</f>
        <v>1.14172776194405</v>
      </c>
      <c r="AJ87" s="40"/>
      <c r="AK87" s="43"/>
      <c r="AM87" s="40"/>
      <c r="AO87" s="21" t="n">
        <f aca="false">0.5*AO78/12</f>
        <v>4088.76851722575</v>
      </c>
      <c r="AQ87" s="40"/>
    </row>
    <row r="88" customFormat="false" ht="12.75" hidden="false" customHeight="false" outlineLevel="0" collapsed="false">
      <c r="A88" s="68"/>
      <c r="B88" s="69" t="s">
        <v>262</v>
      </c>
      <c r="C88" s="69"/>
      <c r="D88" s="70" t="n">
        <f aca="false">SUM(D9:D87)</f>
        <v>1</v>
      </c>
      <c r="E88" s="71" t="s">
        <v>263</v>
      </c>
      <c r="F88" s="71" t="s">
        <v>263</v>
      </c>
      <c r="G88" s="71"/>
      <c r="H88" s="71" t="s">
        <v>263</v>
      </c>
      <c r="I88" s="71" t="s">
        <v>263</v>
      </c>
      <c r="J88" s="71"/>
      <c r="K88" s="71"/>
      <c r="L88" s="72" t="n">
        <f aca="false">+SUM(L9:L87)</f>
        <v>703028.2</v>
      </c>
      <c r="M88" s="72" t="n">
        <f aca="false">+SUM(M9:M87)</f>
        <v>60898.05</v>
      </c>
      <c r="N88" s="98" t="n">
        <f aca="false">$M88/N$8</f>
        <v>44.2573037790698</v>
      </c>
      <c r="O88" s="99" t="n">
        <f aca="false">$M88/O$8</f>
        <v>35.0795218894009</v>
      </c>
      <c r="P88" s="73"/>
      <c r="Q88" s="74" t="n">
        <f aca="false">+SUM(Q9:Q87)</f>
        <v>0</v>
      </c>
      <c r="R88" s="72" t="n">
        <f aca="false">+SUM(R9:R87)</f>
        <v>64116.4044133524</v>
      </c>
      <c r="S88" s="74" t="n">
        <f aca="false">+R88/R$8</f>
        <v>53.5195362381907</v>
      </c>
      <c r="T88" s="75"/>
      <c r="U88" s="72" t="n">
        <f aca="false">+SUM(U9:U87)</f>
        <v>2814897.77989896</v>
      </c>
      <c r="V88" s="72" t="n">
        <f aca="false">+SUM(V9:V87)</f>
        <v>59891.4421255098</v>
      </c>
      <c r="W88" s="74" t="n">
        <f aca="false">+V88/V$8</f>
        <v>66.546046806122</v>
      </c>
      <c r="X88" s="76"/>
      <c r="Y88" s="72" t="n">
        <f aca="false">+SUM(Y9:Y87)</f>
        <v>3826324.7719143</v>
      </c>
      <c r="Z88" s="72" t="n">
        <f aca="false">+SUM(Z9:Z87)</f>
        <v>72194.8070172509</v>
      </c>
      <c r="AA88" s="74" t="n">
        <f aca="false">+Z88/Z$8</f>
        <v>56.0954211478251</v>
      </c>
      <c r="AB88" s="76"/>
      <c r="AC88" s="72" t="n">
        <f aca="false">+SUM(AC9:AC87)</f>
        <v>2630091.49018293</v>
      </c>
      <c r="AD88" s="72" t="n">
        <f aca="false">+SUM(AD9:AD87)</f>
        <v>77355.6320642038</v>
      </c>
      <c r="AE88" s="74" t="n">
        <f aca="false">+AD88/AD$8</f>
        <v>53.2019477745555</v>
      </c>
      <c r="AF88" s="74"/>
      <c r="AG88" s="77" t="n">
        <f aca="false">+SUM(AG9:AG87)</f>
        <v>9271314.04199619</v>
      </c>
      <c r="AH88" s="72" t="n">
        <f aca="false">+SUM(AH9:AH87)</f>
        <v>69188.9107611656</v>
      </c>
      <c r="AI88" s="74" t="n">
        <f aca="false">+AH88/AH$8</f>
        <v>57.9471614415122</v>
      </c>
      <c r="AJ88" s="78"/>
      <c r="AK88" s="79"/>
      <c r="AO88" s="21" t="n">
        <f aca="false">+AO87+AO86</f>
        <v>11234.3685172257</v>
      </c>
    </row>
    <row r="89" customFormat="false" ht="12.75" hidden="false" customHeight="false" outlineLevel="0" collapsed="false">
      <c r="L89" s="45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3"/>
    </row>
    <row r="90" customFormat="false" ht="12" hidden="false" customHeight="false" outlineLevel="0" collapsed="false">
      <c r="M90" s="3" t="s">
        <v>264</v>
      </c>
      <c r="N90" s="3" t="s">
        <v>265</v>
      </c>
    </row>
    <row r="91" customFormat="false" ht="12" hidden="false" customHeight="false" outlineLevel="0" collapsed="false">
      <c r="B91" s="19" t="s">
        <v>35</v>
      </c>
      <c r="L91" s="21" t="s">
        <v>310</v>
      </c>
      <c r="M91" s="21" t="n">
        <f aca="false">10.3*43560*2.5</f>
        <v>1121670</v>
      </c>
      <c r="N91" s="21" t="n">
        <f aca="false">M91/10.3</f>
        <v>108900</v>
      </c>
      <c r="Q91" s="80" t="n">
        <f aca="false">R91*Q$7</f>
        <v>0</v>
      </c>
      <c r="R91" s="80" t="n">
        <f aca="false">+$M91/SM134Units</f>
        <v>8370.67164179105</v>
      </c>
      <c r="S91" s="12" t="n">
        <f aca="false">+R91/R$8</f>
        <v>6.98720504323126</v>
      </c>
      <c r="U91" s="80" t="n">
        <f aca="false">V91*U$7</f>
        <v>393421.567164179</v>
      </c>
      <c r="V91" s="80" t="n">
        <f aca="false">+$M91/SM134Units</f>
        <v>8370.67164179105</v>
      </c>
      <c r="W91" s="12" t="n">
        <f aca="false">+V91/V$8</f>
        <v>9.30074626865672</v>
      </c>
      <c r="Y91" s="80" t="n">
        <f aca="false">Z91*Y$7</f>
        <v>443645.597014925</v>
      </c>
      <c r="Z91" s="80" t="n">
        <f aca="false">+$M91/SM134Units</f>
        <v>8370.67164179105</v>
      </c>
      <c r="AA91" s="12" t="n">
        <f aca="false">+Z91/Z$8</f>
        <v>6.50401836969001</v>
      </c>
      <c r="AC91" s="80" t="n">
        <f aca="false">AD91*AC$7</f>
        <v>284602.835820896</v>
      </c>
      <c r="AD91" s="80" t="n">
        <f aca="false">+$M91/SM134Units</f>
        <v>8370.67164179105</v>
      </c>
      <c r="AE91" s="12" t="n">
        <f aca="false">+AD91/AD$8</f>
        <v>5.7569956270915</v>
      </c>
      <c r="AF91" s="12"/>
      <c r="AG91" s="80" t="n">
        <f aca="false">+Y91+U91+Q91</f>
        <v>837067.164179105</v>
      </c>
      <c r="AH91" s="80" t="n">
        <f aca="false">+AG91/AG$7</f>
        <v>6246.76988193362</v>
      </c>
      <c r="AI91" s="12" t="n">
        <f aca="false">+AH91/AH$8</f>
        <v>5.23180057113368</v>
      </c>
    </row>
    <row r="92" customFormat="false" ht="12" hidden="false" customHeight="false" outlineLevel="0" collapsed="false">
      <c r="B92" s="19" t="s">
        <v>311</v>
      </c>
      <c r="Q92" s="80"/>
      <c r="R92" s="80"/>
      <c r="S92" s="12"/>
      <c r="U92" s="80"/>
      <c r="V92" s="80"/>
      <c r="W92" s="12"/>
      <c r="Y92" s="80"/>
      <c r="Z92" s="80"/>
      <c r="AA92" s="12"/>
      <c r="AC92" s="80"/>
      <c r="AD92" s="80"/>
      <c r="AE92" s="12"/>
      <c r="AF92" s="12"/>
      <c r="AG92" s="80"/>
      <c r="AH92" s="80"/>
      <c r="AI92" s="12"/>
    </row>
    <row r="93" customFormat="false" ht="12" hidden="false" customHeight="false" outlineLevel="0" collapsed="false">
      <c r="B93" s="61" t="s">
        <v>36</v>
      </c>
      <c r="Q93" s="46"/>
      <c r="S93" s="41"/>
    </row>
    <row r="94" customFormat="false" ht="12" hidden="false" customHeight="false" outlineLevel="0" collapsed="false">
      <c r="B94" s="21" t="s">
        <v>266</v>
      </c>
      <c r="L94" s="21" t="s">
        <v>312</v>
      </c>
      <c r="M94" s="21" t="n">
        <f aca="false">+L150*2*CMF</f>
        <v>294300</v>
      </c>
      <c r="N94" s="21" t="n">
        <f aca="false">M94/10.3</f>
        <v>28572.8155339806</v>
      </c>
      <c r="Q94" s="46" t="n">
        <f aca="false">R94*Q$7</f>
        <v>0</v>
      </c>
      <c r="R94" s="21" t="n">
        <f aca="false">+$M94/SM134Units</f>
        <v>2196.26865671642</v>
      </c>
      <c r="S94" s="12" t="n">
        <f aca="false">+R94/R$8</f>
        <v>1.83327934617397</v>
      </c>
      <c r="U94" s="80" t="n">
        <f aca="false">V94*U$7</f>
        <v>103224.626865672</v>
      </c>
      <c r="V94" s="21" t="n">
        <f aca="false">+$M94/SM134Units</f>
        <v>2196.26865671642</v>
      </c>
      <c r="W94" s="12" t="n">
        <f aca="false">+V94/V$8</f>
        <v>2.44029850746269</v>
      </c>
      <c r="Y94" s="80" t="n">
        <f aca="false">Z94*Y$7</f>
        <v>116402.23880597</v>
      </c>
      <c r="Z94" s="21" t="n">
        <f aca="false">+$M94/SM134Units</f>
        <v>2196.26865671642</v>
      </c>
      <c r="AA94" s="12" t="n">
        <f aca="false">+Z94/Z$8</f>
        <v>1.70650245277111</v>
      </c>
      <c r="AC94" s="80" t="n">
        <f aca="false">AD94*AC$7</f>
        <v>74673.1343283582</v>
      </c>
      <c r="AD94" s="21" t="n">
        <f aca="false">+$M94/SM134Units</f>
        <v>2196.26865671642</v>
      </c>
      <c r="AE94" s="12" t="n">
        <f aca="false">+AD94/AD$8</f>
        <v>1.51050113941982</v>
      </c>
      <c r="AF94" s="12"/>
      <c r="AG94" s="80" t="n">
        <f aca="false">+Y94+U94+Q94</f>
        <v>219626.865671642</v>
      </c>
      <c r="AH94" s="80" t="n">
        <f aca="false">+AG94/AG$7</f>
        <v>1639.00646023613</v>
      </c>
      <c r="AI94" s="12" t="n">
        <f aca="false">+AH94/AH$8</f>
        <v>1.37270222800346</v>
      </c>
    </row>
    <row r="95" customFormat="false" ht="12" hidden="false" customHeight="false" outlineLevel="0" collapsed="false">
      <c r="B95" s="21" t="s">
        <v>267</v>
      </c>
      <c r="L95" s="21" t="s">
        <v>313</v>
      </c>
      <c r="M95" s="21" t="n">
        <f aca="false">+L152*8*CMF</f>
        <v>41202</v>
      </c>
      <c r="N95" s="21" t="n">
        <f aca="false">M95/10.3</f>
        <v>4000.19417475728</v>
      </c>
      <c r="Q95" s="46" t="n">
        <f aca="false">R95*Q$7</f>
        <v>0</v>
      </c>
      <c r="R95" s="21" t="n">
        <f aca="false">+$M95/SM134Units</f>
        <v>307.477611940299</v>
      </c>
      <c r="S95" s="41" t="n">
        <f aca="false">+R95/R$8</f>
        <v>0.256659108464356</v>
      </c>
      <c r="U95" s="46" t="n">
        <f aca="false">V95*U$7</f>
        <v>14451.447761194</v>
      </c>
      <c r="V95" s="21" t="n">
        <f aca="false">+$M95/SM134Units</f>
        <v>307.477611940299</v>
      </c>
      <c r="W95" s="41" t="n">
        <f aca="false">+V95/V$8</f>
        <v>0.341641791044776</v>
      </c>
      <c r="Y95" s="46" t="n">
        <f aca="false">Z95*Y$7</f>
        <v>16296.3134328358</v>
      </c>
      <c r="Z95" s="21" t="n">
        <f aca="false">+$M95/SM134Units</f>
        <v>307.477611940299</v>
      </c>
      <c r="AA95" s="41" t="n">
        <f aca="false">+Z95/Z$8</f>
        <v>0.238910343387955</v>
      </c>
      <c r="AC95" s="46" t="n">
        <f aca="false">AD95*AC$7</f>
        <v>10454.2388059702</v>
      </c>
      <c r="AD95" s="21" t="n">
        <f aca="false">+$M95/SM134Units</f>
        <v>307.477611940299</v>
      </c>
      <c r="AE95" s="41" t="n">
        <f aca="false">+AD95/AD$8</f>
        <v>0.211470159518775</v>
      </c>
      <c r="AF95" s="41"/>
      <c r="AG95" s="40" t="n">
        <f aca="false">+Y95+U95+Q95</f>
        <v>30747.7611940299</v>
      </c>
      <c r="AH95" s="23" t="n">
        <f aca="false">+AG95/AG$7</f>
        <v>229.460904433059</v>
      </c>
      <c r="AI95" s="41" t="n">
        <f aca="false">+AH95/AH$8</f>
        <v>0.192178311920485</v>
      </c>
    </row>
    <row r="96" customFormat="false" ht="12" hidden="false" customHeight="false" outlineLevel="0" collapsed="false">
      <c r="B96" s="21" t="s">
        <v>268</v>
      </c>
      <c r="L96" s="21" t="s">
        <v>314</v>
      </c>
      <c r="M96" s="21" t="n">
        <f aca="false">L150*0.5*CMF</f>
        <v>73575</v>
      </c>
      <c r="N96" s="21" t="n">
        <f aca="false">M96/10.3</f>
        <v>7143.20388349515</v>
      </c>
      <c r="Q96" s="46" t="n">
        <f aca="false">R96*Q$7</f>
        <v>0</v>
      </c>
      <c r="R96" s="21" t="n">
        <f aca="false">+$M96/SM134Units</f>
        <v>549.067164179105</v>
      </c>
      <c r="S96" s="41" t="n">
        <f aca="false">+R96/R$8</f>
        <v>0.458319836543493</v>
      </c>
      <c r="U96" s="46" t="n">
        <f aca="false">V96*U$7</f>
        <v>25806.1567164179</v>
      </c>
      <c r="V96" s="21" t="n">
        <f aca="false">+$M96/SM134Units</f>
        <v>549.067164179105</v>
      </c>
      <c r="W96" s="41" t="n">
        <f aca="false">+V96/V$8</f>
        <v>0.610074626865672</v>
      </c>
      <c r="Y96" s="46" t="n">
        <f aca="false">Z96*Y$7</f>
        <v>29100.5597014925</v>
      </c>
      <c r="Z96" s="21" t="n">
        <f aca="false">+$M96/SM134Units</f>
        <v>549.067164179105</v>
      </c>
      <c r="AA96" s="41" t="n">
        <f aca="false">+Z96/Z$8</f>
        <v>0.426625613192777</v>
      </c>
      <c r="AC96" s="46" t="n">
        <f aca="false">AD96*AC$7</f>
        <v>18668.2835820896</v>
      </c>
      <c r="AD96" s="21" t="n">
        <f aca="false">+$M96/SM134Units</f>
        <v>549.067164179105</v>
      </c>
      <c r="AE96" s="41" t="n">
        <f aca="false">+AD96/AD$8</f>
        <v>0.377625284854955</v>
      </c>
      <c r="AF96" s="41"/>
      <c r="AG96" s="40" t="n">
        <f aca="false">+Y96+U96+Q96</f>
        <v>54906.7164179104</v>
      </c>
      <c r="AH96" s="23" t="n">
        <f aca="false">+AG96/AG$7</f>
        <v>409.751615059033</v>
      </c>
      <c r="AI96" s="41" t="n">
        <f aca="false">+AH96/AH$8</f>
        <v>0.343175557000865</v>
      </c>
    </row>
    <row r="97" customFormat="false" ht="12" hidden="false" customHeight="false" outlineLevel="0" collapsed="false">
      <c r="B97" s="21" t="s">
        <v>24</v>
      </c>
      <c r="L97" s="21" t="s">
        <v>315</v>
      </c>
      <c r="M97" s="21" t="n">
        <f aca="false">545*4*35*CMF</f>
        <v>85837.5</v>
      </c>
      <c r="N97" s="21" t="n">
        <f aca="false">M97/10.3</f>
        <v>8333.73786407767</v>
      </c>
      <c r="Q97" s="46" t="n">
        <f aca="false">R97*Q$7</f>
        <v>0</v>
      </c>
      <c r="R97" s="21" t="n">
        <f aca="false">+$M97/SM134Units</f>
        <v>640.578358208955</v>
      </c>
      <c r="S97" s="41" t="n">
        <f aca="false">+R97/R$8</f>
        <v>0.534706475967408</v>
      </c>
      <c r="U97" s="46" t="n">
        <f aca="false">V97*U$7</f>
        <v>30107.1828358209</v>
      </c>
      <c r="V97" s="21" t="n">
        <f aca="false">+$M97/SM134Units</f>
        <v>640.578358208955</v>
      </c>
      <c r="W97" s="41" t="n">
        <f aca="false">+V97/V$8</f>
        <v>0.711753731343284</v>
      </c>
      <c r="Y97" s="46" t="n">
        <f aca="false">Z97*Y$7</f>
        <v>33950.6529850746</v>
      </c>
      <c r="Z97" s="21" t="n">
        <f aca="false">+$M97/SM134Units</f>
        <v>640.578358208955</v>
      </c>
      <c r="AA97" s="41" t="n">
        <f aca="false">+Z97/Z$8</f>
        <v>0.49772988205824</v>
      </c>
      <c r="AC97" s="46" t="n">
        <f aca="false">AD97*AC$7</f>
        <v>21779.6641791045</v>
      </c>
      <c r="AD97" s="21" t="n">
        <f aca="false">+$M97/SM134Units</f>
        <v>640.578358208955</v>
      </c>
      <c r="AE97" s="41" t="n">
        <f aca="false">+AD97/AD$8</f>
        <v>0.440562832330781</v>
      </c>
      <c r="AF97" s="41"/>
      <c r="AG97" s="40" t="n">
        <f aca="false">+Y97+U97+Q97</f>
        <v>64057.8358208955</v>
      </c>
      <c r="AH97" s="23" t="n">
        <f aca="false">+AG97/AG$7</f>
        <v>478.043550902205</v>
      </c>
      <c r="AI97" s="41" t="n">
        <f aca="false">+AH97/AH$8</f>
        <v>0.400371483167676</v>
      </c>
    </row>
    <row r="98" customFormat="false" ht="12" hidden="false" customHeight="false" outlineLevel="0" collapsed="false">
      <c r="B98" s="21" t="s">
        <v>316</v>
      </c>
      <c r="L98" s="21" t="s">
        <v>310</v>
      </c>
      <c r="M98" s="21" t="n">
        <f aca="false">N144*2.5*CMF</f>
        <v>396513.799677024</v>
      </c>
      <c r="N98" s="21" t="n">
        <f aca="false">M98/10.3</f>
        <v>38496.4854055363</v>
      </c>
      <c r="Q98" s="46" t="n">
        <f aca="false">R98*Q$7</f>
        <v>0</v>
      </c>
      <c r="R98" s="21" t="n">
        <f aca="false">+$M98/SM134Units</f>
        <v>2959.05820654496</v>
      </c>
      <c r="S98" s="41" t="n">
        <f aca="false">+R98/R$8</f>
        <v>2.46999850295906</v>
      </c>
      <c r="U98" s="46" t="n">
        <f aca="false">V98*U$7</f>
        <v>139075.735707613</v>
      </c>
      <c r="V98" s="21" t="n">
        <f aca="false">+$M98/SM134Units</f>
        <v>2959.05820654496</v>
      </c>
      <c r="W98" s="41" t="n">
        <f aca="false">+V98/V$8</f>
        <v>3.28784245171662</v>
      </c>
      <c r="Y98" s="46" t="n">
        <f aca="false">Z98*Y$7</f>
        <v>156830.084946883</v>
      </c>
      <c r="Z98" s="21" t="n">
        <f aca="false">+$M98/SM134Units</f>
        <v>2959.05820654496</v>
      </c>
      <c r="AA98" s="41" t="n">
        <f aca="false">+Z98/Z$8</f>
        <v>2.29919052567596</v>
      </c>
      <c r="AC98" s="46" t="n">
        <f aca="false">AD98*AC$7</f>
        <v>100607.979022529</v>
      </c>
      <c r="AD98" s="21" t="n">
        <f aca="false">+$M98/SM134Units</f>
        <v>2959.05820654496</v>
      </c>
      <c r="AE98" s="41" t="n">
        <f aca="false">+AD98/AD$8</f>
        <v>2.03511568538168</v>
      </c>
      <c r="AF98" s="41"/>
      <c r="AG98" s="40" t="n">
        <f aca="false">+Y98+U98+Q98</f>
        <v>295905.820654496</v>
      </c>
      <c r="AH98" s="23" t="n">
        <f aca="false">+AG98/AG$7</f>
        <v>2208.252392944</v>
      </c>
      <c r="AI98" s="41" t="n">
        <f aca="false">+AH98/AH$8</f>
        <v>1.84945761553099</v>
      </c>
    </row>
    <row r="99" customFormat="false" ht="12" hidden="false" customHeight="false" outlineLevel="0" collapsed="false">
      <c r="B99" s="21" t="s">
        <v>270</v>
      </c>
      <c r="L99" s="21" t="s">
        <v>317</v>
      </c>
      <c r="M99" s="21" t="n">
        <f aca="false">+L161*CMF</f>
        <v>11250</v>
      </c>
      <c r="N99" s="21" t="n">
        <f aca="false">M99/10.3</f>
        <v>1092.23300970874</v>
      </c>
      <c r="Q99" s="46" t="n">
        <f aca="false">R99*Q$7</f>
        <v>0</v>
      </c>
      <c r="R99" s="21" t="n">
        <f aca="false">+$M99/SM134Units</f>
        <v>83.955223880597</v>
      </c>
      <c r="S99" s="41" t="n">
        <f aca="false">+R99/R$8</f>
        <v>0.0700794857100142</v>
      </c>
      <c r="U99" s="46" t="n">
        <f aca="false">V99*U$7</f>
        <v>3945.89552238806</v>
      </c>
      <c r="V99" s="21" t="n">
        <f aca="false">+$M99/SM134Units</f>
        <v>83.955223880597</v>
      </c>
      <c r="W99" s="41" t="n">
        <f aca="false">+V99/V$8</f>
        <v>0.0932835820895522</v>
      </c>
      <c r="Y99" s="46" t="n">
        <f aca="false">Z99*Y$7</f>
        <v>4449.62686567164</v>
      </c>
      <c r="Z99" s="21" t="n">
        <f aca="false">+$M99/SM134Units</f>
        <v>83.955223880597</v>
      </c>
      <c r="AA99" s="41" t="n">
        <f aca="false">+Z99/Z$8</f>
        <v>0.0652332741884981</v>
      </c>
      <c r="AC99" s="46" t="n">
        <f aca="false">AD99*AC$7</f>
        <v>2854.4776119403</v>
      </c>
      <c r="AD99" s="21" t="n">
        <f aca="false">+$M99/SM134Units</f>
        <v>83.955223880597</v>
      </c>
      <c r="AE99" s="41" t="n">
        <f aca="false">+AD99/AD$8</f>
        <v>0.0577408692438769</v>
      </c>
      <c r="AF99" s="41"/>
      <c r="AG99" s="40" t="n">
        <f aca="false">+Y99+U99+Q99</f>
        <v>8395.5223880597</v>
      </c>
      <c r="AH99" s="23" t="n">
        <f aca="false">+AG99/AG$7</f>
        <v>62.6531521496993</v>
      </c>
      <c r="AI99" s="41" t="n">
        <f aca="false">+AH99/AH$8</f>
        <v>0.0524733267585421</v>
      </c>
    </row>
    <row r="100" customFormat="false" ht="12" hidden="false" customHeight="false" outlineLevel="0" collapsed="false">
      <c r="B100" s="21" t="s">
        <v>271</v>
      </c>
      <c r="L100" s="21" t="s">
        <v>315</v>
      </c>
      <c r="M100" s="21" t="n">
        <f aca="false">+L164*CMF</f>
        <v>35437.5</v>
      </c>
      <c r="N100" s="21" t="n">
        <f aca="false">M100/10.3</f>
        <v>3440.53398058252</v>
      </c>
      <c r="Q100" s="46" t="n">
        <f aca="false">R100*Q$7</f>
        <v>0</v>
      </c>
      <c r="R100" s="21" t="n">
        <f aca="false">+$M100/SM134Units</f>
        <v>264.458955223881</v>
      </c>
      <c r="S100" s="41" t="n">
        <f aca="false">+R100/R$8</f>
        <v>0.220750379986545</v>
      </c>
      <c r="U100" s="46" t="n">
        <f aca="false">V100*U$7</f>
        <v>12429.5708955224</v>
      </c>
      <c r="V100" s="21" t="n">
        <f aca="false">+$M100/SM134Units</f>
        <v>264.458955223881</v>
      </c>
      <c r="W100" s="41" t="n">
        <f aca="false">+V100/V$8</f>
        <v>0.29384328358209</v>
      </c>
      <c r="Y100" s="46" t="n">
        <f aca="false">Z100*Y$7</f>
        <v>14016.3246268657</v>
      </c>
      <c r="Z100" s="21" t="n">
        <f aca="false">+$M100/SM134Units</f>
        <v>264.458955223881</v>
      </c>
      <c r="AA100" s="41" t="n">
        <f aca="false">+Z100/Z$8</f>
        <v>0.205484813693769</v>
      </c>
      <c r="AC100" s="46" t="n">
        <f aca="false">AD100*AC$7</f>
        <v>8991.60447761194</v>
      </c>
      <c r="AD100" s="21" t="n">
        <f aca="false">+$M100/SM134Units</f>
        <v>264.458955223881</v>
      </c>
      <c r="AE100" s="41" t="n">
        <f aca="false">+AD100/AD$8</f>
        <v>0.181883738118212</v>
      </c>
      <c r="AF100" s="41"/>
      <c r="AG100" s="40" t="n">
        <f aca="false">+Y100+U100+Q100</f>
        <v>26445.8955223881</v>
      </c>
      <c r="AH100" s="23" t="n">
        <f aca="false">+AG100/AG$7</f>
        <v>197.357429271553</v>
      </c>
      <c r="AI100" s="41" t="n">
        <f aca="false">+AH100/AH$8</f>
        <v>0.165290979289408</v>
      </c>
    </row>
    <row r="101" customFormat="false" ht="12" hidden="false" customHeight="false" outlineLevel="0" collapsed="false">
      <c r="B101" s="21" t="s">
        <v>272</v>
      </c>
      <c r="L101" s="7" t="n">
        <v>25000</v>
      </c>
      <c r="M101" s="21" t="n">
        <f aca="false">+L160*CMF</f>
        <v>28125</v>
      </c>
      <c r="N101" s="21" t="n">
        <f aca="false">M101/10.3</f>
        <v>2730.58252427184</v>
      </c>
      <c r="Q101" s="46" t="n">
        <f aca="false">R101*Q$7</f>
        <v>0</v>
      </c>
      <c r="R101" s="21" t="n">
        <f aca="false">+$M101/SM134Units</f>
        <v>209.888059701493</v>
      </c>
      <c r="S101" s="41" t="n">
        <f aca="false">+R101/R$8</f>
        <v>0.175198714275036</v>
      </c>
      <c r="U101" s="46" t="n">
        <f aca="false">V101*U$7</f>
        <v>9864.73880597015</v>
      </c>
      <c r="V101" s="21" t="n">
        <f aca="false">+$M101/SM134Units</f>
        <v>209.888059701493</v>
      </c>
      <c r="W101" s="41" t="n">
        <f aca="false">+V101/V$8</f>
        <v>0.233208955223881</v>
      </c>
      <c r="Y101" s="46" t="n">
        <f aca="false">Z101*Y$7</f>
        <v>11124.0671641791</v>
      </c>
      <c r="Z101" s="21" t="n">
        <f aca="false">+$M101/SM134Units</f>
        <v>209.888059701493</v>
      </c>
      <c r="AA101" s="41" t="n">
        <f aca="false">+Z101/Z$8</f>
        <v>0.163083185471245</v>
      </c>
      <c r="AC101" s="46" t="n">
        <f aca="false">AD101*AC$7</f>
        <v>7136.19402985075</v>
      </c>
      <c r="AD101" s="21" t="n">
        <f aca="false">+$M101/SM134Units</f>
        <v>209.888059701493</v>
      </c>
      <c r="AE101" s="41" t="n">
        <f aca="false">+AD101/AD$8</f>
        <v>0.144352173109692</v>
      </c>
      <c r="AF101" s="41"/>
      <c r="AG101" s="40" t="n">
        <f aca="false">+Y101+U101+Q101</f>
        <v>20988.8059701493</v>
      </c>
      <c r="AH101" s="23" t="n">
        <f aca="false">+AG101/AG$7</f>
        <v>156.632880374248</v>
      </c>
      <c r="AI101" s="41" t="n">
        <f aca="false">+AH101/AH$8</f>
        <v>0.131183316896355</v>
      </c>
    </row>
    <row r="102" customFormat="false" ht="12" hidden="false" customHeight="false" outlineLevel="0" collapsed="false">
      <c r="B102" s="21" t="s">
        <v>273</v>
      </c>
      <c r="L102" s="7" t="n">
        <v>15000</v>
      </c>
      <c r="M102" s="21" t="n">
        <f aca="false">+L163*CMF</f>
        <v>16875</v>
      </c>
      <c r="N102" s="21" t="n">
        <f aca="false">M102/10.3</f>
        <v>1638.34951456311</v>
      </c>
      <c r="Q102" s="46" t="n">
        <f aca="false">R102*Q$7</f>
        <v>0</v>
      </c>
      <c r="R102" s="21" t="n">
        <f aca="false">+$M102/SM134Units</f>
        <v>125.932835820896</v>
      </c>
      <c r="S102" s="41" t="n">
        <f aca="false">+R102/R$8</f>
        <v>0.105119228565021</v>
      </c>
      <c r="U102" s="46" t="n">
        <f aca="false">V102*U$7</f>
        <v>5918.84328358209</v>
      </c>
      <c r="V102" s="21" t="n">
        <f aca="false">+$M102/SM134Units</f>
        <v>125.932835820896</v>
      </c>
      <c r="W102" s="41" t="n">
        <f aca="false">+V102/V$8</f>
        <v>0.139925373134328</v>
      </c>
      <c r="Y102" s="46" t="n">
        <f aca="false">Z102*Y$7</f>
        <v>6674.44029850746</v>
      </c>
      <c r="Z102" s="21" t="n">
        <f aca="false">+$M102/SM134Units</f>
        <v>125.932835820896</v>
      </c>
      <c r="AA102" s="41" t="n">
        <f aca="false">+Z102/Z$8</f>
        <v>0.0978499112827471</v>
      </c>
      <c r="AC102" s="46" t="n">
        <f aca="false">AD102*AC$7</f>
        <v>4281.71641791045</v>
      </c>
      <c r="AD102" s="21" t="n">
        <f aca="false">+$M102/SM134Units</f>
        <v>125.932835820896</v>
      </c>
      <c r="AE102" s="41" t="n">
        <f aca="false">+AD102/AD$8</f>
        <v>0.0866113038658154</v>
      </c>
      <c r="AF102" s="41"/>
      <c r="AG102" s="40" t="n">
        <f aca="false">+Y102+U102+Q102</f>
        <v>12593.2835820896</v>
      </c>
      <c r="AH102" s="23" t="n">
        <f aca="false">+AG102/AG$7</f>
        <v>93.9797282245489</v>
      </c>
      <c r="AI102" s="41" t="n">
        <f aca="false">+AH102/AH$8</f>
        <v>0.0787099901378131</v>
      </c>
    </row>
    <row r="103" customFormat="false" ht="12" hidden="false" customHeight="false" outlineLevel="0" collapsed="false">
      <c r="B103" s="21" t="s">
        <v>274</v>
      </c>
      <c r="L103" s="7" t="n">
        <v>15000</v>
      </c>
      <c r="M103" s="21" t="n">
        <f aca="false">15000*CMF</f>
        <v>16875</v>
      </c>
      <c r="N103" s="21" t="n">
        <f aca="false">M103/10.3</f>
        <v>1638.34951456311</v>
      </c>
      <c r="Q103" s="46" t="n">
        <f aca="false">R103*Q$7</f>
        <v>0</v>
      </c>
      <c r="R103" s="21" t="n">
        <f aca="false">+$M103/SM134Units</f>
        <v>125.932835820896</v>
      </c>
      <c r="S103" s="41" t="n">
        <f aca="false">+R103/R$8</f>
        <v>0.105119228565021</v>
      </c>
      <c r="U103" s="46" t="n">
        <f aca="false">V103*U$7</f>
        <v>5918.84328358209</v>
      </c>
      <c r="V103" s="21" t="n">
        <f aca="false">+$M103/SM134Units</f>
        <v>125.932835820896</v>
      </c>
      <c r="W103" s="41" t="n">
        <f aca="false">+V103/V$8</f>
        <v>0.139925373134328</v>
      </c>
      <c r="Y103" s="46" t="n">
        <f aca="false">Z103*Y$7</f>
        <v>6674.44029850746</v>
      </c>
      <c r="Z103" s="21" t="n">
        <f aca="false">+$M103/SM134Units</f>
        <v>125.932835820896</v>
      </c>
      <c r="AA103" s="41" t="n">
        <f aca="false">+Z103/Z$8</f>
        <v>0.0978499112827471</v>
      </c>
      <c r="AC103" s="46" t="n">
        <f aca="false">AD103*AC$7</f>
        <v>4281.71641791045</v>
      </c>
      <c r="AD103" s="21" t="n">
        <f aca="false">+$M103/SM134Units</f>
        <v>125.932835820896</v>
      </c>
      <c r="AE103" s="41" t="n">
        <f aca="false">+AD103/AD$8</f>
        <v>0.0866113038658154</v>
      </c>
      <c r="AF103" s="41"/>
      <c r="AG103" s="40" t="n">
        <f aca="false">+Y103+U103+Q103</f>
        <v>12593.2835820896</v>
      </c>
      <c r="AH103" s="23" t="n">
        <f aca="false">+AG103/AG$7</f>
        <v>93.9797282245489</v>
      </c>
      <c r="AI103" s="41" t="n">
        <f aca="false">+AH103/AH$8</f>
        <v>0.0787099901378131</v>
      </c>
    </row>
    <row r="104" customFormat="false" ht="12" hidden="false" customHeight="false" outlineLevel="0" collapsed="false">
      <c r="B104" s="81" t="s">
        <v>275</v>
      </c>
      <c r="C104" s="81"/>
      <c r="D104" s="81"/>
      <c r="E104" s="81"/>
      <c r="F104" s="81"/>
      <c r="G104" s="81"/>
      <c r="H104" s="81"/>
      <c r="I104" s="81"/>
      <c r="J104" s="81"/>
      <c r="K104" s="81"/>
      <c r="M104" s="81" t="n">
        <f aca="false">SUM(M94:M102)</f>
        <v>983115.799677024</v>
      </c>
      <c r="N104" s="81" t="n">
        <f aca="false">SUM(N94:N102)</f>
        <v>95448.1358909732</v>
      </c>
      <c r="Q104" s="82" t="n">
        <f aca="false">SUM(Q94:Q103)</f>
        <v>0</v>
      </c>
      <c r="R104" s="82" t="n">
        <f aca="false">SUM(R94:R103)</f>
        <v>7462.6179080375</v>
      </c>
      <c r="S104" s="83" t="n">
        <f aca="false">SUM(S94:S103)</f>
        <v>6.22923030720993</v>
      </c>
      <c r="U104" s="82" t="n">
        <f aca="false">SUM(U94:U103)</f>
        <v>350743.041677762</v>
      </c>
      <c r="V104" s="82" t="n">
        <f aca="false">SUM(V94:V103)</f>
        <v>7462.6179080375</v>
      </c>
      <c r="W104" s="83" t="n">
        <f aca="false">SUM(W94:W103)</f>
        <v>8.29179767559722</v>
      </c>
      <c r="Y104" s="82" t="n">
        <f aca="false">SUM(Y94:Y103)</f>
        <v>395518.749125987</v>
      </c>
      <c r="Z104" s="82" t="n">
        <f aca="false">SUM(Z94:Z103)</f>
        <v>7462.6179080375</v>
      </c>
      <c r="AA104" s="83" t="n">
        <f aca="false">SUM(AA94:AA103)</f>
        <v>5.79845991300505</v>
      </c>
      <c r="AC104" s="82" t="n">
        <f aca="false">SUM(AC94:AC103)</f>
        <v>253729.008873275</v>
      </c>
      <c r="AD104" s="82" t="n">
        <f aca="false">SUM(AD94:AD103)</f>
        <v>7462.6179080375</v>
      </c>
      <c r="AE104" s="83" t="n">
        <f aca="false">SUM(AE94:AE103)</f>
        <v>5.13247448970942</v>
      </c>
      <c r="AF104" s="83"/>
      <c r="AG104" s="82" t="n">
        <f aca="false">SUM(AG94:AG103)</f>
        <v>746261.79080375</v>
      </c>
      <c r="AH104" s="82" t="n">
        <f aca="false">SUM(AH94:AH103)</f>
        <v>5569.11784181903</v>
      </c>
      <c r="AI104" s="83" t="n">
        <f aca="false">SUM(AI94:AI103)</f>
        <v>4.66425279884341</v>
      </c>
    </row>
    <row r="105" customFormat="false" ht="12" hidden="false" customHeight="false" outlineLevel="0" collapsed="false">
      <c r="Q105" s="46"/>
      <c r="S105" s="41"/>
      <c r="V105" s="21" t="n">
        <f aca="false">+$M105/SM134Units</f>
        <v>0</v>
      </c>
      <c r="Z105" s="21" t="n">
        <f aca="false">+$M105/SM134Units</f>
        <v>0</v>
      </c>
      <c r="AD105" s="21" t="n">
        <f aca="false">+$M105/SM134Units</f>
        <v>0</v>
      </c>
    </row>
    <row r="106" customFormat="false" ht="12.75" hidden="false" customHeight="false" outlineLevel="0" collapsed="false">
      <c r="B106" s="61" t="s">
        <v>276</v>
      </c>
      <c r="Q106" s="46"/>
      <c r="S106" s="41"/>
      <c r="V106" s="21" t="n">
        <f aca="false">+$M106/SM134Units</f>
        <v>0</v>
      </c>
      <c r="Z106" s="21" t="n">
        <f aca="false">+$M106/SM134Units</f>
        <v>0</v>
      </c>
      <c r="AD106" s="21" t="n">
        <f aca="false">+$M106/SM134Units</f>
        <v>0</v>
      </c>
      <c r="AG106" s="9"/>
    </row>
    <row r="107" customFormat="false" ht="12" hidden="false" customHeight="false" outlineLevel="0" collapsed="false">
      <c r="B107" s="21" t="s">
        <v>277</v>
      </c>
      <c r="L107" s="7" t="n">
        <v>75000</v>
      </c>
      <c r="M107" s="21" t="n">
        <f aca="false">75000*CMF</f>
        <v>84375</v>
      </c>
      <c r="N107" s="21" t="n">
        <f aca="false">M107/10.3</f>
        <v>8191.74757281553</v>
      </c>
      <c r="Q107" s="80" t="n">
        <f aca="false">R107*Q$7</f>
        <v>0</v>
      </c>
      <c r="R107" s="80" t="n">
        <f aca="false">+$M107/SM134Units</f>
        <v>629.664179104478</v>
      </c>
      <c r="S107" s="12" t="n">
        <f aca="false">+R107/R$8</f>
        <v>0.525596142825107</v>
      </c>
      <c r="U107" s="80" t="n">
        <f aca="false">V107*U$7</f>
        <v>29594.2164179104</v>
      </c>
      <c r="V107" s="80" t="n">
        <f aca="false">+$M107/SM134Units</f>
        <v>629.664179104478</v>
      </c>
      <c r="W107" s="12" t="n">
        <f aca="false">+V107/V$8</f>
        <v>0.699626865671642</v>
      </c>
      <c r="Y107" s="80" t="n">
        <f aca="false">Z107*Y$7</f>
        <v>33372.2014925373</v>
      </c>
      <c r="Z107" s="80" t="n">
        <f aca="false">+$M107/SM134Units</f>
        <v>629.664179104478</v>
      </c>
      <c r="AA107" s="12" t="n">
        <f aca="false">+Z107/Z$8</f>
        <v>0.489249556413736</v>
      </c>
      <c r="AC107" s="80" t="n">
        <f aca="false">AD107*AC$7</f>
        <v>21408.5820895522</v>
      </c>
      <c r="AD107" s="80" t="n">
        <f aca="false">+$M107/SM134Units</f>
        <v>629.664179104478</v>
      </c>
      <c r="AE107" s="12" t="n">
        <f aca="false">+AD107/AD$8</f>
        <v>0.433056519329077</v>
      </c>
      <c r="AF107" s="12"/>
      <c r="AG107" s="40" t="n">
        <f aca="false">+Y107+U107+Q107</f>
        <v>62966.4179104478</v>
      </c>
      <c r="AH107" s="23" t="n">
        <f aca="false">+AG107/AG$7</f>
        <v>469.898641122745</v>
      </c>
      <c r="AI107" s="41" t="n">
        <f aca="false">+AH107/AH$8</f>
        <v>0.393549950689066</v>
      </c>
    </row>
    <row r="108" customFormat="false" ht="12" hidden="false" customHeight="false" outlineLevel="0" collapsed="false">
      <c r="B108" s="21" t="s">
        <v>278</v>
      </c>
      <c r="L108" s="7" t="n">
        <v>4000</v>
      </c>
      <c r="M108" s="21" t="n">
        <f aca="false">4000*CMF</f>
        <v>4500</v>
      </c>
      <c r="N108" s="21" t="n">
        <f aca="false">M108/10.3</f>
        <v>436.893203883495</v>
      </c>
      <c r="Q108" s="46" t="n">
        <f aca="false">R108*Q$7</f>
        <v>0</v>
      </c>
      <c r="R108" s="21" t="n">
        <f aca="false">+$M108/SM134Units</f>
        <v>33.5820895522388</v>
      </c>
      <c r="S108" s="41" t="n">
        <f aca="false">+R108/R$8</f>
        <v>0.0280317942840057</v>
      </c>
      <c r="U108" s="46" t="n">
        <f aca="false">V108*U$7</f>
        <v>1578.35820895522</v>
      </c>
      <c r="V108" s="21" t="n">
        <f aca="false">+$M108/SM134Units</f>
        <v>33.5820895522388</v>
      </c>
      <c r="W108" s="41" t="n">
        <f aca="false">+V108/V$8</f>
        <v>0.0373134328358209</v>
      </c>
      <c r="Y108" s="46" t="n">
        <f aca="false">Z108*Y$7</f>
        <v>1779.85074626866</v>
      </c>
      <c r="Z108" s="21" t="n">
        <f aca="false">+$M108/SM134Units</f>
        <v>33.5820895522388</v>
      </c>
      <c r="AA108" s="41" t="n">
        <f aca="false">+Z108/Z$8</f>
        <v>0.0260933096753992</v>
      </c>
      <c r="AC108" s="46" t="n">
        <f aca="false">AD108*AC$7</f>
        <v>1141.79104477612</v>
      </c>
      <c r="AD108" s="21" t="n">
        <f aca="false">+$M108/SM134Units</f>
        <v>33.5820895522388</v>
      </c>
      <c r="AE108" s="41" t="n">
        <f aca="false">+AD108/AD$8</f>
        <v>0.0230963476975508</v>
      </c>
      <c r="AF108" s="41"/>
      <c r="AG108" s="40" t="n">
        <f aca="false">+Y108+U108+Q108</f>
        <v>3358.20895522388</v>
      </c>
      <c r="AH108" s="23" t="n">
        <f aca="false">+AG108/AG$7</f>
        <v>25.0612608598797</v>
      </c>
      <c r="AI108" s="41" t="n">
        <f aca="false">+AH108/AH$8</f>
        <v>0.0209893307034168</v>
      </c>
    </row>
    <row r="109" customFormat="false" ht="12" hidden="false" customHeight="false" outlineLevel="0" collapsed="false">
      <c r="B109" s="21" t="s">
        <v>279</v>
      </c>
      <c r="L109" s="7" t="n">
        <v>4000</v>
      </c>
      <c r="M109" s="21" t="n">
        <f aca="false">4000*CMF</f>
        <v>4500</v>
      </c>
      <c r="N109" s="21" t="n">
        <f aca="false">M109/10.3</f>
        <v>436.893203883495</v>
      </c>
      <c r="Q109" s="46" t="n">
        <f aca="false">R109*Q$7</f>
        <v>0</v>
      </c>
      <c r="R109" s="21" t="n">
        <f aca="false">+$M109/SM134Units</f>
        <v>33.5820895522388</v>
      </c>
      <c r="S109" s="41" t="n">
        <f aca="false">+R109/R$8</f>
        <v>0.0280317942840057</v>
      </c>
      <c r="U109" s="46" t="n">
        <f aca="false">V109*U$7</f>
        <v>1578.35820895522</v>
      </c>
      <c r="V109" s="21" t="n">
        <f aca="false">+$M109/SM134Units</f>
        <v>33.5820895522388</v>
      </c>
      <c r="W109" s="41" t="n">
        <f aca="false">+V109/V$8</f>
        <v>0.0373134328358209</v>
      </c>
      <c r="Y109" s="46" t="n">
        <f aca="false">Z109*Y$7</f>
        <v>1779.85074626866</v>
      </c>
      <c r="Z109" s="21" t="n">
        <f aca="false">+$M109/SM134Units</f>
        <v>33.5820895522388</v>
      </c>
      <c r="AA109" s="41" t="n">
        <f aca="false">+Z109/Z$8</f>
        <v>0.0260933096753992</v>
      </c>
      <c r="AC109" s="46" t="n">
        <f aca="false">AD109*AC$7</f>
        <v>1141.79104477612</v>
      </c>
      <c r="AD109" s="21" t="n">
        <f aca="false">+$M109/SM134Units</f>
        <v>33.5820895522388</v>
      </c>
      <c r="AE109" s="41" t="n">
        <f aca="false">+AD109/AD$8</f>
        <v>0.0230963476975508</v>
      </c>
      <c r="AF109" s="41"/>
      <c r="AG109" s="40" t="n">
        <f aca="false">+Y109+U109+Q109</f>
        <v>3358.20895522388</v>
      </c>
      <c r="AH109" s="23" t="n">
        <f aca="false">+AG109/AG$7</f>
        <v>25.0612608598797</v>
      </c>
      <c r="AI109" s="41" t="n">
        <f aca="false">+AH109/AH$8</f>
        <v>0.0209893307034168</v>
      </c>
    </row>
    <row r="110" customFormat="false" ht="12" hidden="false" customHeight="false" outlineLevel="0" collapsed="false">
      <c r="B110" s="81" t="s">
        <v>280</v>
      </c>
      <c r="C110" s="81"/>
      <c r="D110" s="81"/>
      <c r="E110" s="81"/>
      <c r="F110" s="81"/>
      <c r="G110" s="81"/>
      <c r="H110" s="81"/>
      <c r="I110" s="81"/>
      <c r="J110" s="81"/>
      <c r="K110" s="81"/>
      <c r="M110" s="81" t="n">
        <f aca="false">SUM(M107:M109)</f>
        <v>93375</v>
      </c>
      <c r="N110" s="81" t="n">
        <f aca="false">SUM(N107:N109)</f>
        <v>9065.53398058252</v>
      </c>
      <c r="Q110" s="82" t="n">
        <f aca="false">SUM(Q107:Q109)</f>
        <v>0</v>
      </c>
      <c r="R110" s="82" t="n">
        <f aca="false">SUM(R107:R109)</f>
        <v>696.828358208955</v>
      </c>
      <c r="S110" s="83" t="n">
        <f aca="false">SUM(S107:S109)</f>
        <v>0.581659731393118</v>
      </c>
      <c r="U110" s="82" t="n">
        <f aca="false">SUM(U107:U109)</f>
        <v>32750.9328358209</v>
      </c>
      <c r="V110" s="82" t="n">
        <f aca="false">SUM(V107:V109)</f>
        <v>696.828358208955</v>
      </c>
      <c r="W110" s="83" t="n">
        <f aca="false">SUM(W107:W109)</f>
        <v>0.774253731343284</v>
      </c>
      <c r="Y110" s="82" t="n">
        <f aca="false">SUM(Y107:Y109)</f>
        <v>36931.9029850746</v>
      </c>
      <c r="Z110" s="82" t="n">
        <f aca="false">SUM(Z107:Z109)</f>
        <v>696.828358208955</v>
      </c>
      <c r="AA110" s="83" t="n">
        <f aca="false">SUM(AA107:AA109)</f>
        <v>0.541436175764534</v>
      </c>
      <c r="AC110" s="82" t="n">
        <f aca="false">SUM(AC107:AC109)</f>
        <v>23692.1641791045</v>
      </c>
      <c r="AD110" s="82" t="n">
        <f aca="false">SUM(AD107:AD109)</f>
        <v>696.828358208955</v>
      </c>
      <c r="AE110" s="83" t="n">
        <f aca="false">SUM(AE107:AE109)</f>
        <v>0.479249214724178</v>
      </c>
      <c r="AF110" s="83"/>
      <c r="AG110" s="82" t="n">
        <f aca="false">SUM(AG107:AG109)</f>
        <v>69682.8358208955</v>
      </c>
      <c r="AH110" s="82" t="n">
        <f aca="false">SUM(AH107:AH109)</f>
        <v>520.021162842504</v>
      </c>
      <c r="AI110" s="83" t="n">
        <f aca="false">SUM(AI107:AI109)</f>
        <v>0.4355286120959</v>
      </c>
    </row>
    <row r="111" customFormat="false" ht="12" hidden="false" customHeight="false" outlineLevel="0" collapsed="false">
      <c r="B111" s="84" t="s">
        <v>281</v>
      </c>
      <c r="C111" s="81"/>
      <c r="D111" s="81"/>
      <c r="E111" s="81"/>
      <c r="F111" s="81"/>
      <c r="G111" s="81"/>
      <c r="H111" s="81"/>
      <c r="I111" s="81"/>
      <c r="J111" s="81"/>
      <c r="K111" s="81"/>
      <c r="M111" s="81" t="n">
        <f aca="false">+M110+M104</f>
        <v>1076490.79967702</v>
      </c>
      <c r="N111" s="81" t="n">
        <f aca="false">+N110+N104</f>
        <v>104513.669871556</v>
      </c>
      <c r="Q111" s="82" t="n">
        <f aca="false">+Q110+Q104</f>
        <v>0</v>
      </c>
      <c r="R111" s="82" t="n">
        <f aca="false">+R110+R104</f>
        <v>8159.44626624645</v>
      </c>
      <c r="S111" s="83" t="n">
        <f aca="false">+S110+S104</f>
        <v>6.81089003860305</v>
      </c>
      <c r="U111" s="82" t="n">
        <f aca="false">+U110+U104</f>
        <v>383493.974513583</v>
      </c>
      <c r="V111" s="82" t="n">
        <f aca="false">+V110+V104</f>
        <v>8159.44626624645</v>
      </c>
      <c r="W111" s="83" t="n">
        <f aca="false">+W110+W104</f>
        <v>9.0660514069405</v>
      </c>
      <c r="Y111" s="82" t="n">
        <f aca="false">+Y110+Y104</f>
        <v>432450.652111062</v>
      </c>
      <c r="Z111" s="82" t="n">
        <f aca="false">+Z110+Z104</f>
        <v>8159.44626624645</v>
      </c>
      <c r="AA111" s="83" t="n">
        <f aca="false">+AA110+AA104</f>
        <v>6.33989608876958</v>
      </c>
      <c r="AC111" s="82" t="n">
        <f aca="false">+AC110+AC104</f>
        <v>277421.173052379</v>
      </c>
      <c r="AD111" s="82" t="n">
        <f aca="false">+AD110+AD104</f>
        <v>8159.44626624645</v>
      </c>
      <c r="AE111" s="83" t="n">
        <f aca="false">+AE110+AE104</f>
        <v>5.6117237044336</v>
      </c>
      <c r="AF111" s="83"/>
      <c r="AG111" s="82" t="n">
        <f aca="false">+AG110+AG104</f>
        <v>815944.626624645</v>
      </c>
      <c r="AH111" s="82" t="n">
        <f aca="false">+AH110+AH104</f>
        <v>6089.13900466153</v>
      </c>
      <c r="AI111" s="83" t="n">
        <f aca="false">+AI110+AI104</f>
        <v>5.09978141093931</v>
      </c>
    </row>
    <row r="112" customFormat="false" ht="12" hidden="false" customHeight="false" outlineLevel="0" collapsed="false">
      <c r="B112" s="84" t="s">
        <v>282</v>
      </c>
      <c r="C112" s="84"/>
      <c r="D112" s="85"/>
      <c r="E112" s="86"/>
      <c r="F112" s="86"/>
      <c r="G112" s="86"/>
      <c r="H112" s="86"/>
      <c r="I112" s="86"/>
      <c r="J112" s="86"/>
      <c r="K112" s="86"/>
      <c r="M112" s="87" t="n">
        <f aca="false">+M111+M91</f>
        <v>2198160.79967702</v>
      </c>
      <c r="N112" s="87" t="n">
        <f aca="false">+N111+N91</f>
        <v>213413.669871556</v>
      </c>
      <c r="O112" s="88"/>
      <c r="P112" s="88"/>
      <c r="Q112" s="87" t="n">
        <f aca="false">+Q111+Q91</f>
        <v>0</v>
      </c>
      <c r="R112" s="87" t="n">
        <f aca="false">+R111+R91</f>
        <v>16530.1179080375</v>
      </c>
      <c r="S112" s="89" t="n">
        <f aca="false">+S111+S91</f>
        <v>13.7980950818343</v>
      </c>
      <c r="T112" s="90"/>
      <c r="U112" s="87" t="n">
        <f aca="false">+U111+U91</f>
        <v>776915.541677762</v>
      </c>
      <c r="V112" s="87" t="n">
        <f aca="false">+V111+V91</f>
        <v>16530.1179080375</v>
      </c>
      <c r="W112" s="89" t="n">
        <f aca="false">+W111+W91</f>
        <v>18.3667976755972</v>
      </c>
      <c r="X112" s="90"/>
      <c r="Y112" s="87" t="n">
        <f aca="false">+Y111+Y91</f>
        <v>876096.249125987</v>
      </c>
      <c r="Z112" s="87" t="n">
        <f aca="false">+Z111+Z91</f>
        <v>16530.1179080375</v>
      </c>
      <c r="AA112" s="89" t="n">
        <f aca="false">+AA111+AA91</f>
        <v>12.8439144584596</v>
      </c>
      <c r="AB112" s="90"/>
      <c r="AC112" s="87" t="n">
        <f aca="false">+AC111+AC91</f>
        <v>562024.008873275</v>
      </c>
      <c r="AD112" s="87" t="n">
        <f aca="false">+AD111+AD91</f>
        <v>16530.1179080375</v>
      </c>
      <c r="AE112" s="89" t="n">
        <f aca="false">+AE111+AE91</f>
        <v>11.3687193315251</v>
      </c>
      <c r="AF112" s="89"/>
      <c r="AG112" s="91" t="n">
        <f aca="false">+AG111+AG91</f>
        <v>1653011.79080375</v>
      </c>
      <c r="AH112" s="87" t="n">
        <f aca="false">+AH111+AH91</f>
        <v>12335.9088865951</v>
      </c>
      <c r="AI112" s="89" t="n">
        <f aca="false">+AI111+AI91</f>
        <v>10.331581982073</v>
      </c>
    </row>
    <row r="113" customFormat="false" ht="12" hidden="false" customHeight="false" outlineLevel="0" collapsed="false">
      <c r="B113" s="56" t="s">
        <v>39</v>
      </c>
      <c r="M113" s="0"/>
      <c r="N113" s="0"/>
      <c r="O113" s="0"/>
      <c r="Q113" s="21" t="n">
        <f aca="false">0.15*(Q111+Q88)</f>
        <v>0</v>
      </c>
      <c r="R113" s="21" t="n">
        <f aca="false">0.15*(R111+R88)</f>
        <v>10841.3776019398</v>
      </c>
      <c r="S113" s="62" t="n">
        <f aca="false">0.15*(S111+S88)</f>
        <v>9.04956394151906</v>
      </c>
      <c r="U113" s="21" t="n">
        <f aca="false">0.15*(U111+U88)</f>
        <v>479758.763161882</v>
      </c>
      <c r="V113" s="21" t="n">
        <f aca="false">0.15*(V111+V88)</f>
        <v>10207.6332587634</v>
      </c>
      <c r="W113" s="21" t="n">
        <f aca="false">0.15*(W111+W88)</f>
        <v>11.3418147319594</v>
      </c>
      <c r="Y113" s="21" t="n">
        <f aca="false">0.15*(Y111+Y88)</f>
        <v>638816.313603804</v>
      </c>
      <c r="Z113" s="21" t="n">
        <f aca="false">0.15*(Z111+Z88)</f>
        <v>12053.1379925246</v>
      </c>
      <c r="AA113" s="21" t="n">
        <f aca="false">0.15*(AA111+AA88)</f>
        <v>9.3652975854892</v>
      </c>
      <c r="AC113" s="21" t="n">
        <f aca="false">0.15*(AC111+AC88)</f>
        <v>436126.899485296</v>
      </c>
      <c r="AD113" s="21" t="n">
        <f aca="false">0.15*(AD111+AD88)</f>
        <v>12827.2617495675</v>
      </c>
      <c r="AE113" s="21" t="n">
        <f aca="false">0.15*(AE111+AE88)</f>
        <v>8.82205072184837</v>
      </c>
      <c r="AG113" s="21" t="n">
        <f aca="false">0.15*(AG111+AG88)</f>
        <v>1513088.80029312</v>
      </c>
      <c r="AH113" s="21" t="n">
        <f aca="false">0.15*(AH111+AH88)</f>
        <v>11291.7074648741</v>
      </c>
      <c r="AI113" s="21" t="n">
        <f aca="false">0.15*(AI111+AI88)</f>
        <v>9.45704142786773</v>
      </c>
    </row>
    <row r="114" customFormat="false" ht="12" hidden="false" customHeight="false" outlineLevel="0" collapsed="false">
      <c r="B114" s="84" t="s">
        <v>283</v>
      </c>
      <c r="C114" s="84"/>
      <c r="D114" s="85"/>
      <c r="E114" s="86"/>
      <c r="F114" s="86"/>
      <c r="G114" s="86"/>
      <c r="H114" s="86"/>
      <c r="I114" s="86"/>
      <c r="J114" s="86"/>
      <c r="K114" s="86"/>
      <c r="M114" s="0"/>
      <c r="N114" s="0"/>
      <c r="O114" s="0"/>
      <c r="P114" s="88"/>
      <c r="Q114" s="87" t="n">
        <f aca="false">+Q113+Q112+Q88</f>
        <v>0</v>
      </c>
      <c r="R114" s="87" t="n">
        <f aca="false">+R113+R112+R88</f>
        <v>91487.8999233297</v>
      </c>
      <c r="S114" s="89" t="n">
        <f aca="false">+S113+S112+S88</f>
        <v>76.367195261544</v>
      </c>
      <c r="T114" s="90"/>
      <c r="U114" s="87" t="n">
        <f aca="false">+U113+U112+U88</f>
        <v>4071572.0847386</v>
      </c>
      <c r="V114" s="87" t="n">
        <f aca="false">+V113+V112+V88</f>
        <v>86629.1932923107</v>
      </c>
      <c r="W114" s="89" t="n">
        <f aca="false">+W113+W112+W88</f>
        <v>96.2546592136786</v>
      </c>
      <c r="X114" s="90"/>
      <c r="Y114" s="87" t="n">
        <f aca="false">+Y113+Y112+Y88</f>
        <v>5341237.33464409</v>
      </c>
      <c r="Z114" s="87" t="n">
        <f aca="false">+Z113+Z112+Z88</f>
        <v>100778.062917813</v>
      </c>
      <c r="AA114" s="89" t="n">
        <f aca="false">+AA113+AA112+AA88</f>
        <v>78.3046331917739</v>
      </c>
      <c r="AB114" s="90"/>
      <c r="AC114" s="87" t="n">
        <f aca="false">+AC113+AC112+AC88</f>
        <v>3628242.3985415</v>
      </c>
      <c r="AD114" s="87" t="n">
        <f aca="false">+AD113+AD112+AD88</f>
        <v>106713.011721809</v>
      </c>
      <c r="AE114" s="89" t="n">
        <f aca="false">+AE113+AE112+AE88</f>
        <v>73.392717827929</v>
      </c>
      <c r="AF114" s="89"/>
      <c r="AG114" s="91" t="n">
        <f aca="false">+AG113+AG112+AG88</f>
        <v>12437414.6330931</v>
      </c>
      <c r="AH114" s="87" t="n">
        <f aca="false">+AH113+AH112+AH88</f>
        <v>92816.5271126348</v>
      </c>
      <c r="AI114" s="89" t="n">
        <f aca="false">+AI113+AI112+AI88</f>
        <v>77.7357848514529</v>
      </c>
    </row>
    <row r="115" customFormat="false" ht="12" hidden="false" customHeight="false" outlineLevel="0" collapsed="false">
      <c r="B115" s="56"/>
      <c r="S115" s="41"/>
    </row>
    <row r="116" customFormat="false" ht="12" hidden="false" customHeight="false" outlineLevel="0" collapsed="false">
      <c r="B116" s="61" t="s">
        <v>284</v>
      </c>
    </row>
    <row r="117" customFormat="false" ht="12" hidden="false" customHeight="false" outlineLevel="0" collapsed="false">
      <c r="B117" s="21" t="s">
        <v>285</v>
      </c>
      <c r="M117" s="21" t="n">
        <v>4000</v>
      </c>
      <c r="Q117" s="80" t="n">
        <f aca="false">R117*Q$7</f>
        <v>0</v>
      </c>
      <c r="R117" s="80" t="n">
        <f aca="false">+$M117/SM134Units</f>
        <v>29.8507462686567</v>
      </c>
      <c r="S117" s="12" t="n">
        <f aca="false">+R117/R$8</f>
        <v>0.0249171504746717</v>
      </c>
      <c r="U117" s="80" t="n">
        <f aca="false">V117*U$7</f>
        <v>1402.98507462687</v>
      </c>
      <c r="V117" s="80" t="n">
        <f aca="false">+$M117/SM134Units</f>
        <v>29.8507462686567</v>
      </c>
      <c r="W117" s="12" t="n">
        <f aca="false">+V117/V$8</f>
        <v>0.033167495854063</v>
      </c>
      <c r="Y117" s="80" t="n">
        <f aca="false">Z117*Y$7</f>
        <v>1582.08955223881</v>
      </c>
      <c r="Z117" s="80" t="n">
        <f aca="false">+$M117/SM134Units</f>
        <v>29.8507462686567</v>
      </c>
      <c r="AA117" s="12" t="n">
        <f aca="false">+Z117/Z$8</f>
        <v>0.0231940530447993</v>
      </c>
      <c r="AC117" s="80" t="n">
        <f aca="false">AD117*AC$7</f>
        <v>1014.92537313433</v>
      </c>
      <c r="AD117" s="80" t="n">
        <f aca="false">+$M117/SM134Units</f>
        <v>29.8507462686567</v>
      </c>
      <c r="AE117" s="12" t="n">
        <f aca="false">+AD117/AD$8</f>
        <v>0.0205300868422673</v>
      </c>
      <c r="AF117" s="12"/>
      <c r="AG117" s="40" t="n">
        <f aca="false">+Y117+U117+Q117</f>
        <v>2985.07462686567</v>
      </c>
      <c r="AH117" s="23" t="n">
        <f aca="false">+AG117/AG$7</f>
        <v>22.2766763198931</v>
      </c>
      <c r="AI117" s="41" t="n">
        <f aca="false">+AH117/AH$8</f>
        <v>0.0186571828474816</v>
      </c>
    </row>
    <row r="118" customFormat="false" ht="12" hidden="false" customHeight="false" outlineLevel="0" collapsed="false">
      <c r="B118" s="21" t="s">
        <v>286</v>
      </c>
      <c r="M118" s="21" t="n">
        <f aca="false">0.0075*0.75*13000000</f>
        <v>73125</v>
      </c>
      <c r="Q118" s="46" t="n">
        <f aca="false">R118*Q$7</f>
        <v>0</v>
      </c>
      <c r="R118" s="21" t="n">
        <f aca="false">+$M118/SM134Units</f>
        <v>545.708955223881</v>
      </c>
      <c r="S118" s="41" t="n">
        <f aca="false">+R118/R$8</f>
        <v>0.455516657115092</v>
      </c>
      <c r="U118" s="46" t="n">
        <f aca="false">V118*U$7</f>
        <v>25648.3208955224</v>
      </c>
      <c r="V118" s="21" t="n">
        <f aca="false">+$M118/SM134Units</f>
        <v>545.708955223881</v>
      </c>
      <c r="W118" s="41" t="n">
        <f aca="false">+V118/V$8</f>
        <v>0.60634328358209</v>
      </c>
      <c r="Y118" s="46" t="n">
        <f aca="false">Z118*Y$7</f>
        <v>28922.5746268657</v>
      </c>
      <c r="Z118" s="21" t="n">
        <f aca="false">+$M118/SM134Units</f>
        <v>545.708955223881</v>
      </c>
      <c r="AA118" s="41" t="n">
        <f aca="false">+Z118/Z$8</f>
        <v>0.424016282225237</v>
      </c>
      <c r="AC118" s="46" t="n">
        <f aca="false">AD118*AC$7</f>
        <v>18554.1044776119</v>
      </c>
      <c r="AD118" s="21" t="n">
        <f aca="false">+$M118/SM134Units</f>
        <v>545.708955223881</v>
      </c>
      <c r="AE118" s="41" t="n">
        <f aca="false">+AD118/AD$8</f>
        <v>0.3753156500852</v>
      </c>
      <c r="AF118" s="41"/>
      <c r="AG118" s="40" t="n">
        <f aca="false">+Y118+U118+Q118</f>
        <v>54570.8955223881</v>
      </c>
      <c r="AH118" s="23" t="n">
        <f aca="false">+AG118/AG$7</f>
        <v>407.245488973045</v>
      </c>
      <c r="AI118" s="41" t="n">
        <f aca="false">+AH118/AH$8</f>
        <v>0.341076623930524</v>
      </c>
    </row>
    <row r="119" customFormat="false" ht="12" hidden="false" customHeight="false" outlineLevel="0" collapsed="false">
      <c r="B119" s="21" t="s">
        <v>287</v>
      </c>
      <c r="M119" s="21" t="n">
        <f aca="false">0.0025*0.75*13000000</f>
        <v>24375</v>
      </c>
      <c r="Q119" s="46" t="n">
        <f aca="false">R119*Q$7</f>
        <v>0</v>
      </c>
      <c r="R119" s="21" t="n">
        <f aca="false">+$M119/SM134Units</f>
        <v>181.902985074627</v>
      </c>
      <c r="S119" s="41" t="n">
        <f aca="false">+R119/R$8</f>
        <v>0.151838885705031</v>
      </c>
      <c r="U119" s="46" t="n">
        <f aca="false">V119*U$7</f>
        <v>8549.44029850746</v>
      </c>
      <c r="V119" s="21" t="n">
        <f aca="false">+$M119/SM134Units</f>
        <v>181.902985074627</v>
      </c>
      <c r="W119" s="41" t="n">
        <f aca="false">+V119/V$8</f>
        <v>0.202114427860697</v>
      </c>
      <c r="Y119" s="46" t="n">
        <f aca="false">Z119*Y$7</f>
        <v>9640.85820895522</v>
      </c>
      <c r="Z119" s="21" t="n">
        <f aca="false">+$M119/SM134Units</f>
        <v>181.902985074627</v>
      </c>
      <c r="AA119" s="41" t="n">
        <f aca="false">+Z119/Z$8</f>
        <v>0.141338760741746</v>
      </c>
      <c r="AC119" s="46" t="n">
        <f aca="false">AD119*AC$7</f>
        <v>6184.70149253731</v>
      </c>
      <c r="AD119" s="21" t="n">
        <f aca="false">+$M119/SM134Units</f>
        <v>181.902985074627</v>
      </c>
      <c r="AE119" s="41" t="n">
        <f aca="false">+AD119/AD$8</f>
        <v>0.125105216695067</v>
      </c>
      <c r="AF119" s="41"/>
      <c r="AG119" s="40" t="n">
        <f aca="false">+Y119+U119+Q119</f>
        <v>18190.2985074627</v>
      </c>
      <c r="AH119" s="23" t="n">
        <f aca="false">+AG119/AG$7</f>
        <v>135.748496324348</v>
      </c>
      <c r="AI119" s="41" t="n">
        <f aca="false">+AH119/AH$8</f>
        <v>0.113692207976841</v>
      </c>
    </row>
    <row r="120" customFormat="false" ht="12" hidden="false" customHeight="false" outlineLevel="0" collapsed="false">
      <c r="B120" s="21" t="s">
        <v>288</v>
      </c>
      <c r="M120" s="21" t="n">
        <f aca="false">13000000*0.75*0.75*0.105*0.5</f>
        <v>383906.25</v>
      </c>
      <c r="Q120" s="46" t="n">
        <f aca="false">R120*Q$7</f>
        <v>0</v>
      </c>
      <c r="R120" s="21" t="n">
        <f aca="false">+$M120/SM134Units</f>
        <v>2864.97201492537</v>
      </c>
      <c r="S120" s="41" t="n">
        <f aca="false">+R120/R$8</f>
        <v>2.39146244985423</v>
      </c>
      <c r="U120" s="46" t="n">
        <f aca="false">V120*U$7</f>
        <v>134653.684701493</v>
      </c>
      <c r="V120" s="21" t="n">
        <f aca="false">+$M120/SM134Units</f>
        <v>2864.97201492537</v>
      </c>
      <c r="W120" s="41" t="n">
        <f aca="false">+V120/V$8</f>
        <v>3.18330223880597</v>
      </c>
      <c r="Y120" s="46" t="n">
        <f aca="false">Z120*Y$7</f>
        <v>151843.516791045</v>
      </c>
      <c r="Z120" s="21" t="n">
        <f aca="false">+$M120/SM134Units</f>
        <v>2864.97201492537</v>
      </c>
      <c r="AA120" s="41" t="n">
        <f aca="false">+Z120/Z$8</f>
        <v>2.2260854816825</v>
      </c>
      <c r="AC120" s="46" t="n">
        <f aca="false">AD120*AC$7</f>
        <v>97409.0485074627</v>
      </c>
      <c r="AD120" s="21" t="n">
        <f aca="false">+$M120/SM134Units</f>
        <v>2864.97201492537</v>
      </c>
      <c r="AE120" s="41" t="n">
        <f aca="false">+AD120/AD$8</f>
        <v>1.9704071629473</v>
      </c>
      <c r="AF120" s="41"/>
      <c r="AG120" s="40" t="n">
        <f aca="false">+Y120+U120+Q120</f>
        <v>286497.201492537</v>
      </c>
      <c r="AH120" s="23" t="n">
        <f aca="false">+AG120/AG$7</f>
        <v>2138.03881710849</v>
      </c>
      <c r="AI120" s="41" t="n">
        <f aca="false">+AH120/AH$8</f>
        <v>1.79065227563525</v>
      </c>
    </row>
    <row r="121" customFormat="false" ht="12" hidden="false" customHeight="false" outlineLevel="0" collapsed="false">
      <c r="B121" s="92" t="s">
        <v>289</v>
      </c>
      <c r="M121" s="92" t="n">
        <f aca="false">SUM(M117:M120)</f>
        <v>485406.25</v>
      </c>
      <c r="N121" s="92"/>
      <c r="Q121" s="93" t="n">
        <f aca="false">SUM(Q117:Q120)</f>
        <v>0</v>
      </c>
      <c r="R121" s="93" t="n">
        <f aca="false">SUM(R117:R120)</f>
        <v>3622.43470149254</v>
      </c>
      <c r="S121" s="94" t="n">
        <f aca="false">SUM(S117:S120)</f>
        <v>3.02373514314903</v>
      </c>
      <c r="U121" s="93" t="n">
        <f aca="false">SUM(U117:U120)</f>
        <v>170254.430970149</v>
      </c>
      <c r="V121" s="93" t="n">
        <f aca="false">SUM(V117:V120)</f>
        <v>3622.43470149254</v>
      </c>
      <c r="W121" s="94" t="n">
        <f aca="false">SUM(W117:W120)</f>
        <v>4.02492744610282</v>
      </c>
      <c r="Y121" s="93" t="n">
        <f aca="false">SUM(Y117:Y120)</f>
        <v>191989.039179104</v>
      </c>
      <c r="Z121" s="93" t="n">
        <f aca="false">SUM(Z117:Z120)</f>
        <v>3622.43470149254</v>
      </c>
      <c r="AA121" s="94" t="n">
        <f aca="false">SUM(AA117:AA120)</f>
        <v>2.81463457769428</v>
      </c>
      <c r="AC121" s="93" t="n">
        <f aca="false">SUM(AC117:AC120)</f>
        <v>123162.779850746</v>
      </c>
      <c r="AD121" s="93" t="n">
        <f aca="false">SUM(AD117:AD120)</f>
        <v>3622.43470149254</v>
      </c>
      <c r="AE121" s="94" t="n">
        <f aca="false">SUM(AE117:AE120)</f>
        <v>2.49135811656983</v>
      </c>
      <c r="AF121" s="94"/>
      <c r="AG121" s="93" t="n">
        <f aca="false">SUM(AG117:AG120)</f>
        <v>362243.470149254</v>
      </c>
      <c r="AH121" s="93" t="n">
        <f aca="false">SUM(AH117:AH120)</f>
        <v>2703.30947872577</v>
      </c>
      <c r="AI121" s="94" t="n">
        <f aca="false">SUM(AI117:AI120)</f>
        <v>2.2640782903901</v>
      </c>
    </row>
    <row r="122" customFormat="false" ht="12" hidden="false" customHeight="false" outlineLevel="0" collapsed="false">
      <c r="B122" s="81"/>
      <c r="M122" s="81"/>
      <c r="N122" s="81"/>
      <c r="Q122" s="82"/>
      <c r="R122" s="82"/>
      <c r="S122" s="95"/>
      <c r="U122" s="82"/>
      <c r="V122" s="82"/>
      <c r="W122" s="95"/>
      <c r="Y122" s="82"/>
      <c r="Z122" s="82"/>
      <c r="AA122" s="95"/>
      <c r="AC122" s="82"/>
      <c r="AD122" s="82"/>
      <c r="AE122" s="95"/>
      <c r="AF122" s="95"/>
      <c r="AG122" s="82"/>
      <c r="AH122" s="82"/>
      <c r="AI122" s="95"/>
    </row>
    <row r="123" customFormat="false" ht="12.75" hidden="false" customHeight="false" outlineLevel="0" collapsed="false">
      <c r="B123" s="57" t="s">
        <v>41</v>
      </c>
      <c r="M123" s="57" t="n">
        <f aca="false">+M121+M114+L88</f>
        <v>1188434.45</v>
      </c>
      <c r="N123" s="57"/>
      <c r="Q123" s="59" t="n">
        <f aca="false">+Q121+Q114</f>
        <v>0</v>
      </c>
      <c r="R123" s="59" t="n">
        <f aca="false">+R121+R114</f>
        <v>95110.3346248223</v>
      </c>
      <c r="S123" s="60" t="n">
        <f aca="false">+S121+S114</f>
        <v>79.3909304046931</v>
      </c>
      <c r="U123" s="59" t="n">
        <f aca="false">+U121+U114</f>
        <v>4241826.51570875</v>
      </c>
      <c r="V123" s="59" t="n">
        <f aca="false">+V121+V114</f>
        <v>90251.6279938033</v>
      </c>
      <c r="W123" s="60" t="n">
        <f aca="false">+W121+W114</f>
        <v>100.279586659781</v>
      </c>
      <c r="Y123" s="59" t="n">
        <f aca="false">+Y121+Y114</f>
        <v>5533226.37382319</v>
      </c>
      <c r="Z123" s="59" t="n">
        <f aca="false">+Z121+Z114</f>
        <v>104400.497619306</v>
      </c>
      <c r="AA123" s="60" t="n">
        <f aca="false">+AA121+AA114</f>
        <v>81.1192677694682</v>
      </c>
      <c r="AC123" s="59" t="n">
        <f aca="false">+AC121+AC114</f>
        <v>3751405.17839224</v>
      </c>
      <c r="AD123" s="59" t="n">
        <f aca="false">+AD121+AD114</f>
        <v>110335.446423301</v>
      </c>
      <c r="AE123" s="60" t="n">
        <f aca="false">+AE121+AE114</f>
        <v>75.8840759444988</v>
      </c>
      <c r="AF123" s="60"/>
      <c r="AG123" s="59" t="n">
        <f aca="false">+AG121+AG114</f>
        <v>12799658.1032423</v>
      </c>
      <c r="AH123" s="59" t="n">
        <f aca="false">+AH121+AH114</f>
        <v>95519.8365913605</v>
      </c>
      <c r="AI123" s="60" t="n">
        <f aca="false">+AI121+AI114</f>
        <v>79.999863141843</v>
      </c>
    </row>
    <row r="124" customFormat="false" ht="12.75" hidden="false" customHeight="false" outlineLevel="0" collapsed="false">
      <c r="B124" s="100" t="s">
        <v>318</v>
      </c>
      <c r="L124" s="100"/>
      <c r="M124" s="100"/>
      <c r="Q124" s="101"/>
      <c r="R124" s="101" t="n">
        <f aca="false">2*R125</f>
        <v>1250</v>
      </c>
      <c r="S124" s="102"/>
      <c r="U124" s="101"/>
      <c r="V124" s="101" t="n">
        <f aca="false">2*V125+75</f>
        <v>1225</v>
      </c>
      <c r="W124" s="102"/>
      <c r="Y124" s="101"/>
      <c r="Z124" s="101" t="n">
        <f aca="false">3*Z125+75</f>
        <v>1500</v>
      </c>
      <c r="AA124" s="102"/>
      <c r="AC124" s="101"/>
      <c r="AD124" s="101" t="n">
        <f aca="false">4*AD125+75</f>
        <v>1875</v>
      </c>
      <c r="AE124" s="102"/>
      <c r="AF124" s="102"/>
      <c r="AG124" s="101"/>
      <c r="AH124" s="101"/>
      <c r="AI124" s="102"/>
    </row>
    <row r="125" customFormat="false" ht="12" hidden="false" customHeight="false" outlineLevel="0" collapsed="false">
      <c r="B125" s="100" t="s">
        <v>319</v>
      </c>
      <c r="L125" s="100"/>
      <c r="M125" s="100"/>
      <c r="Q125" s="101"/>
      <c r="R125" s="101" t="n">
        <v>625</v>
      </c>
      <c r="S125" s="102"/>
      <c r="U125" s="101"/>
      <c r="V125" s="101" t="n">
        <v>575</v>
      </c>
      <c r="W125" s="102"/>
      <c r="Y125" s="101"/>
      <c r="Z125" s="101" t="n">
        <v>475</v>
      </c>
      <c r="AA125" s="102"/>
      <c r="AC125" s="101"/>
      <c r="AD125" s="101" t="n">
        <v>450</v>
      </c>
      <c r="AE125" s="102"/>
      <c r="AF125" s="102"/>
      <c r="AG125" s="101"/>
      <c r="AH125" s="101"/>
      <c r="AI125" s="102"/>
    </row>
    <row r="126" customFormat="false" ht="12.75" hidden="false" customHeight="false" outlineLevel="0" collapsed="false">
      <c r="B126" s="100" t="s">
        <v>320</v>
      </c>
      <c r="L126" s="100"/>
      <c r="M126" s="100"/>
      <c r="Q126" s="101"/>
      <c r="R126" s="103" t="n">
        <f aca="false">(R124*12)/R123</f>
        <v>0.157711567929709</v>
      </c>
      <c r="S126" s="102"/>
      <c r="U126" s="101"/>
      <c r="V126" s="103" t="n">
        <f aca="false">(V124*12)/V123</f>
        <v>0.16287794831811</v>
      </c>
      <c r="W126" s="102"/>
      <c r="Y126" s="101"/>
      <c r="Z126" s="103" t="n">
        <f aca="false">(Z124*12)/Z123</f>
        <v>0.172412971302461</v>
      </c>
      <c r="AA126" s="102"/>
      <c r="AC126" s="101"/>
      <c r="AD126" s="103" t="n">
        <f aca="false">(AD124*12)/AD123</f>
        <v>0.203923586928528</v>
      </c>
      <c r="AE126" s="102"/>
      <c r="AF126" s="102"/>
      <c r="AG126" s="101"/>
      <c r="AH126" s="101"/>
      <c r="AI126" s="102"/>
    </row>
    <row r="128" customFormat="false" ht="12" hidden="false" customHeight="false" outlineLevel="0" collapsed="false">
      <c r="B128" s="21" t="s">
        <v>290</v>
      </c>
      <c r="L128" s="22" t="n">
        <v>0.75</v>
      </c>
      <c r="M128" s="21" t="s">
        <v>291</v>
      </c>
      <c r="Q128" s="21" t="n">
        <f aca="false">0.75*Q123</f>
        <v>0</v>
      </c>
      <c r="R128" s="21" t="n">
        <f aca="false">0.75*R123</f>
        <v>71332.7509686167</v>
      </c>
      <c r="S128" s="21" t="n">
        <f aca="false">0.75*S123</f>
        <v>59.5431978035198</v>
      </c>
      <c r="U128" s="21" t="n">
        <f aca="false">0.75*U123</f>
        <v>3181369.88678157</v>
      </c>
      <c r="V128" s="21" t="n">
        <f aca="false">0.75*V123</f>
        <v>67688.7209953525</v>
      </c>
      <c r="W128" s="21" t="n">
        <f aca="false">0.75*W123</f>
        <v>75.2096899948361</v>
      </c>
      <c r="Y128" s="21" t="n">
        <f aca="false">0.75*Y123</f>
        <v>4149919.78036739</v>
      </c>
      <c r="Z128" s="21" t="n">
        <f aca="false">0.75*Z123</f>
        <v>78300.3732144792</v>
      </c>
      <c r="AA128" s="21" t="n">
        <f aca="false">0.75*AA123</f>
        <v>60.8394508271011</v>
      </c>
      <c r="AC128" s="21" t="n">
        <f aca="false">0.75*AC123</f>
        <v>2813553.88379418</v>
      </c>
      <c r="AD128" s="21" t="n">
        <f aca="false">0.75*AD123</f>
        <v>82751.584817476</v>
      </c>
      <c r="AE128" s="21" t="n">
        <f aca="false">0.75*AE123</f>
        <v>56.9130569583741</v>
      </c>
      <c r="AG128" s="21" t="n">
        <f aca="false">0.75*AG123</f>
        <v>9599743.57743174</v>
      </c>
      <c r="AH128" s="21" t="n">
        <f aca="false">0.75*AH123</f>
        <v>71639.8774435204</v>
      </c>
      <c r="AI128" s="21" t="n">
        <f aca="false">0.75*AI123</f>
        <v>59.9998973563823</v>
      </c>
    </row>
    <row r="129" customFormat="false" ht="12" hidden="false" customHeight="false" outlineLevel="0" collapsed="false">
      <c r="B129" s="11" t="s">
        <v>292</v>
      </c>
    </row>
    <row r="130" customFormat="false" ht="12" hidden="false" customHeight="false" outlineLevel="0" collapsed="false">
      <c r="B130" s="21" t="s">
        <v>264</v>
      </c>
      <c r="Q130" s="21" t="n">
        <f aca="false">+Q123-Q128</f>
        <v>0</v>
      </c>
      <c r="U130" s="21" t="n">
        <f aca="false">+U123-U128</f>
        <v>1060456.62892719</v>
      </c>
      <c r="Y130" s="21" t="n">
        <f aca="false">+Y123-Y128</f>
        <v>1383306.5934558</v>
      </c>
      <c r="AC130" s="21" t="n">
        <f aca="false">+AC123-AC128</f>
        <v>937851.294598061</v>
      </c>
      <c r="AG130" s="21" t="n">
        <f aca="false">+AG123-AG128</f>
        <v>3199914.52581058</v>
      </c>
    </row>
    <row r="131" customFormat="false" ht="12" hidden="false" customHeight="false" outlineLevel="0" collapsed="false">
      <c r="B131" s="21" t="s">
        <v>293</v>
      </c>
      <c r="Q131" s="21" t="n">
        <f aca="false">-Q113</f>
        <v>-0</v>
      </c>
      <c r="U131" s="21" t="n">
        <f aca="false">-U113</f>
        <v>-479758.763161882</v>
      </c>
      <c r="Y131" s="21" t="n">
        <f aca="false">-Y113</f>
        <v>-638816.313603804</v>
      </c>
      <c r="AC131" s="21" t="n">
        <f aca="false">-AC113</f>
        <v>-436126.899485296</v>
      </c>
      <c r="AG131" s="21" t="n">
        <f aca="false">-AG113</f>
        <v>-1513088.80029312</v>
      </c>
    </row>
    <row r="132" customFormat="false" ht="12" hidden="false" customHeight="false" outlineLevel="0" collapsed="false">
      <c r="B132" s="21" t="s">
        <v>294</v>
      </c>
      <c r="Q132" s="21" t="n">
        <f aca="false">+Q131+Q130</f>
        <v>0</v>
      </c>
      <c r="U132" s="21" t="n">
        <f aca="false">+U131+U130</f>
        <v>580697.865765307</v>
      </c>
      <c r="Y132" s="21" t="n">
        <f aca="false">+Y131+Y130</f>
        <v>744490.279851994</v>
      </c>
      <c r="AC132" s="21" t="n">
        <f aca="false">+AC131+AC130</f>
        <v>501724.395112765</v>
      </c>
      <c r="AG132" s="21" t="n">
        <f aca="false">+AG131+AG130</f>
        <v>1686825.72551745</v>
      </c>
    </row>
    <row r="138" customFormat="false" ht="12" hidden="false" customHeight="false" outlineLevel="0" collapsed="false">
      <c r="L138" s="21" t="n">
        <f aca="false">10.3*43560</f>
        <v>448668</v>
      </c>
      <c r="Q138" s="21" t="n">
        <f aca="false">Q$7*28</f>
        <v>0</v>
      </c>
      <c r="U138" s="21" t="n">
        <f aca="false">U7*15.83</f>
        <v>744.01</v>
      </c>
      <c r="Y138" s="21" t="n">
        <f aca="false">Y7*26</f>
        <v>1378</v>
      </c>
    </row>
    <row r="139" customFormat="false" ht="12" hidden="false" customHeight="false" outlineLevel="0" collapsed="false">
      <c r="L139" s="21" t="n">
        <f aca="false">SQRT(L138)</f>
        <v>669.826843296087</v>
      </c>
      <c r="M139" s="21" t="n">
        <f aca="false">L139*25</f>
        <v>16745.6710824022</v>
      </c>
      <c r="N139" s="21" t="n">
        <f aca="false">M139*4</f>
        <v>66982.6843296086</v>
      </c>
      <c r="Q139" s="21" t="n">
        <f aca="false">Q$7*20</f>
        <v>0</v>
      </c>
      <c r="U139" s="21" t="n">
        <f aca="false">U$7*20</f>
        <v>940</v>
      </c>
      <c r="Y139" s="21" t="n">
        <f aca="false">Y$7*20</f>
        <v>1060</v>
      </c>
    </row>
    <row r="140" customFormat="false" ht="12" hidden="false" customHeight="false" outlineLevel="0" collapsed="false">
      <c r="L140" s="21" t="n">
        <f aca="false">L139*4-120</f>
        <v>2559.30737318435</v>
      </c>
      <c r="N140" s="21" t="n">
        <f aca="false">300*300</f>
        <v>90000</v>
      </c>
      <c r="Q140" s="21" t="n">
        <f aca="false">+Q139+Q138</f>
        <v>0</v>
      </c>
      <c r="U140" s="21" t="n">
        <f aca="false">+U139+U138</f>
        <v>1684.01</v>
      </c>
      <c r="Y140" s="21" t="n">
        <f aca="false">+Y139+Y138</f>
        <v>2438</v>
      </c>
    </row>
    <row r="141" customFormat="false" ht="12" hidden="false" customHeight="false" outlineLevel="0" collapsed="false">
      <c r="L141" s="21" t="n">
        <f aca="false">30*L140</f>
        <v>76779.2211955304</v>
      </c>
      <c r="N141" s="21" t="n">
        <f aca="false">+N140+N139</f>
        <v>156982.684329609</v>
      </c>
    </row>
    <row r="142" customFormat="false" ht="12" hidden="false" customHeight="false" outlineLevel="0" collapsed="false">
      <c r="N142" s="21" t="n">
        <f aca="false">-2.5*60*80</f>
        <v>-12000</v>
      </c>
    </row>
    <row r="143" customFormat="false" ht="12" hidden="false" customHeight="false" outlineLevel="0" collapsed="false">
      <c r="N143" s="21" t="n">
        <f aca="false">-4000</f>
        <v>-4000</v>
      </c>
    </row>
    <row r="144" customFormat="false" ht="12" hidden="false" customHeight="false" outlineLevel="0" collapsed="false">
      <c r="N144" s="21" t="n">
        <f aca="false">SUM(N141:N143)</f>
        <v>140982.684329609</v>
      </c>
      <c r="V144" s="21" t="n">
        <f aca="false">25*37</f>
        <v>925</v>
      </c>
    </row>
    <row r="145" customFormat="false" ht="12" hidden="false" customHeight="false" outlineLevel="0" collapsed="false">
      <c r="N145" s="21" t="n">
        <f aca="false">N144/134</f>
        <v>1052.10958454932</v>
      </c>
    </row>
    <row r="146" customFormat="false" ht="12" hidden="false" customHeight="false" outlineLevel="0" collapsed="false">
      <c r="N146" s="21" t="n">
        <f aca="false">6500*12</f>
        <v>78000</v>
      </c>
    </row>
    <row r="147" customFormat="false" ht="12" hidden="false" customHeight="false" outlineLevel="0" collapsed="false">
      <c r="L147" s="21" t="n">
        <f aca="false">670-(37.5*2+25*2)</f>
        <v>545</v>
      </c>
    </row>
    <row r="148" customFormat="false" ht="12" hidden="false" customHeight="false" outlineLevel="0" collapsed="false">
      <c r="L148" s="21" t="n">
        <v>60</v>
      </c>
    </row>
    <row r="149" customFormat="false" ht="12" hidden="false" customHeight="false" outlineLevel="0" collapsed="false">
      <c r="L149" s="21" t="n">
        <v>4</v>
      </c>
    </row>
    <row r="150" customFormat="false" ht="12" hidden="false" customHeight="false" outlineLevel="0" collapsed="false">
      <c r="L150" s="21" t="n">
        <f aca="false">L149*L148*L147</f>
        <v>130800</v>
      </c>
    </row>
    <row r="151" customFormat="false" ht="12" hidden="false" customHeight="false" outlineLevel="0" collapsed="false">
      <c r="L151" s="21" t="n">
        <f aca="false">2*L150</f>
        <v>261600</v>
      </c>
    </row>
    <row r="152" customFormat="false" ht="12" hidden="false" customHeight="false" outlineLevel="0" collapsed="false">
      <c r="L152" s="21" t="n">
        <f aca="false">L147*L149*2.1</f>
        <v>4578</v>
      </c>
    </row>
    <row r="153" customFormat="false" ht="12" hidden="false" customHeight="false" outlineLevel="0" collapsed="false">
      <c r="L153" s="21" t="n">
        <f aca="false">10*L152</f>
        <v>45780</v>
      </c>
    </row>
    <row r="154" customFormat="false" ht="12" hidden="false" customHeight="false" outlineLevel="0" collapsed="false">
      <c r="L154" s="21" t="n">
        <f aca="false">+L153+L151</f>
        <v>307380</v>
      </c>
      <c r="M154" s="21" t="n">
        <f aca="false">75000*10.3</f>
        <v>772500</v>
      </c>
      <c r="N154" s="22" t="n">
        <f aca="false">+L154/M154</f>
        <v>0.397902912621359</v>
      </c>
      <c r="O154" s="22"/>
    </row>
    <row r="155" customFormat="false" ht="12" hidden="false" customHeight="false" outlineLevel="0" collapsed="false">
      <c r="L155" s="21" t="n">
        <f aca="false">+N144*1.5</f>
        <v>211474.026494413</v>
      </c>
    </row>
    <row r="156" customFormat="false" ht="12" hidden="false" customHeight="false" outlineLevel="0" collapsed="false">
      <c r="B156" s="21" t="s">
        <v>295</v>
      </c>
      <c r="L156" s="21" t="n">
        <f aca="false">545*4*35</f>
        <v>76300</v>
      </c>
      <c r="M156" s="21" t="n">
        <v>16</v>
      </c>
    </row>
    <row r="157" customFormat="false" ht="12" hidden="false" customHeight="false" outlineLevel="0" collapsed="false">
      <c r="B157" s="21" t="s">
        <v>296</v>
      </c>
    </row>
    <row r="158" customFormat="false" ht="12" hidden="false" customHeight="false" outlineLevel="0" collapsed="false">
      <c r="B158" s="21" t="s">
        <v>297</v>
      </c>
    </row>
    <row r="159" customFormat="false" ht="12" hidden="false" customHeight="false" outlineLevel="0" collapsed="false">
      <c r="B159" s="21" t="s">
        <v>298</v>
      </c>
    </row>
    <row r="160" customFormat="false" ht="12" hidden="false" customHeight="false" outlineLevel="0" collapsed="false">
      <c r="B160" s="21" t="s">
        <v>272</v>
      </c>
      <c r="L160" s="21" t="n">
        <v>25000</v>
      </c>
    </row>
    <row r="161" customFormat="false" ht="12" hidden="false" customHeight="false" outlineLevel="0" collapsed="false">
      <c r="B161" s="21" t="s">
        <v>299</v>
      </c>
      <c r="L161" s="21" t="n">
        <f aca="false">10000</f>
        <v>10000</v>
      </c>
    </row>
    <row r="162" customFormat="false" ht="12" hidden="false" customHeight="false" outlineLevel="0" collapsed="false">
      <c r="B162" s="21" t="s">
        <v>300</v>
      </c>
      <c r="L162" s="21" t="n">
        <v>15000</v>
      </c>
    </row>
    <row r="163" customFormat="false" ht="12" hidden="false" customHeight="false" outlineLevel="0" collapsed="false">
      <c r="B163" s="21" t="s">
        <v>273</v>
      </c>
      <c r="L163" s="21" t="n">
        <v>15000</v>
      </c>
    </row>
    <row r="164" customFormat="false" ht="12" hidden="false" customHeight="false" outlineLevel="0" collapsed="false">
      <c r="B164" s="21" t="s">
        <v>301</v>
      </c>
      <c r="L164" s="21" t="n">
        <f aca="false">900*35</f>
        <v>31500</v>
      </c>
      <c r="M164" s="21" t="n">
        <f aca="false">SUM(L154:L164)</f>
        <v>691654.026494413</v>
      </c>
      <c r="N164" s="21" t="n">
        <f aca="false">M164/10.3</f>
        <v>67150.8763586809</v>
      </c>
    </row>
    <row r="165" customFormat="false" ht="12" hidden="false" customHeight="false" outlineLevel="0" collapsed="false">
      <c r="B165" s="21" t="s">
        <v>302</v>
      </c>
      <c r="L165" s="21" t="n">
        <v>75000</v>
      </c>
    </row>
    <row r="166" customFormat="false" ht="12" hidden="false" customHeight="false" outlineLevel="0" collapsed="false">
      <c r="B166" s="21" t="s">
        <v>303</v>
      </c>
      <c r="L166" s="21" t="n">
        <v>4000</v>
      </c>
    </row>
    <row r="167" customFormat="false" ht="12" hidden="false" customHeight="false" outlineLevel="0" collapsed="false">
      <c r="B167" s="21" t="s">
        <v>304</v>
      </c>
      <c r="L167" s="21" t="n">
        <v>4000</v>
      </c>
      <c r="M167" s="21" t="n">
        <f aca="false">SUM(L154:L167)</f>
        <v>774654.026494413</v>
      </c>
      <c r="N167" s="21" t="n">
        <f aca="false">M167/10.3</f>
        <v>75209.1287858653</v>
      </c>
    </row>
  </sheetData>
  <mergeCells count="5">
    <mergeCell ref="Q5:S5"/>
    <mergeCell ref="U5:W5"/>
    <mergeCell ref="Y5:AA5"/>
    <mergeCell ref="AC5:AE5"/>
    <mergeCell ref="AG5:AI5"/>
  </mergeCells>
  <printOptions headings="false" gridLines="true" gridLinesSet="true" horizontalCentered="true" verticalCentered="false"/>
  <pageMargins left="0.5" right="0.5" top="1.80972222222222" bottom="0.8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&amp;C&amp;"Arial,Bold"&amp;11&amp;UConstruction Cost Summary
By Unit</oddHeader>
    <oddFooter>&amp;L&amp;F&amp;C&amp;D&amp;RPage 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6"/>
  <sheetViews>
    <sheetView showFormulas="false" showGridLines="false" showRowColHeaders="true" showZeros="true" rightToLeft="false" tabSelected="false" showOutlineSymbols="true" defaultGridColor="true" view="normal" topLeftCell="P1" colorId="64" zoomScale="100" zoomScaleNormal="100" zoomScalePageLayoutView="100" workbookViewId="0">
      <selection pane="topLeft" activeCell="T15" activeCellId="0" sqref="T15"/>
    </sheetView>
  </sheetViews>
  <sheetFormatPr defaultColWidth="9.12890625" defaultRowHeight="12.75" customHeight="true" zeroHeight="false" outlineLevelRow="0" outlineLevelCol="0"/>
  <cols>
    <col collapsed="false" customWidth="true" hidden="false" outlineLevel="0" max="1" min="1" style="104" width="15.7"/>
    <col collapsed="false" customWidth="false" hidden="false" outlineLevel="0" max="3" min="2" style="104" width="9.13"/>
    <col collapsed="false" customWidth="true" hidden="false" outlineLevel="0" max="4" min="4" style="104" width="0.84"/>
    <col collapsed="false" customWidth="false" hidden="false" outlineLevel="0" max="8" min="5" style="104" width="9.13"/>
    <col collapsed="false" customWidth="true" hidden="false" outlineLevel="0" max="9" min="9" style="104" width="0.84"/>
    <col collapsed="false" customWidth="false" hidden="false" outlineLevel="0" max="13" min="10" style="104" width="9.13"/>
    <col collapsed="false" customWidth="true" hidden="false" outlineLevel="0" max="14" min="14" style="104" width="0.84"/>
    <col collapsed="false" customWidth="false" hidden="false" outlineLevel="0" max="15" min="15" style="104" width="9.13"/>
    <col collapsed="false" customWidth="true" hidden="false" outlineLevel="0" max="16" min="16" style="104" width="9.99"/>
    <col collapsed="false" customWidth="true" hidden="false" outlineLevel="0" max="18" min="17" style="104" width="9.28"/>
    <col collapsed="false" customWidth="true" hidden="false" outlineLevel="0" max="19" min="19" style="104" width="0.84"/>
    <col collapsed="false" customWidth="false" hidden="false" outlineLevel="0" max="20" min="20" style="104" width="9.13"/>
    <col collapsed="false" customWidth="true" hidden="false" outlineLevel="0" max="21" min="21" style="104" width="9.99"/>
    <col collapsed="false" customWidth="true" hidden="false" outlineLevel="0" max="23" min="22" style="104" width="9.28"/>
    <col collapsed="false" customWidth="true" hidden="false" outlineLevel="0" max="24" min="24" style="104" width="0.84"/>
    <col collapsed="false" customWidth="true" hidden="false" outlineLevel="0" max="25" min="25" style="104" width="7.41"/>
    <col collapsed="false" customWidth="true" hidden="false" outlineLevel="0" max="26" min="26" style="104" width="9.99"/>
    <col collapsed="false" customWidth="true" hidden="false" outlineLevel="0" max="28" min="27" style="104" width="9.28"/>
    <col collapsed="false" customWidth="true" hidden="false" outlineLevel="0" max="29" min="29" style="104" width="0.84"/>
    <col collapsed="false" customWidth="false" hidden="false" outlineLevel="0" max="30" min="30" style="104" width="9.13"/>
    <col collapsed="false" customWidth="true" hidden="false" outlineLevel="0" max="31" min="31" style="104" width="9.99"/>
    <col collapsed="false" customWidth="true" hidden="false" outlineLevel="0" max="33" min="32" style="104" width="9.28"/>
    <col collapsed="false" customWidth="true" hidden="false" outlineLevel="0" max="34" min="34" style="104" width="0.84"/>
    <col collapsed="false" customWidth="false" hidden="false" outlineLevel="0" max="35" min="35" style="104" width="9.13"/>
    <col collapsed="false" customWidth="true" hidden="false" outlineLevel="0" max="36" min="36" style="104" width="9.99"/>
    <col collapsed="false" customWidth="true" hidden="false" outlineLevel="0" max="38" min="37" style="104" width="9.28"/>
    <col collapsed="false" customWidth="true" hidden="false" outlineLevel="0" max="39" min="39" style="104" width="0.84"/>
    <col collapsed="false" customWidth="false" hidden="false" outlineLevel="0" max="40" min="40" style="104" width="9.13"/>
    <col collapsed="false" customWidth="true" hidden="false" outlineLevel="0" max="41" min="41" style="104" width="9.99"/>
    <col collapsed="false" customWidth="true" hidden="false" outlineLevel="0" max="43" min="42" style="104" width="9.28"/>
    <col collapsed="false" customWidth="true" hidden="false" outlineLevel="0" max="44" min="44" style="104" width="0.84"/>
    <col collapsed="false" customWidth="false" hidden="false" outlineLevel="0" max="45" min="45" style="104" width="9.13"/>
    <col collapsed="false" customWidth="true" hidden="false" outlineLevel="0" max="46" min="46" style="104" width="9.99"/>
    <col collapsed="false" customWidth="true" hidden="false" outlineLevel="0" max="48" min="47" style="104" width="9.28"/>
    <col collapsed="false" customWidth="true" hidden="false" outlineLevel="0" max="49" min="49" style="104" width="0.84"/>
    <col collapsed="false" customWidth="false" hidden="false" outlineLevel="0" max="257" min="50" style="104" width="9.13"/>
  </cols>
  <sheetData>
    <row r="1" customFormat="false" ht="12.75" hidden="false" customHeight="false" outlineLevel="0" collapsed="false">
      <c r="E1" s="105" t="s">
        <v>321</v>
      </c>
      <c r="F1" s="105"/>
      <c r="G1" s="105"/>
      <c r="H1" s="105"/>
      <c r="I1" s="105"/>
      <c r="J1" s="105"/>
      <c r="K1" s="105"/>
      <c r="L1" s="105"/>
      <c r="M1" s="105"/>
      <c r="O1" s="106"/>
      <c r="P1" s="105" t="s">
        <v>322</v>
      </c>
      <c r="Q1" s="105"/>
      <c r="R1" s="105"/>
      <c r="S1" s="105"/>
      <c r="T1" s="105"/>
      <c r="U1" s="105"/>
      <c r="V1" s="105"/>
      <c r="W1" s="105"/>
      <c r="Y1" s="105" t="s">
        <v>323</v>
      </c>
      <c r="Z1" s="105"/>
      <c r="AA1" s="105"/>
      <c r="AB1" s="105"/>
      <c r="AC1" s="105"/>
      <c r="AD1" s="105"/>
      <c r="AE1" s="105"/>
      <c r="AF1" s="105"/>
      <c r="AG1" s="105"/>
      <c r="AI1" s="107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</row>
    <row r="2" customFormat="false" ht="12.75" hidden="false" customHeight="false" outlineLevel="0" collapsed="false">
      <c r="E2" s="108" t="s">
        <v>324</v>
      </c>
      <c r="F2" s="108"/>
      <c r="G2" s="108"/>
      <c r="H2" s="108"/>
      <c r="I2" s="105"/>
      <c r="J2" s="108" t="s">
        <v>325</v>
      </c>
      <c r="K2" s="108"/>
      <c r="L2" s="108"/>
      <c r="M2" s="108"/>
      <c r="O2" s="108" t="s">
        <v>326</v>
      </c>
      <c r="P2" s="108"/>
      <c r="Q2" s="108"/>
      <c r="R2" s="108"/>
      <c r="S2" s="105"/>
      <c r="T2" s="108" t="s">
        <v>327</v>
      </c>
      <c r="U2" s="108"/>
      <c r="V2" s="108"/>
      <c r="W2" s="108"/>
      <c r="X2" s="105"/>
      <c r="Y2" s="108" t="s">
        <v>327</v>
      </c>
      <c r="Z2" s="108"/>
      <c r="AA2" s="108"/>
      <c r="AB2" s="108"/>
      <c r="AD2" s="108" t="s">
        <v>328</v>
      </c>
      <c r="AE2" s="108"/>
      <c r="AF2" s="108"/>
      <c r="AG2" s="108"/>
      <c r="AI2" s="108" t="s">
        <v>329</v>
      </c>
      <c r="AJ2" s="108"/>
      <c r="AK2" s="108"/>
      <c r="AL2" s="108"/>
      <c r="AN2" s="108" t="s">
        <v>330</v>
      </c>
      <c r="AO2" s="108"/>
      <c r="AP2" s="108"/>
      <c r="AQ2" s="108"/>
      <c r="AS2" s="108" t="s">
        <v>331</v>
      </c>
      <c r="AT2" s="108"/>
      <c r="AU2" s="108"/>
      <c r="AV2" s="108"/>
    </row>
    <row r="3" customFormat="false" ht="12.75" hidden="false" customHeight="false" outlineLevel="0" collapsed="false">
      <c r="B3" s="104" t="s">
        <v>332</v>
      </c>
      <c r="C3" s="104" t="s">
        <v>333</v>
      </c>
      <c r="E3" s="104" t="s">
        <v>334</v>
      </c>
      <c r="F3" s="104" t="s">
        <v>237</v>
      </c>
      <c r="G3" s="104" t="s">
        <v>335</v>
      </c>
      <c r="H3" s="104" t="s">
        <v>336</v>
      </c>
      <c r="J3" s="104" t="s">
        <v>334</v>
      </c>
      <c r="K3" s="104" t="s">
        <v>237</v>
      </c>
      <c r="L3" s="104" t="s">
        <v>335</v>
      </c>
      <c r="M3" s="104" t="s">
        <v>336</v>
      </c>
      <c r="O3" s="104" t="s">
        <v>334</v>
      </c>
      <c r="P3" s="104" t="s">
        <v>237</v>
      </c>
      <c r="Q3" s="104" t="s">
        <v>335</v>
      </c>
      <c r="R3" s="104" t="s">
        <v>336</v>
      </c>
      <c r="T3" s="104" t="s">
        <v>334</v>
      </c>
      <c r="U3" s="104" t="s">
        <v>237</v>
      </c>
      <c r="V3" s="104" t="s">
        <v>335</v>
      </c>
      <c r="W3" s="104" t="s">
        <v>336</v>
      </c>
      <c r="Y3" s="104" t="s">
        <v>334</v>
      </c>
      <c r="Z3" s="104" t="s">
        <v>237</v>
      </c>
      <c r="AA3" s="104" t="s">
        <v>335</v>
      </c>
      <c r="AB3" s="104" t="s">
        <v>336</v>
      </c>
      <c r="AD3" s="104" t="s">
        <v>334</v>
      </c>
      <c r="AE3" s="104" t="s">
        <v>237</v>
      </c>
      <c r="AF3" s="104" t="s">
        <v>335</v>
      </c>
      <c r="AG3" s="104" t="s">
        <v>336</v>
      </c>
      <c r="AI3" s="104" t="s">
        <v>334</v>
      </c>
      <c r="AJ3" s="104" t="s">
        <v>237</v>
      </c>
      <c r="AK3" s="104" t="s">
        <v>335</v>
      </c>
      <c r="AL3" s="104" t="s">
        <v>336</v>
      </c>
      <c r="AN3" s="104" t="s">
        <v>334</v>
      </c>
      <c r="AO3" s="104" t="s">
        <v>237</v>
      </c>
      <c r="AP3" s="104" t="s">
        <v>335</v>
      </c>
      <c r="AQ3" s="104" t="s">
        <v>336</v>
      </c>
      <c r="AS3" s="104" t="s">
        <v>334</v>
      </c>
      <c r="AT3" s="104" t="s">
        <v>237</v>
      </c>
      <c r="AU3" s="104" t="s">
        <v>335</v>
      </c>
      <c r="AV3" s="104" t="s">
        <v>336</v>
      </c>
    </row>
    <row r="5" customFormat="false" ht="12.75" hidden="false" customHeight="false" outlineLevel="0" collapsed="false">
      <c r="A5" s="109" t="s">
        <v>337</v>
      </c>
      <c r="B5" s="110" t="n">
        <v>173</v>
      </c>
      <c r="C5" s="110" t="n">
        <v>1</v>
      </c>
      <c r="D5" s="110"/>
      <c r="E5" s="110" t="n">
        <v>477</v>
      </c>
      <c r="F5" s="111" t="n">
        <v>650</v>
      </c>
      <c r="G5" s="112" t="n">
        <v>1.36</v>
      </c>
      <c r="H5" s="111" t="n">
        <v>650</v>
      </c>
      <c r="I5" s="113"/>
      <c r="J5" s="113"/>
      <c r="K5" s="111"/>
      <c r="L5" s="113"/>
      <c r="M5" s="111"/>
      <c r="N5" s="110"/>
      <c r="O5" s="110"/>
      <c r="P5" s="111"/>
      <c r="Q5" s="114"/>
      <c r="R5" s="111"/>
      <c r="S5" s="113"/>
      <c r="T5" s="110" t="n">
        <v>800</v>
      </c>
      <c r="U5" s="111" t="n">
        <v>1000</v>
      </c>
      <c r="V5" s="112" t="n">
        <v>1.25</v>
      </c>
      <c r="W5" s="111" t="n">
        <v>500</v>
      </c>
      <c r="X5" s="113"/>
      <c r="Y5" s="110"/>
      <c r="Z5" s="111"/>
      <c r="AA5" s="110"/>
      <c r="AB5" s="111"/>
      <c r="AC5" s="110"/>
      <c r="AD5" s="110" t="n">
        <v>944</v>
      </c>
      <c r="AE5" s="111" t="n">
        <v>1374</v>
      </c>
      <c r="AF5" s="112" t="n">
        <v>1.46</v>
      </c>
      <c r="AG5" s="111" t="n">
        <v>458</v>
      </c>
      <c r="AH5" s="110"/>
      <c r="AI5" s="110" t="n">
        <v>1100</v>
      </c>
      <c r="AJ5" s="111" t="n">
        <v>1600</v>
      </c>
      <c r="AK5" s="112" t="n">
        <v>1.45</v>
      </c>
      <c r="AL5" s="111" t="n">
        <v>400</v>
      </c>
      <c r="AM5" s="110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0"/>
      <c r="AY5" s="110"/>
      <c r="AZ5" s="110"/>
      <c r="BA5" s="110"/>
      <c r="BB5" s="116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  <c r="IU5" s="115"/>
      <c r="IV5" s="115"/>
      <c r="IW5" s="115"/>
    </row>
    <row r="6" customFormat="false" ht="12.75" hidden="false" customHeight="false" outlineLevel="0" collapsed="false">
      <c r="A6" s="117" t="s">
        <v>338</v>
      </c>
      <c r="B6" s="118" t="n">
        <v>152</v>
      </c>
      <c r="C6" s="118" t="n">
        <v>3</v>
      </c>
      <c r="D6" s="118"/>
      <c r="E6" s="118" t="n">
        <v>689</v>
      </c>
      <c r="F6" s="119" t="n">
        <v>705</v>
      </c>
      <c r="G6" s="120" t="n">
        <v>1.02</v>
      </c>
      <c r="H6" s="119" t="n">
        <v>705</v>
      </c>
      <c r="I6" s="118"/>
      <c r="J6" s="118" t="n">
        <v>806</v>
      </c>
      <c r="K6" s="119" t="n">
        <v>755</v>
      </c>
      <c r="L6" s="120" t="n">
        <v>0.94</v>
      </c>
      <c r="M6" s="119" t="n">
        <v>755</v>
      </c>
      <c r="N6" s="118"/>
      <c r="O6" s="118" t="n">
        <v>988</v>
      </c>
      <c r="P6" s="119" t="n">
        <v>910</v>
      </c>
      <c r="Q6" s="120" t="n">
        <v>0.92</v>
      </c>
      <c r="R6" s="119" t="n">
        <v>455</v>
      </c>
      <c r="S6" s="118"/>
      <c r="T6" s="118" t="n">
        <v>1105</v>
      </c>
      <c r="U6" s="119" t="n">
        <v>1025</v>
      </c>
      <c r="V6" s="120" t="n">
        <v>0.93</v>
      </c>
      <c r="W6" s="119" t="n">
        <v>512.5</v>
      </c>
      <c r="X6" s="121"/>
      <c r="Y6" s="118" t="n">
        <v>1250</v>
      </c>
      <c r="Z6" s="119" t="n">
        <v>1210</v>
      </c>
      <c r="AA6" s="120" t="n">
        <v>0.97</v>
      </c>
      <c r="AB6" s="119" t="n">
        <v>403.33</v>
      </c>
      <c r="AC6" s="118"/>
      <c r="AD6" s="118"/>
      <c r="AE6" s="119"/>
      <c r="AF6" s="118"/>
      <c r="AG6" s="119"/>
      <c r="AH6" s="118"/>
      <c r="AI6" s="118" t="n">
        <v>1350</v>
      </c>
      <c r="AJ6" s="119" t="n">
        <v>1624</v>
      </c>
      <c r="AK6" s="120" t="n">
        <v>1.2</v>
      </c>
      <c r="AL6" s="119" t="n">
        <v>406</v>
      </c>
      <c r="AM6" s="113"/>
      <c r="AN6" s="118"/>
      <c r="AO6" s="119"/>
      <c r="AP6" s="118"/>
      <c r="AQ6" s="119"/>
      <c r="AR6" s="118"/>
      <c r="AS6" s="118"/>
      <c r="AT6" s="119"/>
      <c r="AU6" s="118"/>
      <c r="AV6" s="119"/>
      <c r="AW6" s="118"/>
      <c r="AX6" s="118"/>
      <c r="AY6" s="118"/>
      <c r="AZ6" s="118"/>
      <c r="BA6" s="118"/>
      <c r="BB6" s="122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5"/>
      <c r="EQ6" s="115"/>
      <c r="ER6" s="115"/>
      <c r="ES6" s="115"/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5"/>
      <c r="FG6" s="115"/>
      <c r="FH6" s="115"/>
      <c r="FI6" s="115"/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115"/>
      <c r="FU6" s="115"/>
      <c r="FV6" s="115"/>
      <c r="FW6" s="115"/>
      <c r="FX6" s="115"/>
      <c r="FY6" s="115"/>
      <c r="FZ6" s="115"/>
      <c r="GA6" s="115"/>
      <c r="GB6" s="115"/>
      <c r="GC6" s="115"/>
      <c r="GD6" s="115"/>
      <c r="GE6" s="115"/>
      <c r="GF6" s="115"/>
      <c r="GG6" s="115"/>
      <c r="GH6" s="115"/>
      <c r="GI6" s="115"/>
      <c r="GJ6" s="115"/>
      <c r="GK6" s="115"/>
      <c r="GL6" s="115"/>
      <c r="GM6" s="115"/>
      <c r="GN6" s="115"/>
      <c r="GO6" s="115"/>
      <c r="GP6" s="115"/>
      <c r="GQ6" s="115"/>
      <c r="GR6" s="115"/>
      <c r="GS6" s="115"/>
      <c r="GT6" s="115"/>
      <c r="GU6" s="115"/>
      <c r="GV6" s="115"/>
      <c r="GW6" s="115"/>
      <c r="GX6" s="115"/>
      <c r="GY6" s="115"/>
      <c r="GZ6" s="115"/>
      <c r="HA6" s="115"/>
      <c r="HB6" s="115"/>
      <c r="HC6" s="115"/>
      <c r="HD6" s="115"/>
      <c r="HE6" s="115"/>
      <c r="HF6" s="115"/>
      <c r="HG6" s="115"/>
      <c r="HH6" s="115"/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115"/>
      <c r="IA6" s="115"/>
      <c r="IB6" s="115"/>
      <c r="IC6" s="115"/>
      <c r="ID6" s="115"/>
      <c r="IE6" s="115"/>
      <c r="IF6" s="115"/>
      <c r="IG6" s="115"/>
      <c r="IH6" s="115"/>
      <c r="II6" s="115"/>
      <c r="IJ6" s="115"/>
      <c r="IK6" s="115"/>
      <c r="IL6" s="115"/>
      <c r="IM6" s="115"/>
      <c r="IN6" s="115"/>
      <c r="IO6" s="115"/>
      <c r="IP6" s="115"/>
      <c r="IQ6" s="115"/>
      <c r="IR6" s="115"/>
      <c r="IS6" s="115"/>
      <c r="IT6" s="115"/>
      <c r="IU6" s="115"/>
      <c r="IV6" s="115"/>
      <c r="IW6" s="115"/>
    </row>
    <row r="7" customFormat="false" ht="12.75" hidden="false" customHeight="false" outlineLevel="0" collapsed="false">
      <c r="A7" s="117" t="s">
        <v>339</v>
      </c>
      <c r="B7" s="118" t="n">
        <v>258</v>
      </c>
      <c r="C7" s="118" t="n">
        <v>3</v>
      </c>
      <c r="D7" s="118"/>
      <c r="E7" s="118" t="n">
        <v>501</v>
      </c>
      <c r="F7" s="119" t="n">
        <v>600</v>
      </c>
      <c r="G7" s="120" t="n">
        <v>1.2</v>
      </c>
      <c r="H7" s="119" t="n">
        <v>600</v>
      </c>
      <c r="I7" s="118"/>
      <c r="J7" s="118" t="n">
        <v>755</v>
      </c>
      <c r="K7" s="119" t="n">
        <v>725</v>
      </c>
      <c r="L7" s="120" t="n">
        <v>0.96</v>
      </c>
      <c r="M7" s="119" t="n">
        <v>725</v>
      </c>
      <c r="N7" s="118"/>
      <c r="O7" s="118" t="n">
        <v>886</v>
      </c>
      <c r="P7" s="119" t="n">
        <v>810</v>
      </c>
      <c r="Q7" s="120" t="n">
        <v>0.91</v>
      </c>
      <c r="R7" s="119" t="n">
        <v>405</v>
      </c>
      <c r="S7" s="118"/>
      <c r="T7" s="118" t="n">
        <v>933</v>
      </c>
      <c r="U7" s="119" t="n">
        <v>900</v>
      </c>
      <c r="V7" s="120" t="n">
        <v>0.96</v>
      </c>
      <c r="W7" s="119" t="n">
        <v>450</v>
      </c>
      <c r="X7" s="118"/>
      <c r="Y7" s="118"/>
      <c r="Z7" s="119"/>
      <c r="AA7" s="118"/>
      <c r="AB7" s="119"/>
      <c r="AC7" s="118"/>
      <c r="AD7" s="118"/>
      <c r="AE7" s="119"/>
      <c r="AF7" s="118"/>
      <c r="AG7" s="119"/>
      <c r="AH7" s="118"/>
      <c r="AI7" s="118" t="n">
        <v>1556</v>
      </c>
      <c r="AJ7" s="119" t="n">
        <v>1880</v>
      </c>
      <c r="AK7" s="120" t="n">
        <v>1.21</v>
      </c>
      <c r="AL7" s="119" t="n">
        <v>470</v>
      </c>
      <c r="AM7" s="110"/>
      <c r="AN7" s="118"/>
      <c r="AO7" s="119"/>
      <c r="AP7" s="118"/>
      <c r="AQ7" s="119"/>
      <c r="AR7" s="118"/>
      <c r="AS7" s="118"/>
      <c r="AT7" s="119"/>
      <c r="AU7" s="118"/>
      <c r="AV7" s="119"/>
      <c r="AW7" s="118"/>
      <c r="AX7" s="118"/>
      <c r="AY7" s="118"/>
      <c r="AZ7" s="118"/>
      <c r="BA7" s="118"/>
      <c r="BB7" s="122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15"/>
      <c r="FF7" s="115"/>
      <c r="FG7" s="115"/>
      <c r="FH7" s="115"/>
      <c r="FI7" s="115"/>
      <c r="FJ7" s="115"/>
      <c r="FK7" s="115"/>
      <c r="FL7" s="115"/>
      <c r="FM7" s="115"/>
      <c r="FN7" s="115"/>
      <c r="FO7" s="115"/>
      <c r="FP7" s="115"/>
      <c r="FQ7" s="115"/>
      <c r="FR7" s="115"/>
      <c r="FS7" s="115"/>
      <c r="FT7" s="115"/>
      <c r="FU7" s="115"/>
      <c r="FV7" s="115"/>
      <c r="FW7" s="115"/>
      <c r="FX7" s="115"/>
      <c r="FY7" s="115"/>
      <c r="FZ7" s="115"/>
      <c r="GA7" s="115"/>
      <c r="GB7" s="115"/>
      <c r="GC7" s="115"/>
      <c r="GD7" s="115"/>
      <c r="GE7" s="115"/>
      <c r="GF7" s="115"/>
      <c r="GG7" s="115"/>
      <c r="GH7" s="115"/>
      <c r="GI7" s="115"/>
      <c r="GJ7" s="115"/>
      <c r="GK7" s="115"/>
      <c r="GL7" s="115"/>
      <c r="GM7" s="115"/>
      <c r="GN7" s="115"/>
      <c r="GO7" s="115"/>
      <c r="GP7" s="115"/>
      <c r="GQ7" s="115"/>
      <c r="GR7" s="115"/>
      <c r="GS7" s="115"/>
      <c r="GT7" s="115"/>
      <c r="GU7" s="115"/>
      <c r="GV7" s="115"/>
      <c r="GW7" s="115"/>
      <c r="GX7" s="115"/>
      <c r="GY7" s="115"/>
      <c r="GZ7" s="115"/>
      <c r="HA7" s="115"/>
      <c r="HB7" s="115"/>
      <c r="HC7" s="115"/>
      <c r="HD7" s="115"/>
      <c r="HE7" s="115"/>
      <c r="HF7" s="115"/>
      <c r="HG7" s="115"/>
      <c r="HH7" s="115"/>
      <c r="HI7" s="115"/>
      <c r="HJ7" s="115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115"/>
      <c r="IA7" s="115"/>
      <c r="IB7" s="115"/>
      <c r="IC7" s="115"/>
      <c r="ID7" s="115"/>
      <c r="IE7" s="115"/>
      <c r="IF7" s="115"/>
      <c r="IG7" s="115"/>
      <c r="IH7" s="115"/>
      <c r="II7" s="115"/>
      <c r="IJ7" s="115"/>
      <c r="IK7" s="115"/>
      <c r="IL7" s="115"/>
      <c r="IM7" s="115"/>
      <c r="IN7" s="115"/>
      <c r="IO7" s="115"/>
      <c r="IP7" s="115"/>
      <c r="IQ7" s="115"/>
      <c r="IR7" s="115"/>
      <c r="IS7" s="115"/>
      <c r="IT7" s="115"/>
      <c r="IU7" s="115"/>
      <c r="IV7" s="115"/>
      <c r="IW7" s="115"/>
    </row>
    <row r="8" customFormat="false" ht="12.75" hidden="false" customHeight="false" outlineLevel="0" collapsed="false">
      <c r="A8" s="117" t="s">
        <v>340</v>
      </c>
      <c r="B8" s="118" t="n">
        <v>192</v>
      </c>
      <c r="C8" s="118" t="n">
        <v>3</v>
      </c>
      <c r="D8" s="118"/>
      <c r="E8" s="118"/>
      <c r="F8" s="119"/>
      <c r="G8" s="121"/>
      <c r="H8" s="119"/>
      <c r="I8" s="118"/>
      <c r="J8" s="118"/>
      <c r="K8" s="119"/>
      <c r="L8" s="118"/>
      <c r="M8" s="119"/>
      <c r="N8" s="118"/>
      <c r="O8" s="118"/>
      <c r="P8" s="119"/>
      <c r="Q8" s="121"/>
      <c r="R8" s="119"/>
      <c r="S8" s="118"/>
      <c r="T8" s="118" t="n">
        <v>1058</v>
      </c>
      <c r="U8" s="119" t="n">
        <v>1064</v>
      </c>
      <c r="V8" s="120" t="n">
        <v>1.01</v>
      </c>
      <c r="W8" s="119" t="n">
        <v>532</v>
      </c>
      <c r="X8" s="118"/>
      <c r="Y8" s="118"/>
      <c r="Z8" s="119"/>
      <c r="AA8" s="118"/>
      <c r="AB8" s="119"/>
      <c r="AC8" s="118"/>
      <c r="AD8" s="118" t="n">
        <v>1000</v>
      </c>
      <c r="AE8" s="119" t="n">
        <v>1281</v>
      </c>
      <c r="AF8" s="120" t="n">
        <v>1.28</v>
      </c>
      <c r="AG8" s="119" t="n">
        <v>427</v>
      </c>
      <c r="AH8" s="118"/>
      <c r="AI8" s="118"/>
      <c r="AJ8" s="119"/>
      <c r="AK8" s="118"/>
      <c r="AL8" s="119"/>
      <c r="AM8" s="118"/>
      <c r="AN8" s="118"/>
      <c r="AO8" s="119"/>
      <c r="AP8" s="118"/>
      <c r="AQ8" s="119"/>
      <c r="AR8" s="118"/>
      <c r="AS8" s="118"/>
      <c r="AT8" s="119"/>
      <c r="AU8" s="118"/>
      <c r="AV8" s="119"/>
      <c r="AW8" s="118"/>
      <c r="AX8" s="118"/>
      <c r="AY8" s="118"/>
      <c r="AZ8" s="118"/>
      <c r="BA8" s="118"/>
      <c r="BB8" s="122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5"/>
      <c r="FL8" s="115"/>
      <c r="FM8" s="115"/>
      <c r="FN8" s="115"/>
      <c r="FO8" s="115"/>
      <c r="FP8" s="115"/>
      <c r="FQ8" s="115"/>
      <c r="FR8" s="115"/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5"/>
      <c r="GK8" s="115"/>
      <c r="GL8" s="115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115"/>
      <c r="GZ8" s="115"/>
      <c r="HA8" s="115"/>
      <c r="HB8" s="115"/>
      <c r="HC8" s="115"/>
      <c r="HD8" s="115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15"/>
      <c r="IA8" s="115"/>
      <c r="IB8" s="115"/>
      <c r="IC8" s="115"/>
      <c r="ID8" s="115"/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5"/>
      <c r="IP8" s="115"/>
      <c r="IQ8" s="115"/>
      <c r="IR8" s="115"/>
      <c r="IS8" s="115"/>
      <c r="IT8" s="115"/>
      <c r="IU8" s="115"/>
      <c r="IV8" s="115"/>
      <c r="IW8" s="115"/>
    </row>
    <row r="9" customFormat="false" ht="12.75" hidden="false" customHeight="false" outlineLevel="0" collapsed="false">
      <c r="A9" s="117" t="s">
        <v>340</v>
      </c>
      <c r="B9" s="118"/>
      <c r="C9" s="118"/>
      <c r="D9" s="118"/>
      <c r="E9" s="118"/>
      <c r="F9" s="119"/>
      <c r="G9" s="121"/>
      <c r="H9" s="119"/>
      <c r="I9" s="118"/>
      <c r="J9" s="118"/>
      <c r="K9" s="119"/>
      <c r="L9" s="118"/>
      <c r="M9" s="119"/>
      <c r="N9" s="118"/>
      <c r="O9" s="118"/>
      <c r="P9" s="119"/>
      <c r="Q9" s="121"/>
      <c r="R9" s="119"/>
      <c r="S9" s="118"/>
      <c r="T9" s="118" t="n">
        <v>1058</v>
      </c>
      <c r="U9" s="119" t="n">
        <v>976</v>
      </c>
      <c r="V9" s="120" t="n">
        <v>0.92</v>
      </c>
      <c r="W9" s="119" t="n">
        <v>488</v>
      </c>
      <c r="X9" s="118"/>
      <c r="Y9" s="118"/>
      <c r="Z9" s="119"/>
      <c r="AA9" s="118"/>
      <c r="AB9" s="119"/>
      <c r="AC9" s="118"/>
      <c r="AD9" s="118"/>
      <c r="AE9" s="119"/>
      <c r="AF9" s="118"/>
      <c r="AG9" s="119"/>
      <c r="AH9" s="118"/>
      <c r="AI9" s="118"/>
      <c r="AJ9" s="119"/>
      <c r="AK9" s="118"/>
      <c r="AL9" s="119"/>
      <c r="AM9" s="118"/>
      <c r="AN9" s="118"/>
      <c r="AO9" s="119"/>
      <c r="AP9" s="118"/>
      <c r="AQ9" s="119"/>
      <c r="AR9" s="118"/>
      <c r="AS9" s="118"/>
      <c r="AT9" s="119"/>
      <c r="AU9" s="118"/>
      <c r="AV9" s="119"/>
      <c r="AW9" s="118"/>
      <c r="AX9" s="118"/>
      <c r="AY9" s="118"/>
      <c r="AZ9" s="118"/>
      <c r="BA9" s="118"/>
      <c r="BB9" s="122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  <c r="EY9" s="115"/>
      <c r="EZ9" s="115"/>
      <c r="FA9" s="115"/>
      <c r="FB9" s="115"/>
      <c r="FC9" s="115"/>
      <c r="FD9" s="115"/>
      <c r="FE9" s="115"/>
      <c r="FF9" s="115"/>
      <c r="FG9" s="115"/>
      <c r="FH9" s="115"/>
      <c r="FI9" s="115"/>
      <c r="FJ9" s="115"/>
      <c r="FK9" s="115"/>
      <c r="FL9" s="115"/>
      <c r="FM9" s="115"/>
      <c r="FN9" s="115"/>
      <c r="FO9" s="115"/>
      <c r="FP9" s="115"/>
      <c r="FQ9" s="115"/>
      <c r="FR9" s="115"/>
      <c r="FS9" s="115"/>
      <c r="FT9" s="115"/>
      <c r="FU9" s="115"/>
      <c r="FV9" s="115"/>
      <c r="FW9" s="115"/>
      <c r="FX9" s="115"/>
      <c r="FY9" s="115"/>
      <c r="FZ9" s="115"/>
      <c r="GA9" s="115"/>
      <c r="GB9" s="115"/>
      <c r="GC9" s="115"/>
      <c r="GD9" s="115"/>
      <c r="GE9" s="115"/>
      <c r="GF9" s="115"/>
      <c r="GG9" s="115"/>
      <c r="GH9" s="115"/>
      <c r="GI9" s="115"/>
      <c r="GJ9" s="115"/>
      <c r="GK9" s="115"/>
      <c r="GL9" s="115"/>
      <c r="GM9" s="115"/>
      <c r="GN9" s="115"/>
      <c r="GO9" s="115"/>
      <c r="GP9" s="115"/>
      <c r="GQ9" s="115"/>
      <c r="GR9" s="115"/>
      <c r="GS9" s="115"/>
      <c r="GT9" s="115"/>
      <c r="GU9" s="115"/>
      <c r="GV9" s="115"/>
      <c r="GW9" s="115"/>
      <c r="GX9" s="115"/>
      <c r="GY9" s="115"/>
      <c r="GZ9" s="115"/>
      <c r="HA9" s="115"/>
      <c r="HB9" s="115"/>
      <c r="HC9" s="115"/>
      <c r="HD9" s="115"/>
      <c r="HE9" s="115"/>
      <c r="HF9" s="115"/>
      <c r="HG9" s="115"/>
      <c r="HH9" s="115"/>
      <c r="HI9" s="115"/>
      <c r="HJ9" s="115"/>
      <c r="HK9" s="115"/>
      <c r="HL9" s="115"/>
      <c r="HM9" s="115"/>
      <c r="HN9" s="115"/>
      <c r="HO9" s="115"/>
      <c r="HP9" s="115"/>
      <c r="HQ9" s="115"/>
      <c r="HR9" s="115"/>
      <c r="HS9" s="115"/>
      <c r="HT9" s="115"/>
      <c r="HU9" s="115"/>
      <c r="HV9" s="115"/>
      <c r="HW9" s="115"/>
      <c r="HX9" s="115"/>
      <c r="HY9" s="115"/>
      <c r="HZ9" s="115"/>
      <c r="IA9" s="115"/>
      <c r="IB9" s="115"/>
      <c r="IC9" s="115"/>
      <c r="ID9" s="115"/>
      <c r="IE9" s="115"/>
      <c r="IF9" s="115"/>
      <c r="IG9" s="115"/>
      <c r="IH9" s="115"/>
      <c r="II9" s="115"/>
      <c r="IJ9" s="115"/>
      <c r="IK9" s="115"/>
      <c r="IL9" s="115"/>
      <c r="IM9" s="115"/>
      <c r="IN9" s="115"/>
      <c r="IO9" s="115"/>
      <c r="IP9" s="115"/>
      <c r="IQ9" s="115"/>
      <c r="IR9" s="115"/>
      <c r="IS9" s="115"/>
      <c r="IT9" s="115"/>
      <c r="IU9" s="115"/>
      <c r="IV9" s="115"/>
      <c r="IW9" s="115"/>
    </row>
    <row r="10" customFormat="false" ht="12.75" hidden="false" customHeight="false" outlineLevel="0" collapsed="false">
      <c r="A10" s="123"/>
      <c r="B10" s="124"/>
      <c r="C10" s="124"/>
      <c r="D10" s="124"/>
      <c r="E10" s="124"/>
      <c r="F10" s="125"/>
      <c r="G10" s="126"/>
      <c r="H10" s="125"/>
      <c r="I10" s="124"/>
      <c r="J10" s="124"/>
      <c r="K10" s="125"/>
      <c r="L10" s="124"/>
      <c r="M10" s="125"/>
      <c r="N10" s="124"/>
      <c r="O10" s="124"/>
      <c r="P10" s="125"/>
      <c r="Q10" s="126"/>
      <c r="R10" s="125"/>
      <c r="S10" s="124"/>
      <c r="T10" s="127" t="n">
        <v>990.8</v>
      </c>
      <c r="U10" s="125" t="n">
        <v>993</v>
      </c>
      <c r="V10" s="128" t="n">
        <v>1.01</v>
      </c>
      <c r="W10" s="125" t="n">
        <v>496.5</v>
      </c>
      <c r="X10" s="124"/>
      <c r="Y10" s="129" t="n">
        <f aca="false">AVERAGE(Y5:Y9)</f>
        <v>1250</v>
      </c>
      <c r="Z10" s="129" t="n">
        <f aca="false">AVERAGE(Z5:Z9)</f>
        <v>1210</v>
      </c>
      <c r="AA10" s="127" t="n">
        <f aca="false">AVERAGE(AA5:AA9)</f>
        <v>0.97</v>
      </c>
      <c r="AB10" s="129" t="n">
        <f aca="false">AVERAGE(AB5:AB9)</f>
        <v>403.33</v>
      </c>
      <c r="AC10" s="124"/>
      <c r="AD10" s="129" t="n">
        <f aca="false">AVERAGE(AD5:AD9)</f>
        <v>972</v>
      </c>
      <c r="AE10" s="129" t="n">
        <f aca="false">AVERAGE(AE5:AE9)</f>
        <v>1327.5</v>
      </c>
      <c r="AF10" s="127" t="n">
        <f aca="false">AVERAGE(AF5:AF9)</f>
        <v>1.37</v>
      </c>
      <c r="AG10" s="129" t="n">
        <f aca="false">AVERAGE(AG5:AG9)</f>
        <v>442.5</v>
      </c>
      <c r="AH10" s="124"/>
      <c r="AI10" s="129" t="n">
        <f aca="false">AVERAGE(AI5:AI9)</f>
        <v>1335.33333333333</v>
      </c>
      <c r="AJ10" s="129" t="n">
        <f aca="false">AVERAGE(AJ5:AJ9)</f>
        <v>1701.33333333333</v>
      </c>
      <c r="AK10" s="127" t="n">
        <f aca="false">AVERAGE(AK5:AK9)</f>
        <v>1.28666666666667</v>
      </c>
      <c r="AL10" s="129" t="n">
        <f aca="false">AVERAGE(AL5:AL9)</f>
        <v>425.333333333333</v>
      </c>
      <c r="AM10" s="124"/>
      <c r="AN10" s="124"/>
      <c r="AO10" s="125"/>
      <c r="AP10" s="124"/>
      <c r="AQ10" s="125"/>
      <c r="AR10" s="124"/>
      <c r="AS10" s="124"/>
      <c r="AT10" s="125"/>
      <c r="AU10" s="124"/>
      <c r="AV10" s="125"/>
      <c r="AW10" s="124"/>
      <c r="AX10" s="124"/>
      <c r="AY10" s="124"/>
      <c r="AZ10" s="124"/>
      <c r="BA10" s="124"/>
      <c r="BB10" s="130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  <c r="IT10" s="131"/>
      <c r="IU10" s="131"/>
      <c r="IV10" s="131"/>
      <c r="IW10" s="131"/>
    </row>
    <row r="11" customFormat="false" ht="12.75" hidden="false" customHeight="false" outlineLevel="0" collapsed="false">
      <c r="F11" s="132"/>
      <c r="G11" s="133"/>
      <c r="H11" s="132"/>
      <c r="K11" s="134"/>
      <c r="M11" s="134"/>
      <c r="P11" s="134"/>
      <c r="Q11" s="133"/>
      <c r="R11" s="132"/>
      <c r="U11" s="134"/>
      <c r="V11" s="133"/>
      <c r="W11" s="132"/>
      <c r="Z11" s="134"/>
      <c r="AB11" s="134"/>
      <c r="AE11" s="134"/>
      <c r="AG11" s="134"/>
      <c r="AJ11" s="134"/>
      <c r="AL11" s="134"/>
      <c r="AO11" s="134"/>
      <c r="AQ11" s="134"/>
      <c r="AT11" s="134"/>
      <c r="AV11" s="134"/>
    </row>
    <row r="12" customFormat="false" ht="12.75" hidden="false" customHeight="false" outlineLevel="0" collapsed="false">
      <c r="A12" s="135" t="s">
        <v>341</v>
      </c>
      <c r="B12" s="136" t="n">
        <v>134</v>
      </c>
      <c r="C12" s="136" t="n">
        <v>0</v>
      </c>
      <c r="D12" s="136"/>
      <c r="E12" s="136" t="n">
        <v>0</v>
      </c>
      <c r="F12" s="137" t="n">
        <v>0</v>
      </c>
      <c r="G12" s="138"/>
      <c r="H12" s="137"/>
      <c r="I12" s="136"/>
      <c r="J12" s="136" t="n">
        <v>0</v>
      </c>
      <c r="K12" s="139" t="n">
        <v>0</v>
      </c>
      <c r="L12" s="136" t="n">
        <v>0</v>
      </c>
      <c r="M12" s="139" t="n">
        <v>0</v>
      </c>
      <c r="N12" s="136"/>
      <c r="O12" s="136"/>
      <c r="P12" s="139"/>
      <c r="Q12" s="138"/>
      <c r="R12" s="137"/>
      <c r="S12" s="136"/>
      <c r="T12" s="136" t="n">
        <v>1107</v>
      </c>
      <c r="U12" s="139" t="n">
        <v>1150</v>
      </c>
      <c r="V12" s="138" t="n">
        <f aca="false">+U12/T12</f>
        <v>1.03884372177055</v>
      </c>
      <c r="W12" s="137" t="n">
        <f aca="false">+U12/2</f>
        <v>575</v>
      </c>
      <c r="X12" s="136"/>
      <c r="Y12" s="136"/>
      <c r="Z12" s="139"/>
      <c r="AA12" s="136"/>
      <c r="AB12" s="139"/>
      <c r="AC12" s="136"/>
      <c r="AD12" s="136" t="n">
        <f aca="false">1298</f>
        <v>1298</v>
      </c>
      <c r="AE12" s="139" t="n">
        <f aca="false">475*3</f>
        <v>1425</v>
      </c>
      <c r="AF12" s="138" t="n">
        <f aca="false">+AE12/AD12</f>
        <v>1.09784283513097</v>
      </c>
      <c r="AG12" s="137" t="n">
        <f aca="false">+AE12/3</f>
        <v>475</v>
      </c>
      <c r="AH12" s="136"/>
      <c r="AI12" s="136"/>
      <c r="AJ12" s="139"/>
      <c r="AK12" s="136"/>
      <c r="AL12" s="139"/>
      <c r="AM12" s="136"/>
      <c r="AN12" s="136"/>
      <c r="AO12" s="139"/>
      <c r="AP12" s="136"/>
      <c r="AQ12" s="139"/>
      <c r="AR12" s="136"/>
      <c r="AS12" s="136"/>
      <c r="AT12" s="139"/>
      <c r="AU12" s="136"/>
      <c r="AV12" s="140"/>
    </row>
    <row r="13" customFormat="false" ht="12.75" hidden="false" customHeight="false" outlineLevel="0" collapsed="false">
      <c r="A13" s="141"/>
      <c r="B13" s="142"/>
      <c r="C13" s="142"/>
      <c r="D13" s="142"/>
      <c r="E13" s="142"/>
      <c r="F13" s="143"/>
      <c r="G13" s="144"/>
      <c r="H13" s="143"/>
      <c r="I13" s="142"/>
      <c r="J13" s="142"/>
      <c r="K13" s="145"/>
      <c r="L13" s="142"/>
      <c r="M13" s="145"/>
      <c r="N13" s="142"/>
      <c r="O13" s="142"/>
      <c r="P13" s="145"/>
      <c r="Q13" s="144"/>
      <c r="R13" s="143"/>
      <c r="S13" s="142"/>
      <c r="T13" s="142" t="n">
        <v>1198</v>
      </c>
      <c r="U13" s="145" t="n">
        <v>1200</v>
      </c>
      <c r="V13" s="144" t="n">
        <f aca="false">+U13/T13</f>
        <v>1.0016694490818</v>
      </c>
      <c r="W13" s="143" t="n">
        <f aca="false">+U13/2</f>
        <v>600</v>
      </c>
      <c r="X13" s="142"/>
      <c r="Y13" s="142"/>
      <c r="Z13" s="145"/>
      <c r="AA13" s="142"/>
      <c r="AB13" s="145"/>
      <c r="AC13" s="142"/>
      <c r="AD13" s="142"/>
      <c r="AE13" s="145"/>
      <c r="AF13" s="142"/>
      <c r="AG13" s="145"/>
      <c r="AH13" s="142"/>
      <c r="AI13" s="142"/>
      <c r="AJ13" s="145"/>
      <c r="AK13" s="142"/>
      <c r="AL13" s="145"/>
      <c r="AM13" s="142"/>
      <c r="AN13" s="142"/>
      <c r="AO13" s="145"/>
      <c r="AP13" s="142"/>
      <c r="AQ13" s="145"/>
      <c r="AR13" s="142"/>
      <c r="AS13" s="142"/>
      <c r="AT13" s="145"/>
      <c r="AU13" s="142"/>
      <c r="AV13" s="146"/>
    </row>
    <row r="14" customFormat="false" ht="12.75" hidden="false" customHeight="false" outlineLevel="0" collapsed="false">
      <c r="F14" s="132"/>
      <c r="G14" s="133"/>
      <c r="H14" s="132"/>
      <c r="K14" s="134"/>
      <c r="M14" s="134"/>
      <c r="P14" s="134"/>
      <c r="Q14" s="133"/>
      <c r="R14" s="132"/>
      <c r="T14" s="136" t="n">
        <f aca="false">1107-150</f>
        <v>957</v>
      </c>
      <c r="U14" s="134" t="n">
        <f aca="false">W14*2</f>
        <v>1200</v>
      </c>
      <c r="V14" s="147" t="n">
        <f aca="false">+U14/U14</f>
        <v>1</v>
      </c>
      <c r="W14" s="143" t="n">
        <v>600</v>
      </c>
      <c r="Z14" s="134"/>
      <c r="AB14" s="134"/>
      <c r="AE14" s="134"/>
      <c r="AG14" s="134"/>
      <c r="AJ14" s="134"/>
      <c r="AL14" s="134"/>
      <c r="AO14" s="134"/>
      <c r="AQ14" s="134"/>
      <c r="AT14" s="134"/>
      <c r="AV14" s="134"/>
    </row>
    <row r="15" customFormat="false" ht="12.75" hidden="false" customHeight="false" outlineLevel="0" collapsed="false">
      <c r="F15" s="132"/>
      <c r="G15" s="133"/>
      <c r="H15" s="132"/>
      <c r="K15" s="134"/>
      <c r="M15" s="134"/>
      <c r="P15" s="134"/>
      <c r="Q15" s="133"/>
      <c r="R15" s="132"/>
      <c r="T15" s="142" t="n">
        <v>1198</v>
      </c>
      <c r="U15" s="134" t="n">
        <f aca="false">V15*T15</f>
        <v>1497.5</v>
      </c>
      <c r="V15" s="104" t="n">
        <v>1.25</v>
      </c>
      <c r="W15" s="143" t="n">
        <f aca="false">+U15/2</f>
        <v>748.75</v>
      </c>
      <c r="Z15" s="134"/>
      <c r="AB15" s="134"/>
      <c r="AE15" s="134"/>
      <c r="AG15" s="134"/>
      <c r="AJ15" s="134"/>
      <c r="AL15" s="134"/>
      <c r="AO15" s="134"/>
      <c r="AQ15" s="134"/>
      <c r="AT15" s="134"/>
      <c r="AV15" s="134"/>
    </row>
    <row r="16" customFormat="false" ht="12.75" hidden="false" customHeight="false" outlineLevel="0" collapsed="false">
      <c r="F16" s="132"/>
      <c r="G16" s="133"/>
      <c r="H16" s="132"/>
      <c r="K16" s="134"/>
      <c r="M16" s="134"/>
      <c r="P16" s="134"/>
      <c r="Q16" s="133"/>
      <c r="R16" s="132"/>
      <c r="U16" s="134"/>
      <c r="W16" s="134"/>
      <c r="Z16" s="134"/>
      <c r="AB16" s="134"/>
      <c r="AE16" s="134"/>
      <c r="AG16" s="134"/>
      <c r="AJ16" s="134"/>
      <c r="AL16" s="134"/>
      <c r="AO16" s="134"/>
      <c r="AQ16" s="134"/>
      <c r="AT16" s="134"/>
      <c r="AV16" s="134"/>
    </row>
    <row r="17" customFormat="false" ht="12.75" hidden="false" customHeight="false" outlineLevel="0" collapsed="false">
      <c r="F17" s="132"/>
      <c r="G17" s="133"/>
      <c r="H17" s="132"/>
      <c r="K17" s="134"/>
      <c r="M17" s="134"/>
      <c r="P17" s="134"/>
      <c r="Q17" s="133"/>
      <c r="R17" s="132"/>
      <c r="U17" s="134"/>
      <c r="W17" s="134"/>
      <c r="Z17" s="134"/>
      <c r="AB17" s="134"/>
      <c r="AE17" s="134"/>
      <c r="AG17" s="134"/>
      <c r="AJ17" s="134"/>
      <c r="AL17" s="134"/>
      <c r="AO17" s="134"/>
      <c r="AQ17" s="134"/>
      <c r="AT17" s="134"/>
      <c r="AV17" s="134"/>
    </row>
    <row r="18" customFormat="false" ht="12.75" hidden="false" customHeight="false" outlineLevel="0" collapsed="false">
      <c r="F18" s="132"/>
      <c r="G18" s="133"/>
      <c r="H18" s="132"/>
      <c r="K18" s="134"/>
      <c r="M18" s="134"/>
      <c r="P18" s="134"/>
      <c r="Q18" s="133"/>
      <c r="R18" s="132"/>
      <c r="U18" s="134"/>
      <c r="W18" s="134"/>
      <c r="Z18" s="134"/>
      <c r="AB18" s="134"/>
      <c r="AE18" s="134"/>
      <c r="AG18" s="134"/>
      <c r="AJ18" s="134"/>
      <c r="AL18" s="134"/>
      <c r="AO18" s="134"/>
      <c r="AQ18" s="134"/>
      <c r="AT18" s="134"/>
      <c r="AV18" s="134"/>
    </row>
    <row r="19" customFormat="false" ht="12.75" hidden="false" customHeight="false" outlineLevel="0" collapsed="false">
      <c r="F19" s="132"/>
      <c r="G19" s="133"/>
      <c r="H19" s="132"/>
      <c r="K19" s="134"/>
      <c r="M19" s="134"/>
      <c r="P19" s="134"/>
      <c r="Q19" s="133"/>
      <c r="R19" s="132"/>
      <c r="U19" s="134"/>
      <c r="W19" s="134"/>
      <c r="Z19" s="134"/>
      <c r="AB19" s="134"/>
      <c r="AE19" s="134"/>
      <c r="AG19" s="134"/>
      <c r="AJ19" s="134"/>
      <c r="AL19" s="134"/>
      <c r="AO19" s="134"/>
      <c r="AQ19" s="134"/>
      <c r="AT19" s="134"/>
      <c r="AV19" s="134"/>
    </row>
    <row r="20" customFormat="false" ht="12.75" hidden="false" customHeight="false" outlineLevel="0" collapsed="false">
      <c r="F20" s="132"/>
      <c r="G20" s="133"/>
      <c r="H20" s="132"/>
      <c r="K20" s="134"/>
      <c r="M20" s="134"/>
      <c r="P20" s="134"/>
      <c r="Q20" s="133"/>
      <c r="R20" s="132"/>
      <c r="U20" s="134"/>
      <c r="W20" s="134"/>
      <c r="Z20" s="134"/>
      <c r="AB20" s="134"/>
      <c r="AE20" s="134"/>
      <c r="AG20" s="134"/>
      <c r="AJ20" s="134"/>
      <c r="AL20" s="134"/>
      <c r="AO20" s="134"/>
      <c r="AQ20" s="134"/>
      <c r="AT20" s="134"/>
      <c r="AV20" s="134"/>
    </row>
    <row r="21" customFormat="false" ht="12.75" hidden="false" customHeight="false" outlineLevel="0" collapsed="false">
      <c r="F21" s="132"/>
      <c r="G21" s="133"/>
      <c r="H21" s="132"/>
      <c r="K21" s="134"/>
      <c r="M21" s="134"/>
      <c r="P21" s="134"/>
      <c r="Q21" s="133"/>
      <c r="R21" s="132"/>
      <c r="U21" s="134"/>
      <c r="W21" s="134"/>
      <c r="Z21" s="134"/>
      <c r="AB21" s="134"/>
      <c r="AE21" s="134"/>
      <c r="AG21" s="134"/>
      <c r="AJ21" s="134"/>
      <c r="AL21" s="134"/>
      <c r="AO21" s="134"/>
      <c r="AQ21" s="134"/>
      <c r="AT21" s="134"/>
      <c r="AV21" s="134"/>
    </row>
    <row r="22" customFormat="false" ht="12.75" hidden="false" customHeight="false" outlineLevel="0" collapsed="false">
      <c r="F22" s="132"/>
      <c r="G22" s="133"/>
      <c r="H22" s="132"/>
      <c r="K22" s="134"/>
      <c r="M22" s="134"/>
      <c r="P22" s="134"/>
      <c r="Q22" s="133"/>
      <c r="R22" s="132"/>
      <c r="U22" s="134"/>
      <c r="W22" s="134"/>
      <c r="Z22" s="134"/>
      <c r="AB22" s="134"/>
      <c r="AE22" s="134"/>
      <c r="AG22" s="134"/>
      <c r="AJ22" s="134"/>
      <c r="AL22" s="134"/>
      <c r="AO22" s="134"/>
      <c r="AQ22" s="134"/>
      <c r="AT22" s="134"/>
      <c r="AV22" s="134"/>
    </row>
    <row r="23" customFormat="false" ht="12.75" hidden="false" customHeight="false" outlineLevel="0" collapsed="false">
      <c r="F23" s="132"/>
      <c r="G23" s="133"/>
      <c r="H23" s="132"/>
      <c r="K23" s="134"/>
      <c r="M23" s="134"/>
      <c r="P23" s="134"/>
      <c r="Q23" s="133"/>
      <c r="R23" s="132"/>
      <c r="U23" s="134"/>
      <c r="W23" s="134"/>
      <c r="Z23" s="134"/>
      <c r="AB23" s="134"/>
      <c r="AE23" s="134"/>
      <c r="AG23" s="134"/>
      <c r="AJ23" s="134"/>
      <c r="AL23" s="134"/>
      <c r="AO23" s="134"/>
      <c r="AQ23" s="134"/>
      <c r="AT23" s="134"/>
      <c r="AV23" s="134"/>
    </row>
    <row r="24" customFormat="false" ht="12.75" hidden="false" customHeight="false" outlineLevel="0" collapsed="false">
      <c r="F24" s="132"/>
      <c r="G24" s="133"/>
      <c r="H24" s="132"/>
      <c r="K24" s="134"/>
      <c r="M24" s="134"/>
      <c r="P24" s="134"/>
      <c r="Q24" s="133"/>
      <c r="R24" s="132"/>
      <c r="U24" s="134"/>
      <c r="W24" s="134"/>
      <c r="Z24" s="134"/>
      <c r="AB24" s="134"/>
      <c r="AE24" s="134"/>
      <c r="AG24" s="134"/>
      <c r="AJ24" s="134"/>
      <c r="AL24" s="134"/>
      <c r="AO24" s="134"/>
      <c r="AQ24" s="134"/>
      <c r="AT24" s="134"/>
      <c r="AV24" s="134"/>
    </row>
    <row r="25" customFormat="false" ht="12.75" hidden="false" customHeight="false" outlineLevel="0" collapsed="false">
      <c r="F25" s="132"/>
      <c r="G25" s="133"/>
      <c r="H25" s="132"/>
      <c r="K25" s="134"/>
      <c r="M25" s="134"/>
      <c r="P25" s="134"/>
      <c r="Q25" s="133"/>
      <c r="R25" s="132"/>
      <c r="U25" s="134"/>
      <c r="W25" s="134"/>
      <c r="Z25" s="134"/>
      <c r="AB25" s="134"/>
      <c r="AE25" s="134"/>
      <c r="AG25" s="134"/>
      <c r="AJ25" s="134"/>
      <c r="AL25" s="134"/>
      <c r="AO25" s="134"/>
      <c r="AQ25" s="134"/>
      <c r="AT25" s="134"/>
      <c r="AV25" s="134"/>
    </row>
    <row r="26" customFormat="false" ht="12.75" hidden="false" customHeight="false" outlineLevel="0" collapsed="false">
      <c r="F26" s="132"/>
      <c r="G26" s="133"/>
      <c r="H26" s="132"/>
      <c r="K26" s="134"/>
      <c r="M26" s="134"/>
      <c r="P26" s="134"/>
      <c r="Q26" s="133"/>
      <c r="R26" s="132"/>
      <c r="U26" s="134"/>
      <c r="W26" s="134"/>
      <c r="Z26" s="134"/>
      <c r="AB26" s="134"/>
      <c r="AE26" s="134"/>
      <c r="AG26" s="134"/>
      <c r="AJ26" s="134"/>
      <c r="AL26" s="134"/>
      <c r="AO26" s="134"/>
      <c r="AQ26" s="134"/>
      <c r="AT26" s="134"/>
      <c r="AV26" s="134"/>
    </row>
    <row r="27" customFormat="false" ht="12.75" hidden="false" customHeight="false" outlineLevel="0" collapsed="false">
      <c r="F27" s="132"/>
      <c r="G27" s="133"/>
      <c r="H27" s="132"/>
      <c r="K27" s="134"/>
      <c r="M27" s="134"/>
      <c r="P27" s="134"/>
      <c r="Q27" s="133"/>
      <c r="R27" s="132"/>
      <c r="U27" s="134"/>
      <c r="W27" s="134"/>
      <c r="Z27" s="134"/>
      <c r="AB27" s="134"/>
      <c r="AE27" s="134"/>
      <c r="AG27" s="134"/>
      <c r="AJ27" s="134"/>
      <c r="AL27" s="134"/>
      <c r="AO27" s="134"/>
      <c r="AQ27" s="134"/>
      <c r="AT27" s="134"/>
      <c r="AV27" s="134"/>
    </row>
    <row r="28" customFormat="false" ht="12.75" hidden="false" customHeight="false" outlineLevel="0" collapsed="false">
      <c r="F28" s="132"/>
      <c r="G28" s="133"/>
      <c r="H28" s="132"/>
      <c r="K28" s="134"/>
      <c r="M28" s="134"/>
      <c r="P28" s="134"/>
      <c r="Q28" s="133"/>
      <c r="R28" s="132"/>
      <c r="U28" s="134"/>
      <c r="W28" s="134"/>
      <c r="Z28" s="134"/>
      <c r="AB28" s="134"/>
      <c r="AE28" s="134"/>
      <c r="AG28" s="134"/>
      <c r="AJ28" s="134"/>
      <c r="AL28" s="134"/>
      <c r="AO28" s="134"/>
      <c r="AQ28" s="134"/>
      <c r="AT28" s="134"/>
      <c r="AV28" s="134"/>
    </row>
    <row r="29" customFormat="false" ht="12.75" hidden="false" customHeight="false" outlineLevel="0" collapsed="false">
      <c r="F29" s="132"/>
      <c r="G29" s="133"/>
      <c r="H29" s="132"/>
      <c r="K29" s="134"/>
      <c r="M29" s="134"/>
      <c r="P29" s="134"/>
      <c r="Q29" s="133"/>
      <c r="R29" s="132"/>
      <c r="U29" s="134"/>
      <c r="W29" s="134"/>
      <c r="Z29" s="134"/>
      <c r="AB29" s="134"/>
      <c r="AE29" s="134"/>
      <c r="AG29" s="134"/>
      <c r="AJ29" s="134"/>
      <c r="AL29" s="134"/>
      <c r="AO29" s="134"/>
      <c r="AQ29" s="134"/>
      <c r="AT29" s="134"/>
      <c r="AV29" s="134"/>
    </row>
    <row r="30" customFormat="false" ht="12.75" hidden="false" customHeight="false" outlineLevel="0" collapsed="false">
      <c r="F30" s="132"/>
      <c r="G30" s="133"/>
      <c r="H30" s="132"/>
      <c r="K30" s="134"/>
      <c r="M30" s="134"/>
      <c r="P30" s="134"/>
      <c r="Q30" s="133"/>
      <c r="R30" s="132"/>
      <c r="U30" s="134"/>
      <c r="W30" s="134"/>
      <c r="Z30" s="134"/>
      <c r="AB30" s="134"/>
      <c r="AE30" s="134"/>
      <c r="AG30" s="134"/>
      <c r="AJ30" s="134"/>
      <c r="AL30" s="134"/>
      <c r="AO30" s="134"/>
      <c r="AQ30" s="134"/>
      <c r="AT30" s="134"/>
      <c r="AV30" s="134"/>
    </row>
    <row r="31" customFormat="false" ht="12.75" hidden="false" customHeight="false" outlineLevel="0" collapsed="false">
      <c r="F31" s="132"/>
      <c r="G31" s="133"/>
      <c r="H31" s="132"/>
      <c r="K31" s="134"/>
      <c r="M31" s="134"/>
      <c r="P31" s="134"/>
      <c r="Q31" s="133"/>
      <c r="R31" s="132"/>
      <c r="U31" s="134"/>
      <c r="W31" s="134"/>
      <c r="Z31" s="134"/>
      <c r="AB31" s="134"/>
      <c r="AE31" s="134"/>
      <c r="AG31" s="134"/>
      <c r="AJ31" s="134"/>
      <c r="AL31" s="134"/>
      <c r="AO31" s="134"/>
      <c r="AQ31" s="134"/>
      <c r="AT31" s="134"/>
      <c r="AV31" s="134"/>
    </row>
    <row r="32" customFormat="false" ht="12.75" hidden="false" customHeight="false" outlineLevel="0" collapsed="false">
      <c r="F32" s="132"/>
      <c r="G32" s="133"/>
      <c r="H32" s="132"/>
      <c r="K32" s="134"/>
      <c r="M32" s="134"/>
      <c r="P32" s="134"/>
      <c r="Q32" s="133"/>
      <c r="R32" s="132"/>
      <c r="U32" s="134"/>
      <c r="W32" s="134"/>
      <c r="Z32" s="134"/>
      <c r="AB32" s="134"/>
      <c r="AE32" s="134"/>
      <c r="AG32" s="134"/>
      <c r="AJ32" s="134"/>
      <c r="AL32" s="134"/>
      <c r="AO32" s="134"/>
      <c r="AQ32" s="134"/>
      <c r="AT32" s="134"/>
      <c r="AV32" s="134"/>
    </row>
    <row r="33" customFormat="false" ht="12.75" hidden="false" customHeight="false" outlineLevel="0" collapsed="false">
      <c r="F33" s="132"/>
      <c r="G33" s="133"/>
      <c r="H33" s="132"/>
      <c r="K33" s="134"/>
      <c r="M33" s="134"/>
      <c r="P33" s="134"/>
      <c r="Q33" s="133"/>
      <c r="R33" s="132"/>
      <c r="U33" s="134"/>
      <c r="W33" s="134"/>
      <c r="Z33" s="134"/>
      <c r="AB33" s="134"/>
      <c r="AE33" s="134"/>
      <c r="AG33" s="134"/>
      <c r="AJ33" s="134"/>
      <c r="AL33" s="134"/>
      <c r="AO33" s="134"/>
      <c r="AQ33" s="134"/>
      <c r="AT33" s="134"/>
      <c r="AV33" s="134"/>
    </row>
    <row r="34" customFormat="false" ht="12.75" hidden="false" customHeight="false" outlineLevel="0" collapsed="false">
      <c r="F34" s="132"/>
      <c r="G34" s="133"/>
      <c r="H34" s="132"/>
      <c r="K34" s="134"/>
      <c r="M34" s="134"/>
      <c r="P34" s="134"/>
      <c r="Q34" s="133"/>
      <c r="R34" s="132"/>
      <c r="U34" s="134"/>
      <c r="W34" s="134"/>
      <c r="Z34" s="134"/>
      <c r="AB34" s="134"/>
      <c r="AE34" s="134"/>
      <c r="AG34" s="134"/>
      <c r="AJ34" s="134"/>
      <c r="AL34" s="134"/>
      <c r="AO34" s="134"/>
      <c r="AQ34" s="134"/>
      <c r="AT34" s="134"/>
      <c r="AV34" s="134"/>
    </row>
    <row r="35" customFormat="false" ht="12.75" hidden="false" customHeight="false" outlineLevel="0" collapsed="false">
      <c r="F35" s="132"/>
      <c r="G35" s="133"/>
      <c r="H35" s="132"/>
      <c r="K35" s="134"/>
      <c r="M35" s="134"/>
      <c r="P35" s="134"/>
      <c r="Q35" s="133"/>
      <c r="R35" s="132"/>
      <c r="U35" s="134"/>
      <c r="W35" s="134"/>
      <c r="Z35" s="134"/>
      <c r="AB35" s="134"/>
      <c r="AE35" s="134"/>
      <c r="AG35" s="134"/>
      <c r="AJ35" s="134"/>
      <c r="AL35" s="134"/>
      <c r="AO35" s="134"/>
      <c r="AQ35" s="134"/>
      <c r="AT35" s="134"/>
      <c r="AV35" s="134"/>
    </row>
    <row r="36" customFormat="false" ht="12.75" hidden="false" customHeight="false" outlineLevel="0" collapsed="false">
      <c r="F36" s="134"/>
      <c r="H36" s="134"/>
      <c r="K36" s="134"/>
      <c r="M36" s="134"/>
      <c r="P36" s="134"/>
      <c r="Q36" s="133"/>
      <c r="R36" s="132"/>
      <c r="U36" s="134"/>
      <c r="W36" s="134"/>
      <c r="Z36" s="134"/>
      <c r="AB36" s="134"/>
      <c r="AE36" s="134"/>
      <c r="AG36" s="134"/>
      <c r="AJ36" s="134"/>
      <c r="AL36" s="134"/>
      <c r="AO36" s="134"/>
      <c r="AQ36" s="134"/>
      <c r="AT36" s="134"/>
      <c r="AV36" s="134"/>
    </row>
    <row r="37" customFormat="false" ht="12.75" hidden="false" customHeight="false" outlineLevel="0" collapsed="false">
      <c r="F37" s="134"/>
      <c r="H37" s="134"/>
      <c r="K37" s="134"/>
      <c r="M37" s="134"/>
      <c r="P37" s="134"/>
      <c r="Q37" s="133"/>
      <c r="R37" s="132"/>
      <c r="U37" s="134"/>
      <c r="W37" s="134"/>
      <c r="Z37" s="134"/>
      <c r="AB37" s="134"/>
      <c r="AE37" s="134"/>
      <c r="AG37" s="134"/>
      <c r="AJ37" s="134"/>
      <c r="AL37" s="134"/>
      <c r="AO37" s="134"/>
      <c r="AQ37" s="134"/>
      <c r="AT37" s="134"/>
      <c r="AV37" s="134"/>
    </row>
    <row r="38" customFormat="false" ht="12.75" hidden="false" customHeight="false" outlineLevel="0" collapsed="false">
      <c r="F38" s="134"/>
      <c r="H38" s="134"/>
      <c r="K38" s="134"/>
      <c r="M38" s="134"/>
      <c r="P38" s="134"/>
      <c r="R38" s="134"/>
      <c r="U38" s="134"/>
      <c r="W38" s="134"/>
      <c r="Z38" s="134"/>
      <c r="AB38" s="134"/>
      <c r="AE38" s="134"/>
      <c r="AG38" s="134"/>
      <c r="AJ38" s="134"/>
      <c r="AL38" s="134"/>
      <c r="AO38" s="134"/>
      <c r="AQ38" s="134"/>
      <c r="AT38" s="134"/>
      <c r="AV38" s="134"/>
    </row>
    <row r="39" customFormat="false" ht="12.75" hidden="false" customHeight="false" outlineLevel="0" collapsed="false">
      <c r="F39" s="134"/>
      <c r="H39" s="134"/>
      <c r="K39" s="134"/>
      <c r="M39" s="134"/>
      <c r="P39" s="134"/>
      <c r="R39" s="134"/>
      <c r="U39" s="134"/>
      <c r="W39" s="134"/>
      <c r="Z39" s="134"/>
      <c r="AB39" s="134"/>
      <c r="AE39" s="134"/>
      <c r="AG39" s="134"/>
      <c r="AJ39" s="134"/>
      <c r="AL39" s="134"/>
      <c r="AO39" s="134"/>
      <c r="AQ39" s="134"/>
      <c r="AT39" s="134"/>
      <c r="AV39" s="134"/>
    </row>
    <row r="40" customFormat="false" ht="12.75" hidden="false" customHeight="false" outlineLevel="0" collapsed="false">
      <c r="F40" s="134"/>
      <c r="H40" s="134"/>
      <c r="K40" s="134"/>
      <c r="M40" s="134"/>
      <c r="P40" s="134"/>
      <c r="R40" s="134"/>
      <c r="U40" s="134"/>
      <c r="W40" s="134"/>
      <c r="Z40" s="134"/>
      <c r="AB40" s="134"/>
      <c r="AE40" s="134"/>
      <c r="AG40" s="134"/>
      <c r="AJ40" s="134"/>
      <c r="AL40" s="134"/>
      <c r="AO40" s="134"/>
      <c r="AQ40" s="134"/>
      <c r="AT40" s="134"/>
      <c r="AV40" s="134"/>
    </row>
    <row r="41" customFormat="false" ht="12.75" hidden="false" customHeight="false" outlineLevel="0" collapsed="false">
      <c r="F41" s="134"/>
      <c r="H41" s="134"/>
      <c r="K41" s="134"/>
      <c r="M41" s="134"/>
      <c r="P41" s="134"/>
      <c r="R41" s="134"/>
      <c r="U41" s="134"/>
      <c r="W41" s="134"/>
      <c r="Z41" s="134"/>
      <c r="AB41" s="134"/>
      <c r="AE41" s="134"/>
      <c r="AG41" s="134"/>
      <c r="AJ41" s="134"/>
      <c r="AL41" s="134"/>
      <c r="AO41" s="134"/>
      <c r="AQ41" s="134"/>
      <c r="AT41" s="134"/>
      <c r="AV41" s="134"/>
    </row>
    <row r="42" customFormat="false" ht="12.75" hidden="false" customHeight="false" outlineLevel="0" collapsed="false">
      <c r="F42" s="134"/>
      <c r="H42" s="134"/>
      <c r="K42" s="134"/>
      <c r="M42" s="134"/>
      <c r="P42" s="134"/>
      <c r="R42" s="134"/>
      <c r="U42" s="134"/>
      <c r="W42" s="134"/>
      <c r="Z42" s="134"/>
      <c r="AB42" s="134"/>
      <c r="AE42" s="134"/>
      <c r="AG42" s="134"/>
      <c r="AJ42" s="134"/>
      <c r="AL42" s="134"/>
      <c r="AO42" s="134"/>
      <c r="AQ42" s="134"/>
      <c r="AT42" s="134"/>
      <c r="AV42" s="134"/>
    </row>
    <row r="43" customFormat="false" ht="12.75" hidden="false" customHeight="false" outlineLevel="0" collapsed="false">
      <c r="F43" s="134"/>
      <c r="H43" s="134"/>
      <c r="K43" s="134"/>
      <c r="M43" s="134"/>
      <c r="P43" s="134"/>
      <c r="R43" s="134"/>
      <c r="U43" s="134"/>
      <c r="W43" s="134"/>
      <c r="Z43" s="134"/>
      <c r="AB43" s="134"/>
      <c r="AE43" s="134"/>
      <c r="AG43" s="134"/>
      <c r="AJ43" s="134"/>
      <c r="AL43" s="134"/>
      <c r="AO43" s="134"/>
      <c r="AQ43" s="134"/>
      <c r="AT43" s="134"/>
      <c r="AV43" s="134"/>
    </row>
    <row r="44" customFormat="false" ht="12.75" hidden="false" customHeight="false" outlineLevel="0" collapsed="false">
      <c r="F44" s="134"/>
      <c r="H44" s="134"/>
      <c r="K44" s="134"/>
      <c r="M44" s="134"/>
      <c r="P44" s="134"/>
      <c r="R44" s="134"/>
      <c r="U44" s="134"/>
      <c r="W44" s="134"/>
      <c r="Z44" s="134"/>
      <c r="AB44" s="134"/>
      <c r="AE44" s="134"/>
      <c r="AG44" s="134"/>
      <c r="AJ44" s="134"/>
      <c r="AL44" s="134"/>
      <c r="AO44" s="134"/>
      <c r="AQ44" s="134"/>
      <c r="AT44" s="134"/>
      <c r="AV44" s="134"/>
    </row>
    <row r="45" customFormat="false" ht="12.75" hidden="false" customHeight="false" outlineLevel="0" collapsed="false">
      <c r="F45" s="134"/>
      <c r="H45" s="134"/>
      <c r="K45" s="134"/>
      <c r="M45" s="134"/>
      <c r="P45" s="134"/>
      <c r="R45" s="134"/>
      <c r="U45" s="134"/>
      <c r="W45" s="134"/>
      <c r="Z45" s="134"/>
      <c r="AB45" s="134"/>
      <c r="AE45" s="134"/>
      <c r="AG45" s="134"/>
      <c r="AJ45" s="134"/>
      <c r="AL45" s="134"/>
      <c r="AO45" s="134"/>
      <c r="AQ45" s="134"/>
      <c r="AT45" s="134"/>
      <c r="AV45" s="134"/>
    </row>
    <row r="46" customFormat="false" ht="12.75" hidden="false" customHeight="false" outlineLevel="0" collapsed="false">
      <c r="F46" s="134"/>
      <c r="H46" s="134"/>
      <c r="K46" s="134"/>
      <c r="M46" s="134"/>
      <c r="P46" s="134"/>
      <c r="R46" s="134"/>
      <c r="U46" s="134"/>
      <c r="W46" s="134"/>
      <c r="Z46" s="134"/>
      <c r="AB46" s="134"/>
      <c r="AE46" s="134"/>
      <c r="AG46" s="134"/>
      <c r="AJ46" s="134"/>
      <c r="AL46" s="134"/>
      <c r="AO46" s="134"/>
      <c r="AQ46" s="134"/>
      <c r="AT46" s="134"/>
      <c r="AV46" s="134"/>
    </row>
    <row r="47" customFormat="false" ht="12.75" hidden="false" customHeight="false" outlineLevel="0" collapsed="false">
      <c r="F47" s="134"/>
      <c r="H47" s="134"/>
      <c r="K47" s="134"/>
      <c r="M47" s="134"/>
      <c r="P47" s="134"/>
      <c r="R47" s="134"/>
      <c r="U47" s="134"/>
      <c r="W47" s="134"/>
      <c r="Z47" s="134"/>
      <c r="AB47" s="134"/>
      <c r="AE47" s="134"/>
      <c r="AG47" s="134"/>
      <c r="AJ47" s="134"/>
      <c r="AL47" s="134"/>
      <c r="AO47" s="134"/>
      <c r="AQ47" s="134"/>
      <c r="AT47" s="134"/>
      <c r="AV47" s="134"/>
    </row>
    <row r="48" customFormat="false" ht="12.75" hidden="false" customHeight="false" outlineLevel="0" collapsed="false">
      <c r="F48" s="134"/>
      <c r="H48" s="134"/>
      <c r="K48" s="134"/>
      <c r="M48" s="134"/>
      <c r="P48" s="134"/>
      <c r="R48" s="134"/>
      <c r="U48" s="134"/>
      <c r="W48" s="134"/>
      <c r="Z48" s="134"/>
      <c r="AB48" s="134"/>
      <c r="AE48" s="134"/>
      <c r="AG48" s="134"/>
      <c r="AJ48" s="134"/>
      <c r="AL48" s="134"/>
      <c r="AO48" s="134"/>
      <c r="AQ48" s="134"/>
      <c r="AT48" s="134"/>
      <c r="AV48" s="134"/>
    </row>
    <row r="49" customFormat="false" ht="12.75" hidden="false" customHeight="false" outlineLevel="0" collapsed="false">
      <c r="F49" s="134"/>
      <c r="H49" s="134"/>
      <c r="K49" s="134"/>
      <c r="M49" s="134"/>
      <c r="P49" s="134"/>
      <c r="R49" s="134"/>
      <c r="U49" s="134"/>
      <c r="W49" s="134"/>
      <c r="Z49" s="134"/>
      <c r="AB49" s="134"/>
      <c r="AE49" s="134"/>
      <c r="AG49" s="134"/>
      <c r="AJ49" s="134"/>
      <c r="AL49" s="134"/>
      <c r="AO49" s="134"/>
      <c r="AQ49" s="134"/>
      <c r="AT49" s="134"/>
      <c r="AV49" s="134"/>
    </row>
    <row r="50" customFormat="false" ht="12.75" hidden="false" customHeight="false" outlineLevel="0" collapsed="false">
      <c r="F50" s="134"/>
      <c r="H50" s="134"/>
      <c r="K50" s="134"/>
      <c r="M50" s="134"/>
      <c r="P50" s="134"/>
      <c r="R50" s="134"/>
      <c r="U50" s="134"/>
      <c r="W50" s="134"/>
      <c r="Z50" s="134"/>
      <c r="AB50" s="134"/>
      <c r="AE50" s="134"/>
      <c r="AG50" s="134"/>
      <c r="AJ50" s="134"/>
      <c r="AL50" s="134"/>
      <c r="AO50" s="134"/>
      <c r="AQ50" s="134"/>
      <c r="AT50" s="134"/>
      <c r="AV50" s="134"/>
    </row>
    <row r="51" customFormat="false" ht="12.75" hidden="false" customHeight="false" outlineLevel="0" collapsed="false">
      <c r="F51" s="134"/>
      <c r="H51" s="134"/>
      <c r="K51" s="134"/>
      <c r="M51" s="134"/>
      <c r="P51" s="134"/>
      <c r="R51" s="134"/>
      <c r="U51" s="134"/>
      <c r="W51" s="134"/>
      <c r="Z51" s="134"/>
      <c r="AB51" s="134"/>
      <c r="AE51" s="134"/>
      <c r="AG51" s="134"/>
      <c r="AJ51" s="134"/>
      <c r="AL51" s="134"/>
      <c r="AO51" s="134"/>
      <c r="AQ51" s="134"/>
      <c r="AT51" s="134"/>
      <c r="AV51" s="134"/>
    </row>
    <row r="52" customFormat="false" ht="12.75" hidden="false" customHeight="false" outlineLevel="0" collapsed="false">
      <c r="F52" s="134"/>
      <c r="H52" s="134"/>
      <c r="K52" s="134"/>
      <c r="M52" s="134"/>
      <c r="P52" s="134"/>
      <c r="R52" s="134"/>
      <c r="U52" s="134"/>
      <c r="W52" s="134"/>
      <c r="Z52" s="134"/>
      <c r="AB52" s="134"/>
      <c r="AE52" s="134"/>
      <c r="AG52" s="134"/>
      <c r="AJ52" s="134"/>
      <c r="AL52" s="134"/>
      <c r="AO52" s="134"/>
      <c r="AQ52" s="134"/>
      <c r="AT52" s="134"/>
      <c r="AV52" s="134"/>
    </row>
    <row r="53" customFormat="false" ht="12.75" hidden="false" customHeight="false" outlineLevel="0" collapsed="false">
      <c r="F53" s="134"/>
      <c r="H53" s="134"/>
      <c r="K53" s="134"/>
      <c r="M53" s="134"/>
      <c r="P53" s="134"/>
      <c r="R53" s="134"/>
      <c r="U53" s="134"/>
      <c r="W53" s="134"/>
      <c r="Z53" s="134"/>
      <c r="AB53" s="134"/>
      <c r="AE53" s="134"/>
      <c r="AG53" s="134"/>
      <c r="AJ53" s="134"/>
      <c r="AL53" s="134"/>
      <c r="AO53" s="134"/>
      <c r="AQ53" s="134"/>
      <c r="AT53" s="134"/>
      <c r="AV53" s="134"/>
    </row>
    <row r="54" customFormat="false" ht="12.75" hidden="false" customHeight="false" outlineLevel="0" collapsed="false">
      <c r="F54" s="134"/>
      <c r="H54" s="134"/>
      <c r="K54" s="134"/>
      <c r="M54" s="134"/>
      <c r="P54" s="134"/>
      <c r="R54" s="134"/>
      <c r="U54" s="134"/>
      <c r="W54" s="134"/>
      <c r="Z54" s="134"/>
      <c r="AB54" s="134"/>
      <c r="AE54" s="134"/>
      <c r="AG54" s="134"/>
      <c r="AJ54" s="134"/>
      <c r="AL54" s="134"/>
      <c r="AO54" s="134"/>
      <c r="AQ54" s="134"/>
      <c r="AT54" s="134"/>
      <c r="AV54" s="134"/>
    </row>
    <row r="55" customFormat="false" ht="12.75" hidden="false" customHeight="false" outlineLevel="0" collapsed="false">
      <c r="F55" s="134"/>
      <c r="H55" s="134"/>
      <c r="K55" s="134"/>
      <c r="M55" s="134"/>
      <c r="P55" s="134"/>
      <c r="R55" s="134"/>
      <c r="U55" s="134"/>
      <c r="W55" s="134"/>
      <c r="Z55" s="134"/>
      <c r="AB55" s="134"/>
      <c r="AE55" s="134"/>
      <c r="AG55" s="134"/>
      <c r="AJ55" s="134"/>
      <c r="AL55" s="134"/>
      <c r="AO55" s="134"/>
      <c r="AQ55" s="134"/>
      <c r="AT55" s="134"/>
      <c r="AV55" s="134"/>
    </row>
    <row r="56" customFormat="false" ht="12.75" hidden="false" customHeight="false" outlineLevel="0" collapsed="false">
      <c r="F56" s="134"/>
      <c r="H56" s="134"/>
      <c r="K56" s="134"/>
      <c r="M56" s="134"/>
      <c r="P56" s="134"/>
      <c r="R56" s="134"/>
      <c r="U56" s="134"/>
      <c r="W56" s="134"/>
      <c r="Z56" s="134"/>
      <c r="AB56" s="134"/>
      <c r="AE56" s="134"/>
      <c r="AG56" s="134"/>
      <c r="AJ56" s="134"/>
      <c r="AL56" s="134"/>
      <c r="AO56" s="134"/>
      <c r="AQ56" s="134"/>
      <c r="AT56" s="134"/>
      <c r="AV56" s="134"/>
    </row>
  </sheetData>
  <mergeCells count="12">
    <mergeCell ref="E1:M1"/>
    <mergeCell ref="P1:W1"/>
    <mergeCell ref="Y1:AG1"/>
    <mergeCell ref="E2:H2"/>
    <mergeCell ref="J2:M2"/>
    <mergeCell ref="O2:R2"/>
    <mergeCell ref="T2:W2"/>
    <mergeCell ref="Y2:AB2"/>
    <mergeCell ref="AD2:AG2"/>
    <mergeCell ref="AI2:AL2"/>
    <mergeCell ref="AN2:AQ2"/>
    <mergeCell ref="AS2:AV2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1998-01-21T01:49:53Z</dcterms:created>
  <dc:creator>George W. Richards</dc:creator>
  <dc:description/>
  <dc:language>en-US</dc:language>
  <cp:lastModifiedBy>George W. Richards</cp:lastModifiedBy>
  <cp:lastPrinted>2000-11-19T14:19:42Z</cp:lastPrinted>
  <dcterms:modified xsi:type="dcterms:W3CDTF">2000-11-21T00:56:17Z</dcterms:modified>
  <cp:revision>0</cp:revision>
  <dc:subject/>
  <dc:title/>
</cp:coreProperties>
</file>