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<sst xmlns="http://schemas.openxmlformats.org/spreadsheetml/2006/main" count="278" uniqueCount="74">
  <si>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</si>
  <si>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</si>
  <si>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</si>
  <si>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</si>
  <si>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</si>
  <si>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</si>
  <si>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</si>
  <si>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</si>
  <si>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</si>
  <si>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</si>
  <si>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</si>
  <si>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</si>
  <si>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</si>
  <si>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</si>
  <si>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</si>
  <si>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</si>
  <si>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</si>
  <si>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</si>
  <si>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</si>
  <si>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</si>
  <si>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</si>
  <si>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</si>
  <si>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</si>
  <si>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</si>
  <si>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</si>
  <si>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</si>
  <si>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</si>
  <si>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</si>
  <si>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</t>
  </si>
  <si>
    <t xml:space="preserve">ENA DIQ</t>
  </si>
  <si>
    <t xml:space="preserve">     NGPL</t>
  </si>
  <si>
    <t xml:space="preserve">RIDER GAS</t>
  </si>
  <si>
    <t xml:space="preserve">     COENERGY</t>
  </si>
  <si>
    <t xml:space="preserve">WITHDRAWALS:</t>
  </si>
  <si>
    <t xml:space="preserve">     ENGAGE</t>
  </si>
  <si>
    <t xml:space="preserve">     NGPL DSS</t>
  </si>
  <si>
    <t xml:space="preserve">     PANHANDLE</t>
  </si>
  <si>
    <t xml:space="preserve">     NGPL FT - AMR</t>
  </si>
  <si>
    <t xml:space="preserve">     ALLIANCE UNDER DELIVERY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</si>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</sst>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614982"/>
        <c:axId val="62821750"/>
      </c:lineChart>
      <c:catAx>
        <c:axId val="7061498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821750"/>
        <c:crossesAt val="0"/>
        <c:auto val="1"/>
        <c:lblAlgn val="ctr"/>
        <c:lblOffset val="100"/>
        <c:noMultiLvlLbl val="0"/>
      </c:catAx>
      <c:valAx>
        <c:axId val="6282175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61498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1964104"/>
        <c:axId val="65345521"/>
      </c:lineChart>
      <c:catAx>
        <c:axId val="6196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345521"/>
        <c:crossesAt val="0"/>
        <c:auto val="1"/>
        <c:lblAlgn val="ctr"/>
        <c:lblOffset val="100"/>
        <c:noMultiLvlLbl val="0"/>
      </c:catAx>
      <c:valAx>
        <c:axId val="6534552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96410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6363579"/>
        <c:axId val="35521497"/>
      </c:lineChart>
      <c:catAx>
        <c:axId val="163635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521497"/>
        <c:crossesAt val="0"/>
        <c:auto val="1"/>
        <c:lblAlgn val="ctr"/>
        <c:lblOffset val="100"/>
        <c:noMultiLvlLbl val="0"/>
      </c:catAx>
      <c:valAx>
        <c:axId val="3552149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36357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344978"/>
        <c:axId val="69826181"/>
      </c:lineChart>
      <c:catAx>
        <c:axId val="53449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826181"/>
        <c:crossesAt val="-40000"/>
        <c:auto val="1"/>
        <c:lblAlgn val="ctr"/>
        <c:lblOffset val="100"/>
        <c:noMultiLvlLbl val="0"/>
      </c:catAx>
      <c:valAx>
        <c:axId val="6982618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4497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482132"/>
        <c:axId val="93538558"/>
      </c:lineChart>
      <c:catAx>
        <c:axId val="924821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538558"/>
        <c:crossesAt val="0"/>
        <c:auto val="1"/>
        <c:lblAlgn val="ctr"/>
        <c:lblOffset val="100"/>
        <c:noMultiLvlLbl val="0"/>
      </c:catAx>
      <c:valAx>
        <c:axId val="9353855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48213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2119054"/>
        <c:axId val="28948570"/>
      </c:lineChart>
      <c:catAx>
        <c:axId val="6211905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948570"/>
        <c:crossesAt val="0"/>
        <c:auto val="1"/>
        <c:lblAlgn val="ctr"/>
        <c:lblOffset val="100"/>
        <c:noMultiLvlLbl val="0"/>
      </c:catAx>
      <c:valAx>
        <c:axId val="2894857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11905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602453"/>
        <c:axId val="24326238"/>
      </c:lineChart>
      <c:catAx>
        <c:axId val="1460245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326238"/>
        <c:crossesAt val="0"/>
        <c:auto val="1"/>
        <c:lblAlgn val="ctr"/>
        <c:lblOffset val="100"/>
        <c:noMultiLvlLbl val="0"/>
      </c:catAx>
      <c:valAx>
        <c:axId val="24326238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60245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1975239"/>
        <c:axId val="95630541"/>
      </c:lineChart>
      <c:catAx>
        <c:axId val="719752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630541"/>
        <c:crossesAt val="0"/>
        <c:auto val="1"/>
        <c:lblAlgn val="ctr"/>
        <c:lblOffset val="100"/>
        <c:noMultiLvlLbl val="0"/>
      </c:catAx>
      <c:valAx>
        <c:axId val="9563054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97523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5511272"/>
        <c:axId val="55445800"/>
      </c:lineChart>
      <c:catAx>
        <c:axId val="45511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445800"/>
        <c:crossesAt val="0"/>
        <c:auto val="1"/>
        <c:lblAlgn val="ctr"/>
        <c:lblOffset val="100"/>
        <c:noMultiLvlLbl val="0"/>
      </c:catAx>
      <c:valAx>
        <c:axId val="55445800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51127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0510708"/>
        <c:axId val="43281679"/>
      </c:lineChart>
      <c:catAx>
        <c:axId val="705107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281679"/>
        <c:crossesAt val="-40000"/>
        <c:auto val="1"/>
        <c:lblAlgn val="ctr"/>
        <c:lblOffset val="100"/>
        <c:noMultiLvlLbl val="0"/>
      </c:catAx>
      <c:valAx>
        <c:axId val="4328167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51070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6786744"/>
        <c:axId val="70402465"/>
      </c:lineChart>
      <c:catAx>
        <c:axId val="467867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402465"/>
        <c:crossesAt val="0"/>
        <c:auto val="1"/>
        <c:lblAlgn val="ctr"/>
        <c:lblOffset val="100"/>
        <c:noMultiLvlLbl val="0"/>
      </c:catAx>
      <c:valAx>
        <c:axId val="7040246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78674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9601720"/>
        <c:axId val="87465183"/>
      </c:lineChart>
      <c:catAx>
        <c:axId val="39601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465183"/>
        <c:crossesAt val="0"/>
        <c:auto val="1"/>
        <c:lblAlgn val="ctr"/>
        <c:lblOffset val="100"/>
        <c:noMultiLvlLbl val="0"/>
      </c:catAx>
      <c:valAx>
        <c:axId val="8746518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60172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979550"/>
        <c:axId val="57174132"/>
      </c:lineChart>
      <c:catAx>
        <c:axId val="8797955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174132"/>
        <c:crossesAt val="0"/>
        <c:auto val="1"/>
        <c:lblAlgn val="ctr"/>
        <c:lblOffset val="100"/>
        <c:noMultiLvlLbl val="0"/>
      </c:catAx>
      <c:valAx>
        <c:axId val="571741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97955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20350"/>
        <c:axId val="4262171"/>
      </c:lineChart>
      <c:catAx>
        <c:axId val="212035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62171"/>
        <c:crossesAt val="0"/>
        <c:auto val="1"/>
        <c:lblAlgn val="ctr"/>
        <c:lblOffset val="100"/>
        <c:noMultiLvlLbl val="0"/>
      </c:catAx>
      <c:valAx>
        <c:axId val="426217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2035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954545"/>
        <c:axId val="3051575"/>
      </c:lineChart>
      <c:catAx>
        <c:axId val="6595454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51575"/>
        <c:crossesAt val="0"/>
        <c:auto val="1"/>
        <c:lblAlgn val="ctr"/>
        <c:lblOffset val="100"/>
        <c:noMultiLvlLbl val="0"/>
      </c:catAx>
      <c:valAx>
        <c:axId val="305157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95454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9317512"/>
        <c:axId val="93996197"/>
      </c:lineChart>
      <c:catAx>
        <c:axId val="89317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996197"/>
        <c:crossesAt val="0"/>
        <c:auto val="1"/>
        <c:lblAlgn val="ctr"/>
        <c:lblOffset val="100"/>
        <c:noMultiLvlLbl val="0"/>
      </c:catAx>
      <c:valAx>
        <c:axId val="9399619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31751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9469726"/>
        <c:axId val="99838855"/>
      </c:lineChart>
      <c:catAx>
        <c:axId val="8946972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838855"/>
        <c:crossesAt val="-40000"/>
        <c:auto val="1"/>
        <c:lblAlgn val="ctr"/>
        <c:lblOffset val="100"/>
        <c:noMultiLvlLbl val="0"/>
      </c:catAx>
      <c:valAx>
        <c:axId val="9983885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46972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654441"/>
        <c:axId val="37546822"/>
      </c:lineChart>
      <c:catAx>
        <c:axId val="3165444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546822"/>
        <c:crossesAt val="0"/>
        <c:auto val="1"/>
        <c:lblAlgn val="ctr"/>
        <c:lblOffset val="100"/>
        <c:noMultiLvlLbl val="0"/>
      </c:catAx>
      <c:valAx>
        <c:axId val="3754682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65444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2278185"/>
        <c:axId val="2223759"/>
      </c:lineChart>
      <c:catAx>
        <c:axId val="322781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23759"/>
        <c:crossesAt val="0"/>
        <c:auto val="1"/>
        <c:lblAlgn val="ctr"/>
        <c:lblOffset val="100"/>
        <c:noMultiLvlLbl val="0"/>
      </c:catAx>
      <c:valAx>
        <c:axId val="222375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27818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7798786"/>
        <c:axId val="92994094"/>
      </c:lineChart>
      <c:catAx>
        <c:axId val="5779878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994094"/>
        <c:crossesAt val="0"/>
        <c:auto val="1"/>
        <c:lblAlgn val="ctr"/>
        <c:lblOffset val="100"/>
        <c:noMultiLvlLbl val="0"/>
      </c:catAx>
      <c:valAx>
        <c:axId val="9299409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79878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655093"/>
        <c:axId val="71045282"/>
      </c:lineChart>
      <c:catAx>
        <c:axId val="1565509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045282"/>
        <c:crossesAt val="0"/>
        <c:auto val="1"/>
        <c:lblAlgn val="ctr"/>
        <c:lblOffset val="100"/>
        <c:noMultiLvlLbl val="0"/>
      </c:catAx>
      <c:valAx>
        <c:axId val="7104528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65509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2539440"/>
        <c:axId val="55402075"/>
      </c:lineChart>
      <c:catAx>
        <c:axId val="82539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402075"/>
        <c:crossesAt val="0"/>
        <c:auto val="1"/>
        <c:lblAlgn val="ctr"/>
        <c:lblOffset val="100"/>
        <c:noMultiLvlLbl val="0"/>
      </c:catAx>
      <c:valAx>
        <c:axId val="5540207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53944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623789"/>
        <c:axId val="82393717"/>
      </c:lineChart>
      <c:catAx>
        <c:axId val="3862378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393717"/>
        <c:crossesAt val="0"/>
        <c:auto val="1"/>
        <c:lblAlgn val="ctr"/>
        <c:lblOffset val="100"/>
        <c:noMultiLvlLbl val="0"/>
      </c:catAx>
      <c:valAx>
        <c:axId val="8239371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62378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4080406"/>
        <c:axId val="73441144"/>
      </c:lineChart>
      <c:catAx>
        <c:axId val="6408040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441144"/>
        <c:crossesAt val="-40000"/>
        <c:auto val="1"/>
        <c:lblAlgn val="ctr"/>
        <c:lblOffset val="100"/>
        <c:noMultiLvlLbl val="0"/>
      </c:catAx>
      <c:valAx>
        <c:axId val="7344114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08040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264000</c:v>
                </c:pt>
                <c:pt idx="4">
                  <c:v>262000</c:v>
                </c:pt>
                <c:pt idx="5">
                  <c:v>262000</c:v>
                </c:pt>
                <c:pt idx="6">
                  <c:v>282000</c:v>
                </c:pt>
                <c:pt idx="7">
                  <c:v>283700</c:v>
                </c:pt>
                <c:pt idx="8">
                  <c:v>278000</c:v>
                </c:pt>
                <c:pt idx="9">
                  <c:v>278000</c:v>
                </c:pt>
                <c:pt idx="10">
                  <c:v>252000</c:v>
                </c:pt>
                <c:pt idx="11">
                  <c:v>246000</c:v>
                </c:pt>
                <c:pt idx="12">
                  <c:v>252000</c:v>
                </c:pt>
                <c:pt idx="13">
                  <c:v>258000</c:v>
                </c:pt>
                <c:pt idx="14">
                  <c:v>279000</c:v>
                </c:pt>
                <c:pt idx="15">
                  <c:v>273000</c:v>
                </c:pt>
                <c:pt idx="16">
                  <c:v>273000</c:v>
                </c:pt>
                <c:pt idx="17">
                  <c:v>267000</c:v>
                </c:pt>
                <c:pt idx="18">
                  <c:v>252000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264954</c:v>
                </c:pt>
                <c:pt idx="1">
                  <c:v>273967</c:v>
                </c:pt>
                <c:pt idx="2">
                  <c:v>278797</c:v>
                </c:pt>
                <c:pt idx="3">
                  <c:v>316170</c:v>
                </c:pt>
                <c:pt idx="4">
                  <c:v>303968</c:v>
                </c:pt>
                <c:pt idx="5">
                  <c:v>275357</c:v>
                </c:pt>
                <c:pt idx="6">
                  <c:v>309413</c:v>
                </c:pt>
                <c:pt idx="7">
                  <c:v>282740</c:v>
                </c:pt>
                <c:pt idx="8">
                  <c:v>259341</c:v>
                </c:pt>
                <c:pt idx="9">
                  <c:v>260992</c:v>
                </c:pt>
                <c:pt idx="10">
                  <c:v>347490</c:v>
                </c:pt>
                <c:pt idx="11">
                  <c:v>379302</c:v>
                </c:pt>
                <c:pt idx="12">
                  <c:v>317757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658287"/>
        <c:axId val="12991450"/>
      </c:lineChart>
      <c:catAx>
        <c:axId val="45658287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991450"/>
        <c:crossesAt val="0"/>
        <c:auto val="1"/>
        <c:lblAlgn val="ctr"/>
        <c:lblOffset val="100"/>
        <c:noMultiLvlLbl val="0"/>
      </c:catAx>
      <c:valAx>
        <c:axId val="12991450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658287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66800</c:v>
                </c:pt>
                <c:pt idx="1">
                  <c:v>79008</c:v>
                </c:pt>
                <c:pt idx="2">
                  <c:v>22200</c:v>
                </c:pt>
                <c:pt idx="3">
                  <c:v>17000</c:v>
                </c:pt>
                <c:pt idx="4">
                  <c:v>11400</c:v>
                </c:pt>
                <c:pt idx="5">
                  <c:v>24800</c:v>
                </c:pt>
                <c:pt idx="6">
                  <c:v>23640</c:v>
                </c:pt>
                <c:pt idx="7">
                  <c:v>42580</c:v>
                </c:pt>
                <c:pt idx="8">
                  <c:v>0</c:v>
                </c:pt>
                <c:pt idx="9">
                  <c:v>19726</c:v>
                </c:pt>
                <c:pt idx="10">
                  <c:v>8380</c:v>
                </c:pt>
                <c:pt idx="11">
                  <c:v>0</c:v>
                </c:pt>
                <c:pt idx="12">
                  <c:v>394</c:v>
                </c:pt>
                <c:pt idx="13">
                  <c:v>73400</c:v>
                </c:pt>
                <c:pt idx="14">
                  <c:v>38000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3451491"/>
        <c:axId val="36692890"/>
      </c:lineChart>
      <c:catAx>
        <c:axId val="7345149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92890"/>
        <c:crossesAt val="0"/>
        <c:auto val="1"/>
        <c:lblAlgn val="ctr"/>
        <c:lblOffset val="100"/>
        <c:noMultiLvlLbl val="0"/>
      </c:catAx>
      <c:valAx>
        <c:axId val="36692890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45149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  <c:pt idx="2">
                  <c:v>194490</c:v>
                </c:pt>
                <c:pt idx="3">
                  <c:v>198035</c:v>
                </c:pt>
                <c:pt idx="4">
                  <c:v>201435</c:v>
                </c:pt>
                <c:pt idx="5">
                  <c:v>201435</c:v>
                </c:pt>
                <c:pt idx="6">
                  <c:v>201435</c:v>
                </c:pt>
                <c:pt idx="7">
                  <c:v>198400</c:v>
                </c:pt>
                <c:pt idx="8">
                  <c:v>195640</c:v>
                </c:pt>
                <c:pt idx="9">
                  <c:v>197140</c:v>
                </c:pt>
                <c:pt idx="10">
                  <c:v>197635</c:v>
                </c:pt>
                <c:pt idx="11">
                  <c:v>197535</c:v>
                </c:pt>
                <c:pt idx="12">
                  <c:v>197535</c:v>
                </c:pt>
                <c:pt idx="13">
                  <c:v>197535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218309"/>
        <c:axId val="74541200"/>
      </c:lineChart>
      <c:catAx>
        <c:axId val="35218309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541200"/>
        <c:crossesAt val="0"/>
        <c:auto val="1"/>
        <c:lblAlgn val="ctr"/>
        <c:lblOffset val="100"/>
        <c:noMultiLvlLbl val="0"/>
      </c:catAx>
      <c:valAx>
        <c:axId val="74541200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21830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0191975022151"/>
          <c:y val="0.919409145215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198492.4192</c:v>
                </c:pt>
                <c:pt idx="2">
                  <c:v>211292.4192</c:v>
                </c:pt>
                <c:pt idx="3">
                  <c:v>217936.4192</c:v>
                </c:pt>
                <c:pt idx="4">
                  <c:v>230180.4192</c:v>
                </c:pt>
                <c:pt idx="5">
                  <c:v>225380.4192</c:v>
                </c:pt>
                <c:pt idx="6">
                  <c:v>201740.4192</c:v>
                </c:pt>
                <c:pt idx="7">
                  <c:v>180360.4192</c:v>
                </c:pt>
                <c:pt idx="8">
                  <c:v>180360.4192</c:v>
                </c:pt>
                <c:pt idx="9">
                  <c:v>180634.4192</c:v>
                </c:pt>
                <c:pt idx="10">
                  <c:v>192254.4192</c:v>
                </c:pt>
                <c:pt idx="11">
                  <c:v>212254.4192</c:v>
                </c:pt>
                <c:pt idx="12">
                  <c:v>231860.4192</c:v>
                </c:pt>
                <c:pt idx="13">
                  <c:v>198460.4192</c:v>
                </c:pt>
                <c:pt idx="14">
                  <c:v>174460.4192</c:v>
                </c:pt>
                <c:pt idx="15">
                  <c:v>174460.4192</c:v>
                </c:pt>
                <c:pt idx="16">
                  <c:v>174460.4192</c:v>
                </c:pt>
                <c:pt idx="17">
                  <c:v>174460.4192</c:v>
                </c:pt>
                <c:pt idx="18">
                  <c:v>174460.4192</c:v>
                </c:pt>
                <c:pt idx="19">
                  <c:v>174460.4192</c:v>
                </c:pt>
                <c:pt idx="20">
                  <c:v>174460.4192</c:v>
                </c:pt>
                <c:pt idx="21">
                  <c:v>174460.4192</c:v>
                </c:pt>
                <c:pt idx="22">
                  <c:v>174460.4192</c:v>
                </c:pt>
                <c:pt idx="23">
                  <c:v>174460.4192</c:v>
                </c:pt>
                <c:pt idx="24">
                  <c:v>174460.4192</c:v>
                </c:pt>
                <c:pt idx="25">
                  <c:v>174460.4192</c:v>
                </c:pt>
                <c:pt idx="26">
                  <c:v>174460.4192</c:v>
                </c:pt>
                <c:pt idx="27">
                  <c:v>174460.4192</c:v>
                </c:pt>
                <c:pt idx="28">
                  <c:v>174460.4192</c:v>
                </c:pt>
                <c:pt idx="29">
                  <c:v>174460.4192</c:v>
                </c:pt>
                <c:pt idx="30">
                  <c:v>174460.4192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5266247"/>
        <c:axId val="65707208"/>
      </c:lineChart>
      <c:catAx>
        <c:axId val="4526624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707208"/>
        <c:crossesAt val="0"/>
        <c:auto val="1"/>
        <c:lblAlgn val="ctr"/>
        <c:lblOffset val="100"/>
        <c:noMultiLvlLbl val="0"/>
      </c:catAx>
      <c:valAx>
        <c:axId val="65707208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26624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4777817"/>
        <c:axId val="29595746"/>
      </c:lineChart>
      <c:catAx>
        <c:axId val="5477781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595746"/>
        <c:crossesAt val="0"/>
        <c:auto val="1"/>
        <c:lblAlgn val="ctr"/>
        <c:lblOffset val="100"/>
        <c:noMultiLvlLbl val="0"/>
      </c:catAx>
      <c:valAx>
        <c:axId val="29595746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77781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8967228"/>
        <c:axId val="85167687"/>
      </c:lineChart>
      <c:catAx>
        <c:axId val="1896722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167687"/>
        <c:crossesAt val="-40000"/>
        <c:auto val="1"/>
        <c:lblAlgn val="ctr"/>
        <c:lblOffset val="100"/>
        <c:noMultiLvlLbl val="0"/>
      </c:catAx>
      <c:valAx>
        <c:axId val="85167687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96722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3698741"/>
        <c:axId val="4255973"/>
      </c:lineChart>
      <c:catAx>
        <c:axId val="636987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55973"/>
        <c:crossesAt val="0"/>
        <c:auto val="1"/>
        <c:lblAlgn val="ctr"/>
        <c:lblOffset val="100"/>
        <c:noMultiLvlLbl val="0"/>
      </c:catAx>
      <c:valAx>
        <c:axId val="425597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69874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9968980"/>
        <c:axId val="17451917"/>
      </c:lineChart>
      <c:catAx>
        <c:axId val="899689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451917"/>
        <c:crossesAt val="0"/>
        <c:auto val="1"/>
        <c:lblAlgn val="ctr"/>
        <c:lblOffset val="100"/>
        <c:noMultiLvlLbl val="0"/>
      </c:catAx>
      <c:valAx>
        <c:axId val="1745191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96898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1454819"/>
        <c:axId val="67562680"/>
      </c:lineChart>
      <c:catAx>
        <c:axId val="314548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562680"/>
        <c:crossesAt val="-40000"/>
        <c:auto val="1"/>
        <c:lblAlgn val="ctr"/>
        <c:lblOffset val="100"/>
        <c:noMultiLvlLbl val="0"/>
      </c:catAx>
      <c:valAx>
        <c:axId val="6756268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45481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8432053"/>
        <c:axId val="2975795"/>
      </c:lineChart>
      <c:catAx>
        <c:axId val="4843205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75795"/>
        <c:crossesAt val="0"/>
        <c:auto val="1"/>
        <c:lblAlgn val="ctr"/>
        <c:lblOffset val="100"/>
        <c:noMultiLvlLbl val="0"/>
      </c:catAx>
      <c:valAx>
        <c:axId val="297579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43205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563471"/>
        <c:axId val="21714150"/>
      </c:lineChart>
      <c:catAx>
        <c:axId val="66563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714150"/>
        <c:crossesAt val="0"/>
        <c:auto val="1"/>
        <c:lblAlgn val="ctr"/>
        <c:lblOffset val="100"/>
        <c:noMultiLvlLbl val="0"/>
      </c:catAx>
      <c:valAx>
        <c:axId val="2171415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56347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484475"/>
        <c:axId val="40908792"/>
      </c:lineChart>
      <c:catAx>
        <c:axId val="6648447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908792"/>
        <c:crossesAt val="0"/>
        <c:auto val="1"/>
        <c:lblAlgn val="ctr"/>
        <c:lblOffset val="100"/>
        <c:noMultiLvlLbl val="0"/>
      </c:catAx>
      <c:valAx>
        <c:axId val="4090879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484475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4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5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6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7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8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0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1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2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3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4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6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7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8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9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20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2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3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4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5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6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8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9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30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31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2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3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4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5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6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7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8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74</v>
      </c>
      <c r="C4" s="8" t="n">
        <v>52</v>
      </c>
      <c r="D4" s="9" t="n">
        <f aca="false">AVERAGE(B4,C4)</f>
        <v>63</v>
      </c>
      <c r="G4" s="2" t="s">
        <v>5</v>
      </c>
      <c r="H4" s="7" t="n">
        <v>77</v>
      </c>
      <c r="I4" s="8" t="n">
        <v>56</v>
      </c>
      <c r="J4" s="9" t="n">
        <f aca="false">AVERAGE(H4,I4)</f>
        <v>66.5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-215000</v>
      </c>
      <c r="C6" s="14" t="n">
        <v>-233000</v>
      </c>
      <c r="D6" s="12" t="s">
        <v>8</v>
      </c>
      <c r="E6" s="13" t="n">
        <v>-36000</v>
      </c>
      <c r="F6" s="14" t="n">
        <v>-39000</v>
      </c>
      <c r="G6" s="12" t="s">
        <v>7</v>
      </c>
      <c r="H6" s="13" t="n">
        <v>-220000</v>
      </c>
      <c r="I6" s="14" t="n">
        <v>-231000</v>
      </c>
      <c r="J6" s="12" t="s">
        <v>8</v>
      </c>
      <c r="K6" s="13" t="n">
        <v>-37000</v>
      </c>
      <c r="L6" s="14" t="n">
        <v>-41000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2" t="s">
        <v>13</v>
      </c>
      <c r="H9" s="13" t="n">
        <v>-50000</v>
      </c>
      <c r="J9" s="12" t="s">
        <v>14</v>
      </c>
      <c r="K9" s="13" t="n">
        <v>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v>-170000</v>
      </c>
      <c r="C12" s="16"/>
      <c r="D12" s="15" t="s">
        <v>20</v>
      </c>
      <c r="E12" s="13" t="n">
        <v>0</v>
      </c>
      <c r="G12" s="12" t="s">
        <v>14</v>
      </c>
      <c r="H12" s="13" t="n">
        <v>-170000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-16254</v>
      </c>
      <c r="G13" s="12" t="s">
        <v>21</v>
      </c>
      <c r="H13" s="13" t="n">
        <v>0</v>
      </c>
      <c r="I13" s="6"/>
      <c r="J13" s="12" t="s">
        <v>22</v>
      </c>
      <c r="K13" s="13" t="n">
        <v>-15254</v>
      </c>
    </row>
    <row r="14" customFormat="false" ht="13.5" hidden="false" customHeight="false" outlineLevel="0" collapsed="false">
      <c r="A14" s="12" t="s">
        <v>23</v>
      </c>
      <c r="B14" s="13" t="n">
        <v>-7000</v>
      </c>
      <c r="C14" s="16"/>
      <c r="D14" s="17" t="s">
        <v>24</v>
      </c>
      <c r="E14" s="18" t="n">
        <f aca="false">SUM(E6:E13)</f>
        <v>-80594</v>
      </c>
      <c r="G14" s="12" t="s">
        <v>23</v>
      </c>
      <c r="H14" s="13" t="n">
        <v>-7000</v>
      </c>
      <c r="I14" s="16"/>
      <c r="J14" s="17" t="s">
        <v>24</v>
      </c>
      <c r="K14" s="18" t="n">
        <f aca="false">SUM(K6:K13)</f>
        <v>-80594</v>
      </c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2" t="s">
        <v>12</v>
      </c>
      <c r="H15" s="13"/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25</v>
      </c>
      <c r="B16" s="13" t="n">
        <v>-40000</v>
      </c>
      <c r="C16" s="16"/>
      <c r="D16" s="12" t="s">
        <v>26</v>
      </c>
      <c r="E16" s="13" t="n">
        <v>22875</v>
      </c>
      <c r="G16" s="12" t="s">
        <v>25</v>
      </c>
      <c r="H16" s="13" t="n">
        <v>-40000</v>
      </c>
      <c r="I16" s="16"/>
      <c r="J16" s="12" t="s">
        <v>26</v>
      </c>
      <c r="K16" s="13" t="n">
        <v>22875</v>
      </c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2" t="s">
        <v>22</v>
      </c>
      <c r="H17" s="13" t="n">
        <v>0</v>
      </c>
      <c r="I17" s="16"/>
      <c r="J17" s="12" t="s">
        <v>27</v>
      </c>
      <c r="K17" s="13" t="n">
        <v>10000</v>
      </c>
    </row>
    <row r="18" customFormat="false" ht="12.75" hidden="false" customHeight="false" outlineLevel="0" collapsed="false">
      <c r="A18" s="12" t="s">
        <v>28</v>
      </c>
      <c r="B18" s="13" t="n">
        <v>0</v>
      </c>
      <c r="D18" s="12" t="s">
        <v>29</v>
      </c>
      <c r="E18" s="13" t="n">
        <v>7603</v>
      </c>
      <c r="F18" s="16" t="s">
        <v>16</v>
      </c>
      <c r="G18" s="12" t="s">
        <v>28</v>
      </c>
      <c r="H18" s="13" t="n">
        <v>0</v>
      </c>
      <c r="J18" s="12" t="s">
        <v>29</v>
      </c>
      <c r="K18" s="13" t="n">
        <v>7603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2" t="s">
        <v>30</v>
      </c>
      <c r="H19" s="13" t="n">
        <v>-70000</v>
      </c>
      <c r="J19" s="12" t="s">
        <v>31</v>
      </c>
      <c r="K19" s="13" t="n">
        <v>20831</v>
      </c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2" t="s">
        <v>32</v>
      </c>
      <c r="H20" s="13" t="n">
        <v>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2" t="s">
        <v>36</v>
      </c>
      <c r="H22" s="13" t="n">
        <v>-29198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2" t="s">
        <v>14</v>
      </c>
      <c r="H23" s="13" t="n">
        <v>0</v>
      </c>
      <c r="I23" s="16" t="s">
        <v>16</v>
      </c>
      <c r="J23" s="12" t="s">
        <v>25</v>
      </c>
      <c r="K23" s="13" t="n">
        <v>0</v>
      </c>
      <c r="L23" s="16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2" t="s">
        <v>38</v>
      </c>
      <c r="H24" s="13" t="n">
        <v>0</v>
      </c>
      <c r="J24" s="12" t="s">
        <v>22</v>
      </c>
      <c r="K24" s="13" t="n">
        <v>0</v>
      </c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2" t="s">
        <v>39</v>
      </c>
      <c r="H25" s="13" t="n">
        <v>0</v>
      </c>
      <c r="J25" s="12" t="s">
        <v>14</v>
      </c>
      <c r="K25" s="13" t="n">
        <v>8000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3.5" hidden="false" customHeight="false" outlineLevel="0" collapsed="false">
      <c r="A27" s="12" t="s">
        <v>41</v>
      </c>
      <c r="B27" s="13" t="n">
        <v>-20929</v>
      </c>
      <c r="C27" s="16"/>
      <c r="D27" s="12" t="s">
        <v>42</v>
      </c>
      <c r="E27" s="13" t="n">
        <v>0</v>
      </c>
      <c r="G27" s="12" t="s">
        <v>41</v>
      </c>
      <c r="H27" s="13" t="n">
        <v>-15929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7" t="s">
        <v>24</v>
      </c>
      <c r="B28" s="18" t="n">
        <f aca="false">SUM(B6:B27)</f>
        <v>-602127</v>
      </c>
      <c r="C28" s="16" t="n">
        <f aca="false">SUM(B28,B57)</f>
        <v>0</v>
      </c>
      <c r="D28" s="12" t="s">
        <v>43</v>
      </c>
      <c r="E28" s="13" t="n">
        <v>0</v>
      </c>
      <c r="G28" s="17" t="s">
        <v>24</v>
      </c>
      <c r="H28" s="18" t="n">
        <f aca="false">SUM(H6:H27)</f>
        <v>-602127</v>
      </c>
      <c r="I28" s="16" t="n">
        <f aca="false">SUM(H28,H57)</f>
        <v>0</v>
      </c>
      <c r="J28" s="12" t="s">
        <v>43</v>
      </c>
      <c r="K28" s="13" t="n">
        <v>0</v>
      </c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2"/>
      <c r="H29" s="13"/>
      <c r="I29" s="16"/>
      <c r="J29" s="17" t="s">
        <v>44</v>
      </c>
      <c r="K29" s="18" t="n">
        <f aca="false">SUM(K16:K28)</f>
        <v>80594</v>
      </c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2" t="s">
        <v>26</v>
      </c>
      <c r="H30" s="13" t="n">
        <v>103081</v>
      </c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2" t="s">
        <v>27</v>
      </c>
      <c r="H31" s="13" t="n">
        <v>125000</v>
      </c>
      <c r="I31" s="16"/>
      <c r="K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2" t="s">
        <v>29</v>
      </c>
      <c r="H32" s="13" t="n">
        <v>0</v>
      </c>
      <c r="K32" s="14"/>
    </row>
    <row r="33" customFormat="false" ht="12.75" hidden="false" customHeight="false" outlineLevel="0" collapsed="false">
      <c r="A33" s="12" t="s">
        <v>31</v>
      </c>
      <c r="B33" s="13" t="n">
        <v>176804</v>
      </c>
      <c r="D33" s="21"/>
      <c r="G33" s="12" t="s">
        <v>31</v>
      </c>
      <c r="H33" s="13" t="n">
        <v>176804</v>
      </c>
      <c r="J33" s="21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2" t="s">
        <v>45</v>
      </c>
      <c r="H34" s="13" t="n">
        <v>29198</v>
      </c>
      <c r="I34" s="16"/>
    </row>
    <row r="35" customFormat="false" ht="12.75" hidden="false" customHeight="false" outlineLevel="0" collapsed="false">
      <c r="A35" s="12" t="s">
        <v>46</v>
      </c>
      <c r="B35" s="13" t="n">
        <v>0</v>
      </c>
      <c r="G35" s="12" t="s">
        <v>46</v>
      </c>
      <c r="H35" s="13" t="n">
        <v>0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2" t="s">
        <v>42</v>
      </c>
      <c r="H38" s="13" t="n">
        <v>20838</v>
      </c>
      <c r="J38" s="23"/>
      <c r="K38" s="16"/>
    </row>
    <row r="39" customFormat="false" ht="12.75" hidden="false" customHeight="false" outlineLevel="0" collapsed="false">
      <c r="A39" s="12" t="s">
        <v>23</v>
      </c>
      <c r="B39" s="13" t="n">
        <v>0</v>
      </c>
      <c r="G39" s="12" t="s">
        <v>23</v>
      </c>
      <c r="H39" s="13" t="n">
        <v>0</v>
      </c>
    </row>
    <row r="40" customFormat="false" ht="12.75" hidden="false" customHeight="false" outlineLevel="0" collapsed="false">
      <c r="A40" s="12" t="s">
        <v>18</v>
      </c>
      <c r="B40" s="24"/>
      <c r="G40" s="12" t="s">
        <v>18</v>
      </c>
      <c r="H40" s="24"/>
    </row>
    <row r="41" customFormat="false" ht="12.75" hidden="false" customHeight="false" outlineLevel="0" collapsed="false">
      <c r="A41" s="12" t="s">
        <v>49</v>
      </c>
      <c r="B41" s="13" t="n">
        <v>0</v>
      </c>
      <c r="G41" s="12" t="s">
        <v>49</v>
      </c>
      <c r="H41" s="13" t="n">
        <v>0</v>
      </c>
    </row>
    <row r="42" customFormat="false" ht="12.75" hidden="false" customHeight="false" outlineLevel="0" collapsed="false">
      <c r="A42" s="12" t="s">
        <v>14</v>
      </c>
      <c r="B42" s="13" t="n">
        <v>54918</v>
      </c>
      <c r="G42" s="12" t="s">
        <v>14</v>
      </c>
      <c r="H42" s="13" t="n">
        <v>54918</v>
      </c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G43" s="12" t="s">
        <v>50</v>
      </c>
      <c r="H43" s="13" t="n">
        <v>13950</v>
      </c>
      <c r="K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  <c r="G44" s="12" t="s">
        <v>51</v>
      </c>
      <c r="H44" s="13" t="n">
        <v>1000</v>
      </c>
      <c r="I44" s="16"/>
      <c r="K44" s="14"/>
    </row>
    <row r="45" customFormat="false" ht="12.75" hidden="false" customHeight="false" outlineLevel="0" collapsed="false">
      <c r="A45" s="12" t="s">
        <v>33</v>
      </c>
      <c r="B45" s="13"/>
      <c r="E45" s="14"/>
      <c r="G45" s="12" t="s">
        <v>33</v>
      </c>
      <c r="H45" s="13"/>
      <c r="K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  <c r="G46" s="12" t="s">
        <v>25</v>
      </c>
      <c r="H46" s="13" t="n">
        <v>0</v>
      </c>
      <c r="I46" s="16"/>
      <c r="K46" s="14"/>
    </row>
    <row r="47" customFormat="false" ht="12.75" hidden="false" customHeight="false" outlineLevel="0" collapsed="false">
      <c r="A47" s="12" t="s">
        <v>22</v>
      </c>
      <c r="B47" s="13" t="n">
        <v>0</v>
      </c>
      <c r="G47" s="12" t="s">
        <v>22</v>
      </c>
      <c r="H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  <c r="G48" s="12" t="s">
        <v>28</v>
      </c>
      <c r="H48" s="13" t="n">
        <v>0</v>
      </c>
      <c r="K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  <c r="G49" s="12" t="s">
        <v>52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  <c r="G50" s="12" t="s">
        <v>53</v>
      </c>
      <c r="H50" s="13" t="n">
        <v>0</v>
      </c>
      <c r="K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  <c r="G51" s="12" t="s">
        <v>54</v>
      </c>
      <c r="H51" s="13" t="n">
        <v>0</v>
      </c>
      <c r="K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  <c r="G52" s="12" t="s">
        <v>36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  <c r="G53" s="12" t="s">
        <v>55</v>
      </c>
      <c r="H53" s="13" t="n">
        <v>35000</v>
      </c>
      <c r="K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  <c r="G54" s="12" t="s">
        <v>56</v>
      </c>
      <c r="H54" s="13" t="n">
        <v>42338</v>
      </c>
      <c r="I54" s="16"/>
      <c r="K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  <c r="G55" s="12" t="s">
        <v>14</v>
      </c>
      <c r="H55" s="13" t="n">
        <v>0</v>
      </c>
      <c r="I55" s="16"/>
      <c r="K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  <c r="G56" s="12" t="s">
        <v>43</v>
      </c>
      <c r="H56" s="13" t="n">
        <v>0</v>
      </c>
      <c r="I56" s="16"/>
      <c r="K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602127</v>
      </c>
      <c r="C57" s="16"/>
      <c r="E57" s="14"/>
      <c r="G57" s="17" t="s">
        <v>44</v>
      </c>
      <c r="H57" s="18" t="n">
        <f aca="false">SUM(H30:H56)</f>
        <v>602127</v>
      </c>
      <c r="I57" s="16"/>
      <c r="K57" s="14"/>
    </row>
    <row r="58" customFormat="false" ht="13.5" hidden="false" customHeight="false" outlineLevel="0" collapsed="false">
      <c r="A58" s="19"/>
      <c r="B58" s="25"/>
      <c r="G58" s="19"/>
      <c r="H58" s="25"/>
    </row>
    <row r="59" customFormat="false" ht="12.75" hidden="false" customHeight="false" outlineLevel="0" collapsed="false">
      <c r="E59" s="14"/>
      <c r="K59" s="14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57</v>
      </c>
      <c r="G1" s="27" t="n">
        <v>240000</v>
      </c>
      <c r="H1" s="28"/>
      <c r="I1" s="29" t="s">
        <v>58</v>
      </c>
      <c r="J1" s="30" t="n">
        <v>43000</v>
      </c>
      <c r="O1" s="31" t="s">
        <v>59</v>
      </c>
      <c r="P1" s="32" t="n">
        <f aca="true">TODAY()+2</f>
        <v>45928</v>
      </c>
      <c r="Q1" s="14" t="n">
        <v>235000</v>
      </c>
      <c r="S1" s="31" t="s">
        <v>60</v>
      </c>
      <c r="T1" s="32" t="n">
        <f aca="true">TODAY()+2</f>
        <v>45928</v>
      </c>
      <c r="U1" s="14" t="n">
        <v>38000</v>
      </c>
      <c r="X1" s="33" t="s">
        <v>61</v>
      </c>
      <c r="Y1" s="33" t="s">
        <v>62</v>
      </c>
      <c r="Z1" s="33" t="s">
        <v>63</v>
      </c>
      <c r="AA1" s="33"/>
      <c r="AB1" s="33" t="s">
        <v>64</v>
      </c>
      <c r="AC1" s="33" t="s">
        <v>65</v>
      </c>
      <c r="AD1" s="33" t="s">
        <v>66</v>
      </c>
      <c r="AG1" s="33" t="s">
        <v>67</v>
      </c>
      <c r="AH1" s="33" t="s">
        <v>68</v>
      </c>
      <c r="AK1" s="6" t="s">
        <v>69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220000</v>
      </c>
      <c r="T2" s="32" t="n">
        <f aca="true">TODAY()+3</f>
        <v>45929</v>
      </c>
      <c r="U2" s="14" t="n">
        <v>37000</v>
      </c>
      <c r="W2" s="32" t="n">
        <v>37012</v>
      </c>
      <c r="X2" s="16" t="n">
        <f aca="false">33400*2</f>
        <v>66800</v>
      </c>
      <c r="Y2" s="16" t="n">
        <f aca="false">18258*2</f>
        <v>36516</v>
      </c>
      <c r="Z2" s="34" t="n">
        <v>252500.4192</v>
      </c>
      <c r="AA2" s="34"/>
      <c r="AB2" s="16" t="n">
        <v>0</v>
      </c>
      <c r="AC2" s="16" t="n">
        <v>0</v>
      </c>
      <c r="AD2" s="16" t="n">
        <v>0</v>
      </c>
      <c r="AF2" s="32" t="n">
        <v>37012</v>
      </c>
      <c r="AG2" s="14" t="n">
        <v>250000</v>
      </c>
      <c r="AH2" s="14" t="n">
        <f aca="false">228194+36760</f>
        <v>264954</v>
      </c>
      <c r="AI2" s="16"/>
      <c r="AJ2" s="35" t="n">
        <f aca="false">+AF2</f>
        <v>37012</v>
      </c>
      <c r="AK2" s="14" t="n">
        <f aca="false">179124+20557</f>
        <v>199681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70</v>
      </c>
      <c r="P3" s="32" t="n">
        <f aca="true">TODAY()+4</f>
        <v>45930</v>
      </c>
      <c r="Q3" s="14" t="n">
        <v>215000</v>
      </c>
      <c r="T3" s="32" t="n">
        <f aca="true">TODAY()+4</f>
        <v>45930</v>
      </c>
      <c r="U3" s="14" t="n">
        <v>37000</v>
      </c>
      <c r="W3" s="32" t="n">
        <v>37013</v>
      </c>
      <c r="X3" s="16" t="n">
        <f aca="false">39504*2</f>
        <v>79008</v>
      </c>
      <c r="Y3" s="16" t="n">
        <f aca="false">12500*2</f>
        <v>25000</v>
      </c>
      <c r="Z3" s="34" t="n">
        <f aca="false">Z2-X3+Y3</f>
        <v>198492.4192</v>
      </c>
      <c r="AA3" s="34"/>
      <c r="AB3" s="16" t="n">
        <v>0</v>
      </c>
      <c r="AC3" s="16" t="n">
        <v>0</v>
      </c>
      <c r="AD3" s="16" t="n">
        <v>0</v>
      </c>
      <c r="AF3" s="32" t="n">
        <v>37013</v>
      </c>
      <c r="AG3" s="14" t="n">
        <v>250000</v>
      </c>
      <c r="AH3" s="14" t="n">
        <f aca="false">236301+37666</f>
        <v>273967</v>
      </c>
      <c r="AI3" s="16"/>
      <c r="AJ3" s="35" t="n">
        <f aca="false">+AF3</f>
        <v>37013</v>
      </c>
      <c r="AK3" s="14" t="n">
        <f aca="false">173899+20591</f>
        <v>194490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79</v>
      </c>
      <c r="C4" s="8" t="n">
        <v>65</v>
      </c>
      <c r="D4" s="9" t="n">
        <f aca="false">AVERAGE(B4,C4)</f>
        <v>72</v>
      </c>
      <c r="J4" s="12" t="s">
        <v>71</v>
      </c>
      <c r="K4" s="40" t="n">
        <f aca="false">36700*2</f>
        <v>73400</v>
      </c>
      <c r="L4" s="14" t="n">
        <f aca="false">19000*2</f>
        <v>38000</v>
      </c>
      <c r="M4" s="41" t="n">
        <f aca="false">+L4-K4</f>
        <v>-35400</v>
      </c>
      <c r="Q4" s="14"/>
      <c r="R4" s="32" t="s">
        <v>16</v>
      </c>
      <c r="W4" s="32" t="n">
        <v>37014</v>
      </c>
      <c r="X4" s="16" t="n">
        <f aca="false">11100*2</f>
        <v>22200</v>
      </c>
      <c r="Y4" s="16" t="n">
        <f aca="false">17500*2</f>
        <v>35000</v>
      </c>
      <c r="Z4" s="34" t="n">
        <f aca="false">Z3-X4+Y4</f>
        <v>211292.4192</v>
      </c>
      <c r="AA4" s="34"/>
      <c r="AB4" s="16" t="n">
        <v>0</v>
      </c>
      <c r="AC4" s="16" t="n">
        <v>0</v>
      </c>
      <c r="AD4" s="16" t="n">
        <v>0</v>
      </c>
      <c r="AF4" s="32" t="n">
        <v>37014</v>
      </c>
      <c r="AG4" s="14" t="n">
        <f aca="false">230000+38000</f>
        <v>268000</v>
      </c>
      <c r="AH4" s="14" t="n">
        <f aca="false">240298+38499</f>
        <v>278797</v>
      </c>
      <c r="AI4" s="16"/>
      <c r="AJ4" s="35" t="n">
        <f aca="false">+AF4</f>
        <v>37014</v>
      </c>
      <c r="AK4" s="14" t="n">
        <f aca="false">173899+20591</f>
        <v>194490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72</v>
      </c>
      <c r="K5" s="42" t="n">
        <f aca="false">20000*2</f>
        <v>40000</v>
      </c>
      <c r="L5" s="14" t="n">
        <f aca="false">7000*2</f>
        <v>14000</v>
      </c>
      <c r="M5" s="43" t="n">
        <f aca="false">+L5-K5</f>
        <v>-26000</v>
      </c>
      <c r="W5" s="32" t="n">
        <v>37015</v>
      </c>
      <c r="X5" s="16" t="n">
        <f aca="false">8500*2</f>
        <v>17000</v>
      </c>
      <c r="Y5" s="16" t="n">
        <f aca="false">11822*2</f>
        <v>23644</v>
      </c>
      <c r="Z5" s="34" t="n">
        <f aca="false">Z4-X5+Y5</f>
        <v>217936.4192</v>
      </c>
      <c r="AA5" s="34"/>
      <c r="AB5" s="16" t="n">
        <v>0</v>
      </c>
      <c r="AC5" s="16" t="n">
        <v>0</v>
      </c>
      <c r="AD5" s="16" t="n">
        <v>0</v>
      </c>
      <c r="AF5" s="32" t="n">
        <v>37015</v>
      </c>
      <c r="AG5" s="14" t="n">
        <f aca="false">220000+44000</f>
        <v>264000</v>
      </c>
      <c r="AH5" s="14" t="n">
        <f aca="false">262301+53869</f>
        <v>316170</v>
      </c>
      <c r="AI5" s="16"/>
      <c r="AJ5" s="35" t="n">
        <f aca="false">+AF5</f>
        <v>37015</v>
      </c>
      <c r="AK5" s="14" t="n">
        <f aca="false">177444+20591</f>
        <v>198035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-235000</v>
      </c>
      <c r="C6" s="14" t="n">
        <v>-227000</v>
      </c>
      <c r="D6" s="12" t="s">
        <v>8</v>
      </c>
      <c r="E6" s="13" t="n">
        <v>-38000</v>
      </c>
      <c r="F6" s="14" t="n">
        <v>-39000</v>
      </c>
      <c r="H6" s="14"/>
      <c r="J6" s="19" t="s">
        <v>73</v>
      </c>
      <c r="K6" s="44" t="n">
        <f aca="false">(+K4-K5)/2</f>
        <v>16700</v>
      </c>
      <c r="L6" s="45" t="n">
        <f aca="false">(+L4-L5)/2</f>
        <v>12000</v>
      </c>
      <c r="M6" s="46" t="n">
        <f aca="false">+L6-K6</f>
        <v>-4700</v>
      </c>
      <c r="W6" s="32" t="n">
        <v>37016</v>
      </c>
      <c r="X6" s="16" t="n">
        <f aca="false">5700*2</f>
        <v>11400</v>
      </c>
      <c r="Y6" s="16" t="n">
        <f aca="false">11822*2</f>
        <v>23644</v>
      </c>
      <c r="Z6" s="34" t="n">
        <f aca="false">Z5-X6+Y6</f>
        <v>230180.4192</v>
      </c>
      <c r="AA6" s="34"/>
      <c r="AB6" s="16" t="n">
        <v>0</v>
      </c>
      <c r="AC6" s="16" t="n">
        <v>0</v>
      </c>
      <c r="AD6" s="16" t="n">
        <v>0</v>
      </c>
      <c r="AF6" s="32" t="n">
        <v>37016</v>
      </c>
      <c r="AG6" s="14" t="n">
        <f aca="false">220000+42000</f>
        <v>262000</v>
      </c>
      <c r="AH6" s="14" t="n">
        <f aca="false">249943+54025</f>
        <v>303968</v>
      </c>
      <c r="AJ6" s="35" t="n">
        <f aca="false">+AF6</f>
        <v>37016</v>
      </c>
      <c r="AK6" s="14" t="n">
        <f aca="false">180844+20591</f>
        <v>201435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37017</v>
      </c>
      <c r="X7" s="16" t="n">
        <f aca="false">12400*2</f>
        <v>24800</v>
      </c>
      <c r="Y7" s="16" t="n">
        <f aca="false">10000*2</f>
        <v>20000</v>
      </c>
      <c r="Z7" s="34" t="n">
        <f aca="false">Z6-X7+Y7</f>
        <v>225380.4192</v>
      </c>
      <c r="AA7" s="34"/>
      <c r="AB7" s="16" t="n">
        <v>0</v>
      </c>
      <c r="AC7" s="16" t="n">
        <v>0</v>
      </c>
      <c r="AD7" s="16" t="n">
        <v>0</v>
      </c>
      <c r="AF7" s="32" t="n">
        <v>37017</v>
      </c>
      <c r="AG7" s="14" t="n">
        <f aca="false">220000+42000</f>
        <v>262000</v>
      </c>
      <c r="AH7" s="47" t="n">
        <f aca="false">232606+42751</f>
        <v>275357</v>
      </c>
      <c r="AJ7" s="35" t="n">
        <f aca="false">+AF7</f>
        <v>37017</v>
      </c>
      <c r="AK7" s="14" t="n">
        <f aca="false">180844+20591</f>
        <v>201435</v>
      </c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37018</v>
      </c>
      <c r="X8" s="16" t="n">
        <f aca="false">11820*2</f>
        <v>23640</v>
      </c>
      <c r="Y8" s="16" t="n">
        <v>0</v>
      </c>
      <c r="Z8" s="34" t="n">
        <f aca="false">Z7-X8+Y8</f>
        <v>201740.4192</v>
      </c>
      <c r="AA8" s="34"/>
      <c r="AB8" s="16" t="n">
        <v>0</v>
      </c>
      <c r="AC8" s="16" t="n">
        <v>0</v>
      </c>
      <c r="AD8" s="16" t="n">
        <v>0</v>
      </c>
      <c r="AF8" s="32" t="n">
        <v>37018</v>
      </c>
      <c r="AG8" s="14" t="n">
        <f aca="false">240000+42000</f>
        <v>282000</v>
      </c>
      <c r="AH8" s="14" t="n">
        <f aca="false">260414+48999</f>
        <v>309413</v>
      </c>
      <c r="AJ8" s="35" t="n">
        <f aca="false">+AF8</f>
        <v>37018</v>
      </c>
      <c r="AK8" s="14" t="n">
        <f aca="false">180844+20591</f>
        <v>201435</v>
      </c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4"/>
      <c r="H9" s="14"/>
      <c r="L9" s="14"/>
      <c r="W9" s="32" t="n">
        <v>37019</v>
      </c>
      <c r="X9" s="16" t="n">
        <f aca="false">21290*2</f>
        <v>42580</v>
      </c>
      <c r="Y9" s="16" t="n">
        <f aca="false">10600*2</f>
        <v>21200</v>
      </c>
      <c r="Z9" s="34" t="n">
        <f aca="false">Z8-X9+Y9</f>
        <v>180360.4192</v>
      </c>
      <c r="AA9" s="34"/>
      <c r="AB9" s="16" t="n">
        <v>0</v>
      </c>
      <c r="AC9" s="16" t="n">
        <v>0</v>
      </c>
      <c r="AD9" s="16" t="n">
        <v>0</v>
      </c>
      <c r="AF9" s="32" t="n">
        <v>37019</v>
      </c>
      <c r="AG9" s="14" t="n">
        <f aca="false">240000+43700</f>
        <v>283700</v>
      </c>
      <c r="AH9" s="14" t="n">
        <f aca="false">238983+43757</f>
        <v>282740</v>
      </c>
      <c r="AJ9" s="35" t="n">
        <f aca="false">+AF9</f>
        <v>37019</v>
      </c>
      <c r="AK9" s="14" t="n">
        <f aca="false">177809+20591</f>
        <v>198400</v>
      </c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37020</v>
      </c>
      <c r="X10" s="16" t="n">
        <v>0</v>
      </c>
      <c r="Y10" s="16" t="n">
        <v>0</v>
      </c>
      <c r="Z10" s="34" t="n">
        <f aca="false">Z9-X10+Y10</f>
        <v>180360.4192</v>
      </c>
      <c r="AA10" s="34"/>
      <c r="AB10" s="16" t="n">
        <v>0</v>
      </c>
      <c r="AC10" s="16" t="n">
        <v>0</v>
      </c>
      <c r="AD10" s="16" t="n">
        <v>0</v>
      </c>
      <c r="AF10" s="32" t="n">
        <v>37020</v>
      </c>
      <c r="AG10" s="14" t="n">
        <f aca="false">240000+38000</f>
        <v>278000</v>
      </c>
      <c r="AH10" s="14" t="n">
        <f aca="false">220190+39151</f>
        <v>259341</v>
      </c>
      <c r="AJ10" s="35" t="n">
        <f aca="false">+AF10</f>
        <v>37020</v>
      </c>
      <c r="AK10" s="14" t="n">
        <f aca="false">174809+20831</f>
        <v>195640</v>
      </c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37021</v>
      </c>
      <c r="X11" s="16" t="n">
        <f aca="false">9863*2</f>
        <v>19726</v>
      </c>
      <c r="Y11" s="16" t="n">
        <f aca="false">10000*2</f>
        <v>20000</v>
      </c>
      <c r="Z11" s="34" t="n">
        <f aca="false">Z10-X11+Y11</f>
        <v>180634.4192</v>
      </c>
      <c r="AA11" s="34"/>
      <c r="AB11" s="16" t="n">
        <v>0</v>
      </c>
      <c r="AC11" s="16" t="n">
        <v>0</v>
      </c>
      <c r="AD11" s="16" t="n">
        <v>0</v>
      </c>
      <c r="AF11" s="32" t="n">
        <v>37021</v>
      </c>
      <c r="AG11" s="14" t="n">
        <f aca="false">240000+38000</f>
        <v>278000</v>
      </c>
      <c r="AH11" s="14" t="n">
        <f aca="false">221445+39547</f>
        <v>260992</v>
      </c>
      <c r="AJ11" s="35" t="n">
        <f aca="false">+AF11</f>
        <v>37021</v>
      </c>
      <c r="AK11" s="14" t="n">
        <f aca="false">176309+20831</f>
        <v>197140</v>
      </c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-103082-54918</f>
        <v>-158000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37022</v>
      </c>
      <c r="X12" s="16" t="n">
        <f aca="false">4190*2</f>
        <v>8380</v>
      </c>
      <c r="Y12" s="16" t="n">
        <f aca="false">10000*2</f>
        <v>20000</v>
      </c>
      <c r="Z12" s="34" t="n">
        <f aca="false">Z11-X12+Y12</f>
        <v>192254.4192</v>
      </c>
      <c r="AA12" s="34"/>
      <c r="AB12" s="16" t="n">
        <v>0</v>
      </c>
      <c r="AC12" s="16" t="n">
        <v>0</v>
      </c>
      <c r="AD12" s="16" t="n">
        <v>0</v>
      </c>
      <c r="AF12" s="32" t="n">
        <v>37022</v>
      </c>
      <c r="AG12" s="14" t="n">
        <f aca="false">215000+37000</f>
        <v>252000</v>
      </c>
      <c r="AH12" s="14" t="n">
        <f aca="false">286991+60499</f>
        <v>347490</v>
      </c>
      <c r="AJ12" s="35" t="n">
        <f aca="false">+AF12</f>
        <v>37022</v>
      </c>
      <c r="AK12" s="14" t="n">
        <f aca="false">176804+20831</f>
        <v>197635</v>
      </c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-14254</v>
      </c>
      <c r="G13" s="14"/>
      <c r="H13" s="14"/>
      <c r="R13" s="34"/>
      <c r="W13" s="32" t="n">
        <v>37023</v>
      </c>
      <c r="X13" s="16" t="n">
        <v>0</v>
      </c>
      <c r="Y13" s="16" t="n">
        <f aca="false">10000*2</f>
        <v>20000</v>
      </c>
      <c r="Z13" s="34" t="n">
        <f aca="false">Z12-X13+Y13</f>
        <v>212254.4192</v>
      </c>
      <c r="AA13" s="34"/>
      <c r="AB13" s="16" t="n">
        <v>0</v>
      </c>
      <c r="AC13" s="16" t="n">
        <v>0</v>
      </c>
      <c r="AD13" s="16" t="n">
        <v>0</v>
      </c>
      <c r="AF13" s="32" t="n">
        <v>37023</v>
      </c>
      <c r="AG13" s="14" t="n">
        <f aca="false">210000+36000</f>
        <v>246000</v>
      </c>
      <c r="AH13" s="14" t="n">
        <f aca="false">314073+65229</f>
        <v>379302</v>
      </c>
      <c r="AJ13" s="35" t="n">
        <f aca="false">+AF13</f>
        <v>37023</v>
      </c>
      <c r="AK13" s="14" t="n">
        <f aca="false">176704+20831</f>
        <v>197535</v>
      </c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0</v>
      </c>
      <c r="C14" s="16"/>
      <c r="D14" s="17" t="s">
        <v>24</v>
      </c>
      <c r="E14" s="18" t="n">
        <f aca="false">SUM(E6:E13)</f>
        <v>-80594</v>
      </c>
      <c r="G14" s="14"/>
      <c r="H14" s="14"/>
      <c r="L14" s="14"/>
      <c r="R14" s="34"/>
      <c r="W14" s="32" t="n">
        <v>37024</v>
      </c>
      <c r="X14" s="16" t="n">
        <f aca="false">197*2</f>
        <v>394</v>
      </c>
      <c r="Y14" s="16" t="n">
        <f aca="false">10000*2</f>
        <v>20000</v>
      </c>
      <c r="Z14" s="34" t="n">
        <f aca="false">Z13-X14+Y14</f>
        <v>231860.4192</v>
      </c>
      <c r="AA14" s="34"/>
      <c r="AB14" s="16" t="n">
        <v>0</v>
      </c>
      <c r="AC14" s="16" t="n">
        <v>0</v>
      </c>
      <c r="AD14" s="16" t="n">
        <v>0</v>
      </c>
      <c r="AF14" s="32" t="n">
        <v>37024</v>
      </c>
      <c r="AG14" s="14" t="n">
        <f aca="false">215000+37000</f>
        <v>252000</v>
      </c>
      <c r="AH14" s="14" t="n">
        <f aca="false">265506+52251</f>
        <v>317757</v>
      </c>
      <c r="AJ14" s="35" t="n">
        <f aca="false">+AF14</f>
        <v>37024</v>
      </c>
      <c r="AK14" s="14" t="n">
        <f aca="false">176704+20831</f>
        <v>197535</v>
      </c>
      <c r="AL14" s="14"/>
      <c r="AM14" s="14"/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37025</v>
      </c>
      <c r="X15" s="16" t="n">
        <f aca="false">36700*2</f>
        <v>73400</v>
      </c>
      <c r="Y15" s="16" t="n">
        <f aca="false">20000*2</f>
        <v>40000</v>
      </c>
      <c r="Z15" s="34" t="n">
        <f aca="false">Z14-X15+Y15</f>
        <v>198460.4192</v>
      </c>
      <c r="AA15" s="34"/>
      <c r="AB15" s="16" t="n">
        <v>0</v>
      </c>
      <c r="AC15" s="16" t="n">
        <v>0</v>
      </c>
      <c r="AD15" s="16" t="n">
        <v>0</v>
      </c>
      <c r="AF15" s="32" t="n">
        <v>37025</v>
      </c>
      <c r="AG15" s="14" t="n">
        <f aca="false">220000+38000</f>
        <v>258000</v>
      </c>
      <c r="AH15" s="14"/>
      <c r="AJ15" s="35" t="n">
        <f aca="false">+AF15</f>
        <v>37025</v>
      </c>
      <c r="AK15" s="14" t="n">
        <f aca="false">176704+20831</f>
        <v>197535</v>
      </c>
      <c r="AL15" s="14"/>
      <c r="AM15" s="14"/>
    </row>
    <row r="16" customFormat="false" ht="12.75" hidden="false" customHeight="false" outlineLevel="0" collapsed="false">
      <c r="A16" s="12" t="s">
        <v>25</v>
      </c>
      <c r="B16" s="13" t="n">
        <v>-40200</v>
      </c>
      <c r="C16" s="16"/>
      <c r="D16" s="12" t="s">
        <v>26</v>
      </c>
      <c r="E16" s="13" t="n">
        <v>22875</v>
      </c>
      <c r="G16" s="14"/>
      <c r="H16" s="14"/>
      <c r="L16" s="14"/>
      <c r="R16" s="34"/>
      <c r="W16" s="32" t="n">
        <v>37026</v>
      </c>
      <c r="X16" s="16" t="n">
        <f aca="false">19000*2</f>
        <v>38000</v>
      </c>
      <c r="Y16" s="16" t="n">
        <f aca="false">7000*2</f>
        <v>14000</v>
      </c>
      <c r="Z16" s="34" t="n">
        <f aca="false">Z15-X16+Y16</f>
        <v>174460.4192</v>
      </c>
      <c r="AA16" s="34"/>
      <c r="AB16" s="16" t="n">
        <v>0</v>
      </c>
      <c r="AC16" s="16" t="n">
        <v>0</v>
      </c>
      <c r="AD16" s="16" t="n">
        <v>0</v>
      </c>
      <c r="AF16" s="32" t="n">
        <v>37026</v>
      </c>
      <c r="AG16" s="14" t="n">
        <f aca="false">240000+39000</f>
        <v>279000</v>
      </c>
      <c r="AH16" s="14"/>
      <c r="AJ16" s="35" t="n">
        <f aca="false">+AF16</f>
        <v>37026</v>
      </c>
      <c r="AK16" s="14"/>
      <c r="AL16" s="14"/>
      <c r="AM16" s="14"/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4"/>
      <c r="H17" s="14"/>
      <c r="L17" s="14"/>
      <c r="R17" s="34"/>
      <c r="W17" s="32" t="n">
        <v>37027</v>
      </c>
      <c r="X17" s="16" t="n">
        <v>0</v>
      </c>
      <c r="Y17" s="16" t="n">
        <v>0</v>
      </c>
      <c r="Z17" s="34" t="n">
        <f aca="false">Z16-X17+Y17</f>
        <v>174460.4192</v>
      </c>
      <c r="AA17" s="34"/>
      <c r="AB17" s="16" t="n">
        <v>0</v>
      </c>
      <c r="AC17" s="16" t="n">
        <v>0</v>
      </c>
      <c r="AD17" s="16" t="n">
        <v>0</v>
      </c>
      <c r="AF17" s="32" t="n">
        <v>37027</v>
      </c>
      <c r="AG17" s="14" t="n">
        <f aca="false">235000+38000</f>
        <v>273000</v>
      </c>
      <c r="AH17" s="14"/>
      <c r="AJ17" s="35" t="n">
        <f aca="false">+AF17</f>
        <v>37027</v>
      </c>
      <c r="AK17" s="14"/>
      <c r="AL17" s="14"/>
      <c r="AM17" s="14"/>
    </row>
    <row r="18" customFormat="false" ht="12.75" hidden="false" customHeight="false" outlineLevel="0" collapsed="false">
      <c r="A18" s="12" t="s">
        <v>28</v>
      </c>
      <c r="B18" s="13" t="n">
        <v>-12932</v>
      </c>
      <c r="D18" s="12" t="s">
        <v>29</v>
      </c>
      <c r="E18" s="13" t="n">
        <v>7603</v>
      </c>
      <c r="F18" s="16" t="s">
        <v>16</v>
      </c>
      <c r="G18" s="14"/>
      <c r="H18" s="14"/>
      <c r="L18" s="14"/>
      <c r="R18" s="34"/>
      <c r="W18" s="32" t="n">
        <v>37028</v>
      </c>
      <c r="X18" s="16" t="n">
        <v>0</v>
      </c>
      <c r="Y18" s="16" t="n">
        <v>0</v>
      </c>
      <c r="Z18" s="34" t="n">
        <f aca="false">Z17-X18+Y18</f>
        <v>174460.4192</v>
      </c>
      <c r="AA18" s="34"/>
      <c r="AB18" s="16" t="n">
        <v>0</v>
      </c>
      <c r="AC18" s="16" t="n">
        <v>0</v>
      </c>
      <c r="AD18" s="16" t="n">
        <v>0</v>
      </c>
      <c r="AF18" s="32" t="n">
        <v>37028</v>
      </c>
      <c r="AG18" s="14" t="n">
        <f aca="false">235000+38000</f>
        <v>273000</v>
      </c>
      <c r="AH18" s="14"/>
      <c r="AJ18" s="35" t="n">
        <f aca="false">+AF18</f>
        <v>37028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4"/>
      <c r="H19" s="14"/>
      <c r="L19" s="14"/>
      <c r="R19" s="34"/>
      <c r="W19" s="32" t="n">
        <v>37029</v>
      </c>
      <c r="X19" s="16" t="n">
        <v>0</v>
      </c>
      <c r="Y19" s="16" t="n">
        <v>0</v>
      </c>
      <c r="Z19" s="34" t="n">
        <f aca="false">Z18-X19+Y19</f>
        <v>174460.4192</v>
      </c>
      <c r="AA19" s="34"/>
      <c r="AB19" s="16" t="n">
        <v>0</v>
      </c>
      <c r="AC19" s="16" t="n">
        <v>0</v>
      </c>
      <c r="AD19" s="16" t="n">
        <v>0</v>
      </c>
      <c r="AF19" s="32" t="n">
        <v>37029</v>
      </c>
      <c r="AG19" s="14" t="n">
        <f aca="false">230000+37000</f>
        <v>267000</v>
      </c>
      <c r="AH19" s="14"/>
      <c r="AJ19" s="35" t="n">
        <f aca="false">+AF19</f>
        <v>37029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37030</v>
      </c>
      <c r="X20" s="16" t="n">
        <v>0</v>
      </c>
      <c r="Y20" s="16" t="n">
        <v>0</v>
      </c>
      <c r="Z20" s="34" t="n">
        <f aca="false">Z19-X20+Y20</f>
        <v>174460.4192</v>
      </c>
      <c r="AA20" s="34"/>
      <c r="AB20" s="16" t="n">
        <v>0</v>
      </c>
      <c r="AC20" s="16" t="n">
        <v>0</v>
      </c>
      <c r="AD20" s="16" t="n">
        <v>0</v>
      </c>
      <c r="AF20" s="32" t="n">
        <v>37030</v>
      </c>
      <c r="AG20" s="14" t="n">
        <f aca="false">215000+37000</f>
        <v>252000</v>
      </c>
      <c r="AH20" s="14"/>
      <c r="AJ20" s="35" t="n">
        <f aca="false">+AF20</f>
        <v>37030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37031</v>
      </c>
      <c r="X21" s="16" t="n">
        <v>0</v>
      </c>
      <c r="Y21" s="16" t="n">
        <v>0</v>
      </c>
      <c r="Z21" s="34" t="n">
        <f aca="false">Z20-X21+Y21</f>
        <v>174460.4192</v>
      </c>
      <c r="AA21" s="34"/>
      <c r="AB21" s="16" t="n">
        <v>0</v>
      </c>
      <c r="AC21" s="16" t="n">
        <v>0</v>
      </c>
      <c r="AD21" s="16" t="n">
        <v>0</v>
      </c>
      <c r="AF21" s="32" t="n">
        <v>37031</v>
      </c>
      <c r="AG21" s="14"/>
      <c r="AH21" s="14"/>
      <c r="AJ21" s="35" t="n">
        <f aca="false">+AF21</f>
        <v>37031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4"/>
      <c r="H22" s="14"/>
      <c r="R22" s="34"/>
      <c r="W22" s="32" t="n">
        <v>37032</v>
      </c>
      <c r="X22" s="16" t="n">
        <v>0</v>
      </c>
      <c r="Y22" s="16" t="n">
        <v>0</v>
      </c>
      <c r="Z22" s="34" t="n">
        <f aca="false">Z21-X22+Y22</f>
        <v>174460.4192</v>
      </c>
      <c r="AA22" s="34"/>
      <c r="AB22" s="16" t="n">
        <v>0</v>
      </c>
      <c r="AC22" s="16" t="n">
        <v>0</v>
      </c>
      <c r="AD22" s="16" t="n">
        <v>0</v>
      </c>
      <c r="AF22" s="32" t="n">
        <v>37032</v>
      </c>
      <c r="AG22" s="14"/>
      <c r="AH22" s="14"/>
      <c r="AJ22" s="35" t="n">
        <f aca="false">+AF22</f>
        <v>37032</v>
      </c>
      <c r="AK22" s="14"/>
      <c r="AL22" s="14"/>
      <c r="AM22" s="14"/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37033</v>
      </c>
      <c r="X23" s="16" t="n">
        <v>0</v>
      </c>
      <c r="Y23" s="16" t="n">
        <v>0</v>
      </c>
      <c r="Z23" s="34" t="n">
        <f aca="false">Z22-X23+Y23</f>
        <v>174460.4192</v>
      </c>
      <c r="AA23" s="34"/>
      <c r="AB23" s="16" t="n">
        <v>0</v>
      </c>
      <c r="AC23" s="16" t="n">
        <v>0</v>
      </c>
      <c r="AD23" s="16" t="n">
        <v>0</v>
      </c>
      <c r="AF23" s="32" t="n">
        <v>37033</v>
      </c>
      <c r="AG23" s="14"/>
      <c r="AH23" s="14"/>
      <c r="AJ23" s="35" t="n">
        <f aca="false">+AF23</f>
        <v>37033</v>
      </c>
      <c r="AK23" s="14"/>
      <c r="AL23" s="14"/>
      <c r="AM23" s="14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4"/>
      <c r="H24" s="14"/>
      <c r="R24" s="34"/>
      <c r="W24" s="32" t="n">
        <v>37034</v>
      </c>
      <c r="X24" s="16" t="n">
        <v>0</v>
      </c>
      <c r="Y24" s="16" t="n">
        <v>0</v>
      </c>
      <c r="Z24" s="34" t="n">
        <f aca="false">Z23-X24+Y24</f>
        <v>174460.4192</v>
      </c>
      <c r="AA24" s="34"/>
      <c r="AB24" s="16" t="n">
        <v>0</v>
      </c>
      <c r="AC24" s="16" t="n">
        <v>0</v>
      </c>
      <c r="AD24" s="16" t="n">
        <v>0</v>
      </c>
      <c r="AF24" s="32" t="n">
        <v>37034</v>
      </c>
      <c r="AG24" s="14"/>
      <c r="AH24" s="14"/>
      <c r="AJ24" s="35" t="n">
        <f aca="false">+AF24</f>
        <v>37034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4"/>
      <c r="H25" s="14"/>
      <c r="R25" s="34"/>
      <c r="W25" s="32" t="n">
        <v>37035</v>
      </c>
      <c r="X25" s="16" t="n">
        <v>0</v>
      </c>
      <c r="Y25" s="16" t="n">
        <v>0</v>
      </c>
      <c r="Z25" s="34" t="n">
        <f aca="false">Z24-X25+Y25</f>
        <v>174460.4192</v>
      </c>
      <c r="AA25" s="34"/>
      <c r="AB25" s="16" t="n">
        <v>0</v>
      </c>
      <c r="AC25" s="16" t="n">
        <v>0</v>
      </c>
      <c r="AD25" s="16" t="n">
        <v>0</v>
      </c>
      <c r="AF25" s="32" t="n">
        <v>37035</v>
      </c>
      <c r="AG25" s="14"/>
      <c r="AH25" s="14"/>
      <c r="AJ25" s="35" t="n">
        <f aca="false">+AF25</f>
        <v>37035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4"/>
      <c r="H26" s="14"/>
      <c r="R26" s="34"/>
      <c r="W26" s="32" t="n">
        <v>37036</v>
      </c>
      <c r="X26" s="16" t="n">
        <v>0</v>
      </c>
      <c r="Y26" s="16" t="n">
        <v>0</v>
      </c>
      <c r="Z26" s="34" t="n">
        <f aca="false">Z25-X26+Y26</f>
        <v>174460.4192</v>
      </c>
      <c r="AA26" s="34"/>
      <c r="AB26" s="16" t="n">
        <v>0</v>
      </c>
      <c r="AC26" s="16" t="n">
        <v>0</v>
      </c>
      <c r="AD26" s="16" t="n">
        <v>0</v>
      </c>
      <c r="AF26" s="32" t="n">
        <v>37036</v>
      </c>
      <c r="AG26" s="14"/>
      <c r="AH26" s="14"/>
      <c r="AJ26" s="35" t="n">
        <f aca="false">+AF26</f>
        <v>37036</v>
      </c>
      <c r="AK26" s="14"/>
      <c r="AL26" s="14"/>
      <c r="AM26" s="14"/>
    </row>
    <row r="27" customFormat="false" ht="13.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37037</v>
      </c>
      <c r="X27" s="16" t="n">
        <v>0</v>
      </c>
      <c r="Y27" s="16" t="n">
        <v>0</v>
      </c>
      <c r="Z27" s="34" t="n">
        <f aca="false">Z26-X27+Y27</f>
        <v>174460.4192</v>
      </c>
      <c r="AA27" s="34"/>
      <c r="AB27" s="16" t="n">
        <v>0</v>
      </c>
      <c r="AC27" s="16" t="n">
        <v>0</v>
      </c>
      <c r="AD27" s="16" t="n">
        <v>0</v>
      </c>
      <c r="AF27" s="32" t="n">
        <v>37037</v>
      </c>
      <c r="AG27" s="14"/>
      <c r="AH27" s="14"/>
      <c r="AJ27" s="35" t="n">
        <f aca="false">+AF27</f>
        <v>37037</v>
      </c>
      <c r="AK27" s="14"/>
      <c r="AL27" s="14"/>
      <c r="AM27" s="14"/>
    </row>
    <row r="28" customFormat="false" ht="13.5" hidden="false" customHeight="false" outlineLevel="0" collapsed="false">
      <c r="A28" s="17" t="s">
        <v>24</v>
      </c>
      <c r="B28" s="18" t="n">
        <f aca="false">SUM(B6:B27)</f>
        <v>-595330</v>
      </c>
      <c r="C28" s="16" t="n">
        <f aca="false">SUM(B28,B57)</f>
        <v>0</v>
      </c>
      <c r="D28" s="12" t="s">
        <v>43</v>
      </c>
      <c r="E28" s="13" t="n">
        <v>0</v>
      </c>
      <c r="G28" s="14"/>
      <c r="H28" s="14"/>
      <c r="R28" s="34"/>
      <c r="W28" s="32" t="n">
        <v>37038</v>
      </c>
      <c r="X28" s="16" t="n">
        <v>0</v>
      </c>
      <c r="Y28" s="16" t="n">
        <v>0</v>
      </c>
      <c r="Z28" s="34" t="n">
        <f aca="false">Z27-X28+Y28</f>
        <v>174460.4192</v>
      </c>
      <c r="AA28" s="34"/>
      <c r="AB28" s="16" t="n">
        <v>0</v>
      </c>
      <c r="AC28" s="16" t="n">
        <v>0</v>
      </c>
      <c r="AD28" s="16" t="n">
        <v>0</v>
      </c>
      <c r="AF28" s="32" t="n">
        <v>37038</v>
      </c>
      <c r="AG28" s="14"/>
      <c r="AH28" s="14"/>
      <c r="AJ28" s="35" t="n">
        <f aca="false">+AF28</f>
        <v>37038</v>
      </c>
      <c r="AK28" s="14"/>
      <c r="AL28" s="14"/>
      <c r="AM28" s="14"/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4"/>
      <c r="H29" s="14"/>
      <c r="R29" s="34"/>
      <c r="W29" s="32" t="n">
        <v>37039</v>
      </c>
      <c r="X29" s="16" t="n">
        <v>0</v>
      </c>
      <c r="Y29" s="16" t="n">
        <v>0</v>
      </c>
      <c r="Z29" s="34" t="n">
        <f aca="false">Z28-X29+Y29</f>
        <v>174460.4192</v>
      </c>
      <c r="AA29" s="34"/>
      <c r="AB29" s="16" t="n">
        <v>0</v>
      </c>
      <c r="AC29" s="16" t="n">
        <v>0</v>
      </c>
      <c r="AD29" s="16" t="n">
        <v>0</v>
      </c>
      <c r="AF29" s="32" t="n">
        <v>37039</v>
      </c>
      <c r="AG29" s="14"/>
      <c r="AH29" s="14"/>
      <c r="AJ29" s="35" t="n">
        <f aca="false">+AF29</f>
        <v>37039</v>
      </c>
      <c r="AK29" s="14"/>
      <c r="AL29" s="14"/>
      <c r="AM29" s="14"/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4"/>
      <c r="H30" s="14"/>
      <c r="W30" s="32" t="n">
        <v>37040</v>
      </c>
      <c r="X30" s="16" t="n">
        <v>0</v>
      </c>
      <c r="Y30" s="16" t="n">
        <v>0</v>
      </c>
      <c r="Z30" s="34" t="n">
        <f aca="false">Z29-X30+Y30</f>
        <v>174460.4192</v>
      </c>
      <c r="AA30" s="34"/>
      <c r="AB30" s="16" t="n">
        <v>0</v>
      </c>
      <c r="AC30" s="16" t="n">
        <v>0</v>
      </c>
      <c r="AD30" s="16" t="n">
        <v>0</v>
      </c>
      <c r="AF30" s="32" t="n">
        <v>37040</v>
      </c>
      <c r="AG30" s="14"/>
      <c r="AH30" s="14"/>
      <c r="AJ30" s="35" t="n">
        <f aca="false">+AF30</f>
        <v>37040</v>
      </c>
      <c r="AK30" s="14"/>
      <c r="AL30" s="14"/>
      <c r="AM30" s="14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4"/>
      <c r="H31" s="14"/>
      <c r="W31" s="32" t="n">
        <v>37041</v>
      </c>
      <c r="X31" s="16" t="n">
        <v>0</v>
      </c>
      <c r="Y31" s="16" t="n">
        <v>0</v>
      </c>
      <c r="Z31" s="34" t="n">
        <f aca="false">Z30-X31+Y31</f>
        <v>174460.4192</v>
      </c>
      <c r="AA31" s="34"/>
      <c r="AB31" s="16" t="n">
        <v>0</v>
      </c>
      <c r="AC31" s="16" t="n">
        <v>0</v>
      </c>
      <c r="AD31" s="16" t="n">
        <v>0</v>
      </c>
      <c r="AF31" s="32" t="n">
        <v>37041</v>
      </c>
      <c r="AG31" s="14"/>
      <c r="AH31" s="48"/>
      <c r="AJ31" s="35" t="n">
        <f aca="false">+AF31</f>
        <v>37041</v>
      </c>
      <c r="AK31" s="14"/>
      <c r="AL31" s="14"/>
      <c r="AM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4"/>
      <c r="H32" s="14"/>
      <c r="W32" s="32" t="n">
        <v>37042</v>
      </c>
      <c r="X32" s="16" t="n">
        <v>0</v>
      </c>
      <c r="Y32" s="16" t="n">
        <v>0</v>
      </c>
      <c r="Z32" s="34" t="n">
        <f aca="false">Z31-X32+Y32</f>
        <v>174460.4192</v>
      </c>
      <c r="AA32" s="34"/>
      <c r="AB32" s="16" t="n">
        <v>0</v>
      </c>
      <c r="AC32" s="16" t="n">
        <v>0</v>
      </c>
      <c r="AD32" s="16" t="n">
        <v>0</v>
      </c>
      <c r="AF32" s="32" t="n">
        <v>37042</v>
      </c>
      <c r="AG32" s="14"/>
      <c r="AH32" s="14"/>
      <c r="AJ32" s="35" t="n">
        <f aca="false">+AF32</f>
        <v>37042</v>
      </c>
      <c r="AK32" s="14"/>
      <c r="AL32" s="14"/>
      <c r="AM32" s="14"/>
    </row>
    <row r="33" customFormat="false" ht="12.75" hidden="false" customHeight="false" outlineLevel="0" collapsed="false">
      <c r="A33" s="12" t="s">
        <v>31</v>
      </c>
      <c r="B33" s="13" t="n">
        <v>170007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0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47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23</v>
      </c>
      <c r="B39" s="13" t="n">
        <v>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18</v>
      </c>
      <c r="B40" s="24"/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49</v>
      </c>
      <c r="B41" s="13" t="n">
        <v>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14</v>
      </c>
      <c r="B42" s="13" t="n">
        <v>54918</v>
      </c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</row>
    <row r="45" customFormat="false" ht="12.75" hidden="false" customHeight="false" outlineLevel="0" collapsed="false">
      <c r="A45" s="12" t="s">
        <v>33</v>
      </c>
      <c r="B45" s="13"/>
      <c r="E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</row>
    <row r="47" customFormat="false" ht="12.75" hidden="false" customHeight="false" outlineLevel="0" collapsed="false">
      <c r="A47" s="12" t="s">
        <v>22</v>
      </c>
      <c r="B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595330</v>
      </c>
      <c r="C57" s="16"/>
      <c r="E57" s="14"/>
    </row>
    <row r="58" customFormat="false" ht="13.5" hidden="false" customHeight="false" outlineLevel="0" collapsed="false">
      <c r="A58" s="19"/>
      <c r="B58" s="25"/>
    </row>
    <row r="59" customFormat="false" ht="12.75" hidden="false" customHeight="false" outlineLevel="0" collapsed="false">
      <c r="A59" s="49"/>
      <c r="B59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2001-05-15T10:54:18Z</dcterms:modified>
  <cp:revision>0</cp:revision>
  <dc:subject/>
  <dc:title/>
</cp:coreProperties>
</file>