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29.xml" ContentType="application/vnd.openxmlformats-officedocument.drawingml.chart+xml"/>
  <Override PartName="/xl/charts/chart28.xml" ContentType="application/vnd.openxmlformats-officedocument.drawingml.chart+xml"/>
  <Override PartName="/xl/charts/chart27.xml" ContentType="application/vnd.openxmlformats-officedocument.drawingml.chart+xml"/>
  <Override PartName="/xl/charts/chart26.xml" ContentType="application/vnd.openxmlformats-officedocument.drawingml.chart+xml"/>
  <Override PartName="/xl/charts/chart25.xml" ContentType="application/vnd.openxmlformats-officedocument.drawingml.chart+xml"/>
  <Override PartName="/xl/charts/chart24.xml" ContentType="application/vnd.openxmlformats-officedocument.drawingml.chart+xml"/>
  <Override PartName="/xl/charts/chart23.xml" ContentType="application/vnd.openxmlformats-officedocument.drawingml.chart+xml"/>
  <Override PartName="/xl/charts/chart6.xml" ContentType="application/vnd.openxmlformats-officedocument.drawingml.chart+xml"/>
  <Override PartName="/xl/charts/chart11.xml" ContentType="application/vnd.openxmlformats-officedocument.drawingml.chart+xml"/>
  <Override PartName="/xl/charts/chart7.xml" ContentType="application/vnd.openxmlformats-officedocument.drawingml.chart+xml"/>
  <Override PartName="/xl/charts/chart12.xml" ContentType="application/vnd.openxmlformats-officedocument.drawingml.chart+xml"/>
  <Override PartName="/xl/charts/chart8.xml" ContentType="application/vnd.openxmlformats-officedocument.drawingml.chart+xml"/>
  <Override PartName="/xl/charts/chart13.xml" ContentType="application/vnd.openxmlformats-officedocument.drawingml.chart+xml"/>
  <Override PartName="/xl/charts/chart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10.xml" ContentType="application/vnd.openxmlformats-officedocument.drawingml.chart+xml"/>
  <Override PartName="/xl/charts/chart34.xml" ContentType="application/vnd.openxmlformats-officedocument.drawingml.chart+xml"/>
  <Override PartName="/xl/charts/chart5.xml" ContentType="application/vnd.openxmlformats-officedocument.drawingml.chart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6.xml" ContentType="application/vnd.openxmlformats-officedocument.drawingml.chart+xml"/>
  <Override PartName="/xl/charts/chart3.xml" ContentType="application/vnd.openxmlformats-officedocument.drawingml.chart+xml"/>
  <Override PartName="/xl/charts/chart1.xml" ContentType="application/vnd.openxmlformats-officedocument.drawingml.chart+xml"/>
  <Override PartName="/xl/charts/chart35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20.xml" ContentType="application/vnd.openxmlformats-officedocument.drawingml.chart+xml"/>
  <Override PartName="/xl/charts/chart19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WEEKEND" sheetId="1" state="visible" r:id="rId3"/>
    <sheet name="DAILY" sheetId="2" state="visible" r:id="rId4"/>
  </sheets>
  <externalReferences>
    <externalReference r:id="rId5"/>
  </externalReferences>
  <definedNames>
    <definedName function="false" hidden="false" localSheetId="1" name="_xlnm.Print_Area" vbProcedure="false">DAILY!$A$1:$V$76</definedName>
    <definedName function="false" hidden="false" localSheetId="0" name="_xlnm.Print_Area" vbProcedure="false">WEEKEND!$A$1:$L$54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<sst xmlns="http://schemas.openxmlformats.org/spreadsheetml/2006/main" count="280" uniqueCount="75">
  <si>
    <t xml:space="preserve">TODAY'S DATE:</t>
  </si>
  <si>
    <t xml:space="preserve">SENDOUT FOR:</t>
  </si>
  <si>
    <t xml:space="preserve">HI</t>
  </si>
  <si>
    <t xml:space="preserve">LOW</t>
  </si>
  <si>
    <t xml:space="preserve">MEAN</t>
  </si>
  <si>
    <t xml:space="preserve">WEATHER</t>
  </si>
  <si>
    <t xml:space="preserve">Ketra</t>
  </si>
  <si>
    <t xml:space="preserve">PGL SENDOUT</t>
  </si>
  <si>
    <t xml:space="preserve">NS SENDOUT</t>
  </si>
  <si>
    <t xml:space="preserve">OFF SYSTEM SALES:</t>
  </si>
  <si>
    <t xml:space="preserve">OFF SYSTEM SALES</t>
  </si>
  <si>
    <t xml:space="preserve">    ENOVATE</t>
  </si>
  <si>
    <t xml:space="preserve">INJECTIONS:</t>
  </si>
  <si>
    <t xml:space="preserve">    ENA SELL BACK</t>
  </si>
  <si>
    <t xml:space="preserve">     MANLOVE</t>
  </si>
  <si>
    <t xml:space="preserve">    MISC</t>
  </si>
  <si>
    <t xml:space="preserve"> </t>
  </si>
  <si>
    <t xml:space="preserve">     NGPL (DSS)</t>
  </si>
  <si>
    <t xml:space="preserve">HUB:</t>
  </si>
  <si>
    <t xml:space="preserve">     ANR </t>
  </si>
  <si>
    <t xml:space="preserve">     NICOR BALANCING</t>
  </si>
  <si>
    <t xml:space="preserve">     ENOVATE</t>
  </si>
  <si>
    <t xml:space="preserve">     ANR (NO-NOTICE)</t>
  </si>
  <si>
    <t xml:space="preserve">ELWOOD</t>
  </si>
  <si>
    <t xml:space="preserve">TOTAL REQUIREMENTS</t>
  </si>
  <si>
    <t xml:space="preserve">     ANR</t>
  </si>
  <si>
    <t xml:space="preserve">ENA BASELOAD</t>
  </si>
  <si>
    <t xml:space="preserve">ENA SIQ</t>
  </si>
  <si>
    <t xml:space="preserve">     NGPL (NO-NOTICE)</t>
  </si>
  <si>
    <t xml:space="preserve">ENA DIQ</t>
  </si>
  <si>
    <t xml:space="preserve">     NGPL</t>
  </si>
  <si>
    <t xml:space="preserve">RIDER GAS</t>
  </si>
  <si>
    <t xml:space="preserve">     COENERGY</t>
  </si>
  <si>
    <t xml:space="preserve">WITHDRAWALS:</t>
  </si>
  <si>
    <t xml:space="preserve">     ENGAGE</t>
  </si>
  <si>
    <t xml:space="preserve">     NGPL DSS</t>
  </si>
  <si>
    <t xml:space="preserve">     PANHANDLE</t>
  </si>
  <si>
    <t xml:space="preserve">     NGPL FT - AMR</t>
  </si>
  <si>
    <t xml:space="preserve">     ALLIANCE UNDER DELIVERY</t>
  </si>
  <si>
    <t xml:space="preserve">     FUEL</t>
  </si>
  <si>
    <t xml:space="preserve">LNG LIQUIFACTION</t>
  </si>
  <si>
    <t xml:space="preserve">LINE PACK / IMBALANCE</t>
  </si>
  <si>
    <t xml:space="preserve">CITYGATE PURCHASES</t>
  </si>
  <si>
    <t xml:space="preserve">IMBALANCES</t>
  </si>
  <si>
    <t xml:space="preserve">TOTAL SOURCES</t>
  </si>
  <si>
    <t xml:space="preserve">SOUTH TX (REFILL)</t>
  </si>
  <si>
    <t xml:space="preserve">ENOVATE</t>
  </si>
  <si>
    <t xml:space="preserve">ANR IMBALANCE</t>
  </si>
  <si>
    <t xml:space="preserve">TRUNKLINE IMBALANCE</t>
  </si>
  <si>
    <t xml:space="preserve">     MISC</t>
  </si>
  <si>
    <t xml:space="preserve">RFG</t>
  </si>
  <si>
    <t xml:space="preserve">LNG VAPORIZE</t>
  </si>
  <si>
    <t xml:space="preserve">     NGPL:  NSS1</t>
  </si>
  <si>
    <t xml:space="preserve">     NGPL:  NSS2</t>
  </si>
  <si>
    <t xml:space="preserve">     NGPL:  DSS</t>
  </si>
  <si>
    <t xml:space="preserve">     NGPL AM (DSS REFILL)</t>
  </si>
  <si>
    <t xml:space="preserve">     NGPL GS (DSS REFILL)</t>
  </si>
  <si>
    <t xml:space="preserve">TODAY'S SENDOUT FOR PGL:</t>
  </si>
  <si>
    <t xml:space="preserve">TODAY'S SENDOUT FOR NS:</t>
  </si>
  <si>
    <t xml:space="preserve">ESTIMATED PGL SENDOUT FOR: </t>
  </si>
  <si>
    <t xml:space="preserve">ESTIMATED NORTH SHORE SENDOUT FOR: </t>
  </si>
  <si>
    <t xml:space="preserve">Elwood Burn</t>
  </si>
  <si>
    <t xml:space="preserve">Elwood Injection</t>
  </si>
  <si>
    <t xml:space="preserve">Elwood Bank Balance</t>
  </si>
  <si>
    <t xml:space="preserve">Lincoln Ctr. Burn</t>
  </si>
  <si>
    <t xml:space="preserve">Lincoln Ctr. Injection</t>
  </si>
  <si>
    <t xml:space="preserve">Lincoln Ctr. Bank Balance</t>
  </si>
  <si>
    <t xml:space="preserve">Gas Control Estimate</t>
  </si>
  <si>
    <t xml:space="preserve">Gas Control Actual</t>
  </si>
  <si>
    <t xml:space="preserve">Rider Gas</t>
  </si>
  <si>
    <t xml:space="preserve">Change</t>
  </si>
  <si>
    <t xml:space="preserve">Total Burn:</t>
  </si>
  <si>
    <t xml:space="preserve">Cinergy Nomination:</t>
  </si>
  <si>
    <t xml:space="preserve">PGL Balancing:</t>
  </si>
  <si>
    <t xml:space="preserve">LINCOLN CENTER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</si>
</sst>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[$-409]m/d/yyyy"/>
    <numFmt numFmtId="166" formatCode="0"/>
    <numFmt numFmtId="167" formatCode="_(* #,##0.00_);_(* \(#,##0.00\);_(* \-??_);_(@_)"/>
    <numFmt numFmtId="168" formatCode="_(* #,##0_);_(* \(#,##0\);_(* \-??_);_(@_)"/>
    <numFmt numFmtId="169" formatCode="_(\$* #,##0.00_);_(\$* \(#,##0.00\);_(\$* \-??_);_(@_)"/>
    <numFmt numFmtId="170" formatCode="_(\$* #,##0_);_(\$* \(#,##0\);_(\$* \-??_);_(@_)"/>
    <numFmt numFmtId="171" formatCode="_(* #,##0.000_);_(* \(#,##0.000\);_(* \-??_);_(@_)"/>
  </numFmts>
  <fonts count="1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2"/>
    </font>
    <font>
      <sz val="10"/>
      <name val="Arial"/>
      <family val="2"/>
    </font>
    <font>
      <b val="true"/>
      <sz val="10"/>
      <name val="Arial"/>
      <family val="2"/>
    </font>
    <font>
      <b val="true"/>
      <sz val="12"/>
      <color rgb="FF000000"/>
      <name val="Arial"/>
      <family val="2"/>
    </font>
    <font>
      <b val="true"/>
      <sz val="1.5"/>
      <color rgb="FF000000"/>
      <name val="Arial"/>
      <family val="2"/>
    </font>
    <font>
      <sz val="1.5"/>
      <color rgb="FF000000"/>
      <name val="Arial"/>
      <family val="2"/>
    </font>
    <font>
      <sz val="11.75"/>
      <color rgb="FF000000"/>
      <name val="Arial"/>
      <family val="2"/>
    </font>
    <font>
      <b val="true"/>
      <sz val="16"/>
      <color rgb="FF000000"/>
      <name val="Arial"/>
      <family val="2"/>
    </font>
    <font>
      <sz val="11"/>
      <color rgb="FF000000"/>
      <name val="Arial"/>
      <family val="2"/>
    </font>
    <font>
      <b val="true"/>
      <sz val="13.5"/>
      <color rgb="FF000000"/>
      <name val="Arial"/>
      <family val="2"/>
    </font>
    <font>
      <sz val="9"/>
      <color rgb="FF000000"/>
      <name val="Arial"/>
      <family val="2"/>
    </font>
    <font>
      <sz val="12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6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6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2092092092092"/>
          <c:w val="1"/>
          <c:h val="0.877502502502503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6014892"/>
        <c:axId val="87965715"/>
      </c:lineChart>
      <c:catAx>
        <c:axId val="7601489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7965715"/>
        <c:crossesAt val="0"/>
        <c:auto val="1"/>
        <c:lblAlgn val="ctr"/>
        <c:lblOffset val="100"/>
        <c:noMultiLvlLbl val="0"/>
      </c:catAx>
      <c:valAx>
        <c:axId val="87965715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6014892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2902902902903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1463020144096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37332745184532"/>
          <c:w val="1"/>
          <c:h val="0.85340391118953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4909036"/>
        <c:axId val="92595987"/>
      </c:lineChart>
      <c:catAx>
        <c:axId val="249090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2595987"/>
        <c:crossesAt val="0"/>
        <c:auto val="1"/>
        <c:lblAlgn val="ctr"/>
        <c:lblOffset val="100"/>
        <c:noMultiLvlLbl val="0"/>
      </c:catAx>
      <c:valAx>
        <c:axId val="92595987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4909036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59932362887810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197324414715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0702341137124"/>
          <c:w val="1"/>
          <c:h val="0.869732441471572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4667077"/>
        <c:axId val="1818777"/>
      </c:lineChart>
      <c:catAx>
        <c:axId val="6466707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818777"/>
        <c:crossesAt val="0"/>
        <c:auto val="1"/>
        <c:lblAlgn val="ctr"/>
        <c:lblOffset val="100"/>
        <c:noMultiLvlLbl val="0"/>
      </c:catAx>
      <c:valAx>
        <c:axId val="1818777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466707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49331103678929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198857910648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35505542492442"/>
          <c:w val="1"/>
          <c:h val="0.906449445750756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922477"/>
        <c:axId val="25588214"/>
      </c:lineChart>
      <c:catAx>
        <c:axId val="592247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5588214"/>
        <c:crossesAt val="-40000"/>
        <c:auto val="1"/>
        <c:lblAlgn val="ctr"/>
        <c:lblOffset val="100"/>
        <c:noMultiLvlLbl val="0"/>
      </c:catAx>
      <c:valAx>
        <c:axId val="25588214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92247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3543836076587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2092092092092"/>
          <c:w val="1"/>
          <c:h val="0.877127127127127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485849"/>
        <c:axId val="4084436"/>
      </c:lineChart>
      <c:catAx>
        <c:axId val="5485849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084436"/>
        <c:crossesAt val="0"/>
        <c:auto val="1"/>
        <c:lblAlgn val="ctr"/>
        <c:lblOffset val="100"/>
        <c:noMultiLvlLbl val="0"/>
      </c:catAx>
      <c:valAx>
        <c:axId val="4084436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485849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778778778779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675930010292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29319217762094"/>
          <c:w val="1"/>
          <c:h val="0.93265696221144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3709979"/>
        <c:axId val="99818822"/>
      </c:lineChart>
      <c:catAx>
        <c:axId val="337099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9818822"/>
        <c:crossesAt val="0"/>
        <c:auto val="1"/>
        <c:lblAlgn val="ctr"/>
        <c:lblOffset val="100"/>
        <c:noMultiLvlLbl val="0"/>
      </c:catAx>
      <c:valAx>
        <c:axId val="9981882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370997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617556241729157"/>
          <c:w val="383"/>
          <c:h val="0.21790913101014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0181838"/>
        <c:axId val="12751754"/>
      </c:lineChart>
      <c:catAx>
        <c:axId val="1018183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2751754"/>
        <c:crossesAt val="0"/>
        <c:auto val="1"/>
        <c:lblAlgn val="ctr"/>
        <c:lblOffset val="100"/>
        <c:noMultiLvlLbl val="0"/>
      </c:catAx>
      <c:valAx>
        <c:axId val="12751754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0181838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1463020144096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37332745184532"/>
          <c:w val="1"/>
          <c:h val="0.85340391118953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5747375"/>
        <c:axId val="43282817"/>
      </c:lineChart>
      <c:catAx>
        <c:axId val="457473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282817"/>
        <c:crossesAt val="0"/>
        <c:auto val="1"/>
        <c:lblAlgn val="ctr"/>
        <c:lblOffset val="100"/>
        <c:noMultiLvlLbl val="0"/>
      </c:catAx>
      <c:valAx>
        <c:axId val="43282817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5747375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59932362887810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197324414715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07859531772575"/>
          <c:w val="1"/>
          <c:h val="0.872742474916388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0766230"/>
        <c:axId val="58003845"/>
      </c:lineChart>
      <c:catAx>
        <c:axId val="4076623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8003845"/>
        <c:crossesAt val="0"/>
        <c:auto val="1"/>
        <c:lblAlgn val="ctr"/>
        <c:lblOffset val="100"/>
        <c:noMultiLvlLbl val="0"/>
      </c:catAx>
      <c:valAx>
        <c:axId val="58003845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076623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7"/>
          <c:y val="0.3827759197324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198857910648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35505542492442"/>
          <c:w val="1"/>
          <c:h val="0.906449445750756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0067993"/>
        <c:axId val="192506"/>
      </c:lineChart>
      <c:catAx>
        <c:axId val="3006799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92506"/>
        <c:crossesAt val="-40000"/>
        <c:auto val="1"/>
        <c:lblAlgn val="ctr"/>
        <c:lblOffset val="100"/>
        <c:noMultiLvlLbl val="0"/>
      </c:catAx>
      <c:valAx>
        <c:axId val="192506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006799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3543836076587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2092092092092"/>
          <c:w val="1"/>
          <c:h val="0.87962962962963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3778655"/>
        <c:axId val="88888177"/>
      </c:lineChart>
      <c:catAx>
        <c:axId val="4377865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8888177"/>
        <c:crossesAt val="0"/>
        <c:auto val="1"/>
        <c:lblAlgn val="ctr"/>
        <c:lblOffset val="100"/>
        <c:noMultiLvlLbl val="0"/>
      </c:catAx>
      <c:valAx>
        <c:axId val="88888177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778655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1651651651652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675930010292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29319217762094"/>
          <c:w val="1"/>
          <c:h val="0.93265696221144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6414010"/>
        <c:axId val="95451632"/>
      </c:lineChart>
      <c:catAx>
        <c:axId val="6641401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5451632"/>
        <c:crossesAt val="0"/>
        <c:auto val="1"/>
        <c:lblAlgn val="ctr"/>
        <c:lblOffset val="100"/>
        <c:noMultiLvlLbl val="0"/>
      </c:catAx>
      <c:valAx>
        <c:axId val="9545163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641401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617556241729157"/>
          <c:w val="383"/>
          <c:h val="0.21790913101014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675930010292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29319217762094"/>
          <c:w val="1"/>
          <c:h val="0.93265696221144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1835113"/>
        <c:axId val="29774688"/>
      </c:lineChart>
      <c:catAx>
        <c:axId val="5183511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9774688"/>
        <c:crossesAt val="0"/>
        <c:auto val="1"/>
        <c:lblAlgn val="ctr"/>
        <c:lblOffset val="100"/>
        <c:noMultiLvlLbl val="0"/>
      </c:catAx>
      <c:valAx>
        <c:axId val="2977468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183511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6168210557271"/>
          <c:w val="383"/>
          <c:h val="0.21790913101014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7662337662338"/>
          <c:w val="1"/>
          <c:h val="0.83961038961039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4492169"/>
        <c:axId val="9927304"/>
      </c:lineChart>
      <c:catAx>
        <c:axId val="94492169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927304"/>
        <c:crossesAt val="0"/>
        <c:auto val="1"/>
        <c:lblAlgn val="ctr"/>
        <c:lblOffset val="100"/>
        <c:noMultiLvlLbl val="0"/>
      </c:catAx>
      <c:valAx>
        <c:axId val="9927304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4492169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59"/>
          <c:y val="0.27376623376623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1463020144096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37332745184532"/>
          <c:w val="1"/>
          <c:h val="0.85340391118953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2687836"/>
        <c:axId val="46633831"/>
      </c:lineChart>
      <c:catAx>
        <c:axId val="326878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6633831"/>
        <c:crossesAt val="0"/>
        <c:auto val="1"/>
        <c:lblAlgn val="ctr"/>
        <c:lblOffset val="100"/>
        <c:noMultiLvlLbl val="0"/>
      </c:catAx>
      <c:valAx>
        <c:axId val="46633831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2687836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285252168798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197324414715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07859531772575"/>
          <c:w val="1"/>
          <c:h val="0.872742474916388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5132417"/>
        <c:axId val="81075976"/>
      </c:lineChart>
      <c:catAx>
        <c:axId val="1513241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1075976"/>
        <c:crossesAt val="0"/>
        <c:auto val="1"/>
        <c:lblAlgn val="ctr"/>
        <c:lblOffset val="100"/>
        <c:noMultiLvlLbl val="0"/>
      </c:catAx>
      <c:valAx>
        <c:axId val="81075976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513241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3827759197324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198857910648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35505542492442"/>
          <c:w val="1"/>
          <c:h val="0.906449445750756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6410271"/>
        <c:axId val="26685275"/>
      </c:lineChart>
      <c:catAx>
        <c:axId val="1641027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685275"/>
        <c:crossesAt val="-40000"/>
        <c:auto val="1"/>
        <c:lblAlgn val="ctr"/>
        <c:lblOffset val="100"/>
        <c:noMultiLvlLbl val="0"/>
      </c:catAx>
      <c:valAx>
        <c:axId val="26685275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641027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3694994961370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25825825825826"/>
          <c:w val="1"/>
          <c:h val="0.878753753753754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1657829"/>
        <c:axId val="76220097"/>
      </c:lineChart>
      <c:catAx>
        <c:axId val="31657829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6220097"/>
        <c:crossesAt val="0"/>
        <c:auto val="1"/>
        <c:lblAlgn val="ctr"/>
        <c:lblOffset val="100"/>
        <c:noMultiLvlLbl val="0"/>
      </c:catAx>
      <c:valAx>
        <c:axId val="76220097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1657829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528528528529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2374564684638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63652779569199"/>
          <c:w val="1"/>
          <c:h val="0.938733393525087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7673365"/>
        <c:axId val="7054744"/>
      </c:lineChart>
      <c:catAx>
        <c:axId val="3767336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054744"/>
        <c:crossesAt val="0"/>
        <c:auto val="1"/>
        <c:lblAlgn val="ctr"/>
        <c:lblOffset val="100"/>
        <c:noMultiLvlLbl val="0"/>
      </c:catAx>
      <c:valAx>
        <c:axId val="70547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767336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626854120985425"/>
          <c:w val="383"/>
          <c:h val="0.19115181220172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5844155844156"/>
          <c:w val="1"/>
          <c:h val="0.841298701298701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5877669"/>
        <c:axId val="7738465"/>
      </c:lineChart>
      <c:catAx>
        <c:axId val="75877669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38465"/>
        <c:crossesAt val="0"/>
        <c:auto val="1"/>
        <c:lblAlgn val="ctr"/>
        <c:lblOffset val="100"/>
        <c:noMultiLvlLbl val="0"/>
      </c:catAx>
      <c:valAx>
        <c:axId val="7738465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5877669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59"/>
          <c:y val="0.27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0"/>
          <c:y val="0.045272797626725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9308654714304"/>
          <c:w val="1"/>
          <c:h val="0.873468334838127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2522472"/>
        <c:axId val="40555397"/>
      </c:lineChart>
      <c:catAx>
        <c:axId val="12522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0555397"/>
        <c:crossesAt val="0"/>
        <c:auto val="1"/>
        <c:lblAlgn val="ctr"/>
        <c:lblOffset val="100"/>
        <c:noMultiLvlLbl val="0"/>
      </c:catAx>
      <c:valAx>
        <c:axId val="40555397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2522472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4620147039855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215653342290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07658716829023"/>
          <c:w val="1"/>
          <c:h val="0.873026536781995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3738904"/>
        <c:axId val="55530577"/>
      </c:lineChart>
      <c:catAx>
        <c:axId val="83738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5530577"/>
        <c:crossesAt val="0"/>
        <c:auto val="1"/>
        <c:lblAlgn val="ctr"/>
        <c:lblOffset val="100"/>
        <c:noMultiLvlLbl val="0"/>
      </c:catAx>
      <c:valAx>
        <c:axId val="55530577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373890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7"/>
          <c:y val="0.38427947598253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4311006"/>
        <c:axId val="87908196"/>
      </c:lineChart>
      <c:catAx>
        <c:axId val="8431100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7908196"/>
        <c:crossesAt val="0"/>
        <c:auto val="1"/>
        <c:lblAlgn val="ctr"/>
        <c:lblOffset val="100"/>
        <c:noMultiLvlLbl val="0"/>
      </c:catAx>
      <c:valAx>
        <c:axId val="87908196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4311006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2179854901299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14459254260165"/>
          <c:w val="1"/>
          <c:h val="0.908554074573984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8279584"/>
        <c:axId val="86244040"/>
      </c:lineChart>
      <c:catAx>
        <c:axId val="88279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6244040"/>
        <c:crossesAt val="-40000"/>
        <c:auto val="1"/>
        <c:lblAlgn val="ctr"/>
        <c:lblOffset val="100"/>
        <c:noMultiLvlLbl val="0"/>
      </c:catAx>
      <c:valAx>
        <c:axId val="86244040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827958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3551543782689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0.450773153479191"/>
          <c:y val="0.026645435244161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588090146405659"/>
          <c:y val="0.0621019108280255"/>
          <c:w val="0.98124691561112"/>
          <c:h val="0.820276008492569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DAILY!$AG$2:$AG$32</c:f>
              <c:numCache>
                <c:formatCode>_(* #,##0_);_(* \(#,##0\);_(* \-??_);_(@_)</c:formatCode>
                <c:ptCount val="31"/>
                <c:pt idx="0">
                  <c:v>250000</c:v>
                </c:pt>
                <c:pt idx="1">
                  <c:v>250000</c:v>
                </c:pt>
                <c:pt idx="2">
                  <c:v>268000</c:v>
                </c:pt>
                <c:pt idx="3">
                  <c:v>264000</c:v>
                </c:pt>
                <c:pt idx="4">
                  <c:v>262000</c:v>
                </c:pt>
                <c:pt idx="5">
                  <c:v>262000</c:v>
                </c:pt>
                <c:pt idx="6">
                  <c:v>282000</c:v>
                </c:pt>
                <c:pt idx="7">
                  <c:v>283700</c:v>
                </c:pt>
                <c:pt idx="8">
                  <c:v>278000</c:v>
                </c:pt>
                <c:pt idx="9">
                  <c:v>278000</c:v>
                </c:pt>
                <c:pt idx="10">
                  <c:v>252000</c:v>
                </c:pt>
                <c:pt idx="11">
                  <c:v>246000</c:v>
                </c:pt>
                <c:pt idx="12">
                  <c:v>252000</c:v>
                </c:pt>
                <c:pt idx="13">
                  <c:v>258000</c:v>
                </c:pt>
                <c:pt idx="14">
                  <c:v>279000</c:v>
                </c:pt>
                <c:pt idx="15">
                  <c:v>273000</c:v>
                </c:pt>
                <c:pt idx="16">
                  <c:v>268000</c:v>
                </c:pt>
                <c:pt idx="17">
                  <c:v>262000</c:v>
                </c:pt>
                <c:pt idx="18">
                  <c:v>255000</c:v>
                </c:pt>
                <c:pt idx="19">
                  <c:v>262000</c:v>
                </c:pt>
                <c:pt idx="20">
                  <c:v>268000</c:v>
                </c:pt>
                <c:pt idx="21">
                  <c:v>398000</c:v>
                </c:pt>
                <c:pt idx="22">
                  <c:v>426000</c:v>
                </c:pt>
                <c:pt idx="23">
                  <c:v>444000</c:v>
                </c:pt>
                <c:pt idx="24">
                  <c:v>361000</c:v>
                </c:pt>
                <c:pt idx="25">
                  <c:v>309000</c:v>
                </c:pt>
                <c:pt idx="26">
                  <c:v>334000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DAILY!$AH$2:$AH$32</c:f>
              <c:numCache>
                <c:formatCode>_(* #,##0_);_(* \(#,##0\);_(* \-??_);_(@_)</c:formatCode>
                <c:ptCount val="31"/>
                <c:pt idx="0">
                  <c:v>264954</c:v>
                </c:pt>
                <c:pt idx="1">
                  <c:v>273967</c:v>
                </c:pt>
                <c:pt idx="2">
                  <c:v>278797</c:v>
                </c:pt>
                <c:pt idx="3">
                  <c:v>316170</c:v>
                </c:pt>
                <c:pt idx="4">
                  <c:v>303968</c:v>
                </c:pt>
                <c:pt idx="5">
                  <c:v>275357</c:v>
                </c:pt>
                <c:pt idx="6">
                  <c:v>309413</c:v>
                </c:pt>
                <c:pt idx="7">
                  <c:v>282740</c:v>
                </c:pt>
                <c:pt idx="8">
                  <c:v>259341</c:v>
                </c:pt>
                <c:pt idx="9">
                  <c:v>260992</c:v>
                </c:pt>
                <c:pt idx="10">
                  <c:v>347490</c:v>
                </c:pt>
                <c:pt idx="11">
                  <c:v>379302</c:v>
                </c:pt>
                <c:pt idx="12">
                  <c:v>317757</c:v>
                </c:pt>
                <c:pt idx="13">
                  <c:v>330375</c:v>
                </c:pt>
                <c:pt idx="14">
                  <c:v>263721</c:v>
                </c:pt>
                <c:pt idx="15">
                  <c:v>270154</c:v>
                </c:pt>
                <c:pt idx="16">
                  <c:v>260948</c:v>
                </c:pt>
                <c:pt idx="17">
                  <c:v>253968</c:v>
                </c:pt>
                <c:pt idx="18">
                  <c:v>251475</c:v>
                </c:pt>
                <c:pt idx="19">
                  <c:v>238352</c:v>
                </c:pt>
                <c:pt idx="20">
                  <c:v>287220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5632905"/>
        <c:axId val="95397333"/>
      </c:lineChart>
      <c:catAx>
        <c:axId val="35632905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5397333"/>
        <c:crossesAt val="0"/>
        <c:auto val="1"/>
        <c:lblAlgn val="ctr"/>
        <c:lblOffset val="100"/>
        <c:noMultiLvlLbl val="0"/>
      </c:catAx>
      <c:valAx>
        <c:axId val="95397333"/>
        <c:scaling>
          <c:orientation val="minMax"/>
          <c:max val="1050000"/>
          <c:min val="5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5632905"/>
        <c:crossesAt val="1"/>
        <c:crossBetween val="midCat"/>
        <c:majorUnit val="100000"/>
        <c:minorUnit val="10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42404178318802"/>
          <c:y val="0.884182590233546"/>
          <c:w val="0.0486099687448594"/>
          <c:h val="0.12728237791932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0.392887338829"/>
          <c:y val="0.030208207967264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2107376875925"/>
          <c:y val="0.0622216873269948"/>
          <c:w val="0.95149017121116"/>
          <c:h val="0.905524130460946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DAILY!$X$2:$X$32</c:f>
              <c:numCache>
                <c:formatCode>_(* #,##0_);_(* \(#,##0\);_(* \-??_);_(@_)</c:formatCode>
                <c:ptCount val="31"/>
                <c:pt idx="0">
                  <c:v>33400</c:v>
                </c:pt>
                <c:pt idx="1">
                  <c:v>39504</c:v>
                </c:pt>
                <c:pt idx="2">
                  <c:v>11100</c:v>
                </c:pt>
                <c:pt idx="3">
                  <c:v>8500</c:v>
                </c:pt>
                <c:pt idx="4">
                  <c:v>5700</c:v>
                </c:pt>
                <c:pt idx="5">
                  <c:v>12400</c:v>
                </c:pt>
                <c:pt idx="6">
                  <c:v>11820</c:v>
                </c:pt>
                <c:pt idx="7">
                  <c:v>21290</c:v>
                </c:pt>
                <c:pt idx="8">
                  <c:v>0</c:v>
                </c:pt>
                <c:pt idx="9">
                  <c:v>9863</c:v>
                </c:pt>
                <c:pt idx="10">
                  <c:v>4190</c:v>
                </c:pt>
                <c:pt idx="11">
                  <c:v>0</c:v>
                </c:pt>
                <c:pt idx="12">
                  <c:v>197</c:v>
                </c:pt>
                <c:pt idx="13">
                  <c:v>36700</c:v>
                </c:pt>
                <c:pt idx="14">
                  <c:v>7000</c:v>
                </c:pt>
                <c:pt idx="15">
                  <c:v>67495</c:v>
                </c:pt>
                <c:pt idx="16">
                  <c:v>2277</c:v>
                </c:pt>
                <c:pt idx="17">
                  <c:v>13719</c:v>
                </c:pt>
                <c:pt idx="18">
                  <c:v>20000</c:v>
                </c:pt>
                <c:pt idx="19">
                  <c:v>17908</c:v>
                </c:pt>
                <c:pt idx="20">
                  <c:v>14349</c:v>
                </c:pt>
                <c:pt idx="21">
                  <c:v>24700</c:v>
                </c:pt>
                <c:pt idx="22">
                  <c:v>15200</c:v>
                </c:pt>
                <c:pt idx="23">
                  <c:v>20000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3624228"/>
        <c:axId val="32108084"/>
      </c:lineChart>
      <c:catAx>
        <c:axId val="63624228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2108084"/>
        <c:crossesAt val="0"/>
        <c:auto val="1"/>
        <c:lblAlgn val="ctr"/>
        <c:lblOffset val="100"/>
        <c:noMultiLvlLbl val="0"/>
      </c:catAx>
      <c:valAx>
        <c:axId val="32108084"/>
        <c:scaling>
          <c:orientation val="minMax"/>
          <c:max val="20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362422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0569647009089"/>
          <c:y val="0.92177157299314"/>
          <c:w val="0.169625871908687"/>
          <c:h val="0.050908653267541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51552769414773"/>
          <c:y val="0.0781928757602085"/>
          <c:w val="0.986926217676414"/>
          <c:h val="0.888683753258037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DAILY!$AJ$2:$AJ$32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DAILY!$AK$2:$AK$32</c:f>
              <c:numCache>
                <c:formatCode>_(* #,##0_);_(* \(#,##0\);_(* \-??_);_(@_)</c:formatCode>
                <c:ptCount val="31"/>
                <c:pt idx="0">
                  <c:v>199681</c:v>
                </c:pt>
                <c:pt idx="1">
                  <c:v>194490</c:v>
                </c:pt>
                <c:pt idx="2">
                  <c:v>194490</c:v>
                </c:pt>
                <c:pt idx="3">
                  <c:v>198035</c:v>
                </c:pt>
                <c:pt idx="4">
                  <c:v>201435</c:v>
                </c:pt>
                <c:pt idx="5">
                  <c:v>201435</c:v>
                </c:pt>
                <c:pt idx="6">
                  <c:v>201435</c:v>
                </c:pt>
                <c:pt idx="7">
                  <c:v>198400</c:v>
                </c:pt>
                <c:pt idx="8">
                  <c:v>195640</c:v>
                </c:pt>
                <c:pt idx="9">
                  <c:v>197140</c:v>
                </c:pt>
                <c:pt idx="10">
                  <c:v>197635</c:v>
                </c:pt>
                <c:pt idx="11">
                  <c:v>197535</c:v>
                </c:pt>
                <c:pt idx="12">
                  <c:v>197535</c:v>
                </c:pt>
                <c:pt idx="13">
                  <c:v>197535</c:v>
                </c:pt>
                <c:pt idx="14">
                  <c:v>191278</c:v>
                </c:pt>
                <c:pt idx="15">
                  <c:v>190861</c:v>
                </c:pt>
                <c:pt idx="16">
                  <c:v>188648</c:v>
                </c:pt>
                <c:pt idx="17">
                  <c:v>197648</c:v>
                </c:pt>
                <c:pt idx="18">
                  <c:v>187668</c:v>
                </c:pt>
                <c:pt idx="19">
                  <c:v>187668</c:v>
                </c:pt>
                <c:pt idx="20">
                  <c:v>187668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3264591"/>
        <c:axId val="32253593"/>
      </c:lineChart>
      <c:catAx>
        <c:axId val="63264591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2253593"/>
        <c:crossesAt val="0"/>
        <c:auto val="1"/>
        <c:lblAlgn val="ctr"/>
        <c:lblOffset val="100"/>
        <c:noMultiLvlLbl val="0"/>
      </c:catAx>
      <c:valAx>
        <c:axId val="32253593"/>
        <c:scaling>
          <c:orientation val="minMax"/>
          <c:max val="600000"/>
          <c:min val="10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3264591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51540396750113"/>
          <c:y val="0.93190703735881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0.331224722596702"/>
          <c:y val="0.046658566221142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88219433786166"/>
          <c:y val="0.0907654921020656"/>
          <c:w val="0.949030384735041"/>
          <c:h val="0.868408262454435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DAILY!$Z$2:$Z$32</c:f>
              <c:numCache>
                <c:formatCode>0</c:formatCode>
                <c:ptCount val="31"/>
                <c:pt idx="0">
                  <c:v>252500.4192</c:v>
                </c:pt>
                <c:pt idx="1">
                  <c:v>225496.4192</c:v>
                </c:pt>
                <c:pt idx="2">
                  <c:v>231896.4192</c:v>
                </c:pt>
                <c:pt idx="3">
                  <c:v>235218.4192</c:v>
                </c:pt>
                <c:pt idx="4">
                  <c:v>241340.4192</c:v>
                </c:pt>
                <c:pt idx="5">
                  <c:v>238940.4192</c:v>
                </c:pt>
                <c:pt idx="6">
                  <c:v>227120.4192</c:v>
                </c:pt>
                <c:pt idx="7">
                  <c:v>216430.4192</c:v>
                </c:pt>
                <c:pt idx="8">
                  <c:v>216430.4192</c:v>
                </c:pt>
                <c:pt idx="9">
                  <c:v>216567.4192</c:v>
                </c:pt>
                <c:pt idx="10">
                  <c:v>222377.4192</c:v>
                </c:pt>
                <c:pt idx="11">
                  <c:v>232377.4192</c:v>
                </c:pt>
                <c:pt idx="12">
                  <c:v>242180.4192</c:v>
                </c:pt>
                <c:pt idx="13">
                  <c:v>225480.4192</c:v>
                </c:pt>
                <c:pt idx="14">
                  <c:v>219162.4192</c:v>
                </c:pt>
                <c:pt idx="15">
                  <c:v>158667.4192</c:v>
                </c:pt>
                <c:pt idx="16">
                  <c:v>158390.4192</c:v>
                </c:pt>
                <c:pt idx="17">
                  <c:v>144671.4192</c:v>
                </c:pt>
                <c:pt idx="18">
                  <c:v>131671.4192</c:v>
                </c:pt>
                <c:pt idx="19">
                  <c:v>120763.4192</c:v>
                </c:pt>
                <c:pt idx="20">
                  <c:v>113914.4192</c:v>
                </c:pt>
                <c:pt idx="21">
                  <c:v>96714.4192</c:v>
                </c:pt>
                <c:pt idx="22">
                  <c:v>88514.4192</c:v>
                </c:pt>
                <c:pt idx="23">
                  <c:v>75514.4192</c:v>
                </c:pt>
                <c:pt idx="24">
                  <c:v>75514.4192</c:v>
                </c:pt>
                <c:pt idx="25">
                  <c:v>75514.4192</c:v>
                </c:pt>
                <c:pt idx="26">
                  <c:v>75514.4192</c:v>
                </c:pt>
                <c:pt idx="27">
                  <c:v>75514.4192</c:v>
                </c:pt>
                <c:pt idx="28">
                  <c:v>75514.4192</c:v>
                </c:pt>
                <c:pt idx="29">
                  <c:v>75514.4192</c:v>
                </c:pt>
                <c:pt idx="30">
                  <c:v>75514.4192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9842325"/>
        <c:axId val="22915438"/>
      </c:lineChart>
      <c:catAx>
        <c:axId val="99842325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2915438"/>
        <c:crossesAt val="0"/>
        <c:auto val="1"/>
        <c:lblAlgn val="ctr"/>
        <c:lblOffset val="100"/>
        <c:noMultiLvlLbl val="0"/>
      </c:catAx>
      <c:valAx>
        <c:axId val="22915438"/>
        <c:scaling>
          <c:orientation val="minMax"/>
          <c:min val="50000"/>
        </c:scaling>
        <c:delete val="0"/>
        <c:axPos val="l"/>
        <c:numFmt formatCode="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9842325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16084206159909"/>
          <c:y val="0.918955042527339"/>
          <c:w val="0.117079746966712"/>
          <c:h val="0.05577156743620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LINCOLN CENTER BURN</a:t>
            </a:r>
          </a:p>
        </c:rich>
      </c:tx>
      <c:layout>
        <c:manualLayout>
          <c:xMode val="edge"/>
          <c:yMode val="edge"/>
          <c:x val="0.34104320337197"/>
          <c:y val="0.034183919114106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1717597471022"/>
          <c:y val="0.0705344246509389"/>
          <c:w val="0.955426765015806"/>
          <c:h val="0.893596533461724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DAILY!$AB$2:$AB$32</c:f>
              <c:numCache>
                <c:formatCode>_(* #,##0_);_(* \(#,##0\);_(* \-??_);_(@_)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20</c:v>
                </c:pt>
                <c:pt idx="6">
                  <c:v>15739</c:v>
                </c:pt>
                <c:pt idx="7">
                  <c:v>15275</c:v>
                </c:pt>
                <c:pt idx="8">
                  <c:v>13183</c:v>
                </c:pt>
                <c:pt idx="9">
                  <c:v>9859</c:v>
                </c:pt>
                <c:pt idx="10">
                  <c:v>12790</c:v>
                </c:pt>
                <c:pt idx="11">
                  <c:v>4</c:v>
                </c:pt>
                <c:pt idx="12">
                  <c:v>937</c:v>
                </c:pt>
                <c:pt idx="13">
                  <c:v>7817</c:v>
                </c:pt>
                <c:pt idx="14">
                  <c:v>9622</c:v>
                </c:pt>
                <c:pt idx="15">
                  <c:v>6967</c:v>
                </c:pt>
                <c:pt idx="16">
                  <c:v>20</c:v>
                </c:pt>
                <c:pt idx="17">
                  <c:v>5</c:v>
                </c:pt>
                <c:pt idx="18">
                  <c:v>0</c:v>
                </c:pt>
                <c:pt idx="19">
                  <c:v>0</c:v>
                </c:pt>
                <c:pt idx="20">
                  <c:v>5</c:v>
                </c:pt>
                <c:pt idx="21">
                  <c:v>0</c:v>
                </c:pt>
                <c:pt idx="22">
                  <c:v>0</c:v>
                </c:pt>
                <c:pt idx="23">
                  <c:v>9000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4408050"/>
        <c:axId val="68343964"/>
      </c:lineChart>
      <c:catAx>
        <c:axId val="54408050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8343964"/>
        <c:crossesAt val="0"/>
        <c:auto val="1"/>
        <c:lblAlgn val="ctr"/>
        <c:lblOffset val="100"/>
        <c:noMultiLvlLbl val="0"/>
      </c:catAx>
      <c:valAx>
        <c:axId val="68343964"/>
        <c:scaling>
          <c:orientation val="minMax"/>
          <c:max val="100000"/>
          <c:min val="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440805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87776606954689"/>
          <c:y val="0.918512277323062"/>
          <c:w val="0.0929399367755532"/>
          <c:h val="0.055247953779489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LINCOLN CENTER BANK BALANCE</a:t>
            </a:r>
          </a:p>
        </c:rich>
      </c:tx>
      <c:layout>
        <c:manualLayout>
          <c:xMode val="edge"/>
          <c:yMode val="edge"/>
          <c:x val="0.314690761800904"/>
          <c:y val="0.033959105584120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29822921535026"/>
          <c:y val="0.0698314002152338"/>
          <c:w val="0.956846860881757"/>
          <c:h val="0.88999162979792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5/1/2001</c:v>
                </c:pt>
                <c:pt idx="1">
                  <c:v>5/2/2001</c:v>
                </c:pt>
                <c:pt idx="2">
                  <c:v>5/3/2001</c:v>
                </c:pt>
                <c:pt idx="3">
                  <c:v>5/4/2001</c:v>
                </c:pt>
                <c:pt idx="4">
                  <c:v>5/5/2001</c:v>
                </c:pt>
                <c:pt idx="5">
                  <c:v>5/6/2001</c:v>
                </c:pt>
                <c:pt idx="6">
                  <c:v>5/7/2001</c:v>
                </c:pt>
                <c:pt idx="7">
                  <c:v>5/8/2001</c:v>
                </c:pt>
                <c:pt idx="8">
                  <c:v>5/9/2001</c:v>
                </c:pt>
                <c:pt idx="9">
                  <c:v>5/10/2001</c:v>
                </c:pt>
                <c:pt idx="10">
                  <c:v>5/11/2001</c:v>
                </c:pt>
                <c:pt idx="11">
                  <c:v>5/12/2001</c:v>
                </c:pt>
                <c:pt idx="12">
                  <c:v>5/13/2001</c:v>
                </c:pt>
                <c:pt idx="13">
                  <c:v>5/14/2001</c:v>
                </c:pt>
                <c:pt idx="14">
                  <c:v>5/15/2001</c:v>
                </c:pt>
                <c:pt idx="15">
                  <c:v>5/16/2001</c:v>
                </c:pt>
                <c:pt idx="16">
                  <c:v>5/17/2001</c:v>
                </c:pt>
                <c:pt idx="17">
                  <c:v>5/18/2001</c:v>
                </c:pt>
                <c:pt idx="18">
                  <c:v>5/19/2001</c:v>
                </c:pt>
                <c:pt idx="19">
                  <c:v>5/20/2001</c:v>
                </c:pt>
                <c:pt idx="20">
                  <c:v>5/21/2001</c:v>
                </c:pt>
                <c:pt idx="21">
                  <c:v>5/22/2001</c:v>
                </c:pt>
                <c:pt idx="22">
                  <c:v>5/23/2001</c:v>
                </c:pt>
                <c:pt idx="23">
                  <c:v>5/24/2001</c:v>
                </c:pt>
                <c:pt idx="24">
                  <c:v>5/25/2001</c:v>
                </c:pt>
                <c:pt idx="25">
                  <c:v>5/26/2001</c:v>
                </c:pt>
                <c:pt idx="26">
                  <c:v>5/27/2001</c:v>
                </c:pt>
                <c:pt idx="27">
                  <c:v>5/28/2001</c:v>
                </c:pt>
                <c:pt idx="28">
                  <c:v>5/29/2001</c:v>
                </c:pt>
                <c:pt idx="29">
                  <c:v>5/30/2001</c:v>
                </c:pt>
                <c:pt idx="30">
                  <c:v>5/31/2001</c:v>
                </c:pt>
              </c:strCache>
            </c:strRef>
          </c:cat>
          <c:val>
            <c:numRef>
              <c:f>DAILY!$AD$2:$AD$32</c:f>
              <c:numCache>
                <c:formatCode>_(* #,##0_);_(* \(#,##0\);_(* \-??_);_(@_)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5700</c:v>
                </c:pt>
                <c:pt idx="5">
                  <c:v>11380</c:v>
                </c:pt>
                <c:pt idx="6">
                  <c:v>1341</c:v>
                </c:pt>
                <c:pt idx="7">
                  <c:v>3066</c:v>
                </c:pt>
                <c:pt idx="8">
                  <c:v>10383</c:v>
                </c:pt>
                <c:pt idx="9">
                  <c:v>11024</c:v>
                </c:pt>
                <c:pt idx="10">
                  <c:v>-1766</c:v>
                </c:pt>
                <c:pt idx="11">
                  <c:v>-1770</c:v>
                </c:pt>
                <c:pt idx="12">
                  <c:v>-2707</c:v>
                </c:pt>
                <c:pt idx="13">
                  <c:v>-10524</c:v>
                </c:pt>
                <c:pt idx="14">
                  <c:v>-9646</c:v>
                </c:pt>
                <c:pt idx="15">
                  <c:v>-6113</c:v>
                </c:pt>
                <c:pt idx="16">
                  <c:v>-6133</c:v>
                </c:pt>
                <c:pt idx="17">
                  <c:v>-6138</c:v>
                </c:pt>
                <c:pt idx="18">
                  <c:v>-6138</c:v>
                </c:pt>
                <c:pt idx="19">
                  <c:v>-6138</c:v>
                </c:pt>
                <c:pt idx="20">
                  <c:v>-6143</c:v>
                </c:pt>
                <c:pt idx="21">
                  <c:v>-6143</c:v>
                </c:pt>
                <c:pt idx="22">
                  <c:v>-6143</c:v>
                </c:pt>
                <c:pt idx="23">
                  <c:v>-4643</c:v>
                </c:pt>
                <c:pt idx="24">
                  <c:v>-4643</c:v>
                </c:pt>
                <c:pt idx="25">
                  <c:v>-4643</c:v>
                </c:pt>
                <c:pt idx="26">
                  <c:v>-4643</c:v>
                </c:pt>
                <c:pt idx="27">
                  <c:v>-4643</c:v>
                </c:pt>
                <c:pt idx="28">
                  <c:v>-4643</c:v>
                </c:pt>
                <c:pt idx="29">
                  <c:v>-4643</c:v>
                </c:pt>
                <c:pt idx="30">
                  <c:v>-4643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9987094"/>
        <c:axId val="70943791"/>
      </c:lineChart>
      <c:catAx>
        <c:axId val="29987094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0943791"/>
        <c:crossesAt val="-40000"/>
        <c:auto val="1"/>
        <c:lblAlgn val="ctr"/>
        <c:lblOffset val="100"/>
        <c:noMultiLvlLbl val="0"/>
      </c:catAx>
      <c:valAx>
        <c:axId val="70943791"/>
        <c:scaling>
          <c:orientation val="minMax"/>
          <c:max val="80000"/>
          <c:min val="-4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9987094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0926416368074"/>
          <c:y val="0.922874566543107"/>
          <c:w val="0.128213117307992"/>
          <c:h val="0.046394834389573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1463020144096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37332745184532"/>
          <c:w val="1"/>
          <c:h val="0.85340391118953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9768471"/>
        <c:axId val="72665846"/>
      </c:lineChart>
      <c:catAx>
        <c:axId val="2976847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2665846"/>
        <c:crossesAt val="0"/>
        <c:auto val="1"/>
        <c:lblAlgn val="ctr"/>
        <c:lblOffset val="100"/>
        <c:noMultiLvlLbl val="0"/>
      </c:catAx>
      <c:valAx>
        <c:axId val="72665846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9768471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59932362887810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197324414715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0702341137124"/>
          <c:w val="1"/>
          <c:h val="0.869732441471572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186083"/>
        <c:axId val="56550639"/>
      </c:lineChart>
      <c:catAx>
        <c:axId val="11860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6550639"/>
        <c:crossesAt val="0"/>
        <c:auto val="1"/>
        <c:lblAlgn val="ctr"/>
        <c:lblOffset val="100"/>
        <c:noMultiLvlLbl val="0"/>
      </c:catAx>
      <c:valAx>
        <c:axId val="56550639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18608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49331103678929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198857910648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35505542492442"/>
          <c:w val="1"/>
          <c:h val="0.906449445750756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1687840"/>
        <c:axId val="65679833"/>
      </c:lineChart>
      <c:catAx>
        <c:axId val="8168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679833"/>
        <c:crossesAt val="-40000"/>
        <c:auto val="1"/>
        <c:lblAlgn val="ctr"/>
        <c:lblOffset val="100"/>
        <c:noMultiLvlLbl val="0"/>
      </c:catAx>
      <c:valAx>
        <c:axId val="65679833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168784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3543836076587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2092092092092"/>
          <c:w val="1"/>
          <c:h val="0.877127127127127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755528"/>
        <c:axId val="96870136"/>
      </c:lineChart>
      <c:catAx>
        <c:axId val="475552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6870136"/>
        <c:crossesAt val="0"/>
        <c:auto val="1"/>
        <c:lblAlgn val="ctr"/>
        <c:lblOffset val="100"/>
        <c:noMultiLvlLbl val="0"/>
      </c:catAx>
      <c:valAx>
        <c:axId val="96870136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55528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778778778779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675930010292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29319217762094"/>
          <c:w val="1"/>
          <c:h val="0.93265696221144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9761353"/>
        <c:axId val="54218725"/>
      </c:lineChart>
      <c:catAx>
        <c:axId val="1976135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4218725"/>
        <c:crossesAt val="0"/>
        <c:auto val="1"/>
        <c:lblAlgn val="ctr"/>
        <c:lblOffset val="100"/>
        <c:noMultiLvlLbl val="0"/>
      </c:catAx>
      <c:valAx>
        <c:axId val="54218725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976135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617556241729157"/>
          <c:w val="383"/>
          <c:h val="0.21790913101014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0353162"/>
        <c:axId val="46571216"/>
      </c:lineChart>
      <c:catAx>
        <c:axId val="2035316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6571216"/>
        <c:crossesAt val="0"/>
        <c:auto val="1"/>
        <c:lblAlgn val="ctr"/>
        <c:lblOffset val="100"/>
        <c:noMultiLvlLbl val="0"/>
      </c:catAx>
      <c:valAx>
        <c:axId val="46571216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0353162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Relationship Id="rId9" Type="http://schemas.openxmlformats.org/officeDocument/2006/relationships/chart" Target="../charts/chart9.xml"/><Relationship Id="rId10" Type="http://schemas.openxmlformats.org/officeDocument/2006/relationships/chart" Target="../charts/chart10.xml"/><Relationship Id="rId11" Type="http://schemas.openxmlformats.org/officeDocument/2006/relationships/chart" Target="../charts/chart11.xml"/><Relationship Id="rId12" Type="http://schemas.openxmlformats.org/officeDocument/2006/relationships/chart" Target="../charts/chart12.xml"/><Relationship Id="rId13" Type="http://schemas.openxmlformats.org/officeDocument/2006/relationships/chart" Target="../charts/chart13.xml"/><Relationship Id="rId14" Type="http://schemas.openxmlformats.org/officeDocument/2006/relationships/chart" Target="../charts/chart14.xml"/><Relationship Id="rId15" Type="http://schemas.openxmlformats.org/officeDocument/2006/relationships/chart" Target="../charts/chart15.xml"/><Relationship Id="rId16" Type="http://schemas.openxmlformats.org/officeDocument/2006/relationships/chart" Target="../charts/chart16.xml"/><Relationship Id="rId17" Type="http://schemas.openxmlformats.org/officeDocument/2006/relationships/chart" Target="../charts/chart17.xml"/><Relationship Id="rId18" Type="http://schemas.openxmlformats.org/officeDocument/2006/relationships/chart" Target="../charts/chart18.xml"/><Relationship Id="rId19" Type="http://schemas.openxmlformats.org/officeDocument/2006/relationships/chart" Target="../charts/chart19.xml"/><Relationship Id="rId20" Type="http://schemas.openxmlformats.org/officeDocument/2006/relationships/chart" Target="../charts/chart20.xml"/><Relationship Id="rId21" Type="http://schemas.openxmlformats.org/officeDocument/2006/relationships/chart" Target="../charts/chart21.xml"/><Relationship Id="rId22" Type="http://schemas.openxmlformats.org/officeDocument/2006/relationships/chart" Target="../charts/chart22.xml"/><Relationship Id="rId23" Type="http://schemas.openxmlformats.org/officeDocument/2006/relationships/chart" Target="../charts/chart23.xml"/><Relationship Id="rId24" Type="http://schemas.openxmlformats.org/officeDocument/2006/relationships/chart" Target="../charts/chart24.xml"/><Relationship Id="rId25" Type="http://schemas.openxmlformats.org/officeDocument/2006/relationships/chart" Target="../charts/chart25.xml"/><Relationship Id="rId26" Type="http://schemas.openxmlformats.org/officeDocument/2006/relationships/chart" Target="../charts/chart26.xml"/><Relationship Id="rId27" Type="http://schemas.openxmlformats.org/officeDocument/2006/relationships/chart" Target="../charts/chart27.xml"/><Relationship Id="rId28" Type="http://schemas.openxmlformats.org/officeDocument/2006/relationships/chart" Target="../charts/chart28.xml"/><Relationship Id="rId29" Type="http://schemas.openxmlformats.org/officeDocument/2006/relationships/chart" Target="../charts/chart29.xml"/><Relationship Id="rId30" Type="http://schemas.openxmlformats.org/officeDocument/2006/relationships/chart" Target="../charts/chart30.xml"/><Relationship Id="rId31" Type="http://schemas.openxmlformats.org/officeDocument/2006/relationships/chart" Target="../charts/chart31.xml"/><Relationship Id="rId32" Type="http://schemas.openxmlformats.org/officeDocument/2006/relationships/chart" Target="../charts/chart32.xml"/><Relationship Id="rId33" Type="http://schemas.openxmlformats.org/officeDocument/2006/relationships/chart" Target="../charts/chart33.xml"/><Relationship Id="rId34" Type="http://schemas.openxmlformats.org/officeDocument/2006/relationships/chart" Target="../charts/chart34.xml"/><Relationship Id="rId35" Type="http://schemas.openxmlformats.org/officeDocument/2006/relationships/chart" Target="../charts/chart35.xml"/><Relationship Id="rId36" Type="http://schemas.openxmlformats.org/officeDocument/2006/relationships/chart" Target="../charts/chart36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402480</xdr:colOff>
      <xdr:row>30</xdr:row>
      <xdr:rowOff>38160</xdr:rowOff>
    </xdr:from>
    <xdr:to>
      <xdr:col>2</xdr:col>
      <xdr:colOff>513720</xdr:colOff>
      <xdr:row>31</xdr:row>
      <xdr:rowOff>75960</xdr:rowOff>
    </xdr:to>
    <xdr:sp>
      <xdr:nvSpPr>
        <xdr:cNvPr id="0" name="Text 4"/>
        <xdr:cNvSpPr/>
      </xdr:nvSpPr>
      <xdr:spPr>
        <a:xfrm>
          <a:off x="332100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38160</xdr:rowOff>
    </xdr:from>
    <xdr:to>
      <xdr:col>8</xdr:col>
      <xdr:colOff>513720</xdr:colOff>
      <xdr:row>31</xdr:row>
      <xdr:rowOff>75960</xdr:rowOff>
    </xdr:to>
    <xdr:sp>
      <xdr:nvSpPr>
        <xdr:cNvPr id="1" name="Text 5"/>
        <xdr:cNvSpPr/>
      </xdr:nvSpPr>
      <xdr:spPr>
        <a:xfrm>
          <a:off x="10304640" y="532440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43</xdr:row>
      <xdr:rowOff>0</xdr:rowOff>
    </xdr:from>
    <xdr:to>
      <xdr:col>0</xdr:col>
      <xdr:colOff>2160</xdr:colOff>
      <xdr:row>60</xdr:row>
      <xdr:rowOff>95760</xdr:rowOff>
    </xdr:to>
    <xdr:graphicFrame>
      <xdr:nvGraphicFramePr>
        <xdr:cNvPr id="2" name="Chart 1"/>
        <xdr:cNvGraphicFramePr/>
      </xdr:nvGraphicFramePr>
      <xdr:xfrm>
        <a:off x="0" y="753444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3" name="Chart 2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61</xdr:row>
      <xdr:rowOff>28440</xdr:rowOff>
    </xdr:from>
    <xdr:to>
      <xdr:col>0</xdr:col>
      <xdr:colOff>2160</xdr:colOff>
      <xdr:row>78</xdr:row>
      <xdr:rowOff>47160</xdr:rowOff>
    </xdr:to>
    <xdr:graphicFrame>
      <xdr:nvGraphicFramePr>
        <xdr:cNvPr id="4" name="Chart 3"/>
        <xdr:cNvGraphicFramePr/>
      </xdr:nvGraphicFramePr>
      <xdr:xfrm>
        <a:off x="0" y="1050588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5" name="Chart 4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37800</xdr:rowOff>
    </xdr:to>
    <xdr:graphicFrame>
      <xdr:nvGraphicFramePr>
        <xdr:cNvPr id="6" name="Chart 5"/>
        <xdr:cNvGraphicFramePr/>
      </xdr:nvGraphicFramePr>
      <xdr:xfrm>
        <a:off x="0" y="5257800"/>
        <a:ext cx="2160" cy="215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28440</xdr:rowOff>
    </xdr:to>
    <xdr:graphicFrame>
      <xdr:nvGraphicFramePr>
        <xdr:cNvPr id="7" name="Chart 6"/>
        <xdr:cNvGraphicFramePr/>
      </xdr:nvGraphicFramePr>
      <xdr:xfrm>
        <a:off x="0" y="5257800"/>
        <a:ext cx="2160" cy="2143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2160</xdr:colOff>
      <xdr:row>60</xdr:row>
      <xdr:rowOff>95760</xdr:rowOff>
    </xdr:to>
    <xdr:graphicFrame>
      <xdr:nvGraphicFramePr>
        <xdr:cNvPr id="8" name="Chart 7"/>
        <xdr:cNvGraphicFramePr/>
      </xdr:nvGraphicFramePr>
      <xdr:xfrm>
        <a:off x="0" y="753444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9" name="Chart 8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0</xdr:colOff>
      <xdr:row>61</xdr:row>
      <xdr:rowOff>28440</xdr:rowOff>
    </xdr:from>
    <xdr:to>
      <xdr:col>0</xdr:col>
      <xdr:colOff>2160</xdr:colOff>
      <xdr:row>78</xdr:row>
      <xdr:rowOff>47160</xdr:rowOff>
    </xdr:to>
    <xdr:graphicFrame>
      <xdr:nvGraphicFramePr>
        <xdr:cNvPr id="10" name="Chart 9"/>
        <xdr:cNvGraphicFramePr/>
      </xdr:nvGraphicFramePr>
      <xdr:xfrm>
        <a:off x="0" y="1050588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11" name="Chart 10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37800</xdr:rowOff>
    </xdr:to>
    <xdr:graphicFrame>
      <xdr:nvGraphicFramePr>
        <xdr:cNvPr id="12" name="Chart 11"/>
        <xdr:cNvGraphicFramePr/>
      </xdr:nvGraphicFramePr>
      <xdr:xfrm>
        <a:off x="0" y="5257800"/>
        <a:ext cx="2160" cy="215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28440</xdr:rowOff>
    </xdr:to>
    <xdr:graphicFrame>
      <xdr:nvGraphicFramePr>
        <xdr:cNvPr id="13" name="Chart 12"/>
        <xdr:cNvGraphicFramePr/>
      </xdr:nvGraphicFramePr>
      <xdr:xfrm>
        <a:off x="0" y="5257800"/>
        <a:ext cx="2160" cy="2143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2160</xdr:colOff>
      <xdr:row>60</xdr:row>
      <xdr:rowOff>95760</xdr:rowOff>
    </xdr:to>
    <xdr:graphicFrame>
      <xdr:nvGraphicFramePr>
        <xdr:cNvPr id="14" name="Chart 13"/>
        <xdr:cNvGraphicFramePr/>
      </xdr:nvGraphicFramePr>
      <xdr:xfrm>
        <a:off x="0" y="753444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15" name="Chart 14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0</xdr:col>
      <xdr:colOff>0</xdr:colOff>
      <xdr:row>61</xdr:row>
      <xdr:rowOff>28440</xdr:rowOff>
    </xdr:from>
    <xdr:to>
      <xdr:col>0</xdr:col>
      <xdr:colOff>2160</xdr:colOff>
      <xdr:row>78</xdr:row>
      <xdr:rowOff>47160</xdr:rowOff>
    </xdr:to>
    <xdr:graphicFrame>
      <xdr:nvGraphicFramePr>
        <xdr:cNvPr id="16" name="Chart 15"/>
        <xdr:cNvGraphicFramePr/>
      </xdr:nvGraphicFramePr>
      <xdr:xfrm>
        <a:off x="0" y="1050588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17" name="Chart 16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37800</xdr:rowOff>
    </xdr:to>
    <xdr:graphicFrame>
      <xdr:nvGraphicFramePr>
        <xdr:cNvPr id="18" name="Chart 17"/>
        <xdr:cNvGraphicFramePr/>
      </xdr:nvGraphicFramePr>
      <xdr:xfrm>
        <a:off x="0" y="5257800"/>
        <a:ext cx="2160" cy="215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28440</xdr:rowOff>
    </xdr:to>
    <xdr:graphicFrame>
      <xdr:nvGraphicFramePr>
        <xdr:cNvPr id="19" name="Chart 18"/>
        <xdr:cNvGraphicFramePr/>
      </xdr:nvGraphicFramePr>
      <xdr:xfrm>
        <a:off x="0" y="5257800"/>
        <a:ext cx="2160" cy="2143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2160</xdr:colOff>
      <xdr:row>60</xdr:row>
      <xdr:rowOff>95760</xdr:rowOff>
    </xdr:to>
    <xdr:graphicFrame>
      <xdr:nvGraphicFramePr>
        <xdr:cNvPr id="20" name="Chart 19"/>
        <xdr:cNvGraphicFramePr/>
      </xdr:nvGraphicFramePr>
      <xdr:xfrm>
        <a:off x="0" y="753444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21" name="Chart 20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 editAs="oneCell">
    <xdr:from>
      <xdr:col>0</xdr:col>
      <xdr:colOff>0</xdr:colOff>
      <xdr:row>61</xdr:row>
      <xdr:rowOff>28440</xdr:rowOff>
    </xdr:from>
    <xdr:to>
      <xdr:col>0</xdr:col>
      <xdr:colOff>2160</xdr:colOff>
      <xdr:row>78</xdr:row>
      <xdr:rowOff>47160</xdr:rowOff>
    </xdr:to>
    <xdr:graphicFrame>
      <xdr:nvGraphicFramePr>
        <xdr:cNvPr id="22" name="Chart 21"/>
        <xdr:cNvGraphicFramePr/>
      </xdr:nvGraphicFramePr>
      <xdr:xfrm>
        <a:off x="0" y="1050588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23" name="Chart 22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37800</xdr:rowOff>
    </xdr:to>
    <xdr:graphicFrame>
      <xdr:nvGraphicFramePr>
        <xdr:cNvPr id="24" name="Chart 23"/>
        <xdr:cNvGraphicFramePr/>
      </xdr:nvGraphicFramePr>
      <xdr:xfrm>
        <a:off x="0" y="5257800"/>
        <a:ext cx="2160" cy="215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28440</xdr:rowOff>
    </xdr:to>
    <xdr:graphicFrame>
      <xdr:nvGraphicFramePr>
        <xdr:cNvPr id="25" name="Chart 24"/>
        <xdr:cNvGraphicFramePr/>
      </xdr:nvGraphicFramePr>
      <xdr:xfrm>
        <a:off x="0" y="5257800"/>
        <a:ext cx="2160" cy="2143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2160</xdr:colOff>
      <xdr:row>62</xdr:row>
      <xdr:rowOff>95400</xdr:rowOff>
    </xdr:to>
    <xdr:graphicFrame>
      <xdr:nvGraphicFramePr>
        <xdr:cNvPr id="26" name="Chart 25"/>
        <xdr:cNvGraphicFramePr/>
      </xdr:nvGraphicFramePr>
      <xdr:xfrm>
        <a:off x="0" y="785808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29</xdr:row>
      <xdr:rowOff>171360</xdr:rowOff>
    </xdr:to>
    <xdr:graphicFrame>
      <xdr:nvGraphicFramePr>
        <xdr:cNvPr id="27" name="Chart 26"/>
        <xdr:cNvGraphicFramePr/>
      </xdr:nvGraphicFramePr>
      <xdr:xfrm>
        <a:off x="0" y="2638440"/>
        <a:ext cx="2160" cy="2790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 editAs="oneCell">
    <xdr:from>
      <xdr:col>0</xdr:col>
      <xdr:colOff>0</xdr:colOff>
      <xdr:row>63</xdr:row>
      <xdr:rowOff>28440</xdr:rowOff>
    </xdr:from>
    <xdr:to>
      <xdr:col>0</xdr:col>
      <xdr:colOff>2160</xdr:colOff>
      <xdr:row>80</xdr:row>
      <xdr:rowOff>47520</xdr:rowOff>
    </xdr:to>
    <xdr:graphicFrame>
      <xdr:nvGraphicFramePr>
        <xdr:cNvPr id="28" name="Chart 27"/>
        <xdr:cNvGraphicFramePr/>
      </xdr:nvGraphicFramePr>
      <xdr:xfrm>
        <a:off x="0" y="1082988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29</xdr:row>
      <xdr:rowOff>171360</xdr:rowOff>
    </xdr:to>
    <xdr:graphicFrame>
      <xdr:nvGraphicFramePr>
        <xdr:cNvPr id="29" name="Chart 28"/>
        <xdr:cNvGraphicFramePr/>
      </xdr:nvGraphicFramePr>
      <xdr:xfrm>
        <a:off x="0" y="2638440"/>
        <a:ext cx="2160" cy="2790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2160</xdr:colOff>
      <xdr:row>44</xdr:row>
      <xdr:rowOff>38160</xdr:rowOff>
    </xdr:to>
    <xdr:graphicFrame>
      <xdr:nvGraphicFramePr>
        <xdr:cNvPr id="30" name="Chart 29"/>
        <xdr:cNvGraphicFramePr/>
      </xdr:nvGraphicFramePr>
      <xdr:xfrm>
        <a:off x="0" y="5591160"/>
        <a:ext cx="2160" cy="2143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2160</xdr:colOff>
      <xdr:row>44</xdr:row>
      <xdr:rowOff>28440</xdr:rowOff>
    </xdr:to>
    <xdr:graphicFrame>
      <xdr:nvGraphicFramePr>
        <xdr:cNvPr id="31" name="Chart 30"/>
        <xdr:cNvGraphicFramePr/>
      </xdr:nvGraphicFramePr>
      <xdr:xfrm>
        <a:off x="0" y="5591160"/>
        <a:ext cx="2160" cy="2133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 editAs="oneCell">
    <xdr:from>
      <xdr:col>3</xdr:col>
      <xdr:colOff>0</xdr:colOff>
      <xdr:row>45</xdr:row>
      <xdr:rowOff>19080</xdr:rowOff>
    </xdr:from>
    <xdr:to>
      <xdr:col>21</xdr:col>
      <xdr:colOff>10440</xdr:colOff>
      <xdr:row>65</xdr:row>
      <xdr:rowOff>142920</xdr:rowOff>
    </xdr:to>
    <xdr:graphicFrame>
      <xdr:nvGraphicFramePr>
        <xdr:cNvPr id="32" name="Chart 31"/>
        <xdr:cNvGraphicFramePr/>
      </xdr:nvGraphicFramePr>
      <xdr:xfrm>
        <a:off x="3693240" y="7877160"/>
        <a:ext cx="17507160" cy="3390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 editAs="oneCell">
    <xdr:from>
      <xdr:col>6</xdr:col>
      <xdr:colOff>20160</xdr:colOff>
      <xdr:row>7</xdr:row>
      <xdr:rowOff>18720</xdr:rowOff>
    </xdr:from>
    <xdr:to>
      <xdr:col>13</xdr:col>
      <xdr:colOff>151560</xdr:colOff>
      <xdr:row>25</xdr:row>
      <xdr:rowOff>75960</xdr:rowOff>
    </xdr:to>
    <xdr:graphicFrame>
      <xdr:nvGraphicFramePr>
        <xdr:cNvPr id="33" name="Chart 32"/>
        <xdr:cNvGraphicFramePr/>
      </xdr:nvGraphicFramePr>
      <xdr:xfrm>
        <a:off x="7305480" y="1676160"/>
        <a:ext cx="6812280" cy="2990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 editAs="oneCell">
    <xdr:from>
      <xdr:col>2</xdr:col>
      <xdr:colOff>764640</xdr:colOff>
      <xdr:row>66</xdr:row>
      <xdr:rowOff>114480</xdr:rowOff>
    </xdr:from>
    <xdr:to>
      <xdr:col>20</xdr:col>
      <xdr:colOff>684720</xdr:colOff>
      <xdr:row>87</xdr:row>
      <xdr:rowOff>28440</xdr:rowOff>
    </xdr:to>
    <xdr:graphicFrame>
      <xdr:nvGraphicFramePr>
        <xdr:cNvPr id="34" name="Chart 33"/>
        <xdr:cNvGraphicFramePr/>
      </xdr:nvGraphicFramePr>
      <xdr:xfrm>
        <a:off x="3683160" y="11401560"/>
        <a:ext cx="17457480" cy="33145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 editAs="oneCell">
    <xdr:from>
      <xdr:col>13</xdr:col>
      <xdr:colOff>291600</xdr:colOff>
      <xdr:row>7</xdr:row>
      <xdr:rowOff>18720</xdr:rowOff>
    </xdr:from>
    <xdr:to>
      <xdr:col>21</xdr:col>
      <xdr:colOff>10440</xdr:colOff>
      <xdr:row>25</xdr:row>
      <xdr:rowOff>47520</xdr:rowOff>
    </xdr:to>
    <xdr:graphicFrame>
      <xdr:nvGraphicFramePr>
        <xdr:cNvPr id="35" name="Chart 34"/>
        <xdr:cNvGraphicFramePr/>
      </xdr:nvGraphicFramePr>
      <xdr:xfrm>
        <a:off x="14257800" y="1676160"/>
        <a:ext cx="6942600" cy="296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 editAs="oneCell">
    <xdr:from>
      <xdr:col>6</xdr:col>
      <xdr:colOff>0</xdr:colOff>
      <xdr:row>25</xdr:row>
      <xdr:rowOff>105120</xdr:rowOff>
    </xdr:from>
    <xdr:to>
      <xdr:col>13</xdr:col>
      <xdr:colOff>151560</xdr:colOff>
      <xdr:row>43</xdr:row>
      <xdr:rowOff>152280</xdr:rowOff>
    </xdr:to>
    <xdr:graphicFrame>
      <xdr:nvGraphicFramePr>
        <xdr:cNvPr id="36" name="Chart 35"/>
        <xdr:cNvGraphicFramePr/>
      </xdr:nvGraphicFramePr>
      <xdr:xfrm>
        <a:off x="7285320" y="4696200"/>
        <a:ext cx="6832440" cy="29905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 editAs="oneCell">
    <xdr:from>
      <xdr:col>13</xdr:col>
      <xdr:colOff>321840</xdr:colOff>
      <xdr:row>25</xdr:row>
      <xdr:rowOff>75960</xdr:rowOff>
    </xdr:from>
    <xdr:to>
      <xdr:col>21</xdr:col>
      <xdr:colOff>30240</xdr:colOff>
      <xdr:row>43</xdr:row>
      <xdr:rowOff>142920</xdr:rowOff>
    </xdr:to>
    <xdr:graphicFrame>
      <xdr:nvGraphicFramePr>
        <xdr:cNvPr id="37" name="Chart 36"/>
        <xdr:cNvGraphicFramePr/>
      </xdr:nvGraphicFramePr>
      <xdr:xfrm>
        <a:off x="14288040" y="4667040"/>
        <a:ext cx="6932160" cy="30103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 editAs="oneCell">
    <xdr:from>
      <xdr:col>2</xdr:col>
      <xdr:colOff>402480</xdr:colOff>
      <xdr:row>30</xdr:row>
      <xdr:rowOff>38160</xdr:rowOff>
    </xdr:from>
    <xdr:to>
      <xdr:col>2</xdr:col>
      <xdr:colOff>513720</xdr:colOff>
      <xdr:row>31</xdr:row>
      <xdr:rowOff>75960</xdr:rowOff>
    </xdr:to>
    <xdr:sp>
      <xdr:nvSpPr>
        <xdr:cNvPr id="38" name="Text 37"/>
        <xdr:cNvSpPr/>
      </xdr:nvSpPr>
      <xdr:spPr>
        <a:xfrm>
          <a:off x="3321000" y="546732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AES/NATTS/ARUBA/Alcatraz/quote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3"/>
      <sheetName val="eolquote"/>
      <sheetName val="gas supply deal"/>
      <sheetName val="WKEND SENDOUT"/>
      <sheetName val="Sheet2"/>
      <sheetName val="nng ventura"/>
      <sheetName val="SENDOUT"/>
      <sheetName val="ngpl dss deal"/>
      <sheetName val="gage (sept)"/>
      <sheetName val="ANR"/>
      <sheetName val="Cary"/>
      <sheetName val="Richie"/>
      <sheetName val="CHICAGO PRICES"/>
      <sheetName val="gage ga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5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0.41"/>
    <col collapsed="false" customWidth="true" hidden="false" outlineLevel="0" max="2" min="2" style="1" width="10.99"/>
    <col collapsed="false" customWidth="true" hidden="false" outlineLevel="0" max="3" min="3" style="2" width="10.99"/>
    <col collapsed="false" customWidth="true" hidden="false" outlineLevel="0" max="4" min="4" style="2" width="26.42"/>
    <col collapsed="false" customWidth="true" hidden="false" outlineLevel="0" max="5" min="5" style="2" width="10.99"/>
    <col collapsed="false" customWidth="true" hidden="false" outlineLevel="0" max="6" min="6" style="2" width="9.28"/>
    <col collapsed="false" customWidth="true" hidden="false" outlineLevel="0" max="7" min="7" style="2" width="30.41"/>
    <col collapsed="false" customWidth="true" hidden="false" outlineLevel="0" max="9" min="8" style="2" width="10.99"/>
    <col collapsed="false" customWidth="true" hidden="false" outlineLevel="0" max="10" min="10" style="2" width="26.42"/>
    <col collapsed="false" customWidth="true" hidden="false" outlineLevel="0" max="11" min="11" style="2" width="9.28"/>
    <col collapsed="false" customWidth="true" hidden="false" outlineLevel="0" max="12" min="12" style="2" width="11.13"/>
    <col collapsed="false" customWidth="false" hidden="false" outlineLevel="0" max="257" min="13" style="2" width="9.14"/>
  </cols>
  <sheetData>
    <row r="1" customFormat="false" ht="27.75" hidden="false" customHeight="true" outlineLevel="0" collapsed="false">
      <c r="A1" s="1" t="s">
        <v>0</v>
      </c>
      <c r="B1" s="3" t="n">
        <f aca="true">TODAY()</f>
        <v>45926</v>
      </c>
      <c r="G1" s="2" t="s">
        <v>0</v>
      </c>
      <c r="H1" s="4" t="n">
        <f aca="true">TODAY()</f>
        <v>45926</v>
      </c>
    </row>
    <row r="2" customFormat="false" ht="13.5" hidden="false" customHeight="false" outlineLevel="0" collapsed="false">
      <c r="A2" s="1" t="s">
        <v>1</v>
      </c>
      <c r="B2" s="3" t="n">
        <f aca="true">TODAY()+2</f>
        <v>45928</v>
      </c>
      <c r="G2" s="2" t="s">
        <v>1</v>
      </c>
      <c r="H2" s="4" t="n">
        <f aca="true">TODAY()+3</f>
        <v>45929</v>
      </c>
    </row>
    <row r="3" customFormat="false" ht="25.5" hidden="false" customHeight="true" outlineLevel="0" collapsed="false">
      <c r="B3" s="5" t="s">
        <v>2</v>
      </c>
      <c r="C3" s="6" t="s">
        <v>3</v>
      </c>
      <c r="D3" s="6" t="s">
        <v>4</v>
      </c>
      <c r="H3" s="6" t="s">
        <v>2</v>
      </c>
      <c r="I3" s="6" t="s">
        <v>3</v>
      </c>
      <c r="J3" s="6" t="s">
        <v>4</v>
      </c>
    </row>
    <row r="4" customFormat="false" ht="13.5" hidden="false" customHeight="false" outlineLevel="0" collapsed="false">
      <c r="A4" s="2" t="s">
        <v>5</v>
      </c>
      <c r="B4" s="7" t="n">
        <v>74</v>
      </c>
      <c r="C4" s="8" t="n">
        <v>52</v>
      </c>
      <c r="D4" s="9" t="n">
        <f aca="false">AVERAGE(B4,C4)</f>
        <v>63</v>
      </c>
      <c r="G4" s="2" t="s">
        <v>5</v>
      </c>
      <c r="H4" s="7" t="n">
        <v>77</v>
      </c>
      <c r="I4" s="8" t="n">
        <v>56</v>
      </c>
      <c r="J4" s="9" t="n">
        <f aca="false">AVERAGE(H4,I4)</f>
        <v>66.5</v>
      </c>
    </row>
    <row r="5" customFormat="false" ht="12.75" hidden="false" customHeight="false" outlineLevel="0" collapsed="false">
      <c r="A5" s="10"/>
      <c r="B5" s="11"/>
      <c r="C5" s="6" t="s">
        <v>6</v>
      </c>
      <c r="D5" s="10"/>
      <c r="E5" s="11"/>
      <c r="F5" s="6" t="s">
        <v>6</v>
      </c>
      <c r="G5" s="10"/>
      <c r="H5" s="11"/>
      <c r="I5" s="6" t="s">
        <v>6</v>
      </c>
      <c r="J5" s="10"/>
      <c r="K5" s="11"/>
      <c r="L5" s="6" t="s">
        <v>6</v>
      </c>
    </row>
    <row r="6" customFormat="false" ht="12.75" hidden="false" customHeight="false" outlineLevel="0" collapsed="false">
      <c r="A6" s="12" t="s">
        <v>7</v>
      </c>
      <c r="B6" s="13" t="n">
        <v>-215000</v>
      </c>
      <c r="C6" s="14" t="n">
        <v>-233000</v>
      </c>
      <c r="D6" s="12" t="s">
        <v>8</v>
      </c>
      <c r="E6" s="13" t="n">
        <v>-36000</v>
      </c>
      <c r="F6" s="14" t="n">
        <v>-39000</v>
      </c>
      <c r="G6" s="12" t="s">
        <v>7</v>
      </c>
      <c r="H6" s="13" t="n">
        <v>-220000</v>
      </c>
      <c r="I6" s="14" t="n">
        <v>-231000</v>
      </c>
      <c r="J6" s="12" t="s">
        <v>8</v>
      </c>
      <c r="K6" s="13" t="n">
        <v>-37000</v>
      </c>
      <c r="L6" s="14" t="n">
        <v>-41000</v>
      </c>
    </row>
    <row r="7" customFormat="false" ht="12.75" hidden="false" customHeight="false" outlineLevel="0" collapsed="false">
      <c r="A7" s="12" t="s">
        <v>9</v>
      </c>
      <c r="B7" s="13"/>
      <c r="D7" s="12" t="s">
        <v>10</v>
      </c>
      <c r="E7" s="13" t="n">
        <v>0</v>
      </c>
      <c r="G7" s="12" t="s">
        <v>9</v>
      </c>
      <c r="H7" s="13"/>
      <c r="J7" s="12" t="s">
        <v>10</v>
      </c>
      <c r="K7" s="13" t="n">
        <v>0</v>
      </c>
    </row>
    <row r="8" customFormat="false" ht="12.75" hidden="false" customHeight="false" outlineLevel="0" collapsed="false">
      <c r="A8" s="12" t="s">
        <v>11</v>
      </c>
      <c r="B8" s="13" t="n">
        <v>0</v>
      </c>
      <c r="D8" s="12" t="s">
        <v>12</v>
      </c>
      <c r="E8" s="13"/>
      <c r="G8" s="12" t="s">
        <v>11</v>
      </c>
      <c r="H8" s="13" t="n">
        <v>0</v>
      </c>
      <c r="J8" s="12" t="s">
        <v>12</v>
      </c>
      <c r="K8" s="13"/>
    </row>
    <row r="9" customFormat="false" ht="12.75" hidden="false" customHeight="false" outlineLevel="0" collapsed="false">
      <c r="A9" s="12" t="s">
        <v>13</v>
      </c>
      <c r="B9" s="13" t="n">
        <v>-50000</v>
      </c>
      <c r="D9" s="12" t="s">
        <v>14</v>
      </c>
      <c r="E9" s="13" t="n">
        <v>0</v>
      </c>
      <c r="G9" s="12" t="s">
        <v>13</v>
      </c>
      <c r="H9" s="13" t="n">
        <v>-50000</v>
      </c>
      <c r="J9" s="12" t="s">
        <v>14</v>
      </c>
      <c r="K9" s="13" t="n">
        <v>0</v>
      </c>
    </row>
    <row r="10" customFormat="false" ht="12.75" hidden="false" customHeight="false" outlineLevel="0" collapsed="false">
      <c r="A10" s="15" t="s">
        <v>15</v>
      </c>
      <c r="B10" s="13" t="n">
        <v>0</v>
      </c>
      <c r="C10" s="16" t="s">
        <v>16</v>
      </c>
      <c r="D10" s="12" t="s">
        <v>17</v>
      </c>
      <c r="E10" s="13" t="n">
        <v>-8340</v>
      </c>
      <c r="G10" s="15" t="s">
        <v>15</v>
      </c>
      <c r="H10" s="13" t="n">
        <v>0</v>
      </c>
      <c r="I10" s="16" t="s">
        <v>16</v>
      </c>
      <c r="J10" s="12" t="s">
        <v>17</v>
      </c>
      <c r="K10" s="13" t="n">
        <v>-8340</v>
      </c>
    </row>
    <row r="11" customFormat="false" ht="12.75" hidden="false" customHeight="false" outlineLevel="0" collapsed="false">
      <c r="A11" s="12" t="s">
        <v>18</v>
      </c>
      <c r="B11" s="13" t="n">
        <v>0</v>
      </c>
      <c r="C11" s="16"/>
      <c r="D11" s="12" t="s">
        <v>19</v>
      </c>
      <c r="E11" s="13" t="n">
        <v>-20000</v>
      </c>
      <c r="G11" s="12" t="s">
        <v>18</v>
      </c>
      <c r="H11" s="13" t="n">
        <v>0</v>
      </c>
      <c r="I11" s="16"/>
      <c r="J11" s="12" t="s">
        <v>19</v>
      </c>
      <c r="K11" s="13" t="n">
        <v>-20000</v>
      </c>
    </row>
    <row r="12" customFormat="false" ht="12.75" hidden="false" customHeight="false" outlineLevel="0" collapsed="false">
      <c r="A12" s="12" t="s">
        <v>14</v>
      </c>
      <c r="B12" s="13" t="n">
        <v>-170000</v>
      </c>
      <c r="C12" s="16"/>
      <c r="D12" s="15" t="s">
        <v>20</v>
      </c>
      <c r="E12" s="13" t="n">
        <v>0</v>
      </c>
      <c r="G12" s="12" t="s">
        <v>14</v>
      </c>
      <c r="H12" s="13" t="n">
        <v>-170000</v>
      </c>
      <c r="I12" s="16"/>
      <c r="J12" s="15" t="s">
        <v>20</v>
      </c>
      <c r="K12" s="13" t="n">
        <v>0</v>
      </c>
    </row>
    <row r="13" customFormat="false" ht="13.5" hidden="false" customHeight="false" outlineLevel="0" collapsed="false">
      <c r="A13" s="12" t="s">
        <v>21</v>
      </c>
      <c r="B13" s="13" t="n">
        <v>0</v>
      </c>
      <c r="C13" s="6"/>
      <c r="D13" s="12" t="s">
        <v>22</v>
      </c>
      <c r="E13" s="13" t="n">
        <v>-16254</v>
      </c>
      <c r="G13" s="12" t="s">
        <v>21</v>
      </c>
      <c r="H13" s="13" t="n">
        <v>0</v>
      </c>
      <c r="I13" s="6"/>
      <c r="J13" s="12" t="s">
        <v>22</v>
      </c>
      <c r="K13" s="13" t="n">
        <v>-15254</v>
      </c>
    </row>
    <row r="14" customFormat="false" ht="13.5" hidden="false" customHeight="false" outlineLevel="0" collapsed="false">
      <c r="A14" s="12" t="s">
        <v>23</v>
      </c>
      <c r="B14" s="13" t="n">
        <v>-7000</v>
      </c>
      <c r="C14" s="16"/>
      <c r="D14" s="17" t="s">
        <v>24</v>
      </c>
      <c r="E14" s="18" t="n">
        <f aca="false">SUM(E6:E13)</f>
        <v>-80594</v>
      </c>
      <c r="G14" s="12" t="s">
        <v>23</v>
      </c>
      <c r="H14" s="13" t="n">
        <v>-7000</v>
      </c>
      <c r="I14" s="16"/>
      <c r="J14" s="17" t="s">
        <v>24</v>
      </c>
      <c r="K14" s="18" t="n">
        <f aca="false">SUM(K6:K13)</f>
        <v>-80594</v>
      </c>
    </row>
    <row r="15" customFormat="false" ht="12.75" hidden="false" customHeight="false" outlineLevel="0" collapsed="false">
      <c r="A15" s="12" t="s">
        <v>12</v>
      </c>
      <c r="B15" s="13"/>
      <c r="C15" s="16"/>
      <c r="D15" s="12"/>
      <c r="E15" s="13"/>
      <c r="F15" s="16" t="n">
        <f aca="false">+E14+E29</f>
        <v>0</v>
      </c>
      <c r="G15" s="12" t="s">
        <v>12</v>
      </c>
      <c r="H15" s="13"/>
      <c r="I15" s="16"/>
      <c r="J15" s="12"/>
      <c r="K15" s="13"/>
      <c r="L15" s="16" t="n">
        <f aca="false">+K14+K29</f>
        <v>0</v>
      </c>
    </row>
    <row r="16" customFormat="false" ht="12.75" hidden="false" customHeight="false" outlineLevel="0" collapsed="false">
      <c r="A16" s="12" t="s">
        <v>25</v>
      </c>
      <c r="B16" s="13" t="n">
        <v>-40000</v>
      </c>
      <c r="C16" s="16"/>
      <c r="D16" s="12" t="s">
        <v>26</v>
      </c>
      <c r="E16" s="13" t="n">
        <v>22875</v>
      </c>
      <c r="G16" s="12" t="s">
        <v>25</v>
      </c>
      <c r="H16" s="13" t="n">
        <v>-40000</v>
      </c>
      <c r="I16" s="16"/>
      <c r="J16" s="12" t="s">
        <v>26</v>
      </c>
      <c r="K16" s="13" t="n">
        <v>22875</v>
      </c>
    </row>
    <row r="17" customFormat="false" ht="12.75" hidden="false" customHeight="false" outlineLevel="0" collapsed="false">
      <c r="A17" s="12" t="s">
        <v>22</v>
      </c>
      <c r="B17" s="13" t="n">
        <v>0</v>
      </c>
      <c r="C17" s="16"/>
      <c r="D17" s="12" t="s">
        <v>27</v>
      </c>
      <c r="E17" s="13" t="n">
        <v>10000</v>
      </c>
      <c r="G17" s="12" t="s">
        <v>22</v>
      </c>
      <c r="H17" s="13" t="n">
        <v>0</v>
      </c>
      <c r="I17" s="16"/>
      <c r="J17" s="12" t="s">
        <v>27</v>
      </c>
      <c r="K17" s="13" t="n">
        <v>10000</v>
      </c>
    </row>
    <row r="18" customFormat="false" ht="12.75" hidden="false" customHeight="false" outlineLevel="0" collapsed="false">
      <c r="A18" s="12" t="s">
        <v>28</v>
      </c>
      <c r="B18" s="13" t="n">
        <v>0</v>
      </c>
      <c r="D18" s="12" t="s">
        <v>29</v>
      </c>
      <c r="E18" s="13" t="n">
        <v>7603</v>
      </c>
      <c r="F18" s="16" t="s">
        <v>16</v>
      </c>
      <c r="G18" s="12" t="s">
        <v>28</v>
      </c>
      <c r="H18" s="13" t="n">
        <v>0</v>
      </c>
      <c r="J18" s="12" t="s">
        <v>29</v>
      </c>
      <c r="K18" s="13" t="n">
        <v>7603</v>
      </c>
      <c r="L18" s="16" t="s">
        <v>16</v>
      </c>
    </row>
    <row r="19" customFormat="false" ht="12.75" hidden="false" customHeight="false" outlineLevel="0" collapsed="false">
      <c r="A19" s="12" t="s">
        <v>30</v>
      </c>
      <c r="B19" s="13" t="n">
        <v>-70000</v>
      </c>
      <c r="D19" s="12" t="s">
        <v>31</v>
      </c>
      <c r="E19" s="13" t="n">
        <v>20831</v>
      </c>
      <c r="G19" s="12" t="s">
        <v>30</v>
      </c>
      <c r="H19" s="13" t="n">
        <v>-70000</v>
      </c>
      <c r="J19" s="12" t="s">
        <v>31</v>
      </c>
      <c r="K19" s="13" t="n">
        <v>20831</v>
      </c>
    </row>
    <row r="20" customFormat="false" ht="12.75" hidden="false" customHeight="false" outlineLevel="0" collapsed="false">
      <c r="A20" s="12" t="s">
        <v>32</v>
      </c>
      <c r="B20" s="13" t="n">
        <v>0</v>
      </c>
      <c r="C20" s="16"/>
      <c r="D20" s="12" t="s">
        <v>33</v>
      </c>
      <c r="E20" s="13" t="n">
        <v>0</v>
      </c>
      <c r="G20" s="12" t="s">
        <v>32</v>
      </c>
      <c r="H20" s="13" t="n">
        <v>0</v>
      </c>
      <c r="I20" s="16"/>
      <c r="J20" s="12" t="s">
        <v>33</v>
      </c>
      <c r="K20" s="13" t="n">
        <v>0</v>
      </c>
    </row>
    <row r="21" customFormat="false" ht="12.75" hidden="false" customHeight="false" outlineLevel="0" collapsed="false">
      <c r="A21" s="12" t="s">
        <v>34</v>
      </c>
      <c r="B21" s="13" t="n">
        <v>0</v>
      </c>
      <c r="C21" s="16"/>
      <c r="D21" s="12" t="s">
        <v>35</v>
      </c>
      <c r="E21" s="13" t="n">
        <v>4340</v>
      </c>
      <c r="G21" s="12" t="s">
        <v>34</v>
      </c>
      <c r="H21" s="13" t="n">
        <v>0</v>
      </c>
      <c r="I21" s="16"/>
      <c r="J21" s="12" t="s">
        <v>35</v>
      </c>
      <c r="K21" s="13" t="n">
        <v>4340</v>
      </c>
    </row>
    <row r="22" customFormat="false" ht="12.75" hidden="false" customHeight="false" outlineLevel="0" collapsed="false">
      <c r="A22" s="12" t="s">
        <v>36</v>
      </c>
      <c r="B22" s="13" t="n">
        <v>-29198</v>
      </c>
      <c r="D22" s="12" t="s">
        <v>37</v>
      </c>
      <c r="E22" s="13" t="n">
        <v>6945</v>
      </c>
      <c r="G22" s="12" t="s">
        <v>36</v>
      </c>
      <c r="H22" s="13" t="n">
        <v>-29198</v>
      </c>
      <c r="J22" s="12" t="s">
        <v>37</v>
      </c>
      <c r="K22" s="13" t="n">
        <v>6945</v>
      </c>
    </row>
    <row r="23" customFormat="false" ht="12.75" hidden="false" customHeight="false" outlineLevel="0" collapsed="false">
      <c r="A23" s="12" t="s">
        <v>14</v>
      </c>
      <c r="B23" s="13" t="n">
        <v>0</v>
      </c>
      <c r="C23" s="16" t="s">
        <v>16</v>
      </c>
      <c r="D23" s="12" t="s">
        <v>25</v>
      </c>
      <c r="E23" s="13" t="n">
        <v>0</v>
      </c>
      <c r="F23" s="16"/>
      <c r="G23" s="12" t="s">
        <v>14</v>
      </c>
      <c r="H23" s="13" t="n">
        <v>0</v>
      </c>
      <c r="I23" s="16" t="s">
        <v>16</v>
      </c>
      <c r="J23" s="12" t="s">
        <v>25</v>
      </c>
      <c r="K23" s="13" t="n">
        <v>0</v>
      </c>
      <c r="L23" s="16"/>
    </row>
    <row r="24" customFormat="false" ht="12.75" hidden="false" customHeight="false" outlineLevel="0" collapsed="false">
      <c r="A24" s="12" t="s">
        <v>38</v>
      </c>
      <c r="B24" s="13" t="n">
        <v>0</v>
      </c>
      <c r="D24" s="12" t="s">
        <v>22</v>
      </c>
      <c r="E24" s="13" t="n">
        <v>0</v>
      </c>
      <c r="G24" s="12" t="s">
        <v>38</v>
      </c>
      <c r="H24" s="13" t="n">
        <v>0</v>
      </c>
      <c r="J24" s="12" t="s">
        <v>22</v>
      </c>
      <c r="K24" s="13" t="n">
        <v>0</v>
      </c>
    </row>
    <row r="25" customFormat="false" ht="12.75" hidden="false" customHeight="false" outlineLevel="0" collapsed="false">
      <c r="A25" s="12" t="s">
        <v>39</v>
      </c>
      <c r="B25" s="13" t="n">
        <v>0</v>
      </c>
      <c r="D25" s="12" t="s">
        <v>14</v>
      </c>
      <c r="E25" s="13" t="n">
        <v>8000</v>
      </c>
      <c r="G25" s="12" t="s">
        <v>39</v>
      </c>
      <c r="H25" s="13" t="n">
        <v>0</v>
      </c>
      <c r="J25" s="12" t="s">
        <v>14</v>
      </c>
      <c r="K25" s="13" t="n">
        <v>8000</v>
      </c>
    </row>
    <row r="26" customFormat="false" ht="12.75" hidden="false" customHeight="false" outlineLevel="0" collapsed="false">
      <c r="A26" s="12" t="s">
        <v>40</v>
      </c>
      <c r="B26" s="13" t="n">
        <v>0</v>
      </c>
      <c r="D26" s="12" t="s">
        <v>20</v>
      </c>
      <c r="E26" s="13" t="n">
        <v>0</v>
      </c>
      <c r="G26" s="12" t="s">
        <v>40</v>
      </c>
      <c r="H26" s="13" t="n">
        <v>0</v>
      </c>
      <c r="J26" s="12" t="s">
        <v>20</v>
      </c>
      <c r="K26" s="13" t="n">
        <v>0</v>
      </c>
    </row>
    <row r="27" customFormat="false" ht="13.5" hidden="false" customHeight="false" outlineLevel="0" collapsed="false">
      <c r="A27" s="12" t="s">
        <v>41</v>
      </c>
      <c r="B27" s="13" t="n">
        <v>-20929</v>
      </c>
      <c r="C27" s="16"/>
      <c r="D27" s="12" t="s">
        <v>42</v>
      </c>
      <c r="E27" s="13" t="n">
        <v>0</v>
      </c>
      <c r="G27" s="12" t="s">
        <v>41</v>
      </c>
      <c r="H27" s="13" t="n">
        <v>-15929</v>
      </c>
      <c r="I27" s="16"/>
      <c r="J27" s="12" t="s">
        <v>42</v>
      </c>
      <c r="K27" s="13" t="n">
        <v>0</v>
      </c>
    </row>
    <row r="28" customFormat="false" ht="13.5" hidden="false" customHeight="false" outlineLevel="0" collapsed="false">
      <c r="A28" s="17" t="s">
        <v>24</v>
      </c>
      <c r="B28" s="18" t="n">
        <f aca="false">SUM(B6:B27)</f>
        <v>-602127</v>
      </c>
      <c r="C28" s="16" t="n">
        <f aca="false">SUM(B28,B57)</f>
        <v>0</v>
      </c>
      <c r="D28" s="12" t="s">
        <v>43</v>
      </c>
      <c r="E28" s="13" t="n">
        <v>0</v>
      </c>
      <c r="G28" s="17" t="s">
        <v>24</v>
      </c>
      <c r="H28" s="18" t="n">
        <f aca="false">SUM(H6:H27)</f>
        <v>-602127</v>
      </c>
      <c r="I28" s="16" t="n">
        <f aca="false">SUM(H28,H57)</f>
        <v>0</v>
      </c>
      <c r="J28" s="12" t="s">
        <v>43</v>
      </c>
      <c r="K28" s="13" t="n">
        <v>0</v>
      </c>
    </row>
    <row r="29" customFormat="false" ht="13.5" hidden="false" customHeight="false" outlineLevel="0" collapsed="false">
      <c r="A29" s="12"/>
      <c r="B29" s="13"/>
      <c r="C29" s="16"/>
      <c r="D29" s="17" t="s">
        <v>44</v>
      </c>
      <c r="E29" s="18" t="n">
        <f aca="false">SUM(E16:E28)</f>
        <v>80594</v>
      </c>
      <c r="G29" s="12"/>
      <c r="H29" s="13"/>
      <c r="I29" s="16"/>
      <c r="J29" s="17" t="s">
        <v>44</v>
      </c>
      <c r="K29" s="18" t="n">
        <f aca="false">SUM(K16:K28)</f>
        <v>80594</v>
      </c>
    </row>
    <row r="30" customFormat="false" ht="13.5" hidden="false" customHeight="false" outlineLevel="0" collapsed="false">
      <c r="A30" s="12" t="s">
        <v>26</v>
      </c>
      <c r="B30" s="13" t="n">
        <v>103081</v>
      </c>
      <c r="C30" s="16"/>
      <c r="D30" s="19"/>
      <c r="E30" s="20"/>
      <c r="F30" s="16"/>
      <c r="G30" s="12" t="s">
        <v>26</v>
      </c>
      <c r="H30" s="13" t="n">
        <v>103081</v>
      </c>
      <c r="I30" s="16"/>
      <c r="J30" s="19"/>
      <c r="K30" s="20"/>
      <c r="L30" s="16"/>
    </row>
    <row r="31" customFormat="false" ht="12.75" hidden="false" customHeight="false" outlineLevel="0" collapsed="false">
      <c r="A31" s="12" t="s">
        <v>27</v>
      </c>
      <c r="B31" s="13" t="n">
        <v>125000</v>
      </c>
      <c r="C31" s="16"/>
      <c r="E31" s="14"/>
      <c r="G31" s="12" t="s">
        <v>27</v>
      </c>
      <c r="H31" s="13" t="n">
        <v>125000</v>
      </c>
      <c r="I31" s="16"/>
      <c r="K31" s="14"/>
    </row>
    <row r="32" customFormat="false" ht="12.75" hidden="false" customHeight="false" outlineLevel="0" collapsed="false">
      <c r="A32" s="12" t="s">
        <v>29</v>
      </c>
      <c r="B32" s="13" t="n">
        <v>0</v>
      </c>
      <c r="E32" s="14"/>
      <c r="G32" s="12" t="s">
        <v>29</v>
      </c>
      <c r="H32" s="13" t="n">
        <v>0</v>
      </c>
      <c r="K32" s="14"/>
    </row>
    <row r="33" customFormat="false" ht="12.75" hidden="false" customHeight="false" outlineLevel="0" collapsed="false">
      <c r="A33" s="12" t="s">
        <v>31</v>
      </c>
      <c r="B33" s="13" t="n">
        <v>176804</v>
      </c>
      <c r="D33" s="21"/>
      <c r="G33" s="12" t="s">
        <v>31</v>
      </c>
      <c r="H33" s="13" t="n">
        <v>176804</v>
      </c>
      <c r="J33" s="21"/>
    </row>
    <row r="34" customFormat="false" ht="12.75" hidden="false" customHeight="false" outlineLevel="0" collapsed="false">
      <c r="A34" s="12" t="s">
        <v>45</v>
      </c>
      <c r="B34" s="13" t="n">
        <v>29198</v>
      </c>
      <c r="C34" s="16"/>
      <c r="G34" s="12" t="s">
        <v>45</v>
      </c>
      <c r="H34" s="13" t="n">
        <v>29198</v>
      </c>
      <c r="I34" s="16"/>
    </row>
    <row r="35" customFormat="false" ht="12.75" hidden="false" customHeight="false" outlineLevel="0" collapsed="false">
      <c r="A35" s="12" t="s">
        <v>46</v>
      </c>
      <c r="B35" s="13" t="n">
        <v>0</v>
      </c>
      <c r="G35" s="12" t="s">
        <v>46</v>
      </c>
      <c r="H35" s="13" t="n">
        <v>0</v>
      </c>
    </row>
    <row r="36" customFormat="false" ht="12.75" hidden="false" customHeight="false" outlineLevel="0" collapsed="false">
      <c r="A36" s="12" t="s">
        <v>47</v>
      </c>
      <c r="B36" s="13" t="n">
        <v>0</v>
      </c>
      <c r="G36" s="12" t="s">
        <v>47</v>
      </c>
      <c r="H36" s="13" t="n">
        <v>0</v>
      </c>
    </row>
    <row r="37" customFormat="false" ht="12.75" hidden="false" customHeight="false" outlineLevel="0" collapsed="false">
      <c r="A37" s="12" t="s">
        <v>48</v>
      </c>
      <c r="B37" s="13" t="n">
        <v>0</v>
      </c>
      <c r="D37" s="22"/>
      <c r="G37" s="12" t="s">
        <v>48</v>
      </c>
      <c r="H37" s="13" t="n">
        <v>0</v>
      </c>
      <c r="J37" s="22"/>
    </row>
    <row r="38" customFormat="false" ht="12.75" hidden="false" customHeight="false" outlineLevel="0" collapsed="false">
      <c r="A38" s="12" t="s">
        <v>42</v>
      </c>
      <c r="B38" s="13" t="n">
        <v>20838</v>
      </c>
      <c r="D38" s="23"/>
      <c r="E38" s="16"/>
      <c r="G38" s="12" t="s">
        <v>42</v>
      </c>
      <c r="H38" s="13" t="n">
        <v>20838</v>
      </c>
      <c r="J38" s="23"/>
      <c r="K38" s="16"/>
    </row>
    <row r="39" customFormat="false" ht="12.75" hidden="false" customHeight="false" outlineLevel="0" collapsed="false">
      <c r="A39" s="12" t="s">
        <v>23</v>
      </c>
      <c r="B39" s="13" t="n">
        <v>0</v>
      </c>
      <c r="G39" s="12" t="s">
        <v>23</v>
      </c>
      <c r="H39" s="13" t="n">
        <v>0</v>
      </c>
    </row>
    <row r="40" customFormat="false" ht="12.75" hidden="false" customHeight="false" outlineLevel="0" collapsed="false">
      <c r="A40" s="12" t="s">
        <v>18</v>
      </c>
      <c r="B40" s="24"/>
      <c r="G40" s="12" t="s">
        <v>18</v>
      </c>
      <c r="H40" s="24"/>
    </row>
    <row r="41" customFormat="false" ht="12.75" hidden="false" customHeight="false" outlineLevel="0" collapsed="false">
      <c r="A41" s="12" t="s">
        <v>49</v>
      </c>
      <c r="B41" s="13" t="n">
        <v>0</v>
      </c>
      <c r="G41" s="12" t="s">
        <v>49</v>
      </c>
      <c r="H41" s="13" t="n">
        <v>0</v>
      </c>
    </row>
    <row r="42" customFormat="false" ht="12.75" hidden="false" customHeight="false" outlineLevel="0" collapsed="false">
      <c r="A42" s="12" t="s">
        <v>14</v>
      </c>
      <c r="B42" s="13" t="n">
        <v>54918</v>
      </c>
      <c r="G42" s="12" t="s">
        <v>14</v>
      </c>
      <c r="H42" s="13" t="n">
        <v>54918</v>
      </c>
    </row>
    <row r="43" customFormat="false" ht="12.75" hidden="false" customHeight="false" outlineLevel="0" collapsed="false">
      <c r="A43" s="12" t="s">
        <v>50</v>
      </c>
      <c r="B43" s="13" t="n">
        <v>13950</v>
      </c>
      <c r="E43" s="14"/>
      <c r="G43" s="12" t="s">
        <v>50</v>
      </c>
      <c r="H43" s="13" t="n">
        <v>13950</v>
      </c>
      <c r="K43" s="14"/>
    </row>
    <row r="44" customFormat="false" ht="12.75" hidden="false" customHeight="false" outlineLevel="0" collapsed="false">
      <c r="A44" s="12" t="s">
        <v>51</v>
      </c>
      <c r="B44" s="13" t="n">
        <v>1000</v>
      </c>
      <c r="C44" s="16"/>
      <c r="E44" s="14"/>
      <c r="G44" s="12" t="s">
        <v>51</v>
      </c>
      <c r="H44" s="13" t="n">
        <v>1000</v>
      </c>
      <c r="I44" s="16"/>
      <c r="K44" s="14"/>
    </row>
    <row r="45" customFormat="false" ht="12.75" hidden="false" customHeight="false" outlineLevel="0" collapsed="false">
      <c r="A45" s="12" t="s">
        <v>33</v>
      </c>
      <c r="B45" s="13"/>
      <c r="E45" s="14"/>
      <c r="G45" s="12" t="s">
        <v>33</v>
      </c>
      <c r="H45" s="13"/>
      <c r="K45" s="14"/>
    </row>
    <row r="46" customFormat="false" ht="12.75" hidden="false" customHeight="false" outlineLevel="0" collapsed="false">
      <c r="A46" s="12" t="s">
        <v>25</v>
      </c>
      <c r="B46" s="13" t="n">
        <v>0</v>
      </c>
      <c r="C46" s="16"/>
      <c r="E46" s="14"/>
      <c r="G46" s="12" t="s">
        <v>25</v>
      </c>
      <c r="H46" s="13" t="n">
        <v>0</v>
      </c>
      <c r="I46" s="16"/>
      <c r="K46" s="14"/>
    </row>
    <row r="47" customFormat="false" ht="12.75" hidden="false" customHeight="false" outlineLevel="0" collapsed="false">
      <c r="A47" s="12" t="s">
        <v>22</v>
      </c>
      <c r="B47" s="13" t="n">
        <v>0</v>
      </c>
      <c r="G47" s="12" t="s">
        <v>22</v>
      </c>
      <c r="H47" s="13" t="n">
        <v>0</v>
      </c>
    </row>
    <row r="48" customFormat="false" ht="12.75" hidden="false" customHeight="false" outlineLevel="0" collapsed="false">
      <c r="A48" s="12" t="s">
        <v>28</v>
      </c>
      <c r="B48" s="13" t="n">
        <v>0</v>
      </c>
      <c r="E48" s="14"/>
      <c r="G48" s="12" t="s">
        <v>28</v>
      </c>
      <c r="H48" s="13" t="n">
        <v>0</v>
      </c>
      <c r="K48" s="14"/>
    </row>
    <row r="49" customFormat="false" ht="12.75" hidden="false" customHeight="false" outlineLevel="0" collapsed="false">
      <c r="A49" s="12" t="s">
        <v>52</v>
      </c>
      <c r="B49" s="13" t="n">
        <v>0</v>
      </c>
      <c r="C49" s="16" t="s">
        <v>16</v>
      </c>
      <c r="E49" s="14"/>
      <c r="G49" s="12" t="s">
        <v>52</v>
      </c>
      <c r="H49" s="13" t="n">
        <v>0</v>
      </c>
      <c r="I49" s="16" t="s">
        <v>16</v>
      </c>
      <c r="K49" s="14"/>
    </row>
    <row r="50" customFormat="false" ht="12.75" hidden="false" customHeight="false" outlineLevel="0" collapsed="false">
      <c r="A50" s="12" t="s">
        <v>53</v>
      </c>
      <c r="B50" s="13" t="n">
        <v>0</v>
      </c>
      <c r="E50" s="14"/>
      <c r="G50" s="12" t="s">
        <v>53</v>
      </c>
      <c r="H50" s="13" t="n">
        <v>0</v>
      </c>
      <c r="K50" s="14"/>
    </row>
    <row r="51" customFormat="false" ht="12.75" hidden="false" customHeight="false" outlineLevel="0" collapsed="false">
      <c r="A51" s="12" t="s">
        <v>54</v>
      </c>
      <c r="B51" s="13" t="n">
        <v>0</v>
      </c>
      <c r="E51" s="14"/>
      <c r="G51" s="12" t="s">
        <v>54</v>
      </c>
      <c r="H51" s="13" t="n">
        <v>0</v>
      </c>
      <c r="K51" s="14"/>
    </row>
    <row r="52" customFormat="false" ht="12.75" hidden="false" customHeight="false" outlineLevel="0" collapsed="false">
      <c r="A52" s="12" t="s">
        <v>36</v>
      </c>
      <c r="B52" s="13" t="n">
        <v>0</v>
      </c>
      <c r="C52" s="16"/>
      <c r="E52" s="14"/>
      <c r="G52" s="12" t="s">
        <v>36</v>
      </c>
      <c r="H52" s="13" t="n">
        <v>0</v>
      </c>
      <c r="I52" s="16"/>
      <c r="K52" s="14"/>
    </row>
    <row r="53" customFormat="false" ht="12.75" hidden="false" customHeight="false" outlineLevel="0" collapsed="false">
      <c r="A53" s="12" t="s">
        <v>55</v>
      </c>
      <c r="B53" s="13" t="n">
        <v>35000</v>
      </c>
      <c r="E53" s="14"/>
      <c r="G53" s="12" t="s">
        <v>55</v>
      </c>
      <c r="H53" s="13" t="n">
        <v>35000</v>
      </c>
      <c r="K53" s="14"/>
    </row>
    <row r="54" customFormat="false" ht="12.75" hidden="false" customHeight="false" outlineLevel="0" collapsed="false">
      <c r="A54" s="12" t="s">
        <v>56</v>
      </c>
      <c r="B54" s="13" t="n">
        <v>42338</v>
      </c>
      <c r="C54" s="16"/>
      <c r="E54" s="14"/>
      <c r="G54" s="12" t="s">
        <v>56</v>
      </c>
      <c r="H54" s="13" t="n">
        <v>42338</v>
      </c>
      <c r="I54" s="16"/>
      <c r="K54" s="14"/>
    </row>
    <row r="55" customFormat="false" ht="12.75" hidden="false" customHeight="false" outlineLevel="0" collapsed="false">
      <c r="A55" s="12" t="s">
        <v>14</v>
      </c>
      <c r="B55" s="13" t="n">
        <v>0</v>
      </c>
      <c r="C55" s="16"/>
      <c r="E55" s="14"/>
      <c r="G55" s="12" t="s">
        <v>14</v>
      </c>
      <c r="H55" s="13" t="n">
        <v>0</v>
      </c>
      <c r="I55" s="16"/>
      <c r="K55" s="14"/>
    </row>
    <row r="56" customFormat="false" ht="13.5" hidden="false" customHeight="false" outlineLevel="0" collapsed="false">
      <c r="A56" s="12" t="s">
        <v>43</v>
      </c>
      <c r="B56" s="13" t="n">
        <v>0</v>
      </c>
      <c r="C56" s="16"/>
      <c r="E56" s="14"/>
      <c r="G56" s="12" t="s">
        <v>43</v>
      </c>
      <c r="H56" s="13" t="n">
        <v>0</v>
      </c>
      <c r="I56" s="16"/>
      <c r="K56" s="14"/>
    </row>
    <row r="57" customFormat="false" ht="13.5" hidden="false" customHeight="false" outlineLevel="0" collapsed="false">
      <c r="A57" s="17" t="s">
        <v>44</v>
      </c>
      <c r="B57" s="18" t="n">
        <f aca="false">SUM(B30:B56)</f>
        <v>602127</v>
      </c>
      <c r="C57" s="16"/>
      <c r="E57" s="14"/>
      <c r="G57" s="17" t="s">
        <v>44</v>
      </c>
      <c r="H57" s="18" t="n">
        <f aca="false">SUM(H30:H56)</f>
        <v>602127</v>
      </c>
      <c r="I57" s="16"/>
      <c r="K57" s="14"/>
    </row>
    <row r="58" customFormat="false" ht="13.5" hidden="false" customHeight="false" outlineLevel="0" collapsed="false">
      <c r="A58" s="19"/>
      <c r="B58" s="25"/>
      <c r="G58" s="19"/>
      <c r="H58" s="25"/>
    </row>
    <row r="59" customFormat="false" ht="12.75" hidden="false" customHeight="false" outlineLevel="0" collapsed="false">
      <c r="E59" s="14"/>
      <c r="K59" s="14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M61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A5" activeCellId="0" sqref="A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30.41"/>
    <col collapsed="false" customWidth="true" hidden="false" outlineLevel="0" max="3" min="2" style="2" width="10.99"/>
    <col collapsed="false" customWidth="true" hidden="false" outlineLevel="0" max="4" min="4" style="2" width="26.42"/>
    <col collapsed="false" customWidth="true" hidden="false" outlineLevel="0" max="5" min="5" style="2" width="12.42"/>
    <col collapsed="false" customWidth="true" hidden="false" outlineLevel="0" max="6" min="6" style="2" width="12.14"/>
    <col collapsed="false" customWidth="true" hidden="false" outlineLevel="0" max="7" min="7" style="2" width="12.28"/>
    <col collapsed="false" customWidth="true" hidden="false" outlineLevel="0" max="8" min="8" style="2" width="11.56"/>
    <col collapsed="false" customWidth="true" hidden="false" outlineLevel="0" max="9" min="9" style="2" width="11.85"/>
    <col collapsed="false" customWidth="true" hidden="false" outlineLevel="0" max="10" min="10" style="2" width="18.14"/>
    <col collapsed="false" customWidth="true" hidden="false" outlineLevel="0" max="12" min="11" style="2" width="13.7"/>
    <col collapsed="false" customWidth="true" hidden="false" outlineLevel="0" max="13" min="13" style="2" width="13.56"/>
    <col collapsed="false" customWidth="false" hidden="false" outlineLevel="0" max="14" min="14" style="2" width="9.14"/>
    <col collapsed="false" customWidth="true" hidden="false" outlineLevel="0" max="15" min="15" style="2" width="18.99"/>
    <col collapsed="false" customWidth="true" hidden="false" outlineLevel="0" max="16" min="16" style="2" width="10.71"/>
    <col collapsed="false" customWidth="true" hidden="false" outlineLevel="0" max="17" min="17" style="2" width="11.85"/>
    <col collapsed="false" customWidth="true" hidden="false" outlineLevel="0" max="18" min="18" style="2" width="9.99"/>
    <col collapsed="false" customWidth="true" hidden="false" outlineLevel="0" max="19" min="19" style="2" width="20.7"/>
    <col collapsed="false" customWidth="true" hidden="false" outlineLevel="0" max="20" min="20" style="2" width="10.71"/>
    <col collapsed="false" customWidth="true" hidden="false" outlineLevel="0" max="21" min="21" style="2" width="10.41"/>
    <col collapsed="false" customWidth="true" hidden="false" outlineLevel="0" max="22" min="22" style="2" width="3.14"/>
    <col collapsed="false" customWidth="true" hidden="false" outlineLevel="0" max="23" min="23" style="2" width="11.85"/>
    <col collapsed="false" customWidth="true" hidden="false" outlineLevel="0" max="25" min="24" style="2" width="10.28"/>
    <col collapsed="false" customWidth="true" hidden="false" outlineLevel="0" max="26" min="26" style="2" width="9.28"/>
    <col collapsed="false" customWidth="true" hidden="false" outlineLevel="0" max="27" min="27" style="2" width="1.7"/>
    <col collapsed="false" customWidth="true" hidden="false" outlineLevel="0" max="30" min="28" style="2" width="9.28"/>
    <col collapsed="false" customWidth="false" hidden="false" outlineLevel="0" max="31" min="31" style="2" width="9.14"/>
    <col collapsed="false" customWidth="true" hidden="false" outlineLevel="0" max="32" min="32" style="2" width="13.7"/>
    <col collapsed="false" customWidth="true" hidden="false" outlineLevel="0" max="33" min="33" style="2" width="16.99"/>
    <col collapsed="false" customWidth="true" hidden="false" outlineLevel="0" max="34" min="34" style="2" width="20.13"/>
    <col collapsed="false" customWidth="false" hidden="false" outlineLevel="0" max="35" min="35" style="2" width="9.14"/>
    <col collapsed="false" customWidth="true" hidden="false" outlineLevel="0" max="36" min="36" style="2" width="15.41"/>
    <col collapsed="false" customWidth="true" hidden="false" outlineLevel="0" max="37" min="37" style="2" width="14.7"/>
    <col collapsed="false" customWidth="true" hidden="false" outlineLevel="0" max="38" min="38" style="2" width="16.56"/>
    <col collapsed="false" customWidth="false" hidden="false" outlineLevel="0" max="257" min="39" style="2" width="9.14"/>
  </cols>
  <sheetData>
    <row r="1" customFormat="false" ht="39" hidden="false" customHeight="false" outlineLevel="0" collapsed="false">
      <c r="A1" s="2" t="s">
        <v>0</v>
      </c>
      <c r="B1" s="4" t="n">
        <f aca="true">TODAY()</f>
        <v>45926</v>
      </c>
      <c r="F1" s="26" t="s">
        <v>57</v>
      </c>
      <c r="G1" s="27" t="n">
        <v>350000</v>
      </c>
      <c r="H1" s="28"/>
      <c r="I1" s="29" t="s">
        <v>58</v>
      </c>
      <c r="J1" s="30" t="n">
        <v>69000</v>
      </c>
      <c r="O1" s="31" t="s">
        <v>59</v>
      </c>
      <c r="P1" s="32" t="n">
        <f aca="true">TODAY()+2</f>
        <v>45928</v>
      </c>
      <c r="Q1" s="14" t="n">
        <v>370000</v>
      </c>
      <c r="S1" s="31" t="s">
        <v>60</v>
      </c>
      <c r="T1" s="32" t="n">
        <f aca="true">TODAY()+2</f>
        <v>45928</v>
      </c>
      <c r="U1" s="14" t="n">
        <v>75000</v>
      </c>
      <c r="X1" s="33" t="s">
        <v>61</v>
      </c>
      <c r="Y1" s="33" t="s">
        <v>62</v>
      </c>
      <c r="Z1" s="33" t="s">
        <v>63</v>
      </c>
      <c r="AA1" s="33"/>
      <c r="AB1" s="33" t="s">
        <v>64</v>
      </c>
      <c r="AC1" s="33" t="s">
        <v>65</v>
      </c>
      <c r="AD1" s="33" t="s">
        <v>66</v>
      </c>
      <c r="AG1" s="33" t="s">
        <v>67</v>
      </c>
      <c r="AH1" s="33" t="s">
        <v>68</v>
      </c>
      <c r="AK1" s="6" t="s">
        <v>69</v>
      </c>
    </row>
    <row r="2" customFormat="false" ht="13.5" hidden="false" customHeight="false" outlineLevel="0" collapsed="false">
      <c r="A2" s="2" t="s">
        <v>1</v>
      </c>
      <c r="B2" s="4" t="n">
        <f aca="true">TODAY()+1</f>
        <v>45927</v>
      </c>
      <c r="D2" s="16"/>
      <c r="P2" s="32" t="n">
        <f aca="true">TODAY()+3</f>
        <v>45929</v>
      </c>
      <c r="Q2" s="14" t="n">
        <v>310000</v>
      </c>
      <c r="T2" s="32" t="n">
        <f aca="true">TODAY()+3</f>
        <v>45929</v>
      </c>
      <c r="U2" s="14" t="n">
        <v>62000</v>
      </c>
      <c r="W2" s="32" t="n">
        <v>37012</v>
      </c>
      <c r="X2" s="16" t="n">
        <v>33400</v>
      </c>
      <c r="Y2" s="16" t="n">
        <v>18258</v>
      </c>
      <c r="Z2" s="34" t="n">
        <v>252500.4192</v>
      </c>
      <c r="AA2" s="34"/>
      <c r="AB2" s="16" t="n">
        <v>0</v>
      </c>
      <c r="AC2" s="16" t="n">
        <v>0</v>
      </c>
      <c r="AD2" s="16" t="n">
        <v>0</v>
      </c>
      <c r="AF2" s="32" t="n">
        <v>37012</v>
      </c>
      <c r="AG2" s="14" t="n">
        <v>250000</v>
      </c>
      <c r="AH2" s="14" t="n">
        <f aca="false">228194+36760</f>
        <v>264954</v>
      </c>
      <c r="AI2" s="16"/>
      <c r="AJ2" s="35" t="n">
        <f aca="false">+AF2</f>
        <v>37012</v>
      </c>
      <c r="AK2" s="14" t="n">
        <f aca="false">179124+20557</f>
        <v>199681</v>
      </c>
      <c r="AL2" s="14"/>
      <c r="AM2" s="14"/>
    </row>
    <row r="3" customFormat="false" ht="25.5" hidden="false" customHeight="true" outlineLevel="0" collapsed="false">
      <c r="B3" s="6" t="s">
        <v>2</v>
      </c>
      <c r="C3" s="6" t="s">
        <v>3</v>
      </c>
      <c r="D3" s="6" t="s">
        <v>4</v>
      </c>
      <c r="J3" s="36" t="s">
        <v>23</v>
      </c>
      <c r="K3" s="37" t="n">
        <f aca="true">TODAY()-1</f>
        <v>45925</v>
      </c>
      <c r="L3" s="38" t="n">
        <f aca="true">TODAY()</f>
        <v>45926</v>
      </c>
      <c r="M3" s="39" t="s">
        <v>70</v>
      </c>
      <c r="P3" s="32" t="n">
        <f aca="true">TODAY()+4</f>
        <v>45930</v>
      </c>
      <c r="Q3" s="14" t="n">
        <v>280000</v>
      </c>
      <c r="T3" s="32" t="n">
        <f aca="true">TODAY()+4</f>
        <v>45930</v>
      </c>
      <c r="U3" s="14" t="n">
        <v>50000</v>
      </c>
      <c r="W3" s="32" t="n">
        <v>37013</v>
      </c>
      <c r="X3" s="16" t="n">
        <v>39504</v>
      </c>
      <c r="Y3" s="16" t="n">
        <v>12500</v>
      </c>
      <c r="Z3" s="34" t="n">
        <f aca="false">Z2-X3+Y3</f>
        <v>225496.4192</v>
      </c>
      <c r="AA3" s="34"/>
      <c r="AB3" s="16" t="n">
        <v>0</v>
      </c>
      <c r="AC3" s="16" t="n">
        <v>0</v>
      </c>
      <c r="AD3" s="16" t="n">
        <f aca="false">AD2-AB3+AC3</f>
        <v>0</v>
      </c>
      <c r="AF3" s="32" t="n">
        <v>37013</v>
      </c>
      <c r="AG3" s="14" t="n">
        <v>250000</v>
      </c>
      <c r="AH3" s="14" t="n">
        <f aca="false">236301+37666</f>
        <v>273967</v>
      </c>
      <c r="AI3" s="16"/>
      <c r="AJ3" s="35" t="n">
        <f aca="false">+AF3</f>
        <v>37013</v>
      </c>
      <c r="AK3" s="14" t="n">
        <f aca="false">173899+20591</f>
        <v>194490</v>
      </c>
      <c r="AL3" s="14"/>
      <c r="AM3" s="14"/>
    </row>
    <row r="4" customFormat="false" ht="13.5" hidden="false" customHeight="false" outlineLevel="0" collapsed="false">
      <c r="A4" s="2" t="s">
        <v>5</v>
      </c>
      <c r="B4" s="7" t="n">
        <v>54</v>
      </c>
      <c r="C4" s="8" t="n">
        <v>42</v>
      </c>
      <c r="D4" s="9" t="n">
        <f aca="false">AVERAGE(B4,C4)</f>
        <v>48</v>
      </c>
      <c r="J4" s="12" t="s">
        <v>71</v>
      </c>
      <c r="K4" s="40" t="n">
        <v>24700</v>
      </c>
      <c r="L4" s="14" t="n">
        <v>15200</v>
      </c>
      <c r="M4" s="41" t="n">
        <f aca="false">+L4-K4</f>
        <v>-9500</v>
      </c>
      <c r="Q4" s="14"/>
      <c r="R4" s="32" t="s">
        <v>16</v>
      </c>
      <c r="W4" s="32" t="n">
        <v>37014</v>
      </c>
      <c r="X4" s="16" t="n">
        <v>11100</v>
      </c>
      <c r="Y4" s="16" t="n">
        <v>17500</v>
      </c>
      <c r="Z4" s="34" t="n">
        <f aca="false">Z3-X4+Y4</f>
        <v>231896.4192</v>
      </c>
      <c r="AA4" s="34"/>
      <c r="AB4" s="16" t="n">
        <v>0</v>
      </c>
      <c r="AC4" s="16" t="n">
        <v>0</v>
      </c>
      <c r="AD4" s="16" t="n">
        <f aca="false">AD3-AB4+AC4</f>
        <v>0</v>
      </c>
      <c r="AF4" s="32" t="n">
        <v>37014</v>
      </c>
      <c r="AG4" s="14" t="n">
        <f aca="false">230000+38000</f>
        <v>268000</v>
      </c>
      <c r="AH4" s="14" t="n">
        <f aca="false">240298+38499</f>
        <v>278797</v>
      </c>
      <c r="AI4" s="16"/>
      <c r="AJ4" s="35" t="n">
        <f aca="false">+AF4</f>
        <v>37014</v>
      </c>
      <c r="AK4" s="14" t="n">
        <f aca="false">173899+20591</f>
        <v>194490</v>
      </c>
      <c r="AL4" s="14"/>
      <c r="AM4" s="14"/>
    </row>
    <row r="5" customFormat="false" ht="12.75" hidden="false" customHeight="false" outlineLevel="0" collapsed="false">
      <c r="A5" s="10"/>
      <c r="B5" s="11"/>
      <c r="C5" s="6" t="s">
        <v>6</v>
      </c>
      <c r="D5" s="10"/>
      <c r="E5" s="11"/>
      <c r="F5" s="6" t="s">
        <v>6</v>
      </c>
      <c r="H5" s="6"/>
      <c r="J5" s="12" t="s">
        <v>72</v>
      </c>
      <c r="K5" s="42" t="n">
        <v>7500</v>
      </c>
      <c r="L5" s="14" t="n">
        <v>7000</v>
      </c>
      <c r="M5" s="43" t="n">
        <f aca="false">+L5-K5</f>
        <v>-500</v>
      </c>
      <c r="W5" s="32" t="n">
        <v>37015</v>
      </c>
      <c r="X5" s="16" t="n">
        <v>8500</v>
      </c>
      <c r="Y5" s="16" t="n">
        <v>11822</v>
      </c>
      <c r="Z5" s="34" t="n">
        <f aca="false">Z4-X5+Y5</f>
        <v>235218.4192</v>
      </c>
      <c r="AA5" s="34"/>
      <c r="AB5" s="16" t="n">
        <v>0</v>
      </c>
      <c r="AC5" s="16" t="n">
        <v>0</v>
      </c>
      <c r="AD5" s="16" t="n">
        <f aca="false">AD4-AB5+AC5</f>
        <v>0</v>
      </c>
      <c r="AF5" s="32" t="n">
        <v>37015</v>
      </c>
      <c r="AG5" s="14" t="n">
        <f aca="false">220000+44000</f>
        <v>264000</v>
      </c>
      <c r="AH5" s="14" t="n">
        <f aca="false">262301+53869</f>
        <v>316170</v>
      </c>
      <c r="AI5" s="16"/>
      <c r="AJ5" s="35" t="n">
        <f aca="false">+AF5</f>
        <v>37015</v>
      </c>
      <c r="AK5" s="14" t="n">
        <f aca="false">177444+20591</f>
        <v>198035</v>
      </c>
      <c r="AL5" s="14"/>
      <c r="AM5" s="14"/>
    </row>
    <row r="6" customFormat="false" ht="13.5" hidden="false" customHeight="false" outlineLevel="0" collapsed="false">
      <c r="A6" s="12" t="s">
        <v>7</v>
      </c>
      <c r="B6" s="13" t="n">
        <v>-370000</v>
      </c>
      <c r="C6" s="14" t="n">
        <v>-395000</v>
      </c>
      <c r="D6" s="12" t="s">
        <v>8</v>
      </c>
      <c r="E6" s="13" t="n">
        <v>-74000</v>
      </c>
      <c r="F6" s="14" t="n">
        <v>-80000</v>
      </c>
      <c r="H6" s="14"/>
      <c r="J6" s="19" t="s">
        <v>73</v>
      </c>
      <c r="K6" s="44" t="n">
        <f aca="false">(+K4-K5)/2</f>
        <v>8600</v>
      </c>
      <c r="L6" s="45" t="n">
        <f aca="false">(+L4-L5)/2</f>
        <v>4100</v>
      </c>
      <c r="M6" s="46" t="n">
        <f aca="false">+L6-K6</f>
        <v>-4500</v>
      </c>
      <c r="W6" s="32" t="n">
        <v>37016</v>
      </c>
      <c r="X6" s="16" t="n">
        <v>5700</v>
      </c>
      <c r="Y6" s="16" t="n">
        <v>11822</v>
      </c>
      <c r="Z6" s="34" t="n">
        <f aca="false">Z5-X6+Y6</f>
        <v>241340.4192</v>
      </c>
      <c r="AA6" s="34"/>
      <c r="AB6" s="16" t="n">
        <v>0</v>
      </c>
      <c r="AC6" s="16" t="n">
        <v>5700</v>
      </c>
      <c r="AD6" s="16" t="n">
        <f aca="false">AD5-AB6+AC6</f>
        <v>5700</v>
      </c>
      <c r="AF6" s="32" t="n">
        <v>37016</v>
      </c>
      <c r="AG6" s="14" t="n">
        <f aca="false">220000+42000</f>
        <v>262000</v>
      </c>
      <c r="AH6" s="14" t="n">
        <f aca="false">249943+54025</f>
        <v>303968</v>
      </c>
      <c r="AJ6" s="35" t="n">
        <f aca="false">+AF6</f>
        <v>37016</v>
      </c>
      <c r="AK6" s="14" t="n">
        <f aca="false">180844+20591</f>
        <v>201435</v>
      </c>
      <c r="AL6" s="14"/>
      <c r="AM6" s="14"/>
    </row>
    <row r="7" customFormat="false" ht="12.75" hidden="false" customHeight="false" outlineLevel="0" collapsed="false">
      <c r="A7" s="12" t="s">
        <v>9</v>
      </c>
      <c r="B7" s="13"/>
      <c r="D7" s="12" t="s">
        <v>10</v>
      </c>
      <c r="E7" s="13" t="n">
        <v>0</v>
      </c>
      <c r="G7" s="14"/>
      <c r="H7" s="14"/>
      <c r="W7" s="32" t="n">
        <v>37017</v>
      </c>
      <c r="X7" s="16" t="n">
        <v>12400</v>
      </c>
      <c r="Y7" s="16" t="n">
        <v>10000</v>
      </c>
      <c r="Z7" s="34" t="n">
        <f aca="false">Z6-X7+Y7</f>
        <v>238940.4192</v>
      </c>
      <c r="AA7" s="34"/>
      <c r="AB7" s="16" t="n">
        <v>20</v>
      </c>
      <c r="AC7" s="16" t="n">
        <v>5700</v>
      </c>
      <c r="AD7" s="16" t="n">
        <f aca="false">AD6-AB7+AC7</f>
        <v>11380</v>
      </c>
      <c r="AF7" s="32" t="n">
        <v>37017</v>
      </c>
      <c r="AG7" s="14" t="n">
        <f aca="false">220000+42000</f>
        <v>262000</v>
      </c>
      <c r="AH7" s="47" t="n">
        <f aca="false">232606+42751</f>
        <v>275357</v>
      </c>
      <c r="AJ7" s="35" t="n">
        <f aca="false">+AF7</f>
        <v>37017</v>
      </c>
      <c r="AK7" s="14" t="n">
        <f aca="false">180844+20591</f>
        <v>201435</v>
      </c>
      <c r="AL7" s="14"/>
      <c r="AM7" s="14"/>
    </row>
    <row r="8" customFormat="false" ht="12.75" hidden="false" customHeight="false" outlineLevel="0" collapsed="false">
      <c r="A8" s="12" t="s">
        <v>11</v>
      </c>
      <c r="B8" s="13" t="n">
        <v>0</v>
      </c>
      <c r="D8" s="12" t="s">
        <v>12</v>
      </c>
      <c r="E8" s="13"/>
      <c r="G8" s="14"/>
      <c r="H8" s="14"/>
      <c r="W8" s="32" t="n">
        <v>37018</v>
      </c>
      <c r="X8" s="16" t="n">
        <v>11820</v>
      </c>
      <c r="Y8" s="16" t="n">
        <v>0</v>
      </c>
      <c r="Z8" s="34" t="n">
        <f aca="false">Z7-X8+Y8</f>
        <v>227120.4192</v>
      </c>
      <c r="AA8" s="34"/>
      <c r="AB8" s="16" t="n">
        <v>15739</v>
      </c>
      <c r="AC8" s="16" t="n">
        <v>5700</v>
      </c>
      <c r="AD8" s="16" t="n">
        <f aca="false">AD7-AB8+AC8</f>
        <v>1341</v>
      </c>
      <c r="AF8" s="32" t="n">
        <v>37018</v>
      </c>
      <c r="AG8" s="14" t="n">
        <f aca="false">240000+42000</f>
        <v>282000</v>
      </c>
      <c r="AH8" s="14" t="n">
        <f aca="false">260414+48999</f>
        <v>309413</v>
      </c>
      <c r="AJ8" s="35" t="n">
        <f aca="false">+AF8</f>
        <v>37018</v>
      </c>
      <c r="AK8" s="14" t="n">
        <f aca="false">180844+20591</f>
        <v>201435</v>
      </c>
      <c r="AL8" s="14"/>
      <c r="AM8" s="14"/>
    </row>
    <row r="9" customFormat="false" ht="12.75" hidden="false" customHeight="false" outlineLevel="0" collapsed="false">
      <c r="A9" s="12" t="s">
        <v>13</v>
      </c>
      <c r="B9" s="13" t="n">
        <v>0</v>
      </c>
      <c r="D9" s="12" t="s">
        <v>14</v>
      </c>
      <c r="E9" s="13" t="n">
        <v>0</v>
      </c>
      <c r="G9" s="14"/>
      <c r="H9" s="14"/>
      <c r="L9" s="14"/>
      <c r="W9" s="32" t="n">
        <v>37019</v>
      </c>
      <c r="X9" s="16" t="n">
        <v>21290</v>
      </c>
      <c r="Y9" s="16" t="n">
        <v>10600</v>
      </c>
      <c r="Z9" s="34" t="n">
        <f aca="false">Z8-X9+Y9</f>
        <v>216430.4192</v>
      </c>
      <c r="AA9" s="34"/>
      <c r="AB9" s="16" t="n">
        <v>15275</v>
      </c>
      <c r="AC9" s="16" t="n">
        <v>17000</v>
      </c>
      <c r="AD9" s="16" t="n">
        <f aca="false">AD8-AB9+AC9</f>
        <v>3066</v>
      </c>
      <c r="AF9" s="32" t="n">
        <v>37019</v>
      </c>
      <c r="AG9" s="14" t="n">
        <f aca="false">240000+43700</f>
        <v>283700</v>
      </c>
      <c r="AH9" s="14" t="n">
        <f aca="false">238983+43757</f>
        <v>282740</v>
      </c>
      <c r="AJ9" s="35" t="n">
        <f aca="false">+AF9</f>
        <v>37019</v>
      </c>
      <c r="AK9" s="14" t="n">
        <f aca="false">177809+20591</f>
        <v>198400</v>
      </c>
      <c r="AL9" s="14"/>
      <c r="AM9" s="14"/>
    </row>
    <row r="10" customFormat="false" ht="12.75" hidden="false" customHeight="false" outlineLevel="0" collapsed="false">
      <c r="A10" s="15" t="s">
        <v>15</v>
      </c>
      <c r="B10" s="13" t="n">
        <v>0</v>
      </c>
      <c r="C10" s="16" t="s">
        <v>16</v>
      </c>
      <c r="D10" s="12" t="s">
        <v>17</v>
      </c>
      <c r="E10" s="13" t="n">
        <v>-8340</v>
      </c>
      <c r="G10" s="14"/>
      <c r="H10" s="14"/>
      <c r="W10" s="32" t="n">
        <v>37020</v>
      </c>
      <c r="X10" s="16" t="n">
        <v>0</v>
      </c>
      <c r="Y10" s="16" t="n">
        <v>0</v>
      </c>
      <c r="Z10" s="34" t="n">
        <f aca="false">Z9-X10+Y10</f>
        <v>216430.4192</v>
      </c>
      <c r="AA10" s="34"/>
      <c r="AB10" s="16" t="n">
        <v>13183</v>
      </c>
      <c r="AC10" s="16" t="n">
        <v>20500</v>
      </c>
      <c r="AD10" s="16" t="n">
        <f aca="false">AD9-AB10+AC10</f>
        <v>10383</v>
      </c>
      <c r="AF10" s="32" t="n">
        <v>37020</v>
      </c>
      <c r="AG10" s="14" t="n">
        <f aca="false">240000+38000</f>
        <v>278000</v>
      </c>
      <c r="AH10" s="14" t="n">
        <f aca="false">220190+39151</f>
        <v>259341</v>
      </c>
      <c r="AJ10" s="35" t="n">
        <f aca="false">+AF10</f>
        <v>37020</v>
      </c>
      <c r="AK10" s="14" t="n">
        <f aca="false">174809+20831</f>
        <v>195640</v>
      </c>
      <c r="AL10" s="14"/>
      <c r="AM10" s="14"/>
    </row>
    <row r="11" customFormat="false" ht="12.75" hidden="false" customHeight="false" outlineLevel="0" collapsed="false">
      <c r="A11" s="12" t="s">
        <v>18</v>
      </c>
      <c r="B11" s="13" t="n">
        <v>0</v>
      </c>
      <c r="C11" s="16"/>
      <c r="D11" s="12" t="s">
        <v>19</v>
      </c>
      <c r="E11" s="13" t="n">
        <v>-20000</v>
      </c>
      <c r="G11" s="14"/>
      <c r="H11" s="14"/>
      <c r="R11" s="34"/>
      <c r="W11" s="32" t="n">
        <v>37021</v>
      </c>
      <c r="X11" s="16" t="n">
        <v>9863</v>
      </c>
      <c r="Y11" s="16" t="n">
        <v>10000</v>
      </c>
      <c r="Z11" s="34" t="n">
        <f aca="false">Z10-X11+Y11</f>
        <v>216567.4192</v>
      </c>
      <c r="AA11" s="34"/>
      <c r="AB11" s="16" t="n">
        <v>9859</v>
      </c>
      <c r="AC11" s="16" t="n">
        <v>10500</v>
      </c>
      <c r="AD11" s="16" t="n">
        <f aca="false">AD10-AB11+AC11</f>
        <v>11024</v>
      </c>
      <c r="AF11" s="32" t="n">
        <v>37021</v>
      </c>
      <c r="AG11" s="14" t="n">
        <f aca="false">240000+38000</f>
        <v>278000</v>
      </c>
      <c r="AH11" s="14" t="n">
        <f aca="false">221445+39547</f>
        <v>260992</v>
      </c>
      <c r="AJ11" s="35" t="n">
        <f aca="false">+AF11</f>
        <v>37021</v>
      </c>
      <c r="AK11" s="14" t="n">
        <f aca="false">176309+20831</f>
        <v>197140</v>
      </c>
      <c r="AL11" s="14"/>
      <c r="AM11" s="14"/>
    </row>
    <row r="12" customFormat="false" ht="12.75" hidden="false" customHeight="false" outlineLevel="0" collapsed="false">
      <c r="A12" s="12" t="s">
        <v>14</v>
      </c>
      <c r="B12" s="13" t="n">
        <f aca="false">-103082-54918</f>
        <v>-158000</v>
      </c>
      <c r="C12" s="16"/>
      <c r="D12" s="15" t="s">
        <v>20</v>
      </c>
      <c r="E12" s="13" t="n">
        <v>0</v>
      </c>
      <c r="G12" s="14" t="s">
        <v>16</v>
      </c>
      <c r="H12" s="14"/>
      <c r="R12" s="34"/>
      <c r="W12" s="32" t="n">
        <v>37022</v>
      </c>
      <c r="X12" s="16" t="n">
        <v>4190</v>
      </c>
      <c r="Y12" s="16" t="n">
        <v>10000</v>
      </c>
      <c r="Z12" s="34" t="n">
        <f aca="false">Z11-X12+Y12</f>
        <v>222377.4192</v>
      </c>
      <c r="AA12" s="34"/>
      <c r="AB12" s="16" t="n">
        <v>12790</v>
      </c>
      <c r="AC12" s="16" t="n">
        <v>0</v>
      </c>
      <c r="AD12" s="16" t="n">
        <f aca="false">AD11-AB12+AC12</f>
        <v>-1766</v>
      </c>
      <c r="AF12" s="32" t="n">
        <v>37022</v>
      </c>
      <c r="AG12" s="14" t="n">
        <f aca="false">215000+37000</f>
        <v>252000</v>
      </c>
      <c r="AH12" s="14" t="n">
        <f aca="false">286991+60499</f>
        <v>347490</v>
      </c>
      <c r="AJ12" s="35" t="n">
        <f aca="false">+AF12</f>
        <v>37022</v>
      </c>
      <c r="AK12" s="14" t="n">
        <f aca="false">176804+20831</f>
        <v>197635</v>
      </c>
      <c r="AL12" s="14"/>
      <c r="AM12" s="14"/>
    </row>
    <row r="13" customFormat="false" ht="13.5" hidden="false" customHeight="false" outlineLevel="0" collapsed="false">
      <c r="A13" s="12" t="s">
        <v>21</v>
      </c>
      <c r="B13" s="13" t="n">
        <v>0</v>
      </c>
      <c r="C13" s="6"/>
      <c r="D13" s="12" t="s">
        <v>22</v>
      </c>
      <c r="E13" s="13" t="n">
        <v>0</v>
      </c>
      <c r="G13" s="14"/>
      <c r="H13" s="14"/>
      <c r="R13" s="34"/>
      <c r="W13" s="32" t="n">
        <v>37023</v>
      </c>
      <c r="X13" s="16" t="n">
        <v>0</v>
      </c>
      <c r="Y13" s="16" t="n">
        <v>10000</v>
      </c>
      <c r="Z13" s="34" t="n">
        <f aca="false">Z12-X13+Y13</f>
        <v>232377.4192</v>
      </c>
      <c r="AA13" s="34"/>
      <c r="AB13" s="16" t="n">
        <v>4</v>
      </c>
      <c r="AC13" s="16" t="n">
        <v>0</v>
      </c>
      <c r="AD13" s="16" t="n">
        <f aca="false">AD12-AB13+AC13</f>
        <v>-1770</v>
      </c>
      <c r="AF13" s="32" t="n">
        <v>37023</v>
      </c>
      <c r="AG13" s="14" t="n">
        <f aca="false">210000+36000</f>
        <v>246000</v>
      </c>
      <c r="AH13" s="14" t="n">
        <f aca="false">314073+65229</f>
        <v>379302</v>
      </c>
      <c r="AJ13" s="35" t="n">
        <f aca="false">+AF13</f>
        <v>37023</v>
      </c>
      <c r="AK13" s="14" t="n">
        <f aca="false">176704+20831</f>
        <v>197535</v>
      </c>
      <c r="AL13" s="14"/>
      <c r="AM13" s="14"/>
    </row>
    <row r="14" customFormat="false" ht="13.5" hidden="false" customHeight="false" outlineLevel="0" collapsed="false">
      <c r="A14" s="12" t="s">
        <v>23</v>
      </c>
      <c r="B14" s="13" t="n">
        <v>-20000</v>
      </c>
      <c r="C14" s="16"/>
      <c r="D14" s="17" t="s">
        <v>24</v>
      </c>
      <c r="E14" s="18" t="n">
        <f aca="false">SUM(E6:E13)</f>
        <v>-102340</v>
      </c>
      <c r="G14" s="14"/>
      <c r="H14" s="14"/>
      <c r="L14" s="14"/>
      <c r="R14" s="34"/>
      <c r="W14" s="32" t="n">
        <v>37024</v>
      </c>
      <c r="X14" s="16" t="n">
        <v>197</v>
      </c>
      <c r="Y14" s="16" t="n">
        <v>10000</v>
      </c>
      <c r="Z14" s="34" t="n">
        <f aca="false">Z13-X14+Y14</f>
        <v>242180.4192</v>
      </c>
      <c r="AA14" s="34"/>
      <c r="AB14" s="16" t="n">
        <v>937</v>
      </c>
      <c r="AC14" s="16" t="n">
        <v>0</v>
      </c>
      <c r="AD14" s="16" t="n">
        <f aca="false">AD13-AB14+AC14</f>
        <v>-2707</v>
      </c>
      <c r="AF14" s="32" t="n">
        <v>37024</v>
      </c>
      <c r="AG14" s="14" t="n">
        <f aca="false">215000+37000</f>
        <v>252000</v>
      </c>
      <c r="AH14" s="14" t="n">
        <f aca="false">265506+52251</f>
        <v>317757</v>
      </c>
      <c r="AJ14" s="35" t="n">
        <f aca="false">+AF14</f>
        <v>37024</v>
      </c>
      <c r="AK14" s="14" t="n">
        <f aca="false">176704+20831</f>
        <v>197535</v>
      </c>
      <c r="AL14" s="14"/>
      <c r="AM14" s="14"/>
    </row>
    <row r="15" customFormat="false" ht="12.75" hidden="false" customHeight="false" outlineLevel="0" collapsed="false">
      <c r="A15" s="12" t="s">
        <v>74</v>
      </c>
      <c r="B15" s="13" t="n">
        <v>-9000</v>
      </c>
      <c r="C15" s="16"/>
      <c r="D15" s="12"/>
      <c r="E15" s="13"/>
      <c r="F15" s="16" t="n">
        <f aca="false">+E14+E29</f>
        <v>0</v>
      </c>
      <c r="G15" s="14"/>
      <c r="H15" s="14"/>
      <c r="L15" s="14"/>
      <c r="R15" s="34"/>
      <c r="W15" s="32" t="n">
        <v>37025</v>
      </c>
      <c r="X15" s="16" t="n">
        <v>36700</v>
      </c>
      <c r="Y15" s="16" t="n">
        <v>20000</v>
      </c>
      <c r="Z15" s="34" t="n">
        <f aca="false">Z14-X15+Y15</f>
        <v>225480.4192</v>
      </c>
      <c r="AA15" s="34"/>
      <c r="AB15" s="16" t="n">
        <v>7817</v>
      </c>
      <c r="AC15" s="16" t="n">
        <v>0</v>
      </c>
      <c r="AD15" s="16" t="n">
        <f aca="false">AD14-AB15+AC15</f>
        <v>-10524</v>
      </c>
      <c r="AF15" s="32" t="n">
        <v>37025</v>
      </c>
      <c r="AG15" s="14" t="n">
        <f aca="false">220000+38000</f>
        <v>258000</v>
      </c>
      <c r="AH15" s="14" t="n">
        <f aca="false">275484+54891</f>
        <v>330375</v>
      </c>
      <c r="AJ15" s="35" t="n">
        <f aca="false">+AF15</f>
        <v>37025</v>
      </c>
      <c r="AK15" s="14" t="n">
        <f aca="false">176704+20831</f>
        <v>197535</v>
      </c>
      <c r="AL15" s="14"/>
      <c r="AM15" s="14"/>
    </row>
    <row r="16" customFormat="false" ht="12.75" hidden="false" customHeight="false" outlineLevel="0" collapsed="false">
      <c r="A16" s="12" t="s">
        <v>12</v>
      </c>
      <c r="B16" s="13"/>
      <c r="C16" s="16"/>
      <c r="D16" s="12" t="s">
        <v>26</v>
      </c>
      <c r="E16" s="13" t="n">
        <v>22875</v>
      </c>
      <c r="G16" s="14"/>
      <c r="H16" s="14"/>
      <c r="L16" s="14"/>
      <c r="R16" s="34"/>
      <c r="W16" s="32" t="n">
        <v>37026</v>
      </c>
      <c r="X16" s="16" t="n">
        <v>7000</v>
      </c>
      <c r="Y16" s="16" t="n">
        <v>682</v>
      </c>
      <c r="Z16" s="34" t="n">
        <f aca="false">Z15-X16+Y16</f>
        <v>219162.4192</v>
      </c>
      <c r="AA16" s="34"/>
      <c r="AB16" s="16" t="n">
        <v>9622</v>
      </c>
      <c r="AC16" s="16" t="n">
        <v>10500</v>
      </c>
      <c r="AD16" s="16" t="n">
        <f aca="false">AD15-AB16+AC16</f>
        <v>-9646</v>
      </c>
      <c r="AF16" s="32" t="n">
        <v>37026</v>
      </c>
      <c r="AG16" s="14" t="n">
        <f aca="false">240000+39000</f>
        <v>279000</v>
      </c>
      <c r="AH16" s="14" t="n">
        <f aca="false">224938+38783</f>
        <v>263721</v>
      </c>
      <c r="AJ16" s="35" t="n">
        <f aca="false">+AF16</f>
        <v>37026</v>
      </c>
      <c r="AK16" s="14" t="n">
        <f aca="false">170007+21271</f>
        <v>191278</v>
      </c>
      <c r="AL16" s="14"/>
      <c r="AM16" s="14"/>
    </row>
    <row r="17" customFormat="false" ht="12.75" hidden="false" customHeight="false" outlineLevel="0" collapsed="false">
      <c r="A17" s="12" t="s">
        <v>25</v>
      </c>
      <c r="B17" s="13" t="n">
        <v>-40000</v>
      </c>
      <c r="C17" s="16"/>
      <c r="D17" s="12" t="s">
        <v>27</v>
      </c>
      <c r="E17" s="13" t="n">
        <v>10000</v>
      </c>
      <c r="G17" s="14"/>
      <c r="H17" s="14"/>
      <c r="L17" s="14"/>
      <c r="R17" s="34"/>
      <c r="W17" s="32" t="n">
        <v>37027</v>
      </c>
      <c r="X17" s="16" t="n">
        <v>67495</v>
      </c>
      <c r="Y17" s="16" t="n">
        <v>7000</v>
      </c>
      <c r="Z17" s="34" t="n">
        <f aca="false">Z16-X17+Y17</f>
        <v>158667.4192</v>
      </c>
      <c r="AA17" s="34"/>
      <c r="AB17" s="16" t="n">
        <v>6967</v>
      </c>
      <c r="AC17" s="16" t="n">
        <v>10500</v>
      </c>
      <c r="AD17" s="16" t="n">
        <f aca="false">AD16-AB17+AC17</f>
        <v>-6113</v>
      </c>
      <c r="AF17" s="32" t="n">
        <v>37027</v>
      </c>
      <c r="AG17" s="14" t="n">
        <f aca="false">235000+38000</f>
        <v>273000</v>
      </c>
      <c r="AH17" s="14" t="n">
        <f aca="false">231219+38935</f>
        <v>270154</v>
      </c>
      <c r="AJ17" s="35" t="n">
        <f aca="false">+AF17</f>
        <v>37027</v>
      </c>
      <c r="AK17" s="14" t="n">
        <f aca="false">169851+21010</f>
        <v>190861</v>
      </c>
      <c r="AL17" s="14"/>
      <c r="AM17" s="14"/>
    </row>
    <row r="18" customFormat="false" ht="12.75" hidden="false" customHeight="false" outlineLevel="0" collapsed="false">
      <c r="A18" s="12" t="s">
        <v>22</v>
      </c>
      <c r="B18" s="13" t="n">
        <v>-4700</v>
      </c>
      <c r="D18" s="12" t="s">
        <v>29</v>
      </c>
      <c r="E18" s="13" t="n">
        <v>16608</v>
      </c>
      <c r="F18" s="16" t="s">
        <v>16</v>
      </c>
      <c r="G18" s="14"/>
      <c r="H18" s="14"/>
      <c r="L18" s="14"/>
      <c r="R18" s="34"/>
      <c r="W18" s="32" t="n">
        <v>37028</v>
      </c>
      <c r="X18" s="16" t="n">
        <v>2277</v>
      </c>
      <c r="Y18" s="16" t="n">
        <v>2000</v>
      </c>
      <c r="Z18" s="34" t="n">
        <f aca="false">Z17-X18+Y18</f>
        <v>158390.4192</v>
      </c>
      <c r="AA18" s="34"/>
      <c r="AB18" s="16" t="n">
        <v>20</v>
      </c>
      <c r="AC18" s="16" t="n">
        <v>0</v>
      </c>
      <c r="AD18" s="16" t="n">
        <f aca="false">AD17-AB18+AC18</f>
        <v>-6133</v>
      </c>
      <c r="AF18" s="32" t="n">
        <v>37028</v>
      </c>
      <c r="AG18" s="14" t="n">
        <f aca="false">230000+38000</f>
        <v>268000</v>
      </c>
      <c r="AH18" s="14" t="n">
        <f aca="false">221199+39749</f>
        <v>260948</v>
      </c>
      <c r="AJ18" s="35" t="n">
        <f aca="false">+AF18</f>
        <v>37028</v>
      </c>
      <c r="AK18" s="14" t="n">
        <f aca="false">169340+19308</f>
        <v>188648</v>
      </c>
      <c r="AL18" s="14"/>
      <c r="AM18" s="14"/>
    </row>
    <row r="19" customFormat="false" ht="12.75" hidden="false" customHeight="false" outlineLevel="0" collapsed="false">
      <c r="A19" s="12" t="s">
        <v>28</v>
      </c>
      <c r="B19" s="13" t="n">
        <v>0</v>
      </c>
      <c r="D19" s="12" t="s">
        <v>31</v>
      </c>
      <c r="E19" s="13" t="n">
        <v>18848</v>
      </c>
      <c r="G19" s="14"/>
      <c r="H19" s="14"/>
      <c r="L19" s="14"/>
      <c r="R19" s="34"/>
      <c r="W19" s="32" t="n">
        <v>37029</v>
      </c>
      <c r="X19" s="16" t="n">
        <v>13719</v>
      </c>
      <c r="Y19" s="16" t="n">
        <v>0</v>
      </c>
      <c r="Z19" s="34" t="n">
        <f aca="false">Z18-X19+Y19</f>
        <v>144671.4192</v>
      </c>
      <c r="AA19" s="34"/>
      <c r="AB19" s="16" t="n">
        <v>5</v>
      </c>
      <c r="AC19" s="16" t="n">
        <v>0</v>
      </c>
      <c r="AD19" s="16" t="n">
        <f aca="false">AD18-AB19+AC19</f>
        <v>-6138</v>
      </c>
      <c r="AF19" s="32" t="n">
        <v>37029</v>
      </c>
      <c r="AG19" s="14" t="n">
        <f aca="false">225000+37000</f>
        <v>262000</v>
      </c>
      <c r="AH19" s="14" t="n">
        <f aca="false">215517+38451</f>
        <v>253968</v>
      </c>
      <c r="AJ19" s="35" t="n">
        <f aca="false">+AF19</f>
        <v>37029</v>
      </c>
      <c r="AK19" s="14" t="n">
        <f aca="false">178340+19308</f>
        <v>197648</v>
      </c>
      <c r="AL19" s="14"/>
      <c r="AM19" s="14"/>
    </row>
    <row r="20" customFormat="false" ht="12.75" hidden="false" customHeight="false" outlineLevel="0" collapsed="false">
      <c r="A20" s="12" t="s">
        <v>30</v>
      </c>
      <c r="B20" s="13" t="n">
        <v>-70000</v>
      </c>
      <c r="C20" s="16"/>
      <c r="D20" s="12" t="s">
        <v>33</v>
      </c>
      <c r="E20" s="13" t="n">
        <v>0</v>
      </c>
      <c r="G20" s="14"/>
      <c r="H20" s="14"/>
      <c r="R20" s="34"/>
      <c r="W20" s="32" t="n">
        <v>37030</v>
      </c>
      <c r="X20" s="16" t="n">
        <v>20000</v>
      </c>
      <c r="Y20" s="16" t="n">
        <v>7000</v>
      </c>
      <c r="Z20" s="34" t="n">
        <f aca="false">Z19-X20+Y20</f>
        <v>131671.4192</v>
      </c>
      <c r="AA20" s="34"/>
      <c r="AB20" s="16" t="n">
        <v>0</v>
      </c>
      <c r="AC20" s="16" t="n">
        <v>0</v>
      </c>
      <c r="AD20" s="16" t="n">
        <f aca="false">AD19-AB20+AC20</f>
        <v>-6138</v>
      </c>
      <c r="AF20" s="32" t="n">
        <v>37030</v>
      </c>
      <c r="AG20" s="14" t="n">
        <f aca="false">220000+35000</f>
        <v>255000</v>
      </c>
      <c r="AH20" s="14" t="n">
        <f aca="false">214650+36825</f>
        <v>251475</v>
      </c>
      <c r="AJ20" s="35" t="n">
        <f aca="false">+AF20</f>
        <v>37030</v>
      </c>
      <c r="AK20" s="14" t="n">
        <f aca="false">168360+19308</f>
        <v>187668</v>
      </c>
      <c r="AL20" s="14"/>
      <c r="AM20" s="14"/>
    </row>
    <row r="21" customFormat="false" ht="12.75" hidden="false" customHeight="false" outlineLevel="0" collapsed="false">
      <c r="A21" s="12" t="s">
        <v>32</v>
      </c>
      <c r="B21" s="13" t="n">
        <v>0</v>
      </c>
      <c r="C21" s="16"/>
      <c r="D21" s="12" t="s">
        <v>35</v>
      </c>
      <c r="E21" s="13" t="n">
        <v>4340</v>
      </c>
      <c r="G21" s="14"/>
      <c r="H21" s="14"/>
      <c r="R21" s="34"/>
      <c r="W21" s="32" t="n">
        <v>37031</v>
      </c>
      <c r="X21" s="16" t="n">
        <v>17908</v>
      </c>
      <c r="Y21" s="16" t="n">
        <v>7000</v>
      </c>
      <c r="Z21" s="34" t="n">
        <f aca="false">Z20-X21+Y21</f>
        <v>120763.4192</v>
      </c>
      <c r="AA21" s="34"/>
      <c r="AB21" s="16" t="n">
        <v>0</v>
      </c>
      <c r="AC21" s="16" t="n">
        <v>0</v>
      </c>
      <c r="AD21" s="16" t="n">
        <f aca="false">AD20-AB21+AC21</f>
        <v>-6138</v>
      </c>
      <c r="AF21" s="32" t="n">
        <v>37031</v>
      </c>
      <c r="AG21" s="14" t="n">
        <f aca="false">225000+37000</f>
        <v>262000</v>
      </c>
      <c r="AH21" s="14" t="n">
        <f aca="false">201157+37195</f>
        <v>238352</v>
      </c>
      <c r="AJ21" s="35" t="n">
        <f aca="false">+AF21</f>
        <v>37031</v>
      </c>
      <c r="AK21" s="14" t="n">
        <f aca="false">168360+19308</f>
        <v>187668</v>
      </c>
      <c r="AL21" s="14"/>
      <c r="AM21" s="14"/>
    </row>
    <row r="22" customFormat="false" ht="12.75" hidden="false" customHeight="false" outlineLevel="0" collapsed="false">
      <c r="A22" s="12" t="s">
        <v>34</v>
      </c>
      <c r="B22" s="13" t="n">
        <v>0</v>
      </c>
      <c r="D22" s="12" t="s">
        <v>37</v>
      </c>
      <c r="E22" s="13" t="n">
        <v>6945</v>
      </c>
      <c r="G22" s="14"/>
      <c r="H22" s="14"/>
      <c r="R22" s="34"/>
      <c r="W22" s="32" t="n">
        <v>37032</v>
      </c>
      <c r="X22" s="16" t="n">
        <v>14349</v>
      </c>
      <c r="Y22" s="16" t="n">
        <v>7500</v>
      </c>
      <c r="Z22" s="34" t="n">
        <f aca="false">Z21-X22+Y22</f>
        <v>113914.4192</v>
      </c>
      <c r="AA22" s="34"/>
      <c r="AB22" s="16" t="n">
        <v>5</v>
      </c>
      <c r="AC22" s="16" t="n">
        <v>0</v>
      </c>
      <c r="AD22" s="16" t="n">
        <f aca="false">AD21-AB22+AC22</f>
        <v>-6143</v>
      </c>
      <c r="AF22" s="32" t="n">
        <v>37032</v>
      </c>
      <c r="AG22" s="14" t="n">
        <f aca="false">230000+38000</f>
        <v>268000</v>
      </c>
      <c r="AH22" s="14" t="n">
        <f aca="false">241920+45300</f>
        <v>287220</v>
      </c>
      <c r="AJ22" s="35" t="n">
        <f aca="false">+AF22</f>
        <v>37032</v>
      </c>
      <c r="AK22" s="14" t="n">
        <f aca="false">168360+19308</f>
        <v>187668</v>
      </c>
      <c r="AL22" s="14"/>
      <c r="AM22" s="14"/>
    </row>
    <row r="23" customFormat="false" ht="12.75" hidden="false" customHeight="false" outlineLevel="0" collapsed="false">
      <c r="A23" s="12" t="s">
        <v>36</v>
      </c>
      <c r="B23" s="13" t="n">
        <v>-29198</v>
      </c>
      <c r="C23" s="16" t="s">
        <v>16</v>
      </c>
      <c r="D23" s="12" t="s">
        <v>25</v>
      </c>
      <c r="E23" s="13" t="n">
        <v>0</v>
      </c>
      <c r="F23" s="16"/>
      <c r="G23" s="14"/>
      <c r="H23" s="14"/>
      <c r="L23" s="2" t="n">
        <v>0.32</v>
      </c>
      <c r="R23" s="34"/>
      <c r="W23" s="32" t="n">
        <v>37033</v>
      </c>
      <c r="X23" s="16" t="n">
        <v>24700</v>
      </c>
      <c r="Y23" s="16" t="n">
        <v>7500</v>
      </c>
      <c r="Z23" s="34" t="n">
        <f aca="false">Z22-X23+Y23</f>
        <v>96714.4192</v>
      </c>
      <c r="AA23" s="34"/>
      <c r="AB23" s="16" t="n">
        <v>0</v>
      </c>
      <c r="AC23" s="16" t="n">
        <v>0</v>
      </c>
      <c r="AD23" s="16" t="n">
        <f aca="false">AD22-AB23+AC23</f>
        <v>-6143</v>
      </c>
      <c r="AF23" s="32" t="n">
        <v>37033</v>
      </c>
      <c r="AG23" s="14" t="n">
        <f aca="false">330000+68000</f>
        <v>398000</v>
      </c>
      <c r="AH23" s="14"/>
      <c r="AJ23" s="35" t="n">
        <f aca="false">+AF23</f>
        <v>37033</v>
      </c>
      <c r="AK23" s="14"/>
      <c r="AL23" s="14"/>
      <c r="AM23" s="14"/>
    </row>
    <row r="24" customFormat="false" ht="12.75" hidden="false" customHeight="false" outlineLevel="0" collapsed="false">
      <c r="A24" s="12" t="s">
        <v>14</v>
      </c>
      <c r="B24" s="13" t="n">
        <v>0</v>
      </c>
      <c r="D24" s="12" t="s">
        <v>22</v>
      </c>
      <c r="E24" s="13" t="n">
        <v>14724</v>
      </c>
      <c r="G24" s="14"/>
      <c r="H24" s="14"/>
      <c r="R24" s="34"/>
      <c r="W24" s="32" t="n">
        <v>37034</v>
      </c>
      <c r="X24" s="16" t="n">
        <v>15200</v>
      </c>
      <c r="Y24" s="16" t="n">
        <v>7000</v>
      </c>
      <c r="Z24" s="34" t="n">
        <f aca="false">Z23-X24+Y24</f>
        <v>88514.4192</v>
      </c>
      <c r="AA24" s="34"/>
      <c r="AB24" s="16" t="n">
        <v>0</v>
      </c>
      <c r="AC24" s="16" t="n">
        <v>0</v>
      </c>
      <c r="AD24" s="16" t="n">
        <f aca="false">AD23-AB24+AC24</f>
        <v>-6143</v>
      </c>
      <c r="AF24" s="32" t="n">
        <v>37034</v>
      </c>
      <c r="AG24" s="14" t="n">
        <f aca="false">355000+71000</f>
        <v>426000</v>
      </c>
      <c r="AH24" s="14"/>
      <c r="AJ24" s="35" t="n">
        <f aca="false">+AF24</f>
        <v>37034</v>
      </c>
      <c r="AK24" s="14"/>
      <c r="AL24" s="14"/>
      <c r="AM24" s="14"/>
    </row>
    <row r="25" customFormat="false" ht="12.75" hidden="false" customHeight="false" outlineLevel="0" collapsed="false">
      <c r="A25" s="12" t="s">
        <v>38</v>
      </c>
      <c r="B25" s="13" t="n">
        <v>0</v>
      </c>
      <c r="D25" s="12" t="s">
        <v>14</v>
      </c>
      <c r="E25" s="13" t="n">
        <v>8000</v>
      </c>
      <c r="G25" s="14"/>
      <c r="H25" s="14"/>
      <c r="R25" s="34"/>
      <c r="W25" s="32" t="n">
        <v>37035</v>
      </c>
      <c r="X25" s="16" t="n">
        <v>20000</v>
      </c>
      <c r="Y25" s="16" t="n">
        <v>7000</v>
      </c>
      <c r="Z25" s="34" t="n">
        <f aca="false">Z24-X25+Y25</f>
        <v>75514.4192</v>
      </c>
      <c r="AA25" s="34"/>
      <c r="AB25" s="16" t="n">
        <v>9000</v>
      </c>
      <c r="AC25" s="16" t="n">
        <v>10500</v>
      </c>
      <c r="AD25" s="16" t="n">
        <f aca="false">AD24-AB25+AC25</f>
        <v>-4643</v>
      </c>
      <c r="AF25" s="32" t="n">
        <v>37035</v>
      </c>
      <c r="AG25" s="14" t="n">
        <f aca="false">370000+74000</f>
        <v>444000</v>
      </c>
      <c r="AH25" s="14"/>
      <c r="AJ25" s="35" t="n">
        <f aca="false">+AF25</f>
        <v>37035</v>
      </c>
      <c r="AK25" s="14"/>
      <c r="AL25" s="14"/>
      <c r="AM25" s="14"/>
    </row>
    <row r="26" customFormat="false" ht="12.75" hidden="false" customHeight="false" outlineLevel="0" collapsed="false">
      <c r="A26" s="12" t="s">
        <v>39</v>
      </c>
      <c r="B26" s="13" t="n">
        <v>0</v>
      </c>
      <c r="D26" s="12" t="s">
        <v>20</v>
      </c>
      <c r="E26" s="13" t="n">
        <v>0</v>
      </c>
      <c r="G26" s="14"/>
      <c r="H26" s="14"/>
      <c r="R26" s="34"/>
      <c r="W26" s="32" t="n">
        <v>37036</v>
      </c>
      <c r="X26" s="16" t="n">
        <v>0</v>
      </c>
      <c r="Y26" s="16" t="n">
        <v>0</v>
      </c>
      <c r="Z26" s="34" t="n">
        <f aca="false">Z25-X26+Y26</f>
        <v>75514.4192</v>
      </c>
      <c r="AA26" s="34"/>
      <c r="AB26" s="16" t="n">
        <v>0</v>
      </c>
      <c r="AC26" s="16" t="n">
        <v>0</v>
      </c>
      <c r="AD26" s="16" t="n">
        <f aca="false">AD25-AB26+AC26</f>
        <v>-4643</v>
      </c>
      <c r="AF26" s="32" t="n">
        <v>37036</v>
      </c>
      <c r="AG26" s="14" t="n">
        <f aca="false">300000+61000</f>
        <v>361000</v>
      </c>
      <c r="AH26" s="14"/>
      <c r="AJ26" s="35" t="n">
        <f aca="false">+AF26</f>
        <v>37036</v>
      </c>
      <c r="AK26" s="14"/>
      <c r="AL26" s="14"/>
      <c r="AM26" s="14"/>
    </row>
    <row r="27" customFormat="false" ht="12.75" hidden="false" customHeight="false" outlineLevel="0" collapsed="false">
      <c r="A27" s="12" t="s">
        <v>40</v>
      </c>
      <c r="B27" s="13" t="n">
        <v>0</v>
      </c>
      <c r="C27" s="16"/>
      <c r="D27" s="12" t="s">
        <v>42</v>
      </c>
      <c r="E27" s="13" t="n">
        <v>0</v>
      </c>
      <c r="G27" s="14"/>
      <c r="H27" s="14"/>
      <c r="R27" s="34"/>
      <c r="W27" s="32" t="n">
        <v>37037</v>
      </c>
      <c r="X27" s="16" t="n">
        <v>0</v>
      </c>
      <c r="Y27" s="16" t="n">
        <v>0</v>
      </c>
      <c r="Z27" s="34" t="n">
        <f aca="false">Z26-X27+Y27</f>
        <v>75514.4192</v>
      </c>
      <c r="AA27" s="34"/>
      <c r="AB27" s="16" t="n">
        <v>0</v>
      </c>
      <c r="AC27" s="16" t="n">
        <v>0</v>
      </c>
      <c r="AD27" s="16" t="n">
        <f aca="false">AD26-AB27+AC27</f>
        <v>-4643</v>
      </c>
      <c r="AF27" s="32" t="n">
        <v>37037</v>
      </c>
      <c r="AG27" s="14" t="n">
        <f aca="false">260000+49000</f>
        <v>309000</v>
      </c>
      <c r="AH27" s="14"/>
      <c r="AJ27" s="35" t="n">
        <f aca="false">+AF27</f>
        <v>37037</v>
      </c>
      <c r="AK27" s="14"/>
      <c r="AL27" s="14"/>
      <c r="AM27" s="14"/>
    </row>
    <row r="28" customFormat="false" ht="13.5" hidden="false" customHeight="false" outlineLevel="0" collapsed="false">
      <c r="A28" s="12" t="s">
        <v>41</v>
      </c>
      <c r="B28" s="13" t="n">
        <v>0</v>
      </c>
      <c r="C28" s="16" t="n">
        <f aca="false">SUM(B29,B59)</f>
        <v>0</v>
      </c>
      <c r="D28" s="12" t="s">
        <v>43</v>
      </c>
      <c r="E28" s="13" t="n">
        <v>0</v>
      </c>
      <c r="G28" s="14"/>
      <c r="H28" s="14"/>
      <c r="R28" s="34"/>
      <c r="W28" s="32" t="n">
        <v>37038</v>
      </c>
      <c r="X28" s="16" t="n">
        <v>0</v>
      </c>
      <c r="Y28" s="16" t="n">
        <v>0</v>
      </c>
      <c r="Z28" s="34" t="n">
        <f aca="false">Z27-X28+Y28</f>
        <v>75514.4192</v>
      </c>
      <c r="AA28" s="34"/>
      <c r="AB28" s="16" t="n">
        <v>0</v>
      </c>
      <c r="AC28" s="16" t="n">
        <v>0</v>
      </c>
      <c r="AD28" s="16" t="n">
        <f aca="false">AD27-AB28+AC28</f>
        <v>-4643</v>
      </c>
      <c r="AF28" s="32" t="n">
        <v>37038</v>
      </c>
      <c r="AG28" s="14" t="n">
        <f aca="false">280000+54000</f>
        <v>334000</v>
      </c>
      <c r="AH28" s="14"/>
      <c r="AJ28" s="35" t="n">
        <f aca="false">+AF28</f>
        <v>37038</v>
      </c>
      <c r="AK28" s="14"/>
      <c r="AL28" s="14"/>
      <c r="AM28" s="14"/>
    </row>
    <row r="29" customFormat="false" ht="13.5" hidden="false" customHeight="false" outlineLevel="0" collapsed="false">
      <c r="A29" s="17" t="s">
        <v>24</v>
      </c>
      <c r="B29" s="18" t="n">
        <f aca="false">SUM(B6:B28)</f>
        <v>-700898</v>
      </c>
      <c r="C29" s="16"/>
      <c r="D29" s="17" t="s">
        <v>44</v>
      </c>
      <c r="E29" s="18" t="n">
        <f aca="false">SUM(E16:E28)</f>
        <v>102340</v>
      </c>
      <c r="G29" s="14"/>
      <c r="H29" s="14"/>
      <c r="R29" s="34"/>
      <c r="W29" s="32" t="n">
        <v>37039</v>
      </c>
      <c r="X29" s="16" t="n">
        <v>0</v>
      </c>
      <c r="Y29" s="16" t="n">
        <v>0</v>
      </c>
      <c r="Z29" s="34" t="n">
        <f aca="false">Z28-X29+Y29</f>
        <v>75514.4192</v>
      </c>
      <c r="AA29" s="34"/>
      <c r="AB29" s="16" t="n">
        <v>0</v>
      </c>
      <c r="AC29" s="16" t="n">
        <v>0</v>
      </c>
      <c r="AD29" s="16" t="n">
        <f aca="false">AD28-AB29+AC29</f>
        <v>-4643</v>
      </c>
      <c r="AF29" s="32" t="n">
        <v>37039</v>
      </c>
      <c r="AG29" s="14"/>
      <c r="AH29" s="14"/>
      <c r="AJ29" s="35" t="n">
        <f aca="false">+AF29</f>
        <v>37039</v>
      </c>
      <c r="AK29" s="14"/>
      <c r="AL29" s="14"/>
      <c r="AM29" s="14"/>
    </row>
    <row r="30" customFormat="false" ht="13.5" hidden="false" customHeight="false" outlineLevel="0" collapsed="false">
      <c r="A30" s="12"/>
      <c r="B30" s="13"/>
      <c r="C30" s="16"/>
      <c r="D30" s="19"/>
      <c r="E30" s="20"/>
      <c r="F30" s="16"/>
      <c r="G30" s="14"/>
      <c r="H30" s="14"/>
      <c r="W30" s="32" t="n">
        <v>37040</v>
      </c>
      <c r="X30" s="16" t="n">
        <v>0</v>
      </c>
      <c r="Y30" s="16" t="n">
        <v>0</v>
      </c>
      <c r="Z30" s="34" t="n">
        <f aca="false">Z29-X30+Y30</f>
        <v>75514.4192</v>
      </c>
      <c r="AA30" s="34"/>
      <c r="AB30" s="16" t="n">
        <v>0</v>
      </c>
      <c r="AC30" s="16" t="n">
        <v>0</v>
      </c>
      <c r="AD30" s="16" t="n">
        <f aca="false">AD29-AB30+AC30</f>
        <v>-4643</v>
      </c>
      <c r="AF30" s="32" t="n">
        <v>37040</v>
      </c>
      <c r="AG30" s="14"/>
      <c r="AH30" s="14"/>
      <c r="AJ30" s="35" t="n">
        <f aca="false">+AF30</f>
        <v>37040</v>
      </c>
      <c r="AK30" s="14"/>
      <c r="AL30" s="14"/>
      <c r="AM30" s="14"/>
    </row>
    <row r="31" customFormat="false" ht="12.75" hidden="false" customHeight="false" outlineLevel="0" collapsed="false">
      <c r="A31" s="12" t="s">
        <v>26</v>
      </c>
      <c r="B31" s="13" t="n">
        <v>103081</v>
      </c>
      <c r="C31" s="16"/>
      <c r="E31" s="14"/>
      <c r="G31" s="14"/>
      <c r="H31" s="14"/>
      <c r="W31" s="32" t="n">
        <v>37041</v>
      </c>
      <c r="X31" s="16" t="n">
        <v>0</v>
      </c>
      <c r="Y31" s="16" t="n">
        <v>0</v>
      </c>
      <c r="Z31" s="34" t="n">
        <f aca="false">Z30-X31+Y31</f>
        <v>75514.4192</v>
      </c>
      <c r="AA31" s="34"/>
      <c r="AB31" s="16" t="n">
        <v>0</v>
      </c>
      <c r="AC31" s="16" t="n">
        <v>0</v>
      </c>
      <c r="AD31" s="16" t="n">
        <f aca="false">AD30-AB31+AC31</f>
        <v>-4643</v>
      </c>
      <c r="AF31" s="32" t="n">
        <v>37041</v>
      </c>
      <c r="AG31" s="14"/>
      <c r="AH31" s="48"/>
      <c r="AJ31" s="35" t="n">
        <f aca="false">+AF31</f>
        <v>37041</v>
      </c>
      <c r="AK31" s="14"/>
      <c r="AL31" s="14"/>
      <c r="AM31" s="14"/>
    </row>
    <row r="32" customFormat="false" ht="12.75" hidden="false" customHeight="false" outlineLevel="0" collapsed="false">
      <c r="A32" s="12" t="s">
        <v>27</v>
      </c>
      <c r="B32" s="13" t="n">
        <v>125000</v>
      </c>
      <c r="E32" s="14"/>
      <c r="G32" s="14"/>
      <c r="H32" s="14"/>
      <c r="W32" s="32" t="n">
        <v>37042</v>
      </c>
      <c r="X32" s="16" t="n">
        <v>0</v>
      </c>
      <c r="Y32" s="16" t="n">
        <v>0</v>
      </c>
      <c r="Z32" s="34" t="n">
        <f aca="false">Z31-X32+Y32</f>
        <v>75514.4192</v>
      </c>
      <c r="AA32" s="34"/>
      <c r="AB32" s="16" t="n">
        <v>0</v>
      </c>
      <c r="AC32" s="16" t="n">
        <v>0</v>
      </c>
      <c r="AD32" s="16" t="n">
        <f aca="false">AD31-AB32+AC32</f>
        <v>-4643</v>
      </c>
      <c r="AF32" s="32" t="n">
        <v>37042</v>
      </c>
      <c r="AG32" s="14"/>
      <c r="AH32" s="14"/>
      <c r="AJ32" s="35" t="n">
        <f aca="false">+AF32</f>
        <v>37042</v>
      </c>
      <c r="AK32" s="14"/>
      <c r="AL32" s="14"/>
      <c r="AM32" s="14"/>
    </row>
    <row r="33" customFormat="false" ht="12.75" hidden="false" customHeight="false" outlineLevel="0" collapsed="false">
      <c r="A33" s="12" t="s">
        <v>29</v>
      </c>
      <c r="B33" s="13" t="n">
        <v>20000</v>
      </c>
      <c r="D33" s="21"/>
      <c r="G33" s="14"/>
      <c r="H33" s="14"/>
      <c r="AF33" s="32"/>
      <c r="AG33" s="14"/>
      <c r="AJ33" s="35"/>
      <c r="AK33" s="14"/>
      <c r="AL33" s="14"/>
      <c r="AM33" s="14"/>
    </row>
    <row r="34" customFormat="false" ht="12.75" hidden="false" customHeight="false" outlineLevel="0" collapsed="false">
      <c r="A34" s="12" t="s">
        <v>31</v>
      </c>
      <c r="B34" s="13" t="n">
        <v>177060</v>
      </c>
      <c r="C34" s="16"/>
      <c r="G34" s="14"/>
      <c r="H34" s="14"/>
      <c r="W34" s="32"/>
      <c r="AF34" s="32"/>
      <c r="AG34" s="14"/>
      <c r="AJ34" s="35"/>
      <c r="AK34" s="14"/>
      <c r="AL34" s="14"/>
      <c r="AM34" s="14"/>
    </row>
    <row r="35" customFormat="false" ht="12.75" hidden="false" customHeight="false" outlineLevel="0" collapsed="false">
      <c r="A35" s="12" t="s">
        <v>45</v>
      </c>
      <c r="B35" s="13" t="n">
        <v>29198</v>
      </c>
      <c r="G35" s="14"/>
      <c r="H35" s="14"/>
      <c r="W35" s="32"/>
      <c r="AF35" s="32"/>
      <c r="AJ35" s="35"/>
      <c r="AK35" s="14"/>
      <c r="AL35" s="14"/>
      <c r="AM35" s="14"/>
    </row>
    <row r="36" customFormat="false" ht="12.75" hidden="false" customHeight="false" outlineLevel="0" collapsed="false">
      <c r="A36" s="12" t="s">
        <v>46</v>
      </c>
      <c r="B36" s="13" t="n">
        <v>0</v>
      </c>
      <c r="G36" s="14"/>
      <c r="H36" s="14"/>
      <c r="W36" s="32"/>
      <c r="AF36" s="32"/>
      <c r="AJ36" s="35"/>
      <c r="AK36" s="14"/>
      <c r="AL36" s="14"/>
      <c r="AM36" s="14"/>
    </row>
    <row r="37" customFormat="false" ht="12.75" hidden="false" customHeight="false" outlineLevel="0" collapsed="false">
      <c r="A37" s="12" t="s">
        <v>47</v>
      </c>
      <c r="B37" s="13" t="n">
        <v>0</v>
      </c>
      <c r="D37" s="22"/>
      <c r="G37" s="14"/>
      <c r="H37" s="14"/>
      <c r="W37" s="32"/>
      <c r="AL37" s="14"/>
      <c r="AM37" s="14"/>
    </row>
    <row r="38" customFormat="false" ht="12.75" hidden="false" customHeight="false" outlineLevel="0" collapsed="false">
      <c r="A38" s="12" t="s">
        <v>48</v>
      </c>
      <c r="B38" s="13" t="n">
        <v>0</v>
      </c>
      <c r="D38" s="23"/>
      <c r="E38" s="16"/>
      <c r="G38" s="14"/>
      <c r="H38" s="14"/>
      <c r="AL38" s="14"/>
      <c r="AM38" s="14"/>
    </row>
    <row r="39" customFormat="false" ht="12.75" hidden="false" customHeight="false" outlineLevel="0" collapsed="false">
      <c r="A39" s="12" t="s">
        <v>42</v>
      </c>
      <c r="B39" s="13" t="n">
        <v>15838</v>
      </c>
      <c r="G39" s="14"/>
      <c r="H39" s="14"/>
      <c r="AJ39" s="14"/>
      <c r="AK39" s="14"/>
      <c r="AL39" s="14"/>
      <c r="AM39" s="14"/>
    </row>
    <row r="40" customFormat="false" ht="12.75" hidden="false" customHeight="false" outlineLevel="0" collapsed="false">
      <c r="A40" s="12" t="s">
        <v>23</v>
      </c>
      <c r="B40" s="13" t="n">
        <v>7000</v>
      </c>
      <c r="G40" s="14"/>
      <c r="H40" s="14"/>
      <c r="AJ40" s="14"/>
      <c r="AK40" s="14"/>
      <c r="AL40" s="14"/>
      <c r="AM40" s="14"/>
    </row>
    <row r="41" customFormat="false" ht="12.75" hidden="false" customHeight="false" outlineLevel="0" collapsed="false">
      <c r="A41" s="12" t="s">
        <v>74</v>
      </c>
      <c r="B41" s="13" t="n">
        <v>10500</v>
      </c>
      <c r="G41" s="14"/>
      <c r="H41" s="14"/>
      <c r="AJ41" s="14"/>
      <c r="AK41" s="14"/>
      <c r="AL41" s="14"/>
      <c r="AM41" s="14"/>
    </row>
    <row r="42" customFormat="false" ht="12.75" hidden="false" customHeight="false" outlineLevel="0" collapsed="false">
      <c r="A42" s="12" t="s">
        <v>18</v>
      </c>
      <c r="B42" s="24"/>
      <c r="AJ42" s="14"/>
      <c r="AK42" s="14"/>
      <c r="AL42" s="14"/>
      <c r="AM42" s="14"/>
    </row>
    <row r="43" customFormat="false" ht="12.75" hidden="false" customHeight="false" outlineLevel="0" collapsed="false">
      <c r="A43" s="12" t="s">
        <v>49</v>
      </c>
      <c r="B43" s="13" t="n">
        <v>0</v>
      </c>
      <c r="E43" s="14"/>
      <c r="AJ43" s="14"/>
      <c r="AK43" s="14"/>
      <c r="AL43" s="14"/>
      <c r="AM43" s="14"/>
    </row>
    <row r="44" customFormat="false" ht="12.75" hidden="false" customHeight="false" outlineLevel="0" collapsed="false">
      <c r="A44" s="12" t="s">
        <v>14</v>
      </c>
      <c r="B44" s="13" t="n">
        <v>54918</v>
      </c>
      <c r="C44" s="16"/>
      <c r="E44" s="14"/>
    </row>
    <row r="45" customFormat="false" ht="12.75" hidden="false" customHeight="false" outlineLevel="0" collapsed="false">
      <c r="A45" s="12" t="s">
        <v>50</v>
      </c>
      <c r="B45" s="13" t="n">
        <v>13950</v>
      </c>
      <c r="E45" s="14"/>
    </row>
    <row r="46" customFormat="false" ht="12.75" hidden="false" customHeight="false" outlineLevel="0" collapsed="false">
      <c r="A46" s="12" t="s">
        <v>51</v>
      </c>
      <c r="B46" s="13" t="n">
        <v>1000</v>
      </c>
      <c r="C46" s="16"/>
      <c r="E46" s="14"/>
    </row>
    <row r="47" customFormat="false" ht="12.75" hidden="false" customHeight="false" outlineLevel="0" collapsed="false">
      <c r="A47" s="12" t="s">
        <v>33</v>
      </c>
      <c r="B47" s="13"/>
    </row>
    <row r="48" customFormat="false" ht="12.75" hidden="false" customHeight="false" outlineLevel="0" collapsed="false">
      <c r="A48" s="12" t="s">
        <v>25</v>
      </c>
      <c r="B48" s="13" t="n">
        <v>0</v>
      </c>
      <c r="E48" s="14"/>
    </row>
    <row r="49" customFormat="false" ht="12.75" hidden="false" customHeight="false" outlineLevel="0" collapsed="false">
      <c r="A49" s="12" t="s">
        <v>22</v>
      </c>
      <c r="B49" s="13" t="n">
        <v>0</v>
      </c>
      <c r="C49" s="16" t="s">
        <v>16</v>
      </c>
      <c r="E49" s="14"/>
    </row>
    <row r="50" customFormat="false" ht="12.75" hidden="false" customHeight="false" outlineLevel="0" collapsed="false">
      <c r="A50" s="12" t="s">
        <v>28</v>
      </c>
      <c r="B50" s="13" t="n">
        <v>66015</v>
      </c>
      <c r="E50" s="14"/>
    </row>
    <row r="51" customFormat="false" ht="12.75" hidden="false" customHeight="false" outlineLevel="0" collapsed="false">
      <c r="A51" s="12" t="s">
        <v>52</v>
      </c>
      <c r="B51" s="13" t="n">
        <v>0</v>
      </c>
      <c r="E51" s="14"/>
    </row>
    <row r="52" customFormat="false" ht="12.75" hidden="false" customHeight="false" outlineLevel="0" collapsed="false">
      <c r="A52" s="12" t="s">
        <v>53</v>
      </c>
      <c r="B52" s="13" t="n">
        <v>0</v>
      </c>
      <c r="C52" s="16"/>
      <c r="E52" s="14"/>
    </row>
    <row r="53" customFormat="false" ht="12.75" hidden="false" customHeight="false" outlineLevel="0" collapsed="false">
      <c r="A53" s="12" t="s">
        <v>54</v>
      </c>
      <c r="B53" s="13" t="n">
        <v>0</v>
      </c>
      <c r="E53" s="14"/>
    </row>
    <row r="54" customFormat="false" ht="12.75" hidden="false" customHeight="false" outlineLevel="0" collapsed="false">
      <c r="A54" s="12" t="s">
        <v>36</v>
      </c>
      <c r="B54" s="13" t="n">
        <v>0</v>
      </c>
      <c r="C54" s="16"/>
      <c r="E54" s="14"/>
    </row>
    <row r="55" customFormat="false" ht="12.75" hidden="false" customHeight="false" outlineLevel="0" collapsed="false">
      <c r="A55" s="12" t="s">
        <v>55</v>
      </c>
      <c r="B55" s="13" t="n">
        <v>35000</v>
      </c>
      <c r="C55" s="16"/>
      <c r="E55" s="14"/>
    </row>
    <row r="56" customFormat="false" ht="12.75" hidden="false" customHeight="false" outlineLevel="0" collapsed="false">
      <c r="A56" s="12" t="s">
        <v>56</v>
      </c>
      <c r="B56" s="13" t="n">
        <v>42338</v>
      </c>
      <c r="C56" s="16"/>
      <c r="E56" s="14"/>
    </row>
    <row r="57" customFormat="false" ht="12.75" hidden="false" customHeight="false" outlineLevel="0" collapsed="false">
      <c r="A57" s="12" t="s">
        <v>14</v>
      </c>
      <c r="B57" s="13" t="n">
        <v>0</v>
      </c>
      <c r="C57" s="16"/>
      <c r="E57" s="14"/>
    </row>
    <row r="58" customFormat="false" ht="13.5" hidden="false" customHeight="false" outlineLevel="0" collapsed="false">
      <c r="A58" s="12" t="s">
        <v>43</v>
      </c>
      <c r="B58" s="13" t="n">
        <v>0</v>
      </c>
    </row>
    <row r="59" customFormat="false" ht="13.5" hidden="false" customHeight="false" outlineLevel="0" collapsed="false">
      <c r="A59" s="17" t="s">
        <v>44</v>
      </c>
      <c r="B59" s="18" t="n">
        <f aca="false">SUM(B31:B58)</f>
        <v>700898</v>
      </c>
    </row>
    <row r="60" customFormat="false" ht="13.5" hidden="false" customHeight="false" outlineLevel="0" collapsed="false">
      <c r="A60" s="19"/>
      <c r="B60" s="25"/>
    </row>
    <row r="61" customFormat="false" ht="12.75" hidden="false" customHeight="false" outlineLevel="0" collapsed="false">
      <c r="A61" s="49"/>
      <c r="B61" s="49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2000-09-26T10:56:15Z</dcterms:created>
  <dc:creator>bdillar</dc:creator>
  <dc:description/>
  <dc:language>en-US</dc:language>
  <cp:lastModifiedBy>lfascett</cp:lastModifiedBy>
  <cp:lastPrinted>2000-11-30T21:29:26Z</cp:lastPrinted>
  <dcterms:modified xsi:type="dcterms:W3CDTF">2001-05-23T11:01:02Z</dcterms:modified>
  <cp:revision>0</cp:revision>
  <dc:subject/>
  <dc:title/>
</cp:coreProperties>
</file>