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2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charts/chart29.xml" ContentType="application/vnd.openxmlformats-officedocument.drawingml.chart+xml"/>
  <Override PartName="/xl/charts/chart28.xml" ContentType="application/vnd.openxmlformats-officedocument.drawingml.chart+xml"/>
  <Override PartName="/xl/charts/chart27.xml" ContentType="application/vnd.openxmlformats-officedocument.drawingml.chart+xml"/>
  <Override PartName="/xl/charts/chart26.xml" ContentType="application/vnd.openxmlformats-officedocument.drawingml.chart+xml"/>
  <Override PartName="/xl/charts/chart25.xml" ContentType="application/vnd.openxmlformats-officedocument.drawingml.chart+xml"/>
  <Override PartName="/xl/charts/chart24.xml" ContentType="application/vnd.openxmlformats-officedocument.drawingml.chart+xml"/>
  <Override PartName="/xl/charts/chart23.xml" ContentType="application/vnd.openxmlformats-officedocument.drawingml.chart+xml"/>
  <Override PartName="/xl/charts/chart6.xml" ContentType="application/vnd.openxmlformats-officedocument.drawingml.chart+xml"/>
  <Override PartName="/xl/charts/chart11.xml" ContentType="application/vnd.openxmlformats-officedocument.drawingml.chart+xml"/>
  <Override PartName="/xl/charts/chart7.xml" ContentType="application/vnd.openxmlformats-officedocument.drawingml.chart+xml"/>
  <Override PartName="/xl/charts/chart12.xml" ContentType="application/vnd.openxmlformats-officedocument.drawingml.chart+xml"/>
  <Override PartName="/xl/charts/chart8.xml" ContentType="application/vnd.openxmlformats-officedocument.drawingml.chart+xml"/>
  <Override PartName="/xl/charts/chart13.xml" ContentType="application/vnd.openxmlformats-officedocument.drawingml.chart+xml"/>
  <Override PartName="/xl/charts/chart9.xml" ContentType="application/vnd.openxmlformats-officedocument.drawingml.chart+xml"/>
  <Override PartName="/xl/charts/chart30.xml" ContentType="application/vnd.openxmlformats-officedocument.drawingml.chart+xml"/>
  <Override PartName="/xl/charts/chart31.xml" ContentType="application/vnd.openxmlformats-officedocument.drawingml.chart+xml"/>
  <Override PartName="/xl/charts/chart32.xml" ContentType="application/vnd.openxmlformats-officedocument.drawingml.chart+xml"/>
  <Override PartName="/xl/charts/chart33.xml" ContentType="application/vnd.openxmlformats-officedocument.drawingml.chart+xml"/>
  <Override PartName="/xl/charts/chart10.xml" ContentType="application/vnd.openxmlformats-officedocument.drawingml.chart+xml"/>
  <Override PartName="/xl/charts/chart34.xml" ContentType="application/vnd.openxmlformats-officedocument.drawingml.chart+xml"/>
  <Override PartName="/xl/charts/chart5.xml" ContentType="application/vnd.openxmlformats-officedocument.drawingml.chart+xml"/>
  <Override PartName="/xl/charts/chart4.xml" ContentType="application/vnd.openxmlformats-officedocument.drawingml.chart+xml"/>
  <Override PartName="/xl/charts/chart2.xml" ContentType="application/vnd.openxmlformats-officedocument.drawingml.chart+xml"/>
  <Override PartName="/xl/charts/chart36.xml" ContentType="application/vnd.openxmlformats-officedocument.drawingml.chart+xml"/>
  <Override PartName="/xl/charts/chart3.xml" ContentType="application/vnd.openxmlformats-officedocument.drawingml.chart+xml"/>
  <Override PartName="/xl/charts/chart1.xml" ContentType="application/vnd.openxmlformats-officedocument.drawingml.chart+xml"/>
  <Override PartName="/xl/charts/chart35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20.xml" ContentType="application/vnd.openxmlformats-officedocument.drawingml.chart+xml"/>
  <Override PartName="/xl/charts/chart19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sharedStrings.xml" ContentType="application/vnd.openxmlformats-officedocument.spreadsheetml.sharedString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WEEKEND" sheetId="1" state="visible" r:id="rId3"/>
    <sheet name="DAILY" sheetId="2" state="visible" r:id="rId4"/>
  </sheets>
  <externalReferences>
    <externalReference r:id="rId5"/>
  </externalReferences>
  <definedNames>
    <definedName function="false" hidden="false" localSheetId="1" name="_xlnm.Print_Area" vbProcedure="false">DAILY!$A$1:$Z$71</definedName>
    <definedName function="false" hidden="false" localSheetId="0" name="_xlnm.Print_Area" vbProcedure="false">WEEKEND!$A$1:$O$54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<sst xmlns="http://schemas.openxmlformats.org/spreadsheetml/2006/main" count="274" uniqueCount="78">
  <si>
    <t xml:space="preserve">TODAY'S DATE:</t>
  </si>
  <si>
    <t xml:space="preserve">SENDOUT FOR:</t>
  </si>
  <si>
    <t xml:space="preserve">HI</t>
  </si>
  <si>
    <t xml:space="preserve">LOW</t>
  </si>
  <si>
    <t xml:space="preserve">MEAN</t>
  </si>
  <si>
    <t xml:space="preserve">WEATHER</t>
  </si>
  <si>
    <t xml:space="preserve">Ketra</t>
  </si>
  <si>
    <t xml:space="preserve">ELWOOD</t>
  </si>
  <si>
    <t xml:space="preserve">Chg</t>
  </si>
  <si>
    <t xml:space="preserve">PGL SENDOUT</t>
  </si>
  <si>
    <t xml:space="preserve">NS SENDOUT</t>
  </si>
  <si>
    <t xml:space="preserve">Total Burn:</t>
  </si>
  <si>
    <t xml:space="preserve">OFF SYSTEM SALES</t>
  </si>
  <si>
    <t xml:space="preserve">KN Nomination:</t>
  </si>
  <si>
    <t xml:space="preserve">  ELPASO</t>
  </si>
  <si>
    <t xml:space="preserve">INJECTIONS:</t>
  </si>
  <si>
    <t xml:space="preserve">PGL Balancing:</t>
  </si>
  <si>
    <t xml:space="preserve">  ENA SELL-BACK</t>
  </si>
  <si>
    <t xml:space="preserve">     MANLOVE</t>
  </si>
  <si>
    <t xml:space="preserve">  MISC</t>
  </si>
  <si>
    <t xml:space="preserve">     NGPL (DSS)</t>
  </si>
  <si>
    <t xml:space="preserve">HUB:</t>
  </si>
  <si>
    <t xml:space="preserve">     ANR </t>
  </si>
  <si>
    <t xml:space="preserve">   MANLOVE</t>
  </si>
  <si>
    <t xml:space="preserve">NICOR BALANCING</t>
  </si>
  <si>
    <t xml:space="preserve">   EL PASO</t>
  </si>
  <si>
    <t xml:space="preserve">     ANR (NO-NOTICE)</t>
  </si>
  <si>
    <t xml:space="preserve"> </t>
  </si>
  <si>
    <t xml:space="preserve">TOTAL REQUIREMENTS</t>
  </si>
  <si>
    <t xml:space="preserve">     NGPL (NO-NOTICE)</t>
  </si>
  <si>
    <t xml:space="preserve">     NGPL</t>
  </si>
  <si>
    <t xml:space="preserve">     COENERGY</t>
  </si>
  <si>
    <t xml:space="preserve">     ENGAGE</t>
  </si>
  <si>
    <t xml:space="preserve">     PANHANDLE</t>
  </si>
  <si>
    <t xml:space="preserve">     FUEL</t>
  </si>
  <si>
    <t xml:space="preserve">LNG LIQUIFACTION</t>
  </si>
  <si>
    <t xml:space="preserve">ENA BASELOAD</t>
  </si>
  <si>
    <t xml:space="preserve">LINE PACK</t>
  </si>
  <si>
    <t xml:space="preserve">ENA SIQ</t>
  </si>
  <si>
    <t xml:space="preserve">ENA DIQ</t>
  </si>
  <si>
    <t xml:space="preserve">RIDER GAS</t>
  </si>
  <si>
    <t xml:space="preserve">NGPL DSS</t>
  </si>
  <si>
    <t xml:space="preserve">NGPL DSS - AMR</t>
  </si>
  <si>
    <t xml:space="preserve">CITYGATE</t>
  </si>
  <si>
    <t xml:space="preserve">ANR</t>
  </si>
  <si>
    <t xml:space="preserve">EL PASO BASE</t>
  </si>
  <si>
    <t xml:space="preserve">TRUNKLINE QNT</t>
  </si>
  <si>
    <t xml:space="preserve">IMBALANCES</t>
  </si>
  <si>
    <t xml:space="preserve">TOTAL SOURCES</t>
  </si>
  <si>
    <t xml:space="preserve">NGPL NSS1</t>
  </si>
  <si>
    <t xml:space="preserve">NGPL NSS2</t>
  </si>
  <si>
    <t xml:space="preserve">ALLIANCE</t>
  </si>
  <si>
    <t xml:space="preserve">   MISC</t>
  </si>
  <si>
    <t xml:space="preserve">RFG</t>
  </si>
  <si>
    <t xml:space="preserve">LNG VAPORIZE</t>
  </si>
  <si>
    <t xml:space="preserve">WITHDRAWALS:</t>
  </si>
  <si>
    <t xml:space="preserve">     ANR</t>
  </si>
  <si>
    <t xml:space="preserve">     NGPL:  NSS1</t>
  </si>
  <si>
    <t xml:space="preserve">     NGPL:  NSS2</t>
  </si>
  <si>
    <t xml:space="preserve">     NGPL:  DSS</t>
  </si>
  <si>
    <t xml:space="preserve">TODAY'S SENDOUT FOR PGL:</t>
  </si>
  <si>
    <t xml:space="preserve">TODAY'S SENDOUT FOR NS:</t>
  </si>
  <si>
    <t xml:space="preserve">ESTIMATED PGL SENDOUT FOR: </t>
  </si>
  <si>
    <t xml:space="preserve">ESTIMATED NORTH SHORE SENDOUT FOR: </t>
  </si>
  <si>
    <t xml:space="preserve">Elwood Burn</t>
  </si>
  <si>
    <t xml:space="preserve">Elwood Injection</t>
  </si>
  <si>
    <t xml:space="preserve">Elwood Bank Balance</t>
  </si>
  <si>
    <t xml:space="preserve">Wilton Burn</t>
  </si>
  <si>
    <t xml:space="preserve">Wilton Injection</t>
  </si>
  <si>
    <t xml:space="preserve">Wilton OBA</t>
  </si>
  <si>
    <t xml:space="preserve">Gas Control Estimate</t>
  </si>
  <si>
    <t xml:space="preserve">Gas Control Actual</t>
  </si>
  <si>
    <t xml:space="preserve">Rider Gas</t>
  </si>
  <si>
    <t xml:space="preserve">Change</t>
  </si>
  <si>
    <t xml:space="preserve">     NICOR BALANCING</t>
  </si>
  <si>
    <t xml:space="preserve">NGPL - AMR</t>
  </si>
  <si>
    <t xml:space="preserve">Nicor Storage</t>
  </si>
  <si>
    <t xml:space="preserve">TRUNKLINE IMBALANCE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</si>
</sst>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[$-409]m/d/yyyy"/>
    <numFmt numFmtId="166" formatCode="0"/>
    <numFmt numFmtId="167" formatCode="_(* #,##0.00_);_(* \(#,##0.00\);_(* \-??_);_(@_)"/>
    <numFmt numFmtId="168" formatCode="_(* #,##0_);_(* \(#,##0\);_(* \-??_);_(@_)"/>
  </numFmts>
  <fonts count="14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2"/>
    </font>
    <font>
      <b val="true"/>
      <sz val="10"/>
      <name val="Arial"/>
      <family val="2"/>
    </font>
    <font>
      <b val="true"/>
      <sz val="12"/>
      <color rgb="FF000000"/>
      <name val="Arial"/>
      <family val="2"/>
    </font>
    <font>
      <sz val="10"/>
      <color rgb="FF000000"/>
      <name val="Arial"/>
      <family val="2"/>
    </font>
    <font>
      <b val="true"/>
      <sz val="1.5"/>
      <color rgb="FF000000"/>
      <name val="Arial"/>
      <family val="2"/>
    </font>
    <font>
      <sz val="1.5"/>
      <color rgb="FF000000"/>
      <name val="Arial"/>
      <family val="2"/>
    </font>
    <font>
      <sz val="11.75"/>
      <color rgb="FF000000"/>
      <name val="Arial"/>
      <family val="2"/>
    </font>
    <font>
      <b val="true"/>
      <sz val="16"/>
      <color rgb="FF000000"/>
      <name val="Arial"/>
      <family val="2"/>
    </font>
    <font>
      <sz val="11"/>
      <color rgb="FF000000"/>
      <name val="Arial"/>
      <family val="2"/>
    </font>
    <font>
      <b val="true"/>
      <sz val="12.75"/>
      <color rgb="FF00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FF99"/>
        <bgColor rgb="FFFFFFCC"/>
      </patternFill>
    </fill>
    <fill>
      <patternFill patternType="solid">
        <fgColor rgb="FFFFFFFF"/>
        <bgColor rgb="FFFFFFCC"/>
      </patternFill>
    </fill>
    <fill>
      <patternFill patternType="solid">
        <fgColor rgb="FFCCFFFF"/>
        <bgColor rgb="FFCCFFFF"/>
      </patternFill>
    </fill>
  </fills>
  <borders count="20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medium"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thin"/>
      <right/>
      <top style="medium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/>
      <right style="thin"/>
      <top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 style="thin"/>
      <top style="medium"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50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4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4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4" fillId="0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4" fillId="0" borderId="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4" fillId="0" borderId="1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4" fillId="0" borderId="1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4" fillId="0" borderId="1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4" fillId="0" borderId="1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4" fillId="0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4" fillId="0" borderId="1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4" fillId="4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4" fillId="0" borderId="1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6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8" fontId="5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3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8" fontId="5" fillId="0" borderId="1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4" fillId="0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4" fillId="0" borderId="1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4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4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4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externalLink" Target="externalLinks/externalLink1.xml"/><Relationship Id="rId6" Type="http://schemas.openxmlformats.org/officeDocument/2006/relationships/sharedStrings" Target="sharedStrings.xml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PGL &amp; NS SENDOUT</a:t>
            </a:r>
          </a:p>
        </c:rich>
      </c:tx>
      <c:layout>
        <c:manualLayout>
          <c:xMode val="edge"/>
          <c:yMode val="edge"/>
          <c:x val="40"/>
          <c:y val="0.0374830648803252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989010989010989"/>
          <c:w val="1"/>
          <c:h val="0.857142857142857"/>
        </c:manualLayout>
      </c:layout>
      <c:lineChart>
        <c:grouping val="standard"/>
        <c:varyColors val="0"/>
        <c:ser>
          <c:idx val="0"/>
          <c:order val="0"/>
          <c:tx>
            <c:strRef>
              <c:f>"Estimate"</c:f>
              <c:strCache>
                <c:ptCount val="1"/>
                <c:pt idx="0">
                  <c:v>Estimate</c:v>
                </c:pt>
              </c:strCache>
            </c:strRef>
          </c:tx>
          <c:spPr>
            <a:solidFill>
              <a:srgbClr val="ff00ff"/>
            </a:solidFill>
            <a:ln w="25200">
              <a:solidFill>
                <a:srgbClr val="ff00ff"/>
              </a:solidFill>
              <a:round/>
            </a:ln>
          </c:spPr>
          <c:marker>
            <c:symbol val="square"/>
            <c:size val="7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[1]SENDOUT!$AI$2:$AI$36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250000</c:v>
                </c:pt>
                <c:pt idx="18">
                  <c:v>252000</c:v>
                </c:pt>
                <c:pt idx="19">
                  <c:v>258000</c:v>
                </c:pt>
                <c:pt idx="20">
                  <c:v>305000</c:v>
                </c:pt>
                <c:pt idx="21">
                  <c:v>279000</c:v>
                </c:pt>
                <c:pt idx="22">
                  <c:v>250000</c:v>
                </c:pt>
                <c:pt idx="23">
                  <c:v>463000</c:v>
                </c:pt>
                <c:pt idx="24">
                  <c:v>476000</c:v>
                </c:pt>
                <c:pt idx="25">
                  <c:v>376000</c:v>
                </c:pt>
                <c:pt idx="26">
                  <c:v>388000</c:v>
                </c:pt>
                <c:pt idx="27">
                  <c:v>372000</c:v>
                </c:pt>
                <c:pt idx="28">
                  <c:v>292000</c:v>
                </c:pt>
                <c:pt idx="29">
                  <c:v>233000</c:v>
                </c:pt>
                <c:pt idx="30">
                  <c:v>258000</c:v>
                </c:pt>
                <c:pt idx="31">
                  <c:v>282000</c:v>
                </c:pt>
                <c:pt idx="32">
                  <c:v>266000</c:v>
                </c:pt>
                <c:pt idx="33">
                  <c:v>352000</c:v>
                </c:pt>
                <c:pt idx="34">
                  <c:v>517000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[1]SENDOUT!$AJ$2:$AJ$36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251462</c:v>
                </c:pt>
                <c:pt idx="18">
                  <c:v>238627</c:v>
                </c:pt>
                <c:pt idx="19">
                  <c:v>293010</c:v>
                </c:pt>
                <c:pt idx="20">
                  <c:v>297613</c:v>
                </c:pt>
                <c:pt idx="21">
                  <c:v>279524</c:v>
                </c:pt>
                <c:pt idx="22">
                  <c:v>259718</c:v>
                </c:pt>
                <c:pt idx="23">
                  <c:v>361520</c:v>
                </c:pt>
                <c:pt idx="24">
                  <c:v>474825</c:v>
                </c:pt>
                <c:pt idx="25">
                  <c:v>364951</c:v>
                </c:pt>
                <c:pt idx="26">
                  <c:v>365702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96673059"/>
        <c:axId val="29943084"/>
      </c:lineChart>
      <c:catAx>
        <c:axId val="96673059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9943084"/>
        <c:crossesAt val="0"/>
        <c:auto val="1"/>
        <c:lblAlgn val="ctr"/>
        <c:lblOffset val="100"/>
        <c:noMultiLvlLbl val="0"/>
      </c:catAx>
      <c:valAx>
        <c:axId val="29943084"/>
        <c:scaling>
          <c:orientation val="minMax"/>
          <c:min val="2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6673059"/>
        <c:crossesAt val="1"/>
        <c:crossBetween val="midCat"/>
        <c:majorUnit val="50000"/>
        <c:minorUnit val="50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42.5714285714286"/>
          <c:y val="0.881378895077525"/>
          <c:w val="332.571428571429"/>
          <c:h val="0.180490742134578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ELWOOD BANK BALANCE</a:t>
            </a:r>
          </a:p>
        </c:rich>
      </c:tx>
      <c:layout>
        <c:manualLayout>
          <c:xMode val="edge"/>
          <c:yMode val="edge"/>
          <c:x val="42.1428571428571"/>
          <c:y val="0.0542065663474692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30300957592339"/>
          <c:w val="1"/>
          <c:h val="0.859781121751026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[1]SENDOUT!$AD$2:$AD$32</c:f>
              <c:numCache>
                <c:formatCode>General</c:formatCode>
                <c:ptCount val="31"/>
                <c:pt idx="0">
                  <c:v>190431</c:v>
                </c:pt>
                <c:pt idx="1">
                  <c:v>188696</c:v>
                </c:pt>
                <c:pt idx="2">
                  <c:v>208354</c:v>
                </c:pt>
                <c:pt idx="3">
                  <c:v>228012</c:v>
                </c:pt>
                <c:pt idx="4">
                  <c:v>247670</c:v>
                </c:pt>
                <c:pt idx="5">
                  <c:v>267328</c:v>
                </c:pt>
                <c:pt idx="6">
                  <c:v>226879</c:v>
                </c:pt>
                <c:pt idx="7">
                  <c:v>166911</c:v>
                </c:pt>
                <c:pt idx="8">
                  <c:v>190255.8579</c:v>
                </c:pt>
                <c:pt idx="9">
                  <c:v>236235.9199</c:v>
                </c:pt>
                <c:pt idx="10">
                  <c:v>251980.0121</c:v>
                </c:pt>
                <c:pt idx="11">
                  <c:v>277254.3027</c:v>
                </c:pt>
                <c:pt idx="12">
                  <c:v>298455.4557</c:v>
                </c:pt>
                <c:pt idx="13">
                  <c:v>276768.4557</c:v>
                </c:pt>
                <c:pt idx="14">
                  <c:v>296426.4557</c:v>
                </c:pt>
                <c:pt idx="15">
                  <c:v>316084.4557</c:v>
                </c:pt>
                <c:pt idx="16">
                  <c:v>335742.4557</c:v>
                </c:pt>
                <c:pt idx="17">
                  <c:v>274084.4557</c:v>
                </c:pt>
                <c:pt idx="18">
                  <c:v>255684.4557</c:v>
                </c:pt>
                <c:pt idx="19">
                  <c:v>305684.4557</c:v>
                </c:pt>
                <c:pt idx="20">
                  <c:v>305684.4557</c:v>
                </c:pt>
                <c:pt idx="21">
                  <c:v>305684.4557</c:v>
                </c:pt>
                <c:pt idx="22">
                  <c:v>305684.4557</c:v>
                </c:pt>
                <c:pt idx="23">
                  <c:v>305684.4557</c:v>
                </c:pt>
                <c:pt idx="24">
                  <c:v>305684.4557</c:v>
                </c:pt>
                <c:pt idx="25">
                  <c:v>305684.4557</c:v>
                </c:pt>
                <c:pt idx="26">
                  <c:v>305684.4557</c:v>
                </c:pt>
                <c:pt idx="27">
                  <c:v>305684.4557</c:v>
                </c:pt>
                <c:pt idx="28">
                  <c:v>305684.4557</c:v>
                </c:pt>
                <c:pt idx="29">
                  <c:v>305684.4557</c:v>
                </c:pt>
                <c:pt idx="30">
                  <c:v>305684.4557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3411738"/>
        <c:axId val="83248865"/>
      </c:lineChart>
      <c:catAx>
        <c:axId val="341173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3248865"/>
        <c:crossesAt val="0"/>
        <c:auto val="1"/>
        <c:lblAlgn val="ctr"/>
        <c:lblOffset val="100"/>
        <c:noMultiLvlLbl val="0"/>
      </c:catAx>
      <c:valAx>
        <c:axId val="83248865"/>
        <c:scaling>
          <c:orientation val="minMax"/>
          <c:min val="5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411738"/>
        <c:crossesAt val="1"/>
        <c:crossBetween val="midCat"/>
        <c:majorUnit val="5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0.8571428571429"/>
          <c:y val="0.566005471956224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BURN</a:t>
            </a:r>
          </a:p>
        </c:rich>
      </c:tx>
      <c:layout>
        <c:manualLayout>
          <c:xMode val="edge"/>
          <c:yMode val="edge"/>
          <c:x val="39.2857142857143"/>
          <c:y val="0.0438068795310813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02730217491902"/>
          <c:w val="1"/>
          <c:h val="0.879839580441154"/>
        </c:manualLayout>
      </c:layout>
      <c:lineChart>
        <c:grouping val="standard"/>
        <c:varyColors val="0"/>
        <c:ser>
          <c:idx val="0"/>
          <c:order val="0"/>
          <c:tx>
            <c:strRef>
              <c:f>"Burn"</c:f>
              <c:strCache>
                <c:ptCount val="1"/>
                <c:pt idx="0">
                  <c:v>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[1]SENDOUT!$AE$2:$AE$32</c:f>
              <c:numCache>
                <c:formatCode>General</c:formatCode>
                <c:ptCount val="31"/>
                <c:pt idx="0">
                  <c:v>70212</c:v>
                </c:pt>
                <c:pt idx="1">
                  <c:v>10</c:v>
                </c:pt>
                <c:pt idx="2">
                  <c:v>10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  <c:pt idx="6">
                  <c:v>10</c:v>
                </c:pt>
                <c:pt idx="7">
                  <c:v>10</c:v>
                </c:pt>
                <c:pt idx="8">
                  <c:v>10</c:v>
                </c:pt>
                <c:pt idx="9">
                  <c:v>10</c:v>
                </c:pt>
                <c:pt idx="10">
                  <c:v>17041</c:v>
                </c:pt>
                <c:pt idx="11">
                  <c:v>10</c:v>
                </c:pt>
                <c:pt idx="12">
                  <c:v>10</c:v>
                </c:pt>
                <c:pt idx="13">
                  <c:v>10</c:v>
                </c:pt>
                <c:pt idx="14">
                  <c:v>498</c:v>
                </c:pt>
                <c:pt idx="15">
                  <c:v>10</c:v>
                </c:pt>
                <c:pt idx="16">
                  <c:v>10</c:v>
                </c:pt>
                <c:pt idx="17">
                  <c:v>10</c:v>
                </c:pt>
                <c:pt idx="18">
                  <c:v>10</c:v>
                </c:pt>
                <c:pt idx="19">
                  <c:v>10</c:v>
                </c:pt>
                <c:pt idx="20">
                  <c:v>10</c:v>
                </c:pt>
                <c:pt idx="21">
                  <c:v>10</c:v>
                </c:pt>
                <c:pt idx="22">
                  <c:v>10</c:v>
                </c:pt>
                <c:pt idx="23">
                  <c:v>10</c:v>
                </c:pt>
                <c:pt idx="24">
                  <c:v>10</c:v>
                </c:pt>
                <c:pt idx="25">
                  <c:v>10</c:v>
                </c:pt>
                <c:pt idx="26">
                  <c:v>10</c:v>
                </c:pt>
                <c:pt idx="27">
                  <c:v>10</c:v>
                </c:pt>
                <c:pt idx="28">
                  <c:v>10</c:v>
                </c:pt>
                <c:pt idx="29">
                  <c:v>10</c:v>
                </c:pt>
                <c:pt idx="30">
                  <c:v>10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14305020"/>
        <c:axId val="6512053"/>
      </c:lineChart>
      <c:catAx>
        <c:axId val="143050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512053"/>
        <c:crossesAt val="0"/>
        <c:auto val="1"/>
        <c:lblAlgn val="ctr"/>
        <c:lblOffset val="100"/>
        <c:noMultiLvlLbl val="0"/>
      </c:catAx>
      <c:valAx>
        <c:axId val="6512053"/>
        <c:scaling>
          <c:orientation val="minMax"/>
          <c:max val="100000"/>
          <c:min val="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4305020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80.2857142857143"/>
          <c:y val="0.519204072188802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OBA</a:t>
            </a:r>
          </a:p>
        </c:rich>
      </c:tx>
      <c:layout>
        <c:manualLayout>
          <c:xMode val="edge"/>
          <c:yMode val="edge"/>
          <c:x val="40.7142857142857"/>
          <c:y val="0.0438284032832585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859532290537401"/>
          <c:w val="1"/>
          <c:h val="0.91404677094626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[1]SENDOUT!$AF$2:$AF$32</c:f>
              <c:numCache>
                <c:formatCode>General</c:formatCode>
                <c:ptCount val="31"/>
                <c:pt idx="0">
                  <c:v>-66665</c:v>
                </c:pt>
                <c:pt idx="1">
                  <c:v>-51703</c:v>
                </c:pt>
                <c:pt idx="2">
                  <c:v>-26758</c:v>
                </c:pt>
                <c:pt idx="3">
                  <c:v>-6768</c:v>
                </c:pt>
                <c:pt idx="4">
                  <c:v>-6778</c:v>
                </c:pt>
                <c:pt idx="5">
                  <c:v>-6788</c:v>
                </c:pt>
                <c:pt idx="6">
                  <c:v>-6798</c:v>
                </c:pt>
                <c:pt idx="7">
                  <c:v>-6808</c:v>
                </c:pt>
                <c:pt idx="8">
                  <c:v>-4568</c:v>
                </c:pt>
                <c:pt idx="9">
                  <c:v>-2328</c:v>
                </c:pt>
                <c:pt idx="10">
                  <c:v>2881</c:v>
                </c:pt>
                <c:pt idx="11">
                  <c:v>2871</c:v>
                </c:pt>
                <c:pt idx="12">
                  <c:v>2861</c:v>
                </c:pt>
                <c:pt idx="13">
                  <c:v>2851</c:v>
                </c:pt>
                <c:pt idx="14">
                  <c:v>2353</c:v>
                </c:pt>
                <c:pt idx="15">
                  <c:v>2343</c:v>
                </c:pt>
                <c:pt idx="16">
                  <c:v>2333</c:v>
                </c:pt>
                <c:pt idx="17">
                  <c:v>2323</c:v>
                </c:pt>
                <c:pt idx="18">
                  <c:v>2313</c:v>
                </c:pt>
                <c:pt idx="19">
                  <c:v>2303</c:v>
                </c:pt>
                <c:pt idx="20">
                  <c:v>2293</c:v>
                </c:pt>
                <c:pt idx="21">
                  <c:v>2283</c:v>
                </c:pt>
                <c:pt idx="22">
                  <c:v>2273</c:v>
                </c:pt>
                <c:pt idx="23">
                  <c:v>2263</c:v>
                </c:pt>
                <c:pt idx="24">
                  <c:v>2253</c:v>
                </c:pt>
                <c:pt idx="25">
                  <c:v>2243</c:v>
                </c:pt>
                <c:pt idx="26">
                  <c:v>2233</c:v>
                </c:pt>
                <c:pt idx="27">
                  <c:v>2223</c:v>
                </c:pt>
                <c:pt idx="28">
                  <c:v>2213</c:v>
                </c:pt>
                <c:pt idx="29">
                  <c:v>2203</c:v>
                </c:pt>
                <c:pt idx="30">
                  <c:v>2193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29147086"/>
        <c:axId val="56897221"/>
      </c:lineChart>
      <c:catAx>
        <c:axId val="2914708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6897221"/>
        <c:crossesAt val="-40000"/>
        <c:auto val="1"/>
        <c:lblAlgn val="ctr"/>
        <c:lblOffset val="100"/>
        <c:noMultiLvlLbl val="0"/>
      </c:catAx>
      <c:valAx>
        <c:axId val="56897221"/>
        <c:scaling>
          <c:orientation val="minMax"/>
          <c:max val="80000"/>
          <c:min val="-4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9147086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2.5714285714286"/>
          <c:y val="0.567755923803624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PGL &amp; NS SENDOUT</a:t>
            </a:r>
          </a:p>
        </c:rich>
      </c:tx>
      <c:layout>
        <c:manualLayout>
          <c:xMode val="edge"/>
          <c:yMode val="edge"/>
          <c:x val="40"/>
          <c:y val="0.0374830648803252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989010989010989"/>
          <c:w val="1"/>
          <c:h val="0.856691253951528"/>
        </c:manualLayout>
      </c:layout>
      <c:lineChart>
        <c:grouping val="standard"/>
        <c:varyColors val="0"/>
        <c:ser>
          <c:idx val="0"/>
          <c:order val="0"/>
          <c:tx>
            <c:strRef>
              <c:f>"Estimate"</c:f>
              <c:strCache>
                <c:ptCount val="1"/>
                <c:pt idx="0">
                  <c:v>Estimate</c:v>
                </c:pt>
              </c:strCache>
            </c:strRef>
          </c:tx>
          <c:spPr>
            <a:solidFill>
              <a:srgbClr val="ff00ff"/>
            </a:solidFill>
            <a:ln w="25200">
              <a:solidFill>
                <a:srgbClr val="ff00ff"/>
              </a:solidFill>
              <a:round/>
            </a:ln>
          </c:spPr>
          <c:marker>
            <c:symbol val="square"/>
            <c:size val="7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[1]SENDOUT!$AI$2:$AI$36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250000</c:v>
                </c:pt>
                <c:pt idx="18">
                  <c:v>252000</c:v>
                </c:pt>
                <c:pt idx="19">
                  <c:v>258000</c:v>
                </c:pt>
                <c:pt idx="20">
                  <c:v>305000</c:v>
                </c:pt>
                <c:pt idx="21">
                  <c:v>279000</c:v>
                </c:pt>
                <c:pt idx="22">
                  <c:v>250000</c:v>
                </c:pt>
                <c:pt idx="23">
                  <c:v>463000</c:v>
                </c:pt>
                <c:pt idx="24">
                  <c:v>476000</c:v>
                </c:pt>
                <c:pt idx="25">
                  <c:v>376000</c:v>
                </c:pt>
                <c:pt idx="26">
                  <c:v>388000</c:v>
                </c:pt>
                <c:pt idx="27">
                  <c:v>372000</c:v>
                </c:pt>
                <c:pt idx="28">
                  <c:v>292000</c:v>
                </c:pt>
                <c:pt idx="29">
                  <c:v>233000</c:v>
                </c:pt>
                <c:pt idx="30">
                  <c:v>258000</c:v>
                </c:pt>
                <c:pt idx="31">
                  <c:v>282000</c:v>
                </c:pt>
                <c:pt idx="32">
                  <c:v>266000</c:v>
                </c:pt>
                <c:pt idx="33">
                  <c:v>352000</c:v>
                </c:pt>
                <c:pt idx="34">
                  <c:v>517000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[1]SENDOUT!$AJ$2:$AJ$36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251462</c:v>
                </c:pt>
                <c:pt idx="18">
                  <c:v>238627</c:v>
                </c:pt>
                <c:pt idx="19">
                  <c:v>293010</c:v>
                </c:pt>
                <c:pt idx="20">
                  <c:v>297613</c:v>
                </c:pt>
                <c:pt idx="21">
                  <c:v>279524</c:v>
                </c:pt>
                <c:pt idx="22">
                  <c:v>259718</c:v>
                </c:pt>
                <c:pt idx="23">
                  <c:v>361520</c:v>
                </c:pt>
                <c:pt idx="24">
                  <c:v>474825</c:v>
                </c:pt>
                <c:pt idx="25">
                  <c:v>364951</c:v>
                </c:pt>
                <c:pt idx="26">
                  <c:v>365702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7010924"/>
        <c:axId val="95184594"/>
      </c:lineChart>
      <c:catAx>
        <c:axId val="7010924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5184594"/>
        <c:crossesAt val="0"/>
        <c:auto val="1"/>
        <c:lblAlgn val="ctr"/>
        <c:lblOffset val="100"/>
        <c:noMultiLvlLbl val="0"/>
      </c:catAx>
      <c:valAx>
        <c:axId val="95184594"/>
        <c:scaling>
          <c:orientation val="minMax"/>
          <c:min val="2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010924"/>
        <c:crossesAt val="1"/>
        <c:crossBetween val="midCat"/>
        <c:majorUnit val="50000"/>
        <c:minorUnit val="50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42.5714285714286"/>
          <c:y val="0.882583170254403"/>
          <c:w val="332.571428571429"/>
          <c:h val="0.180490742134578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50" strike="noStrike" u="none">
                <a:solidFill>
                  <a:srgbClr val="000000"/>
                </a:solidFill>
                <a:uFillTx/>
                <a:latin typeface="Arial"/>
              </a:rPr>
              <a:t>ELWOOD BURN</a:t>
            </a:r>
          </a:p>
        </c:rich>
      </c:tx>
      <c:layout>
        <c:manualLayout>
          <c:xMode val="edge"/>
          <c:yMode val="edge"/>
          <c:x val="41.4285714285714"/>
          <c:y val="0.0435008665511265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722703639514731"/>
          <c:w val="1"/>
          <c:h val="0.922010398613518"/>
        </c:manualLayout>
      </c:layout>
      <c:lineChart>
        <c:grouping val="standard"/>
        <c:varyColors val="0"/>
        <c:ser>
          <c:idx val="0"/>
          <c:order val="0"/>
          <c:tx>
            <c:strRef>
              <c:f>"TOTAL BURN"</c:f>
              <c:strCache>
                <c:ptCount val="1"/>
                <c:pt idx="0">
                  <c:v>TOTAL 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[1]SENDOUT!$AC$2:$AC$32</c:f>
              <c:numCache>
                <c:formatCode>General</c:formatCode>
                <c:ptCount val="31"/>
                <c:pt idx="0">
                  <c:v>66453</c:v>
                </c:pt>
                <c:pt idx="1">
                  <c:v>21735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60449</c:v>
                </c:pt>
                <c:pt idx="7">
                  <c:v>59968</c:v>
                </c:pt>
                <c:pt idx="8">
                  <c:v>26249</c:v>
                </c:pt>
                <c:pt idx="9">
                  <c:v>3220</c:v>
                </c:pt>
                <c:pt idx="10">
                  <c:v>33982</c:v>
                </c:pt>
                <c:pt idx="11">
                  <c:v>24286</c:v>
                </c:pt>
                <c:pt idx="12">
                  <c:v>28430</c:v>
                </c:pt>
                <c:pt idx="13">
                  <c:v>21687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81658</c:v>
                </c:pt>
                <c:pt idx="18">
                  <c:v>38400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13237646"/>
        <c:axId val="44103714"/>
      </c:lineChart>
      <c:catAx>
        <c:axId val="1323764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4103714"/>
        <c:crossesAt val="0"/>
        <c:auto val="1"/>
        <c:lblAlgn val="ctr"/>
        <c:lblOffset val="100"/>
        <c:noMultiLvlLbl val="0"/>
      </c:catAx>
      <c:valAx>
        <c:axId val="4410371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3237646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32.2857142857143"/>
          <c:y val="0.0538994800693241"/>
          <c:w val="383"/>
          <c:h val="0.25684575389948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175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RIDER GAS - PGLC &amp; NS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21818181818182"/>
          <c:w val="1"/>
          <c:h val="0.871688311688312"/>
        </c:manualLayout>
      </c:layout>
      <c:lineChart>
        <c:grouping val="standard"/>
        <c:varyColors val="0"/>
        <c:ser>
          <c:idx val="0"/>
          <c:order val="0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[1]SENDOUT!$AL$2:$AL$36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[1]SENDOUT!$AM$2:$AM$36</c:f>
              <c:numCache>
                <c:formatCode>General</c:formatCode>
                <c:ptCount val="35"/>
                <c:pt idx="0">
                  <c:v>145517</c:v>
                </c:pt>
                <c:pt idx="1">
                  <c:v>175311</c:v>
                </c:pt>
                <c:pt idx="2">
                  <c:v>169521</c:v>
                </c:pt>
                <c:pt idx="3">
                  <c:v>175636</c:v>
                </c:pt>
                <c:pt idx="4">
                  <c:v>174951</c:v>
                </c:pt>
                <c:pt idx="5">
                  <c:v>151882</c:v>
                </c:pt>
                <c:pt idx="6">
                  <c:v>149644</c:v>
                </c:pt>
                <c:pt idx="7">
                  <c:v>141843</c:v>
                </c:pt>
                <c:pt idx="8">
                  <c:v>152372</c:v>
                </c:pt>
                <c:pt idx="9">
                  <c:v>152322</c:v>
                </c:pt>
                <c:pt idx="10">
                  <c:v>151972</c:v>
                </c:pt>
                <c:pt idx="11">
                  <c:v>154619</c:v>
                </c:pt>
                <c:pt idx="12">
                  <c:v>138783</c:v>
                </c:pt>
                <c:pt idx="13">
                  <c:v>151157</c:v>
                </c:pt>
                <c:pt idx="14">
                  <c:v>150550</c:v>
                </c:pt>
                <c:pt idx="15">
                  <c:v>147765</c:v>
                </c:pt>
                <c:pt idx="16">
                  <c:v>147792</c:v>
                </c:pt>
                <c:pt idx="17">
                  <c:v>147092</c:v>
                </c:pt>
                <c:pt idx="18">
                  <c:v>172170</c:v>
                </c:pt>
                <c:pt idx="19">
                  <c:v>150209</c:v>
                </c:pt>
                <c:pt idx="20">
                  <c:v>157505</c:v>
                </c:pt>
                <c:pt idx="21">
                  <c:v>160398</c:v>
                </c:pt>
                <c:pt idx="22">
                  <c:v>149216</c:v>
                </c:pt>
                <c:pt idx="23">
                  <c:v>149106</c:v>
                </c:pt>
                <c:pt idx="24">
                  <c:v>148256</c:v>
                </c:pt>
                <c:pt idx="25">
                  <c:v>154560</c:v>
                </c:pt>
                <c:pt idx="26">
                  <c:v>148298</c:v>
                </c:pt>
                <c:pt idx="27">
                  <c:v>152983</c:v>
                </c:pt>
                <c:pt idx="28">
                  <c:v>180458</c:v>
                </c:pt>
                <c:pt idx="29">
                  <c:v>180458</c:v>
                </c:pt>
                <c:pt idx="30">
                  <c:v>218710</c:v>
                </c:pt>
                <c:pt idx="31">
                  <c:v>218240</c:v>
                </c:pt>
                <c:pt idx="32">
                  <c:v>218240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16725897"/>
        <c:axId val="93468158"/>
      </c:lineChart>
      <c:catAx>
        <c:axId val="16725897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3468158"/>
        <c:crossesAt val="0"/>
        <c:auto val="1"/>
        <c:lblAlgn val="ctr"/>
        <c:lblOffset val="100"/>
        <c:noMultiLvlLbl val="0"/>
      </c:catAx>
      <c:valAx>
        <c:axId val="93468158"/>
        <c:scaling>
          <c:orientation val="minMax"/>
          <c:min val="1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6725897"/>
        <c:crossesAt val="1"/>
        <c:crossBetween val="midCat"/>
        <c:majorUnit val="25000"/>
        <c:minorUnit val="25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61.7142857142857"/>
          <c:y val="0.271168831168831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ELWOOD BANK BALANCE</a:t>
            </a:r>
          </a:p>
        </c:rich>
      </c:tx>
      <c:layout>
        <c:manualLayout>
          <c:xMode val="edge"/>
          <c:yMode val="edge"/>
          <c:x val="42.1428571428571"/>
          <c:y val="0.0542065663474692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30300957592339"/>
          <c:w val="1"/>
          <c:h val="0.859781121751026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[1]SENDOUT!$AD$2:$AD$32</c:f>
              <c:numCache>
                <c:formatCode>General</c:formatCode>
                <c:ptCount val="31"/>
                <c:pt idx="0">
                  <c:v>190431</c:v>
                </c:pt>
                <c:pt idx="1">
                  <c:v>188696</c:v>
                </c:pt>
                <c:pt idx="2">
                  <c:v>208354</c:v>
                </c:pt>
                <c:pt idx="3">
                  <c:v>228012</c:v>
                </c:pt>
                <c:pt idx="4">
                  <c:v>247670</c:v>
                </c:pt>
                <c:pt idx="5">
                  <c:v>267328</c:v>
                </c:pt>
                <c:pt idx="6">
                  <c:v>226879</c:v>
                </c:pt>
                <c:pt idx="7">
                  <c:v>166911</c:v>
                </c:pt>
                <c:pt idx="8">
                  <c:v>190255.8579</c:v>
                </c:pt>
                <c:pt idx="9">
                  <c:v>236235.9199</c:v>
                </c:pt>
                <c:pt idx="10">
                  <c:v>251980.0121</c:v>
                </c:pt>
                <c:pt idx="11">
                  <c:v>277254.3027</c:v>
                </c:pt>
                <c:pt idx="12">
                  <c:v>298455.4557</c:v>
                </c:pt>
                <c:pt idx="13">
                  <c:v>276768.4557</c:v>
                </c:pt>
                <c:pt idx="14">
                  <c:v>296426.4557</c:v>
                </c:pt>
                <c:pt idx="15">
                  <c:v>316084.4557</c:v>
                </c:pt>
                <c:pt idx="16">
                  <c:v>335742.4557</c:v>
                </c:pt>
                <c:pt idx="17">
                  <c:v>274084.4557</c:v>
                </c:pt>
                <c:pt idx="18">
                  <c:v>255684.4557</c:v>
                </c:pt>
                <c:pt idx="19">
                  <c:v>305684.4557</c:v>
                </c:pt>
                <c:pt idx="20">
                  <c:v>305684.4557</c:v>
                </c:pt>
                <c:pt idx="21">
                  <c:v>305684.4557</c:v>
                </c:pt>
                <c:pt idx="22">
                  <c:v>305684.4557</c:v>
                </c:pt>
                <c:pt idx="23">
                  <c:v>305684.4557</c:v>
                </c:pt>
                <c:pt idx="24">
                  <c:v>305684.4557</c:v>
                </c:pt>
                <c:pt idx="25">
                  <c:v>305684.4557</c:v>
                </c:pt>
                <c:pt idx="26">
                  <c:v>305684.4557</c:v>
                </c:pt>
                <c:pt idx="27">
                  <c:v>305684.4557</c:v>
                </c:pt>
                <c:pt idx="28">
                  <c:v>305684.4557</c:v>
                </c:pt>
                <c:pt idx="29">
                  <c:v>305684.4557</c:v>
                </c:pt>
                <c:pt idx="30">
                  <c:v>305684.4557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78366564"/>
        <c:axId val="99882216"/>
      </c:lineChart>
      <c:catAx>
        <c:axId val="783665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9882216"/>
        <c:crossesAt val="0"/>
        <c:auto val="1"/>
        <c:lblAlgn val="ctr"/>
        <c:lblOffset val="100"/>
        <c:noMultiLvlLbl val="0"/>
      </c:catAx>
      <c:valAx>
        <c:axId val="99882216"/>
        <c:scaling>
          <c:orientation val="minMax"/>
          <c:min val="5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8366564"/>
        <c:crossesAt val="1"/>
        <c:crossBetween val="midCat"/>
        <c:majorUnit val="5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0.8571428571429"/>
          <c:y val="0.566005471956224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BURN</a:t>
            </a:r>
          </a:p>
        </c:rich>
      </c:tx>
      <c:layout>
        <c:manualLayout>
          <c:xMode val="edge"/>
          <c:yMode val="edge"/>
          <c:x val="39.2857142857143"/>
          <c:y val="0.0438068795310813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994909763998149"/>
          <c:w val="1"/>
          <c:h val="0.882924571957427"/>
        </c:manualLayout>
      </c:layout>
      <c:lineChart>
        <c:grouping val="standard"/>
        <c:varyColors val="0"/>
        <c:ser>
          <c:idx val="0"/>
          <c:order val="0"/>
          <c:tx>
            <c:strRef>
              <c:f>"Burn"</c:f>
              <c:strCache>
                <c:ptCount val="1"/>
                <c:pt idx="0">
                  <c:v>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[1]SENDOUT!$AE$2:$AE$32</c:f>
              <c:numCache>
                <c:formatCode>General</c:formatCode>
                <c:ptCount val="31"/>
                <c:pt idx="0">
                  <c:v>70212</c:v>
                </c:pt>
                <c:pt idx="1">
                  <c:v>10</c:v>
                </c:pt>
                <c:pt idx="2">
                  <c:v>10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  <c:pt idx="6">
                  <c:v>10</c:v>
                </c:pt>
                <c:pt idx="7">
                  <c:v>10</c:v>
                </c:pt>
                <c:pt idx="8">
                  <c:v>10</c:v>
                </c:pt>
                <c:pt idx="9">
                  <c:v>10</c:v>
                </c:pt>
                <c:pt idx="10">
                  <c:v>17041</c:v>
                </c:pt>
                <c:pt idx="11">
                  <c:v>10</c:v>
                </c:pt>
                <c:pt idx="12">
                  <c:v>10</c:v>
                </c:pt>
                <c:pt idx="13">
                  <c:v>10</c:v>
                </c:pt>
                <c:pt idx="14">
                  <c:v>498</c:v>
                </c:pt>
                <c:pt idx="15">
                  <c:v>10</c:v>
                </c:pt>
                <c:pt idx="16">
                  <c:v>10</c:v>
                </c:pt>
                <c:pt idx="17">
                  <c:v>10</c:v>
                </c:pt>
                <c:pt idx="18">
                  <c:v>10</c:v>
                </c:pt>
                <c:pt idx="19">
                  <c:v>10</c:v>
                </c:pt>
                <c:pt idx="20">
                  <c:v>10</c:v>
                </c:pt>
                <c:pt idx="21">
                  <c:v>10</c:v>
                </c:pt>
                <c:pt idx="22">
                  <c:v>10</c:v>
                </c:pt>
                <c:pt idx="23">
                  <c:v>10</c:v>
                </c:pt>
                <c:pt idx="24">
                  <c:v>10</c:v>
                </c:pt>
                <c:pt idx="25">
                  <c:v>10</c:v>
                </c:pt>
                <c:pt idx="26">
                  <c:v>10</c:v>
                </c:pt>
                <c:pt idx="27">
                  <c:v>10</c:v>
                </c:pt>
                <c:pt idx="28">
                  <c:v>10</c:v>
                </c:pt>
                <c:pt idx="29">
                  <c:v>10</c:v>
                </c:pt>
                <c:pt idx="30">
                  <c:v>10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45101940"/>
        <c:axId val="18955522"/>
      </c:lineChart>
      <c:catAx>
        <c:axId val="451019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8955522"/>
        <c:crossesAt val="0"/>
        <c:auto val="1"/>
        <c:lblAlgn val="ctr"/>
        <c:lblOffset val="100"/>
        <c:noMultiLvlLbl val="0"/>
      </c:catAx>
      <c:valAx>
        <c:axId val="18955522"/>
        <c:scaling>
          <c:orientation val="minMax"/>
          <c:max val="100000"/>
          <c:min val="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5101940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96.8571428571429"/>
          <c:y val="0.397038408144378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OBA</a:t>
            </a:r>
          </a:p>
        </c:rich>
      </c:tx>
      <c:layout>
        <c:manualLayout>
          <c:xMode val="edge"/>
          <c:yMode val="edge"/>
          <c:x val="40.7142857142857"/>
          <c:y val="0.0438284032832585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859532290537401"/>
          <c:w val="1"/>
          <c:h val="0.91404677094626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[1]SENDOUT!$AF$2:$AF$32</c:f>
              <c:numCache>
                <c:formatCode>General</c:formatCode>
                <c:ptCount val="31"/>
                <c:pt idx="0">
                  <c:v>-66665</c:v>
                </c:pt>
                <c:pt idx="1">
                  <c:v>-51703</c:v>
                </c:pt>
                <c:pt idx="2">
                  <c:v>-26758</c:v>
                </c:pt>
                <c:pt idx="3">
                  <c:v>-6768</c:v>
                </c:pt>
                <c:pt idx="4">
                  <c:v>-6778</c:v>
                </c:pt>
                <c:pt idx="5">
                  <c:v>-6788</c:v>
                </c:pt>
                <c:pt idx="6">
                  <c:v>-6798</c:v>
                </c:pt>
                <c:pt idx="7">
                  <c:v>-6808</c:v>
                </c:pt>
                <c:pt idx="8">
                  <c:v>-4568</c:v>
                </c:pt>
                <c:pt idx="9">
                  <c:v>-2328</c:v>
                </c:pt>
                <c:pt idx="10">
                  <c:v>2881</c:v>
                </c:pt>
                <c:pt idx="11">
                  <c:v>2871</c:v>
                </c:pt>
                <c:pt idx="12">
                  <c:v>2861</c:v>
                </c:pt>
                <c:pt idx="13">
                  <c:v>2851</c:v>
                </c:pt>
                <c:pt idx="14">
                  <c:v>2353</c:v>
                </c:pt>
                <c:pt idx="15">
                  <c:v>2343</c:v>
                </c:pt>
                <c:pt idx="16">
                  <c:v>2333</c:v>
                </c:pt>
                <c:pt idx="17">
                  <c:v>2323</c:v>
                </c:pt>
                <c:pt idx="18">
                  <c:v>2313</c:v>
                </c:pt>
                <c:pt idx="19">
                  <c:v>2303</c:v>
                </c:pt>
                <c:pt idx="20">
                  <c:v>2293</c:v>
                </c:pt>
                <c:pt idx="21">
                  <c:v>2283</c:v>
                </c:pt>
                <c:pt idx="22">
                  <c:v>2273</c:v>
                </c:pt>
                <c:pt idx="23">
                  <c:v>2263</c:v>
                </c:pt>
                <c:pt idx="24">
                  <c:v>2253</c:v>
                </c:pt>
                <c:pt idx="25">
                  <c:v>2243</c:v>
                </c:pt>
                <c:pt idx="26">
                  <c:v>2233</c:v>
                </c:pt>
                <c:pt idx="27">
                  <c:v>2223</c:v>
                </c:pt>
                <c:pt idx="28">
                  <c:v>2213</c:v>
                </c:pt>
                <c:pt idx="29">
                  <c:v>2203</c:v>
                </c:pt>
                <c:pt idx="30">
                  <c:v>2193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1664404"/>
        <c:axId val="20028091"/>
      </c:lineChart>
      <c:catAx>
        <c:axId val="16644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0028091"/>
        <c:crossesAt val="-40000"/>
        <c:auto val="1"/>
        <c:lblAlgn val="ctr"/>
        <c:lblOffset val="100"/>
        <c:noMultiLvlLbl val="0"/>
      </c:catAx>
      <c:valAx>
        <c:axId val="20028091"/>
        <c:scaling>
          <c:orientation val="minMax"/>
          <c:max val="80000"/>
          <c:min val="-4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664404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2.5714285714286"/>
          <c:y val="0.567755923803624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PGL &amp; NS SENDOUT</a:t>
            </a:r>
          </a:p>
        </c:rich>
      </c:tx>
      <c:layout>
        <c:manualLayout>
          <c:xMode val="edge"/>
          <c:yMode val="edge"/>
          <c:x val="40"/>
          <c:y val="0.0374830648803252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989010989010989"/>
          <c:w val="1"/>
          <c:h val="0.859099804305284"/>
        </c:manualLayout>
      </c:layout>
      <c:lineChart>
        <c:grouping val="standard"/>
        <c:varyColors val="0"/>
        <c:ser>
          <c:idx val="0"/>
          <c:order val="0"/>
          <c:tx>
            <c:strRef>
              <c:f>"Estimate"</c:f>
              <c:strCache>
                <c:ptCount val="1"/>
                <c:pt idx="0">
                  <c:v>Estimate</c:v>
                </c:pt>
              </c:strCache>
            </c:strRef>
          </c:tx>
          <c:spPr>
            <a:solidFill>
              <a:srgbClr val="ff00ff"/>
            </a:solidFill>
            <a:ln w="25200">
              <a:solidFill>
                <a:srgbClr val="ff00ff"/>
              </a:solidFill>
              <a:round/>
            </a:ln>
          </c:spPr>
          <c:marker>
            <c:symbol val="square"/>
            <c:size val="7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[1]SENDOUT!$AI$2:$AI$36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250000</c:v>
                </c:pt>
                <c:pt idx="18">
                  <c:v>252000</c:v>
                </c:pt>
                <c:pt idx="19">
                  <c:v>258000</c:v>
                </c:pt>
                <c:pt idx="20">
                  <c:v>305000</c:v>
                </c:pt>
                <c:pt idx="21">
                  <c:v>279000</c:v>
                </c:pt>
                <c:pt idx="22">
                  <c:v>250000</c:v>
                </c:pt>
                <c:pt idx="23">
                  <c:v>463000</c:v>
                </c:pt>
                <c:pt idx="24">
                  <c:v>476000</c:v>
                </c:pt>
                <c:pt idx="25">
                  <c:v>376000</c:v>
                </c:pt>
                <c:pt idx="26">
                  <c:v>388000</c:v>
                </c:pt>
                <c:pt idx="27">
                  <c:v>372000</c:v>
                </c:pt>
                <c:pt idx="28">
                  <c:v>292000</c:v>
                </c:pt>
                <c:pt idx="29">
                  <c:v>233000</c:v>
                </c:pt>
                <c:pt idx="30">
                  <c:v>258000</c:v>
                </c:pt>
                <c:pt idx="31">
                  <c:v>282000</c:v>
                </c:pt>
                <c:pt idx="32">
                  <c:v>266000</c:v>
                </c:pt>
                <c:pt idx="33">
                  <c:v>352000</c:v>
                </c:pt>
                <c:pt idx="34">
                  <c:v>517000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[1]SENDOUT!$AJ$2:$AJ$36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251462</c:v>
                </c:pt>
                <c:pt idx="18">
                  <c:v>238627</c:v>
                </c:pt>
                <c:pt idx="19">
                  <c:v>293010</c:v>
                </c:pt>
                <c:pt idx="20">
                  <c:v>297613</c:v>
                </c:pt>
                <c:pt idx="21">
                  <c:v>279524</c:v>
                </c:pt>
                <c:pt idx="22">
                  <c:v>259718</c:v>
                </c:pt>
                <c:pt idx="23">
                  <c:v>361520</c:v>
                </c:pt>
                <c:pt idx="24">
                  <c:v>474825</c:v>
                </c:pt>
                <c:pt idx="25">
                  <c:v>364951</c:v>
                </c:pt>
                <c:pt idx="26">
                  <c:v>365702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93619244"/>
        <c:axId val="41952514"/>
      </c:lineChart>
      <c:catAx>
        <c:axId val="93619244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1952514"/>
        <c:crossesAt val="0"/>
        <c:auto val="1"/>
        <c:lblAlgn val="ctr"/>
        <c:lblOffset val="100"/>
        <c:noMultiLvlLbl val="0"/>
      </c:catAx>
      <c:valAx>
        <c:axId val="41952514"/>
        <c:scaling>
          <c:orientation val="minMax"/>
          <c:min val="2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3619244"/>
        <c:crossesAt val="1"/>
        <c:crossBetween val="midCat"/>
        <c:majorUnit val="50000"/>
        <c:minorUnit val="50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42.5714285714286"/>
          <c:y val="0.881679963871745"/>
          <c:w val="332.571428571429"/>
          <c:h val="0.180490742134578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50" strike="noStrike" u="none">
                <a:solidFill>
                  <a:srgbClr val="000000"/>
                </a:solidFill>
                <a:uFillTx/>
                <a:latin typeface="Arial"/>
              </a:rPr>
              <a:t>ELWOOD BURN</a:t>
            </a:r>
          </a:p>
        </c:rich>
      </c:tx>
      <c:layout>
        <c:manualLayout>
          <c:xMode val="edge"/>
          <c:yMode val="edge"/>
          <c:x val="41.4285714285714"/>
          <c:y val="0.0435008665511265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722703639514731"/>
          <c:w val="1"/>
          <c:h val="0.922010398613518"/>
        </c:manualLayout>
      </c:layout>
      <c:lineChart>
        <c:grouping val="standard"/>
        <c:varyColors val="0"/>
        <c:ser>
          <c:idx val="0"/>
          <c:order val="0"/>
          <c:tx>
            <c:strRef>
              <c:f>"TOTAL BURN"</c:f>
              <c:strCache>
                <c:ptCount val="1"/>
                <c:pt idx="0">
                  <c:v>TOTAL 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[1]SENDOUT!$AC$2:$AC$32</c:f>
              <c:numCache>
                <c:formatCode>General</c:formatCode>
                <c:ptCount val="31"/>
                <c:pt idx="0">
                  <c:v>66453</c:v>
                </c:pt>
                <c:pt idx="1">
                  <c:v>21735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60449</c:v>
                </c:pt>
                <c:pt idx="7">
                  <c:v>59968</c:v>
                </c:pt>
                <c:pt idx="8">
                  <c:v>26249</c:v>
                </c:pt>
                <c:pt idx="9">
                  <c:v>3220</c:v>
                </c:pt>
                <c:pt idx="10">
                  <c:v>33982</c:v>
                </c:pt>
                <c:pt idx="11">
                  <c:v>24286</c:v>
                </c:pt>
                <c:pt idx="12">
                  <c:v>28430</c:v>
                </c:pt>
                <c:pt idx="13">
                  <c:v>21687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81658</c:v>
                </c:pt>
                <c:pt idx="18">
                  <c:v>38400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58156543"/>
        <c:axId val="45757921"/>
      </c:lineChart>
      <c:catAx>
        <c:axId val="5815654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5757921"/>
        <c:crossesAt val="0"/>
        <c:auto val="1"/>
        <c:lblAlgn val="ctr"/>
        <c:lblOffset val="100"/>
        <c:noMultiLvlLbl val="0"/>
      </c:catAx>
      <c:valAx>
        <c:axId val="45757921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8156543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32.2857142857143"/>
          <c:y val="0.0538994800693241"/>
          <c:w val="383"/>
          <c:h val="0.25684575389948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175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50" strike="noStrike" u="none">
                <a:solidFill>
                  <a:srgbClr val="000000"/>
                </a:solidFill>
                <a:uFillTx/>
                <a:latin typeface="Arial"/>
              </a:rPr>
              <a:t>ELWOOD BURN</a:t>
            </a:r>
          </a:p>
        </c:rich>
      </c:tx>
      <c:layout>
        <c:manualLayout>
          <c:xMode val="edge"/>
          <c:yMode val="edge"/>
          <c:x val="41.4285714285714"/>
          <c:y val="0.0435008665511265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722703639514731"/>
          <c:w val="1"/>
          <c:h val="0.922010398613518"/>
        </c:manualLayout>
      </c:layout>
      <c:lineChart>
        <c:grouping val="standard"/>
        <c:varyColors val="0"/>
        <c:ser>
          <c:idx val="0"/>
          <c:order val="0"/>
          <c:tx>
            <c:strRef>
              <c:f>"TOTAL BURN"</c:f>
              <c:strCache>
                <c:ptCount val="1"/>
                <c:pt idx="0">
                  <c:v>TOTAL 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[1]SENDOUT!$AC$2:$AC$32</c:f>
              <c:numCache>
                <c:formatCode>General</c:formatCode>
                <c:ptCount val="31"/>
                <c:pt idx="0">
                  <c:v>66453</c:v>
                </c:pt>
                <c:pt idx="1">
                  <c:v>21735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60449</c:v>
                </c:pt>
                <c:pt idx="7">
                  <c:v>59968</c:v>
                </c:pt>
                <c:pt idx="8">
                  <c:v>26249</c:v>
                </c:pt>
                <c:pt idx="9">
                  <c:v>3220</c:v>
                </c:pt>
                <c:pt idx="10">
                  <c:v>33982</c:v>
                </c:pt>
                <c:pt idx="11">
                  <c:v>24286</c:v>
                </c:pt>
                <c:pt idx="12">
                  <c:v>28430</c:v>
                </c:pt>
                <c:pt idx="13">
                  <c:v>21687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81658</c:v>
                </c:pt>
                <c:pt idx="18">
                  <c:v>38400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52681822"/>
        <c:axId val="73624312"/>
      </c:lineChart>
      <c:catAx>
        <c:axId val="5268182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3624312"/>
        <c:crossesAt val="0"/>
        <c:auto val="1"/>
        <c:lblAlgn val="ctr"/>
        <c:lblOffset val="100"/>
        <c:noMultiLvlLbl val="0"/>
      </c:catAx>
      <c:valAx>
        <c:axId val="73624312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2681822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32.2857142857143"/>
          <c:y val="0.048526863084922"/>
          <c:w val="383"/>
          <c:h val="0.25684575389948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175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RIDER GAS - PGLC &amp; NS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47272727272727"/>
          <c:w val="1"/>
          <c:h val="0.841298701298701"/>
        </c:manualLayout>
      </c:layout>
      <c:lineChart>
        <c:grouping val="standard"/>
        <c:varyColors val="0"/>
        <c:ser>
          <c:idx val="0"/>
          <c:order val="0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[1]SENDOUT!$AL$2:$AL$36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[1]SENDOUT!$AM$2:$AM$36</c:f>
              <c:numCache>
                <c:formatCode>General</c:formatCode>
                <c:ptCount val="35"/>
                <c:pt idx="0">
                  <c:v>145517</c:v>
                </c:pt>
                <c:pt idx="1">
                  <c:v>175311</c:v>
                </c:pt>
                <c:pt idx="2">
                  <c:v>169521</c:v>
                </c:pt>
                <c:pt idx="3">
                  <c:v>175636</c:v>
                </c:pt>
                <c:pt idx="4">
                  <c:v>174951</c:v>
                </c:pt>
                <c:pt idx="5">
                  <c:v>151882</c:v>
                </c:pt>
                <c:pt idx="6">
                  <c:v>149644</c:v>
                </c:pt>
                <c:pt idx="7">
                  <c:v>141843</c:v>
                </c:pt>
                <c:pt idx="8">
                  <c:v>152372</c:v>
                </c:pt>
                <c:pt idx="9">
                  <c:v>152322</c:v>
                </c:pt>
                <c:pt idx="10">
                  <c:v>151972</c:v>
                </c:pt>
                <c:pt idx="11">
                  <c:v>154619</c:v>
                </c:pt>
                <c:pt idx="12">
                  <c:v>138783</c:v>
                </c:pt>
                <c:pt idx="13">
                  <c:v>151157</c:v>
                </c:pt>
                <c:pt idx="14">
                  <c:v>150550</c:v>
                </c:pt>
                <c:pt idx="15">
                  <c:v>147765</c:v>
                </c:pt>
                <c:pt idx="16">
                  <c:v>147792</c:v>
                </c:pt>
                <c:pt idx="17">
                  <c:v>147092</c:v>
                </c:pt>
                <c:pt idx="18">
                  <c:v>172170</c:v>
                </c:pt>
                <c:pt idx="19">
                  <c:v>150209</c:v>
                </c:pt>
                <c:pt idx="20">
                  <c:v>157505</c:v>
                </c:pt>
                <c:pt idx="21">
                  <c:v>160398</c:v>
                </c:pt>
                <c:pt idx="22">
                  <c:v>149216</c:v>
                </c:pt>
                <c:pt idx="23">
                  <c:v>149106</c:v>
                </c:pt>
                <c:pt idx="24">
                  <c:v>148256</c:v>
                </c:pt>
                <c:pt idx="25">
                  <c:v>154560</c:v>
                </c:pt>
                <c:pt idx="26">
                  <c:v>148298</c:v>
                </c:pt>
                <c:pt idx="27">
                  <c:v>152983</c:v>
                </c:pt>
                <c:pt idx="28">
                  <c:v>180458</c:v>
                </c:pt>
                <c:pt idx="29">
                  <c:v>180458</c:v>
                </c:pt>
                <c:pt idx="30">
                  <c:v>218710</c:v>
                </c:pt>
                <c:pt idx="31">
                  <c:v>218240</c:v>
                </c:pt>
                <c:pt idx="32">
                  <c:v>218240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9651141"/>
        <c:axId val="51388346"/>
      </c:lineChart>
      <c:catAx>
        <c:axId val="9651141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1388346"/>
        <c:crossesAt val="0"/>
        <c:auto val="1"/>
        <c:lblAlgn val="ctr"/>
        <c:lblOffset val="100"/>
        <c:noMultiLvlLbl val="0"/>
      </c:catAx>
      <c:valAx>
        <c:axId val="51388346"/>
        <c:scaling>
          <c:orientation val="minMax"/>
          <c:min val="1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651141"/>
        <c:crossesAt val="1"/>
        <c:crossBetween val="midCat"/>
        <c:majorUnit val="25000"/>
        <c:minorUnit val="25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59"/>
          <c:y val="0.278441558441558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ELWOOD BANK BALANCE</a:t>
            </a:r>
          </a:p>
        </c:rich>
      </c:tx>
      <c:layout>
        <c:manualLayout>
          <c:xMode val="edge"/>
          <c:yMode val="edge"/>
          <c:x val="42.1428571428571"/>
          <c:y val="0.0542065663474692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30300957592339"/>
          <c:w val="1"/>
          <c:h val="0.859781121751026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[1]SENDOUT!$AD$2:$AD$32</c:f>
              <c:numCache>
                <c:formatCode>General</c:formatCode>
                <c:ptCount val="31"/>
                <c:pt idx="0">
                  <c:v>190431</c:v>
                </c:pt>
                <c:pt idx="1">
                  <c:v>188696</c:v>
                </c:pt>
                <c:pt idx="2">
                  <c:v>208354</c:v>
                </c:pt>
                <c:pt idx="3">
                  <c:v>228012</c:v>
                </c:pt>
                <c:pt idx="4">
                  <c:v>247670</c:v>
                </c:pt>
                <c:pt idx="5">
                  <c:v>267328</c:v>
                </c:pt>
                <c:pt idx="6">
                  <c:v>226879</c:v>
                </c:pt>
                <c:pt idx="7">
                  <c:v>166911</c:v>
                </c:pt>
                <c:pt idx="8">
                  <c:v>190255.8579</c:v>
                </c:pt>
                <c:pt idx="9">
                  <c:v>236235.9199</c:v>
                </c:pt>
                <c:pt idx="10">
                  <c:v>251980.0121</c:v>
                </c:pt>
                <c:pt idx="11">
                  <c:v>277254.3027</c:v>
                </c:pt>
                <c:pt idx="12">
                  <c:v>298455.4557</c:v>
                </c:pt>
                <c:pt idx="13">
                  <c:v>276768.4557</c:v>
                </c:pt>
                <c:pt idx="14">
                  <c:v>296426.4557</c:v>
                </c:pt>
                <c:pt idx="15">
                  <c:v>316084.4557</c:v>
                </c:pt>
                <c:pt idx="16">
                  <c:v>335742.4557</c:v>
                </c:pt>
                <c:pt idx="17">
                  <c:v>274084.4557</c:v>
                </c:pt>
                <c:pt idx="18">
                  <c:v>255684.4557</c:v>
                </c:pt>
                <c:pt idx="19">
                  <c:v>305684.4557</c:v>
                </c:pt>
                <c:pt idx="20">
                  <c:v>305684.4557</c:v>
                </c:pt>
                <c:pt idx="21">
                  <c:v>305684.4557</c:v>
                </c:pt>
                <c:pt idx="22">
                  <c:v>305684.4557</c:v>
                </c:pt>
                <c:pt idx="23">
                  <c:v>305684.4557</c:v>
                </c:pt>
                <c:pt idx="24">
                  <c:v>305684.4557</c:v>
                </c:pt>
                <c:pt idx="25">
                  <c:v>305684.4557</c:v>
                </c:pt>
                <c:pt idx="26">
                  <c:v>305684.4557</c:v>
                </c:pt>
                <c:pt idx="27">
                  <c:v>305684.4557</c:v>
                </c:pt>
                <c:pt idx="28">
                  <c:v>305684.4557</c:v>
                </c:pt>
                <c:pt idx="29">
                  <c:v>305684.4557</c:v>
                </c:pt>
                <c:pt idx="30">
                  <c:v>305684.4557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72380364"/>
        <c:axId val="38339799"/>
      </c:lineChart>
      <c:catAx>
        <c:axId val="723803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8339799"/>
        <c:crossesAt val="0"/>
        <c:auto val="1"/>
        <c:lblAlgn val="ctr"/>
        <c:lblOffset val="100"/>
        <c:noMultiLvlLbl val="0"/>
      </c:catAx>
      <c:valAx>
        <c:axId val="38339799"/>
        <c:scaling>
          <c:orientation val="minMax"/>
          <c:min val="5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2380364"/>
        <c:crossesAt val="1"/>
        <c:crossBetween val="midCat"/>
        <c:majorUnit val="5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0.8571428571429"/>
          <c:y val="0.570109439124487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BURN</a:t>
            </a:r>
          </a:p>
        </c:rich>
      </c:tx>
      <c:layout>
        <c:manualLayout>
          <c:xMode val="edge"/>
          <c:yMode val="edge"/>
          <c:x val="39.2857142857143"/>
          <c:y val="0.0438068795310813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994909763998149"/>
          <c:w val="1"/>
          <c:h val="0.882924571957427"/>
        </c:manualLayout>
      </c:layout>
      <c:lineChart>
        <c:grouping val="standard"/>
        <c:varyColors val="0"/>
        <c:ser>
          <c:idx val="0"/>
          <c:order val="0"/>
          <c:tx>
            <c:strRef>
              <c:f>"Burn"</c:f>
              <c:strCache>
                <c:ptCount val="1"/>
                <c:pt idx="0">
                  <c:v>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[1]SENDOUT!$AE$2:$AE$32</c:f>
              <c:numCache>
                <c:formatCode>General</c:formatCode>
                <c:ptCount val="31"/>
                <c:pt idx="0">
                  <c:v>70212</c:v>
                </c:pt>
                <c:pt idx="1">
                  <c:v>10</c:v>
                </c:pt>
                <c:pt idx="2">
                  <c:v>10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  <c:pt idx="6">
                  <c:v>10</c:v>
                </c:pt>
                <c:pt idx="7">
                  <c:v>10</c:v>
                </c:pt>
                <c:pt idx="8">
                  <c:v>10</c:v>
                </c:pt>
                <c:pt idx="9">
                  <c:v>10</c:v>
                </c:pt>
                <c:pt idx="10">
                  <c:v>17041</c:v>
                </c:pt>
                <c:pt idx="11">
                  <c:v>10</c:v>
                </c:pt>
                <c:pt idx="12">
                  <c:v>10</c:v>
                </c:pt>
                <c:pt idx="13">
                  <c:v>10</c:v>
                </c:pt>
                <c:pt idx="14">
                  <c:v>498</c:v>
                </c:pt>
                <c:pt idx="15">
                  <c:v>10</c:v>
                </c:pt>
                <c:pt idx="16">
                  <c:v>10</c:v>
                </c:pt>
                <c:pt idx="17">
                  <c:v>10</c:v>
                </c:pt>
                <c:pt idx="18">
                  <c:v>10</c:v>
                </c:pt>
                <c:pt idx="19">
                  <c:v>10</c:v>
                </c:pt>
                <c:pt idx="20">
                  <c:v>10</c:v>
                </c:pt>
                <c:pt idx="21">
                  <c:v>10</c:v>
                </c:pt>
                <c:pt idx="22">
                  <c:v>10</c:v>
                </c:pt>
                <c:pt idx="23">
                  <c:v>10</c:v>
                </c:pt>
                <c:pt idx="24">
                  <c:v>10</c:v>
                </c:pt>
                <c:pt idx="25">
                  <c:v>10</c:v>
                </c:pt>
                <c:pt idx="26">
                  <c:v>10</c:v>
                </c:pt>
                <c:pt idx="27">
                  <c:v>10</c:v>
                </c:pt>
                <c:pt idx="28">
                  <c:v>10</c:v>
                </c:pt>
                <c:pt idx="29">
                  <c:v>10</c:v>
                </c:pt>
                <c:pt idx="30">
                  <c:v>10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7883329"/>
        <c:axId val="15207162"/>
      </c:lineChart>
      <c:catAx>
        <c:axId val="788332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5207162"/>
        <c:crossesAt val="0"/>
        <c:auto val="1"/>
        <c:lblAlgn val="ctr"/>
        <c:lblOffset val="100"/>
        <c:noMultiLvlLbl val="0"/>
      </c:catAx>
      <c:valAx>
        <c:axId val="15207162"/>
        <c:scaling>
          <c:orientation val="minMax"/>
          <c:max val="100000"/>
          <c:min val="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883329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80.2857142857143"/>
          <c:y val="0.397038408144378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OBA</a:t>
            </a:r>
          </a:p>
        </c:rich>
      </c:tx>
      <c:layout>
        <c:manualLayout>
          <c:xMode val="edge"/>
          <c:yMode val="edge"/>
          <c:x val="40.7142857142857"/>
          <c:y val="0.0438284032832585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859532290537401"/>
          <c:w val="1"/>
          <c:h val="0.91404677094626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[1]SENDOUT!$AF$2:$AF$32</c:f>
              <c:numCache>
                <c:formatCode>General</c:formatCode>
                <c:ptCount val="31"/>
                <c:pt idx="0">
                  <c:v>-66665</c:v>
                </c:pt>
                <c:pt idx="1">
                  <c:v>-51703</c:v>
                </c:pt>
                <c:pt idx="2">
                  <c:v>-26758</c:v>
                </c:pt>
                <c:pt idx="3">
                  <c:v>-6768</c:v>
                </c:pt>
                <c:pt idx="4">
                  <c:v>-6778</c:v>
                </c:pt>
                <c:pt idx="5">
                  <c:v>-6788</c:v>
                </c:pt>
                <c:pt idx="6">
                  <c:v>-6798</c:v>
                </c:pt>
                <c:pt idx="7">
                  <c:v>-6808</c:v>
                </c:pt>
                <c:pt idx="8">
                  <c:v>-4568</c:v>
                </c:pt>
                <c:pt idx="9">
                  <c:v>-2328</c:v>
                </c:pt>
                <c:pt idx="10">
                  <c:v>2881</c:v>
                </c:pt>
                <c:pt idx="11">
                  <c:v>2871</c:v>
                </c:pt>
                <c:pt idx="12">
                  <c:v>2861</c:v>
                </c:pt>
                <c:pt idx="13">
                  <c:v>2851</c:v>
                </c:pt>
                <c:pt idx="14">
                  <c:v>2353</c:v>
                </c:pt>
                <c:pt idx="15">
                  <c:v>2343</c:v>
                </c:pt>
                <c:pt idx="16">
                  <c:v>2333</c:v>
                </c:pt>
                <c:pt idx="17">
                  <c:v>2323</c:v>
                </c:pt>
                <c:pt idx="18">
                  <c:v>2313</c:v>
                </c:pt>
                <c:pt idx="19">
                  <c:v>2303</c:v>
                </c:pt>
                <c:pt idx="20">
                  <c:v>2293</c:v>
                </c:pt>
                <c:pt idx="21">
                  <c:v>2283</c:v>
                </c:pt>
                <c:pt idx="22">
                  <c:v>2273</c:v>
                </c:pt>
                <c:pt idx="23">
                  <c:v>2263</c:v>
                </c:pt>
                <c:pt idx="24">
                  <c:v>2253</c:v>
                </c:pt>
                <c:pt idx="25">
                  <c:v>2243</c:v>
                </c:pt>
                <c:pt idx="26">
                  <c:v>2233</c:v>
                </c:pt>
                <c:pt idx="27">
                  <c:v>2223</c:v>
                </c:pt>
                <c:pt idx="28">
                  <c:v>2213</c:v>
                </c:pt>
                <c:pt idx="29">
                  <c:v>2203</c:v>
                </c:pt>
                <c:pt idx="30">
                  <c:v>2193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42773684"/>
        <c:axId val="59925245"/>
      </c:lineChart>
      <c:catAx>
        <c:axId val="427736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9925245"/>
        <c:crossesAt val="-40000"/>
        <c:auto val="1"/>
        <c:lblAlgn val="ctr"/>
        <c:lblOffset val="100"/>
        <c:noMultiLvlLbl val="0"/>
      </c:catAx>
      <c:valAx>
        <c:axId val="59925245"/>
        <c:scaling>
          <c:orientation val="minMax"/>
          <c:max val="80000"/>
          <c:min val="-4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2773684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2.5714285714286"/>
          <c:y val="0.568994889267462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PGL &amp; NS SENDOUT</a:t>
            </a:r>
          </a:p>
        </c:rich>
      </c:tx>
      <c:layout>
        <c:manualLayout>
          <c:xMode val="edge"/>
          <c:yMode val="edge"/>
          <c:x val="40"/>
          <c:y val="0.0374830648803252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967936173415625"/>
          <c:w val="1"/>
          <c:h val="0.858798735511064"/>
        </c:manualLayout>
      </c:layout>
      <c:lineChart>
        <c:grouping val="standard"/>
        <c:varyColors val="0"/>
        <c:ser>
          <c:idx val="0"/>
          <c:order val="0"/>
          <c:tx>
            <c:strRef>
              <c:f>"Estimate"</c:f>
              <c:strCache>
                <c:ptCount val="1"/>
                <c:pt idx="0">
                  <c:v>Estimate</c:v>
                </c:pt>
              </c:strCache>
            </c:strRef>
          </c:tx>
          <c:spPr>
            <a:solidFill>
              <a:srgbClr val="ff00ff"/>
            </a:solidFill>
            <a:ln w="25200">
              <a:solidFill>
                <a:srgbClr val="ff00ff"/>
              </a:solidFill>
              <a:round/>
            </a:ln>
          </c:spPr>
          <c:marker>
            <c:symbol val="square"/>
            <c:size val="7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[1]SENDOUT!$AI$2:$AI$36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250000</c:v>
                </c:pt>
                <c:pt idx="18">
                  <c:v>252000</c:v>
                </c:pt>
                <c:pt idx="19">
                  <c:v>258000</c:v>
                </c:pt>
                <c:pt idx="20">
                  <c:v>305000</c:v>
                </c:pt>
                <c:pt idx="21">
                  <c:v>279000</c:v>
                </c:pt>
                <c:pt idx="22">
                  <c:v>250000</c:v>
                </c:pt>
                <c:pt idx="23">
                  <c:v>463000</c:v>
                </c:pt>
                <c:pt idx="24">
                  <c:v>476000</c:v>
                </c:pt>
                <c:pt idx="25">
                  <c:v>376000</c:v>
                </c:pt>
                <c:pt idx="26">
                  <c:v>388000</c:v>
                </c:pt>
                <c:pt idx="27">
                  <c:v>372000</c:v>
                </c:pt>
                <c:pt idx="28">
                  <c:v>292000</c:v>
                </c:pt>
                <c:pt idx="29">
                  <c:v>233000</c:v>
                </c:pt>
                <c:pt idx="30">
                  <c:v>258000</c:v>
                </c:pt>
                <c:pt idx="31">
                  <c:v>282000</c:v>
                </c:pt>
                <c:pt idx="32">
                  <c:v>266000</c:v>
                </c:pt>
                <c:pt idx="33">
                  <c:v>352000</c:v>
                </c:pt>
                <c:pt idx="34">
                  <c:v>517000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[1]SENDOUT!$AJ$2:$AJ$36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251462</c:v>
                </c:pt>
                <c:pt idx="18">
                  <c:v>238627</c:v>
                </c:pt>
                <c:pt idx="19">
                  <c:v>293010</c:v>
                </c:pt>
                <c:pt idx="20">
                  <c:v>297613</c:v>
                </c:pt>
                <c:pt idx="21">
                  <c:v>279524</c:v>
                </c:pt>
                <c:pt idx="22">
                  <c:v>259718</c:v>
                </c:pt>
                <c:pt idx="23">
                  <c:v>361520</c:v>
                </c:pt>
                <c:pt idx="24">
                  <c:v>474825</c:v>
                </c:pt>
                <c:pt idx="25">
                  <c:v>364951</c:v>
                </c:pt>
                <c:pt idx="26">
                  <c:v>365702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65267980"/>
        <c:axId val="39509433"/>
      </c:lineChart>
      <c:catAx>
        <c:axId val="65267980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9509433"/>
        <c:crossesAt val="0"/>
        <c:auto val="1"/>
        <c:lblAlgn val="ctr"/>
        <c:lblOffset val="100"/>
        <c:noMultiLvlLbl val="0"/>
      </c:catAx>
      <c:valAx>
        <c:axId val="39509433"/>
        <c:scaling>
          <c:orientation val="minMax"/>
          <c:min val="2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5267980"/>
        <c:crossesAt val="1"/>
        <c:crossBetween val="midCat"/>
        <c:majorUnit val="50000"/>
        <c:minorUnit val="50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42.5714285714286"/>
          <c:y val="0.882583170254403"/>
          <c:w val="332.571428571429"/>
          <c:h val="0.180490742134578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50" strike="noStrike" u="none">
                <a:solidFill>
                  <a:srgbClr val="000000"/>
                </a:solidFill>
                <a:uFillTx/>
                <a:latin typeface="Arial"/>
              </a:rPr>
              <a:t>ELWOOD BURN</a:t>
            </a:r>
          </a:p>
        </c:rich>
      </c:tx>
      <c:layout>
        <c:manualLayout>
          <c:xMode val="edge"/>
          <c:yMode val="edge"/>
          <c:x val="41.4285714285714"/>
          <c:y val="0.0374850657108722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625746714456392"/>
          <c:w val="1"/>
          <c:h val="0.931600955794504"/>
        </c:manualLayout>
      </c:layout>
      <c:lineChart>
        <c:grouping val="standard"/>
        <c:varyColors val="0"/>
        <c:ser>
          <c:idx val="0"/>
          <c:order val="0"/>
          <c:tx>
            <c:strRef>
              <c:f>"TOTAL BURN"</c:f>
              <c:strCache>
                <c:ptCount val="1"/>
                <c:pt idx="0">
                  <c:v>TOTAL 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[1]SENDOUT!$AC$2:$AC$32</c:f>
              <c:numCache>
                <c:formatCode>General</c:formatCode>
                <c:ptCount val="31"/>
                <c:pt idx="0">
                  <c:v>66453</c:v>
                </c:pt>
                <c:pt idx="1">
                  <c:v>21735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60449</c:v>
                </c:pt>
                <c:pt idx="7">
                  <c:v>59968</c:v>
                </c:pt>
                <c:pt idx="8">
                  <c:v>26249</c:v>
                </c:pt>
                <c:pt idx="9">
                  <c:v>3220</c:v>
                </c:pt>
                <c:pt idx="10">
                  <c:v>33982</c:v>
                </c:pt>
                <c:pt idx="11">
                  <c:v>24286</c:v>
                </c:pt>
                <c:pt idx="12">
                  <c:v>28430</c:v>
                </c:pt>
                <c:pt idx="13">
                  <c:v>21687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81658</c:v>
                </c:pt>
                <c:pt idx="18">
                  <c:v>38400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64955819"/>
        <c:axId val="75554161"/>
      </c:lineChart>
      <c:catAx>
        <c:axId val="6495581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5554161"/>
        <c:crossesAt val="0"/>
        <c:auto val="1"/>
        <c:lblAlgn val="ctr"/>
        <c:lblOffset val="100"/>
        <c:noMultiLvlLbl val="0"/>
      </c:catAx>
      <c:valAx>
        <c:axId val="75554161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4955819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32.2857142857143"/>
          <c:y val="0.0525686977299881"/>
          <c:w val="383"/>
          <c:h val="0.221326164874552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175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RIDER GAS - PGLC &amp; NS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45584415584416"/>
          <c:w val="1"/>
          <c:h val="0.841558441558442"/>
        </c:manualLayout>
      </c:layout>
      <c:lineChart>
        <c:grouping val="standard"/>
        <c:varyColors val="0"/>
        <c:ser>
          <c:idx val="0"/>
          <c:order val="0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[1]SENDOUT!$AL$2:$AL$36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[1]SENDOUT!$AM$2:$AM$36</c:f>
              <c:numCache>
                <c:formatCode>General</c:formatCode>
                <c:ptCount val="35"/>
                <c:pt idx="0">
                  <c:v>145517</c:v>
                </c:pt>
                <c:pt idx="1">
                  <c:v>175311</c:v>
                </c:pt>
                <c:pt idx="2">
                  <c:v>169521</c:v>
                </c:pt>
                <c:pt idx="3">
                  <c:v>175636</c:v>
                </c:pt>
                <c:pt idx="4">
                  <c:v>174951</c:v>
                </c:pt>
                <c:pt idx="5">
                  <c:v>151882</c:v>
                </c:pt>
                <c:pt idx="6">
                  <c:v>149644</c:v>
                </c:pt>
                <c:pt idx="7">
                  <c:v>141843</c:v>
                </c:pt>
                <c:pt idx="8">
                  <c:v>152372</c:v>
                </c:pt>
                <c:pt idx="9">
                  <c:v>152322</c:v>
                </c:pt>
                <c:pt idx="10">
                  <c:v>151972</c:v>
                </c:pt>
                <c:pt idx="11">
                  <c:v>154619</c:v>
                </c:pt>
                <c:pt idx="12">
                  <c:v>138783</c:v>
                </c:pt>
                <c:pt idx="13">
                  <c:v>151157</c:v>
                </c:pt>
                <c:pt idx="14">
                  <c:v>150550</c:v>
                </c:pt>
                <c:pt idx="15">
                  <c:v>147765</c:v>
                </c:pt>
                <c:pt idx="16">
                  <c:v>147792</c:v>
                </c:pt>
                <c:pt idx="17">
                  <c:v>147092</c:v>
                </c:pt>
                <c:pt idx="18">
                  <c:v>172170</c:v>
                </c:pt>
                <c:pt idx="19">
                  <c:v>150209</c:v>
                </c:pt>
                <c:pt idx="20">
                  <c:v>157505</c:v>
                </c:pt>
                <c:pt idx="21">
                  <c:v>160398</c:v>
                </c:pt>
                <c:pt idx="22">
                  <c:v>149216</c:v>
                </c:pt>
                <c:pt idx="23">
                  <c:v>149106</c:v>
                </c:pt>
                <c:pt idx="24">
                  <c:v>148256</c:v>
                </c:pt>
                <c:pt idx="25">
                  <c:v>154560</c:v>
                </c:pt>
                <c:pt idx="26">
                  <c:v>148298</c:v>
                </c:pt>
                <c:pt idx="27">
                  <c:v>152983</c:v>
                </c:pt>
                <c:pt idx="28">
                  <c:v>180458</c:v>
                </c:pt>
                <c:pt idx="29">
                  <c:v>180458</c:v>
                </c:pt>
                <c:pt idx="30">
                  <c:v>218710</c:v>
                </c:pt>
                <c:pt idx="31">
                  <c:v>218240</c:v>
                </c:pt>
                <c:pt idx="32">
                  <c:v>218240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7941402"/>
        <c:axId val="84069981"/>
      </c:lineChart>
      <c:catAx>
        <c:axId val="7941402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4069981"/>
        <c:crossesAt val="0"/>
        <c:auto val="1"/>
        <c:lblAlgn val="ctr"/>
        <c:lblOffset val="100"/>
        <c:noMultiLvlLbl val="0"/>
      </c:catAx>
      <c:valAx>
        <c:axId val="84069981"/>
        <c:scaling>
          <c:orientation val="minMax"/>
          <c:min val="1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941402"/>
        <c:crossesAt val="1"/>
        <c:crossBetween val="midCat"/>
        <c:majorUnit val="25000"/>
        <c:minorUnit val="25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59"/>
          <c:y val="0.27610389610389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ELWOOD BANK BALANCE</a:t>
            </a:r>
          </a:p>
        </c:rich>
      </c:tx>
      <c:layout>
        <c:manualLayout>
          <c:xMode val="edge"/>
          <c:yMode val="edge"/>
          <c:x val="42.1428571428571"/>
          <c:y val="0.0516681428993209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27251254797756"/>
          <c:w val="1"/>
          <c:h val="0.864186595807499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[1]SENDOUT!$AD$2:$AD$32</c:f>
              <c:numCache>
                <c:formatCode>General</c:formatCode>
                <c:ptCount val="31"/>
                <c:pt idx="0">
                  <c:v>190431</c:v>
                </c:pt>
                <c:pt idx="1">
                  <c:v>188696</c:v>
                </c:pt>
                <c:pt idx="2">
                  <c:v>208354</c:v>
                </c:pt>
                <c:pt idx="3">
                  <c:v>228012</c:v>
                </c:pt>
                <c:pt idx="4">
                  <c:v>247670</c:v>
                </c:pt>
                <c:pt idx="5">
                  <c:v>267328</c:v>
                </c:pt>
                <c:pt idx="6">
                  <c:v>226879</c:v>
                </c:pt>
                <c:pt idx="7">
                  <c:v>166911</c:v>
                </c:pt>
                <c:pt idx="8">
                  <c:v>190255.8579</c:v>
                </c:pt>
                <c:pt idx="9">
                  <c:v>236235.9199</c:v>
                </c:pt>
                <c:pt idx="10">
                  <c:v>251980.0121</c:v>
                </c:pt>
                <c:pt idx="11">
                  <c:v>277254.3027</c:v>
                </c:pt>
                <c:pt idx="12">
                  <c:v>298455.4557</c:v>
                </c:pt>
                <c:pt idx="13">
                  <c:v>276768.4557</c:v>
                </c:pt>
                <c:pt idx="14">
                  <c:v>296426.4557</c:v>
                </c:pt>
                <c:pt idx="15">
                  <c:v>316084.4557</c:v>
                </c:pt>
                <c:pt idx="16">
                  <c:v>335742.4557</c:v>
                </c:pt>
                <c:pt idx="17">
                  <c:v>274084.4557</c:v>
                </c:pt>
                <c:pt idx="18">
                  <c:v>255684.4557</c:v>
                </c:pt>
                <c:pt idx="19">
                  <c:v>305684.4557</c:v>
                </c:pt>
                <c:pt idx="20">
                  <c:v>305684.4557</c:v>
                </c:pt>
                <c:pt idx="21">
                  <c:v>305684.4557</c:v>
                </c:pt>
                <c:pt idx="22">
                  <c:v>305684.4557</c:v>
                </c:pt>
                <c:pt idx="23">
                  <c:v>305684.4557</c:v>
                </c:pt>
                <c:pt idx="24">
                  <c:v>305684.4557</c:v>
                </c:pt>
                <c:pt idx="25">
                  <c:v>305684.4557</c:v>
                </c:pt>
                <c:pt idx="26">
                  <c:v>305684.4557</c:v>
                </c:pt>
                <c:pt idx="27">
                  <c:v>305684.4557</c:v>
                </c:pt>
                <c:pt idx="28">
                  <c:v>305684.4557</c:v>
                </c:pt>
                <c:pt idx="29">
                  <c:v>305684.4557</c:v>
                </c:pt>
                <c:pt idx="30">
                  <c:v>305684.4557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76821395"/>
        <c:axId val="49837298"/>
      </c:lineChart>
      <c:catAx>
        <c:axId val="7682139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9837298"/>
        <c:crossesAt val="0"/>
        <c:auto val="1"/>
        <c:lblAlgn val="ctr"/>
        <c:lblOffset val="100"/>
        <c:noMultiLvlLbl val="0"/>
      </c:catAx>
      <c:valAx>
        <c:axId val="49837298"/>
        <c:scaling>
          <c:orientation val="minMax"/>
          <c:min val="5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6821395"/>
        <c:crossesAt val="1"/>
        <c:crossBetween val="midCat"/>
        <c:majorUnit val="5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0.8571428571429"/>
          <c:y val="0.594774136403897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BURN</a:t>
            </a:r>
          </a:p>
        </c:rich>
      </c:tx>
      <c:layout>
        <c:manualLayout>
          <c:xMode val="edge"/>
          <c:yMode val="edge"/>
          <c:x val="39.2857142857143"/>
          <c:y val="0.0438068795310813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994909763998149"/>
          <c:w val="1"/>
          <c:h val="0.882924571957427"/>
        </c:manualLayout>
      </c:layout>
      <c:lineChart>
        <c:grouping val="standard"/>
        <c:varyColors val="0"/>
        <c:ser>
          <c:idx val="0"/>
          <c:order val="0"/>
          <c:tx>
            <c:strRef>
              <c:f>"Burn"</c:f>
              <c:strCache>
                <c:ptCount val="1"/>
                <c:pt idx="0">
                  <c:v>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[1]SENDOUT!$AE$2:$AE$32</c:f>
              <c:numCache>
                <c:formatCode>General</c:formatCode>
                <c:ptCount val="31"/>
                <c:pt idx="0">
                  <c:v>70212</c:v>
                </c:pt>
                <c:pt idx="1">
                  <c:v>10</c:v>
                </c:pt>
                <c:pt idx="2">
                  <c:v>10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  <c:pt idx="6">
                  <c:v>10</c:v>
                </c:pt>
                <c:pt idx="7">
                  <c:v>10</c:v>
                </c:pt>
                <c:pt idx="8">
                  <c:v>10</c:v>
                </c:pt>
                <c:pt idx="9">
                  <c:v>10</c:v>
                </c:pt>
                <c:pt idx="10">
                  <c:v>17041</c:v>
                </c:pt>
                <c:pt idx="11">
                  <c:v>10</c:v>
                </c:pt>
                <c:pt idx="12">
                  <c:v>10</c:v>
                </c:pt>
                <c:pt idx="13">
                  <c:v>10</c:v>
                </c:pt>
                <c:pt idx="14">
                  <c:v>498</c:v>
                </c:pt>
                <c:pt idx="15">
                  <c:v>10</c:v>
                </c:pt>
                <c:pt idx="16">
                  <c:v>10</c:v>
                </c:pt>
                <c:pt idx="17">
                  <c:v>10</c:v>
                </c:pt>
                <c:pt idx="18">
                  <c:v>10</c:v>
                </c:pt>
                <c:pt idx="19">
                  <c:v>10</c:v>
                </c:pt>
                <c:pt idx="20">
                  <c:v>10</c:v>
                </c:pt>
                <c:pt idx="21">
                  <c:v>10</c:v>
                </c:pt>
                <c:pt idx="22">
                  <c:v>10</c:v>
                </c:pt>
                <c:pt idx="23">
                  <c:v>10</c:v>
                </c:pt>
                <c:pt idx="24">
                  <c:v>10</c:v>
                </c:pt>
                <c:pt idx="25">
                  <c:v>10</c:v>
                </c:pt>
                <c:pt idx="26">
                  <c:v>10</c:v>
                </c:pt>
                <c:pt idx="27">
                  <c:v>10</c:v>
                </c:pt>
                <c:pt idx="28">
                  <c:v>10</c:v>
                </c:pt>
                <c:pt idx="29">
                  <c:v>10</c:v>
                </c:pt>
                <c:pt idx="30">
                  <c:v>10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18286511"/>
        <c:axId val="62234816"/>
      </c:lineChart>
      <c:catAx>
        <c:axId val="1828651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2234816"/>
        <c:crossesAt val="0"/>
        <c:auto val="1"/>
        <c:lblAlgn val="ctr"/>
        <c:lblOffset val="100"/>
        <c:noMultiLvlLbl val="0"/>
      </c:catAx>
      <c:valAx>
        <c:axId val="62234816"/>
        <c:scaling>
          <c:orientation val="minMax"/>
          <c:max val="100000"/>
          <c:min val="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8286511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96.8571428571429"/>
          <c:y val="0.397038408144378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RIDER GAS - PGLC &amp; NS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21818181818182"/>
          <c:w val="1"/>
          <c:h val="0.871688311688312"/>
        </c:manualLayout>
      </c:layout>
      <c:lineChart>
        <c:grouping val="standard"/>
        <c:varyColors val="0"/>
        <c:ser>
          <c:idx val="0"/>
          <c:order val="0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[1]SENDOUT!$AL$2:$AL$36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[1]SENDOUT!$AM$2:$AM$36</c:f>
              <c:numCache>
                <c:formatCode>General</c:formatCode>
                <c:ptCount val="35"/>
                <c:pt idx="0">
                  <c:v>145517</c:v>
                </c:pt>
                <c:pt idx="1">
                  <c:v>175311</c:v>
                </c:pt>
                <c:pt idx="2">
                  <c:v>169521</c:v>
                </c:pt>
                <c:pt idx="3">
                  <c:v>175636</c:v>
                </c:pt>
                <c:pt idx="4">
                  <c:v>174951</c:v>
                </c:pt>
                <c:pt idx="5">
                  <c:v>151882</c:v>
                </c:pt>
                <c:pt idx="6">
                  <c:v>149644</c:v>
                </c:pt>
                <c:pt idx="7">
                  <c:v>141843</c:v>
                </c:pt>
                <c:pt idx="8">
                  <c:v>152372</c:v>
                </c:pt>
                <c:pt idx="9">
                  <c:v>152322</c:v>
                </c:pt>
                <c:pt idx="10">
                  <c:v>151972</c:v>
                </c:pt>
                <c:pt idx="11">
                  <c:v>154619</c:v>
                </c:pt>
                <c:pt idx="12">
                  <c:v>138783</c:v>
                </c:pt>
                <c:pt idx="13">
                  <c:v>151157</c:v>
                </c:pt>
                <c:pt idx="14">
                  <c:v>150550</c:v>
                </c:pt>
                <c:pt idx="15">
                  <c:v>147765</c:v>
                </c:pt>
                <c:pt idx="16">
                  <c:v>147792</c:v>
                </c:pt>
                <c:pt idx="17">
                  <c:v>147092</c:v>
                </c:pt>
                <c:pt idx="18">
                  <c:v>172170</c:v>
                </c:pt>
                <c:pt idx="19">
                  <c:v>150209</c:v>
                </c:pt>
                <c:pt idx="20">
                  <c:v>157505</c:v>
                </c:pt>
                <c:pt idx="21">
                  <c:v>160398</c:v>
                </c:pt>
                <c:pt idx="22">
                  <c:v>149216</c:v>
                </c:pt>
                <c:pt idx="23">
                  <c:v>149106</c:v>
                </c:pt>
                <c:pt idx="24">
                  <c:v>148256</c:v>
                </c:pt>
                <c:pt idx="25">
                  <c:v>154560</c:v>
                </c:pt>
                <c:pt idx="26">
                  <c:v>148298</c:v>
                </c:pt>
                <c:pt idx="27">
                  <c:v>152983</c:v>
                </c:pt>
                <c:pt idx="28">
                  <c:v>180458</c:v>
                </c:pt>
                <c:pt idx="29">
                  <c:v>180458</c:v>
                </c:pt>
                <c:pt idx="30">
                  <c:v>218710</c:v>
                </c:pt>
                <c:pt idx="31">
                  <c:v>218240</c:v>
                </c:pt>
                <c:pt idx="32">
                  <c:v>218240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77086823"/>
        <c:axId val="33252796"/>
      </c:lineChart>
      <c:catAx>
        <c:axId val="77086823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3252796"/>
        <c:crossesAt val="0"/>
        <c:auto val="1"/>
        <c:lblAlgn val="ctr"/>
        <c:lblOffset val="100"/>
        <c:noMultiLvlLbl val="0"/>
      </c:catAx>
      <c:valAx>
        <c:axId val="33252796"/>
        <c:scaling>
          <c:orientation val="minMax"/>
          <c:min val="1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7086823"/>
        <c:crossesAt val="1"/>
        <c:crossBetween val="midCat"/>
        <c:majorUnit val="25000"/>
        <c:minorUnit val="25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61.7142857142857"/>
          <c:y val="0.271168831168831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OBA</a:t>
            </a:r>
          </a:p>
        </c:rich>
      </c:tx>
      <c:layout>
        <c:manualLayout>
          <c:xMode val="edge"/>
          <c:yMode val="edge"/>
          <c:x val="40.7142857142857"/>
          <c:y val="0.0438351920693928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845724907063197"/>
          <c:w val="1"/>
          <c:h val="0.91542750929368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[1]SENDOUT!$AF$2:$AF$32</c:f>
              <c:numCache>
                <c:formatCode>General</c:formatCode>
                <c:ptCount val="31"/>
                <c:pt idx="0">
                  <c:v>-66665</c:v>
                </c:pt>
                <c:pt idx="1">
                  <c:v>-51703</c:v>
                </c:pt>
                <c:pt idx="2">
                  <c:v>-26758</c:v>
                </c:pt>
                <c:pt idx="3">
                  <c:v>-6768</c:v>
                </c:pt>
                <c:pt idx="4">
                  <c:v>-6778</c:v>
                </c:pt>
                <c:pt idx="5">
                  <c:v>-6788</c:v>
                </c:pt>
                <c:pt idx="6">
                  <c:v>-6798</c:v>
                </c:pt>
                <c:pt idx="7">
                  <c:v>-6808</c:v>
                </c:pt>
                <c:pt idx="8">
                  <c:v>-4568</c:v>
                </c:pt>
                <c:pt idx="9">
                  <c:v>-2328</c:v>
                </c:pt>
                <c:pt idx="10">
                  <c:v>2881</c:v>
                </c:pt>
                <c:pt idx="11">
                  <c:v>2871</c:v>
                </c:pt>
                <c:pt idx="12">
                  <c:v>2861</c:v>
                </c:pt>
                <c:pt idx="13">
                  <c:v>2851</c:v>
                </c:pt>
                <c:pt idx="14">
                  <c:v>2353</c:v>
                </c:pt>
                <c:pt idx="15">
                  <c:v>2343</c:v>
                </c:pt>
                <c:pt idx="16">
                  <c:v>2333</c:v>
                </c:pt>
                <c:pt idx="17">
                  <c:v>2323</c:v>
                </c:pt>
                <c:pt idx="18">
                  <c:v>2313</c:v>
                </c:pt>
                <c:pt idx="19">
                  <c:v>2303</c:v>
                </c:pt>
                <c:pt idx="20">
                  <c:v>2293</c:v>
                </c:pt>
                <c:pt idx="21">
                  <c:v>2283</c:v>
                </c:pt>
                <c:pt idx="22">
                  <c:v>2273</c:v>
                </c:pt>
                <c:pt idx="23">
                  <c:v>2263</c:v>
                </c:pt>
                <c:pt idx="24">
                  <c:v>2253</c:v>
                </c:pt>
                <c:pt idx="25">
                  <c:v>2243</c:v>
                </c:pt>
                <c:pt idx="26">
                  <c:v>2233</c:v>
                </c:pt>
                <c:pt idx="27">
                  <c:v>2223</c:v>
                </c:pt>
                <c:pt idx="28">
                  <c:v>2213</c:v>
                </c:pt>
                <c:pt idx="29">
                  <c:v>2203</c:v>
                </c:pt>
                <c:pt idx="30">
                  <c:v>2193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75521724"/>
        <c:axId val="78080031"/>
      </c:lineChart>
      <c:catAx>
        <c:axId val="7552172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8080031"/>
        <c:crossesAt val="-40000"/>
        <c:auto val="1"/>
        <c:lblAlgn val="ctr"/>
        <c:lblOffset val="100"/>
        <c:noMultiLvlLbl val="0"/>
      </c:catAx>
      <c:valAx>
        <c:axId val="78080031"/>
        <c:scaling>
          <c:orientation val="minMax"/>
          <c:max val="80000"/>
          <c:min val="-4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5521724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2.5714285714286"/>
          <c:y val="0.567843866171004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PGL &amp; NS SENDOUT</a:t>
            </a:r>
          </a:p>
        </c:rich>
      </c:tx>
      <c:layout>
        <c:manualLayout>
          <c:xMode val="edge"/>
          <c:yMode val="edge"/>
          <c:x val="0.453299444154117"/>
          <c:y val="0.0299007295778017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0667490142049504"/>
          <c:y val="0.0515488577921301"/>
          <c:w val="0.980236590811915"/>
          <c:h val="0.904556871187657"/>
        </c:manualLayout>
      </c:layout>
      <c:lineChart>
        <c:grouping val="standard"/>
        <c:varyColors val="0"/>
        <c:ser>
          <c:idx val="0"/>
          <c:order val="0"/>
          <c:tx>
            <c:strRef>
              <c:f>"Estimate"</c:f>
              <c:strCache>
                <c:ptCount val="1"/>
                <c:pt idx="0">
                  <c:v>Estimate</c:v>
                </c:pt>
              </c:strCache>
            </c:strRef>
          </c:tx>
          <c:spPr>
            <a:solidFill>
              <a:srgbClr val="ff00ff"/>
            </a:solidFill>
            <a:ln w="25200">
              <a:solidFill>
                <a:srgbClr val="ff00ff"/>
              </a:solidFill>
              <a:round/>
            </a:ln>
          </c:spPr>
          <c:marker>
            <c:symbol val="square"/>
            <c:size val="7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DAILY!$AK$2:$AK$32</c:f>
              <c:strCache>
                <c:ptCount val="31"/>
                <c:pt idx="0">
                  <c:v>11/1/2000</c:v>
                </c:pt>
                <c:pt idx="1">
                  <c:v>11/2/2000</c:v>
                </c:pt>
                <c:pt idx="2">
                  <c:v>11/3/2000</c:v>
                </c:pt>
                <c:pt idx="3">
                  <c:v>11/4/2000</c:v>
                </c:pt>
                <c:pt idx="4">
                  <c:v>11/5/2000</c:v>
                </c:pt>
                <c:pt idx="5">
                  <c:v>11/6/2000</c:v>
                </c:pt>
                <c:pt idx="6">
                  <c:v>11/7/2000</c:v>
                </c:pt>
                <c:pt idx="7">
                  <c:v>11/8/2000</c:v>
                </c:pt>
                <c:pt idx="8">
                  <c:v>11/9/2000</c:v>
                </c:pt>
                <c:pt idx="9">
                  <c:v>11/10/2000</c:v>
                </c:pt>
                <c:pt idx="10">
                  <c:v>11/11/2000</c:v>
                </c:pt>
                <c:pt idx="11">
                  <c:v>11/12/2000</c:v>
                </c:pt>
                <c:pt idx="12">
                  <c:v>11/13/2000</c:v>
                </c:pt>
                <c:pt idx="13">
                  <c:v>11/14/2000</c:v>
                </c:pt>
                <c:pt idx="14">
                  <c:v>11/15/2000</c:v>
                </c:pt>
                <c:pt idx="15">
                  <c:v>11/16/2000</c:v>
                </c:pt>
                <c:pt idx="16">
                  <c:v>11/17/2000</c:v>
                </c:pt>
                <c:pt idx="17">
                  <c:v>11/18/2000</c:v>
                </c:pt>
                <c:pt idx="18">
                  <c:v>11/19/2000</c:v>
                </c:pt>
                <c:pt idx="19">
                  <c:v>11/20/2000</c:v>
                </c:pt>
                <c:pt idx="20">
                  <c:v>11/21/2000</c:v>
                </c:pt>
                <c:pt idx="21">
                  <c:v>11/22/2000</c:v>
                </c:pt>
                <c:pt idx="22">
                  <c:v>11/23/2000</c:v>
                </c:pt>
                <c:pt idx="23">
                  <c:v>11/24/2000</c:v>
                </c:pt>
                <c:pt idx="24">
                  <c:v>11/25/2000</c:v>
                </c:pt>
                <c:pt idx="25">
                  <c:v>11/26/2000</c:v>
                </c:pt>
                <c:pt idx="26">
                  <c:v>11/27/2000</c:v>
                </c:pt>
                <c:pt idx="27">
                  <c:v>11/28/2000</c:v>
                </c:pt>
                <c:pt idx="28">
                  <c:v>11/29/2000</c:v>
                </c:pt>
                <c:pt idx="29">
                  <c:v>11/30/2000</c:v>
                </c:pt>
                <c:pt idx="30">
                  <c:v/>
                </c:pt>
              </c:strCache>
            </c:strRef>
          </c:cat>
          <c:val>
            <c:numRef>
              <c:f>DAILY!$AL$2:$AL$32</c:f>
              <c:numCache>
                <c:formatCode>_(* #,##0_);_(* \(#,##0\);_(* \-??_);_(@_)</c:formatCode>
                <c:ptCount val="31"/>
                <c:pt idx="0">
                  <c:v>334000</c:v>
                </c:pt>
                <c:pt idx="1">
                  <c:v>383000</c:v>
                </c:pt>
                <c:pt idx="2">
                  <c:v>561000</c:v>
                </c:pt>
                <c:pt idx="3">
                  <c:v>558000</c:v>
                </c:pt>
                <c:pt idx="4">
                  <c:v>556000</c:v>
                </c:pt>
                <c:pt idx="5">
                  <c:v>514000</c:v>
                </c:pt>
                <c:pt idx="6">
                  <c:v>617000</c:v>
                </c:pt>
                <c:pt idx="7">
                  <c:v>771000</c:v>
                </c:pt>
                <c:pt idx="8">
                  <c:v>844000</c:v>
                </c:pt>
                <c:pt idx="9">
                  <c:v>940000</c:v>
                </c:pt>
                <c:pt idx="10">
                  <c:v>795000</c:v>
                </c:pt>
                <c:pt idx="11">
                  <c:v>910000</c:v>
                </c:pt>
                <c:pt idx="12">
                  <c:v>1055000</c:v>
                </c:pt>
                <c:pt idx="13">
                  <c:v>1000000</c:v>
                </c:pt>
                <c:pt idx="14">
                  <c:v>957000</c:v>
                </c:pt>
                <c:pt idx="15">
                  <c:v>1275000</c:v>
                </c:pt>
                <c:pt idx="16">
                  <c:v>1250000</c:v>
                </c:pt>
                <c:pt idx="17">
                  <c:v>1145000</c:v>
                </c:pt>
                <c:pt idx="18">
                  <c:v>1170000</c:v>
                </c:pt>
                <c:pt idx="19">
                  <c:v>1510000</c:v>
                </c:pt>
                <c:pt idx="20">
                  <c:v>1505000</c:v>
                </c:pt>
                <c:pt idx="21">
                  <c:v>1443000</c:v>
                </c:pt>
                <c:pt idx="22">
                  <c:v>1134000</c:v>
                </c:pt>
                <c:pt idx="23">
                  <c:v>1045000</c:v>
                </c:pt>
                <c:pt idx="24">
                  <c:v>1010000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DAILY!$AK$2:$AK$32</c:f>
              <c:strCache>
                <c:ptCount val="31"/>
                <c:pt idx="0">
                  <c:v>11/1/2000</c:v>
                </c:pt>
                <c:pt idx="1">
                  <c:v>11/2/2000</c:v>
                </c:pt>
                <c:pt idx="2">
                  <c:v>11/3/2000</c:v>
                </c:pt>
                <c:pt idx="3">
                  <c:v>11/4/2000</c:v>
                </c:pt>
                <c:pt idx="4">
                  <c:v>11/5/2000</c:v>
                </c:pt>
                <c:pt idx="5">
                  <c:v>11/6/2000</c:v>
                </c:pt>
                <c:pt idx="6">
                  <c:v>11/7/2000</c:v>
                </c:pt>
                <c:pt idx="7">
                  <c:v>11/8/2000</c:v>
                </c:pt>
                <c:pt idx="8">
                  <c:v>11/9/2000</c:v>
                </c:pt>
                <c:pt idx="9">
                  <c:v>11/10/2000</c:v>
                </c:pt>
                <c:pt idx="10">
                  <c:v>11/11/2000</c:v>
                </c:pt>
                <c:pt idx="11">
                  <c:v>11/12/2000</c:v>
                </c:pt>
                <c:pt idx="12">
                  <c:v>11/13/2000</c:v>
                </c:pt>
                <c:pt idx="13">
                  <c:v>11/14/2000</c:v>
                </c:pt>
                <c:pt idx="14">
                  <c:v>11/15/2000</c:v>
                </c:pt>
                <c:pt idx="15">
                  <c:v>11/16/2000</c:v>
                </c:pt>
                <c:pt idx="16">
                  <c:v>11/17/2000</c:v>
                </c:pt>
                <c:pt idx="17">
                  <c:v>11/18/2000</c:v>
                </c:pt>
                <c:pt idx="18">
                  <c:v>11/19/2000</c:v>
                </c:pt>
                <c:pt idx="19">
                  <c:v>11/20/2000</c:v>
                </c:pt>
                <c:pt idx="20">
                  <c:v>11/21/2000</c:v>
                </c:pt>
                <c:pt idx="21">
                  <c:v>11/22/2000</c:v>
                </c:pt>
                <c:pt idx="22">
                  <c:v>11/23/2000</c:v>
                </c:pt>
                <c:pt idx="23">
                  <c:v>11/24/2000</c:v>
                </c:pt>
                <c:pt idx="24">
                  <c:v>11/25/2000</c:v>
                </c:pt>
                <c:pt idx="25">
                  <c:v>11/26/2000</c:v>
                </c:pt>
                <c:pt idx="26">
                  <c:v>11/27/2000</c:v>
                </c:pt>
                <c:pt idx="27">
                  <c:v>11/28/2000</c:v>
                </c:pt>
                <c:pt idx="28">
                  <c:v>11/29/2000</c:v>
                </c:pt>
                <c:pt idx="29">
                  <c:v>11/30/2000</c:v>
                </c:pt>
                <c:pt idx="30">
                  <c:v/>
                </c:pt>
              </c:strCache>
            </c:strRef>
          </c:cat>
          <c:val>
            <c:numRef>
              <c:f>DAILY!$AM$2:$AM$32</c:f>
              <c:numCache>
                <c:formatCode>_(* #,##0_);_(* \(#,##0\);_(* \-??_);_(@_)</c:formatCode>
                <c:ptCount val="31"/>
                <c:pt idx="0">
                  <c:v>327038</c:v>
                </c:pt>
                <c:pt idx="1">
                  <c:v>411838</c:v>
                </c:pt>
                <c:pt idx="2">
                  <c:v>534470</c:v>
                </c:pt>
                <c:pt idx="3">
                  <c:v>574849</c:v>
                </c:pt>
                <c:pt idx="4">
                  <c:v>535641</c:v>
                </c:pt>
                <c:pt idx="5">
                  <c:v>644268</c:v>
                </c:pt>
                <c:pt idx="6">
                  <c:v>709307</c:v>
                </c:pt>
                <c:pt idx="7">
                  <c:v>730685</c:v>
                </c:pt>
                <c:pt idx="8">
                  <c:v>954137</c:v>
                </c:pt>
                <c:pt idx="9">
                  <c:v>922300</c:v>
                </c:pt>
                <c:pt idx="10">
                  <c:v>765312</c:v>
                </c:pt>
                <c:pt idx="11">
                  <c:v>749654</c:v>
                </c:pt>
                <c:pt idx="12">
                  <c:v>1107168</c:v>
                </c:pt>
                <c:pt idx="13">
                  <c:v>1208897</c:v>
                </c:pt>
                <c:pt idx="14">
                  <c:v>1066667</c:v>
                </c:pt>
                <c:pt idx="15">
                  <c:v>1174676</c:v>
                </c:pt>
                <c:pt idx="16">
                  <c:v>1239216</c:v>
                </c:pt>
                <c:pt idx="17">
                  <c:v>1264450</c:v>
                </c:pt>
                <c:pt idx="18">
                  <c:v>1241095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95826303"/>
        <c:axId val="52733501"/>
      </c:lineChart>
      <c:catAx>
        <c:axId val="95826303"/>
        <c:scaling>
          <c:orientation val="minMax"/>
        </c:scaling>
        <c:delete val="0"/>
        <c:axPos val="b"/>
        <c:numFmt formatCode="[$-409]m/d/yyyy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2733501"/>
        <c:crossesAt val="0"/>
        <c:auto val="1"/>
        <c:lblAlgn val="ctr"/>
        <c:lblOffset val="100"/>
        <c:noMultiLvlLbl val="0"/>
      </c:catAx>
      <c:valAx>
        <c:axId val="52733501"/>
        <c:scaling>
          <c:orientation val="minMax"/>
          <c:max val="1600000"/>
          <c:min val="300000"/>
        </c:scaling>
        <c:delete val="0"/>
        <c:axPos val="l"/>
        <c:numFmt formatCode="_(* #,##0_);_(* \(#,##0\);_(* \-??_);_(@_)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5826303"/>
        <c:crossesAt val="1"/>
        <c:crossBetween val="midCat"/>
        <c:majorUnit val="100000"/>
        <c:minorUnit val="100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0.949831345907169"/>
          <c:y val="0.90682932663557"/>
          <c:w val="0.0552995391705069"/>
          <c:h val="0.143403899055137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75" strike="noStrike" u="none">
                <a:solidFill>
                  <a:srgbClr val="000000"/>
                </a:solidFill>
                <a:uFillTx/>
                <a:latin typeface="Arial"/>
              </a:rPr>
              <a:t>ELWOOD BURN</a:t>
            </a:r>
          </a:p>
        </c:rich>
      </c:tx>
      <c:layout>
        <c:manualLayout>
          <c:xMode val="edge"/>
          <c:yMode val="edge"/>
          <c:x val="0.416852774437382"/>
          <c:y val="0.0376335992774349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107369867720323"/>
          <c:y val="0.0785789552912841"/>
          <c:w val="0.917325201855351"/>
          <c:h val="0.915700737618546"/>
        </c:manualLayout>
      </c:layout>
      <c:lineChart>
        <c:grouping val="standard"/>
        <c:varyColors val="0"/>
        <c:ser>
          <c:idx val="0"/>
          <c:order val="0"/>
          <c:tx>
            <c:strRef>
              <c:f>"TOTAL BURN"</c:f>
              <c:strCache>
                <c:ptCount val="1"/>
                <c:pt idx="0">
                  <c:v>TOTAL 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DAILY!$AB$2:$AB$32</c:f>
              <c:strCache>
                <c:ptCount val="31"/>
                <c:pt idx="0">
                  <c:v>11/1/2000</c:v>
                </c:pt>
                <c:pt idx="1">
                  <c:v>11/2/2000</c:v>
                </c:pt>
                <c:pt idx="2">
                  <c:v>11/3/2000</c:v>
                </c:pt>
                <c:pt idx="3">
                  <c:v>11/4/2000</c:v>
                </c:pt>
                <c:pt idx="4">
                  <c:v>11/5/2000</c:v>
                </c:pt>
                <c:pt idx="5">
                  <c:v>11/6/2000</c:v>
                </c:pt>
                <c:pt idx="6">
                  <c:v>11/7/2000</c:v>
                </c:pt>
                <c:pt idx="7">
                  <c:v>11/8/2000</c:v>
                </c:pt>
                <c:pt idx="8">
                  <c:v>11/9/2000</c:v>
                </c:pt>
                <c:pt idx="9">
                  <c:v>11/10/2000</c:v>
                </c:pt>
                <c:pt idx="10">
                  <c:v>11/11/2000</c:v>
                </c:pt>
                <c:pt idx="11">
                  <c:v>11/12/2000</c:v>
                </c:pt>
                <c:pt idx="12">
                  <c:v>11/13/2000</c:v>
                </c:pt>
                <c:pt idx="13">
                  <c:v>11/14/2000</c:v>
                </c:pt>
                <c:pt idx="14">
                  <c:v>11/15/2000</c:v>
                </c:pt>
                <c:pt idx="15">
                  <c:v>11/16/2000</c:v>
                </c:pt>
                <c:pt idx="16">
                  <c:v>11/17/2000</c:v>
                </c:pt>
                <c:pt idx="17">
                  <c:v>11/18/2000</c:v>
                </c:pt>
                <c:pt idx="18">
                  <c:v>11/19/2000</c:v>
                </c:pt>
                <c:pt idx="19">
                  <c:v>11/20/2000</c:v>
                </c:pt>
                <c:pt idx="20">
                  <c:v>11/21/2000</c:v>
                </c:pt>
                <c:pt idx="21">
                  <c:v>11/22/2000</c:v>
                </c:pt>
                <c:pt idx="22">
                  <c:v>11/23/2000</c:v>
                </c:pt>
                <c:pt idx="23">
                  <c:v>11/24/2000</c:v>
                </c:pt>
                <c:pt idx="24">
                  <c:v>11/25/2000</c:v>
                </c:pt>
                <c:pt idx="25">
                  <c:v>11/26/2000</c:v>
                </c:pt>
                <c:pt idx="26">
                  <c:v>11/27/2000</c:v>
                </c:pt>
                <c:pt idx="27">
                  <c:v>11/28/2000</c:v>
                </c:pt>
                <c:pt idx="28">
                  <c:v>11/29/2000</c:v>
                </c:pt>
                <c:pt idx="29">
                  <c:v>11/30/2000</c:v>
                </c:pt>
                <c:pt idx="30">
                  <c:v/>
                </c:pt>
              </c:strCache>
            </c:strRef>
          </c:cat>
          <c:val>
            <c:numRef>
              <c:f>DAILY!$AC$2:$AC$32</c:f>
              <c:numCache>
                <c:formatCode>_(* #,##0_);_(* \(#,##0\);_(* \-??_);_(@_)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15280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10050</c:v>
                </c:pt>
                <c:pt idx="18">
                  <c:v>2750</c:v>
                </c:pt>
                <c:pt idx="19">
                  <c:v>36600</c:v>
                </c:pt>
                <c:pt idx="20">
                  <c:v>33200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70084851"/>
        <c:axId val="99691956"/>
      </c:lineChart>
      <c:catAx>
        <c:axId val="70084851"/>
        <c:scaling>
          <c:orientation val="minMax"/>
        </c:scaling>
        <c:delete val="0"/>
        <c:axPos val="b"/>
        <c:numFmt formatCode="[$-409]m/d/yy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27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9691956"/>
        <c:crossesAt val="0"/>
        <c:auto val="1"/>
        <c:lblAlgn val="ctr"/>
        <c:lblOffset val="100"/>
        <c:noMultiLvlLbl val="0"/>
      </c:catAx>
      <c:valAx>
        <c:axId val="99691956"/>
        <c:scaling>
          <c:orientation val="minMax"/>
          <c:max val="200000"/>
        </c:scaling>
        <c:delete val="0"/>
        <c:axPos val="l"/>
        <c:numFmt formatCode="_(* #,##0_);_(* \(#,##0\);_(* \-??_);_(@_)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0084851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835380518811201"/>
          <c:y val="0.0678910130964926"/>
          <c:w val="0.0878714997423123"/>
          <c:h val="0.180490742134578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RIDER GAS - PGLC &amp; NS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0591547962708816"/>
          <c:y val="0.0874500193473494"/>
          <c:w val="0.984951019828688"/>
          <c:h val="0.912549980652651"/>
        </c:manualLayout>
      </c:layout>
      <c:lineChart>
        <c:grouping val="standard"/>
        <c:varyColors val="0"/>
        <c:ser>
          <c:idx val="0"/>
          <c:order val="0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DAILY!$AO$2:$AO$32</c:f>
              <c:strCache>
                <c:ptCount val="31"/>
                <c:pt idx="0">
                  <c:v>11/1/2000</c:v>
                </c:pt>
                <c:pt idx="1">
                  <c:v>11/2/2000</c:v>
                </c:pt>
                <c:pt idx="2">
                  <c:v>11/3/2000</c:v>
                </c:pt>
                <c:pt idx="3">
                  <c:v>11/4/2000</c:v>
                </c:pt>
                <c:pt idx="4">
                  <c:v>11/5/2000</c:v>
                </c:pt>
                <c:pt idx="5">
                  <c:v>11/6/2000</c:v>
                </c:pt>
                <c:pt idx="6">
                  <c:v>11/7/2000</c:v>
                </c:pt>
                <c:pt idx="7">
                  <c:v>11/8/2000</c:v>
                </c:pt>
                <c:pt idx="8">
                  <c:v>11/9/2000</c:v>
                </c:pt>
                <c:pt idx="9">
                  <c:v>11/10/2000</c:v>
                </c:pt>
                <c:pt idx="10">
                  <c:v>11/11/2000</c:v>
                </c:pt>
                <c:pt idx="11">
                  <c:v>11/12/2000</c:v>
                </c:pt>
                <c:pt idx="12">
                  <c:v>11/13/2000</c:v>
                </c:pt>
                <c:pt idx="13">
                  <c:v>11/14/2000</c:v>
                </c:pt>
                <c:pt idx="14">
                  <c:v>11/15/2000</c:v>
                </c:pt>
                <c:pt idx="15">
                  <c:v>11/16/2000</c:v>
                </c:pt>
                <c:pt idx="16">
                  <c:v>11/17/2000</c:v>
                </c:pt>
                <c:pt idx="17">
                  <c:v>11/18/2000</c:v>
                </c:pt>
                <c:pt idx="18">
                  <c:v>11/19/2000</c:v>
                </c:pt>
                <c:pt idx="19">
                  <c:v>11/20/2000</c:v>
                </c:pt>
                <c:pt idx="20">
                  <c:v>11/21/2000</c:v>
                </c:pt>
                <c:pt idx="21">
                  <c:v>11/22/2000</c:v>
                </c:pt>
                <c:pt idx="22">
                  <c:v>11/23/2000</c:v>
                </c:pt>
                <c:pt idx="23">
                  <c:v>11/24/2000</c:v>
                </c:pt>
                <c:pt idx="24">
                  <c:v>11/25/2000</c:v>
                </c:pt>
                <c:pt idx="25">
                  <c:v>11/26/2000</c:v>
                </c:pt>
                <c:pt idx="26">
                  <c:v>11/27/2000</c:v>
                </c:pt>
                <c:pt idx="27">
                  <c:v>11/28/2000</c:v>
                </c:pt>
                <c:pt idx="28">
                  <c:v>11/29/2000</c:v>
                </c:pt>
                <c:pt idx="29">
                  <c:v>11/30/2000</c:v>
                </c:pt>
                <c:pt idx="30">
                  <c:v/>
                </c:pt>
              </c:strCache>
            </c:strRef>
          </c:cat>
          <c:val>
            <c:numRef>
              <c:f>DAILY!$AP$2:$AP$32</c:f>
              <c:numCache>
                <c:formatCode>_(* #,##0_);_(* \(#,##0\);_(* \-??_);_(@_)</c:formatCode>
                <c:ptCount val="31"/>
                <c:pt idx="0">
                  <c:v>278861</c:v>
                </c:pt>
                <c:pt idx="1">
                  <c:v>271986</c:v>
                </c:pt>
                <c:pt idx="2">
                  <c:v>268476</c:v>
                </c:pt>
                <c:pt idx="3">
                  <c:v>266245</c:v>
                </c:pt>
                <c:pt idx="4">
                  <c:v>266245</c:v>
                </c:pt>
                <c:pt idx="5">
                  <c:v>266245</c:v>
                </c:pt>
                <c:pt idx="6">
                  <c:v>264002</c:v>
                </c:pt>
                <c:pt idx="7">
                  <c:v>255627</c:v>
                </c:pt>
                <c:pt idx="8">
                  <c:v>265566</c:v>
                </c:pt>
                <c:pt idx="9">
                  <c:v>246958</c:v>
                </c:pt>
                <c:pt idx="10">
                  <c:v>286931</c:v>
                </c:pt>
                <c:pt idx="11">
                  <c:v>286931</c:v>
                </c:pt>
                <c:pt idx="12">
                  <c:v>266036</c:v>
                </c:pt>
                <c:pt idx="13">
                  <c:v>255030</c:v>
                </c:pt>
                <c:pt idx="14">
                  <c:v>303959</c:v>
                </c:pt>
                <c:pt idx="15">
                  <c:v>274934</c:v>
                </c:pt>
                <c:pt idx="16">
                  <c:v>310830</c:v>
                </c:pt>
                <c:pt idx="17">
                  <c:v>313178</c:v>
                </c:pt>
                <c:pt idx="18">
                  <c:v>313178</c:v>
                </c:pt>
                <c:pt idx="19">
                  <c:v>332833</c:v>
                </c:pt>
                <c:pt idx="20">
                  <c:v>338794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38312629"/>
        <c:axId val="50395639"/>
      </c:lineChart>
      <c:catAx>
        <c:axId val="38312629"/>
        <c:scaling>
          <c:orientation val="minMax"/>
        </c:scaling>
        <c:delete val="0"/>
        <c:axPos val="b"/>
        <c:numFmt formatCode="[$-409]m/d/yyyy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0395639"/>
        <c:crossesAt val="0"/>
        <c:auto val="1"/>
        <c:lblAlgn val="ctr"/>
        <c:lblOffset val="100"/>
        <c:noMultiLvlLbl val="0"/>
      </c:catAx>
      <c:valAx>
        <c:axId val="50395639"/>
        <c:scaling>
          <c:orientation val="minMax"/>
          <c:max val="350000"/>
          <c:min val="100000"/>
        </c:scaling>
        <c:delete val="0"/>
        <c:axPos val="l"/>
        <c:numFmt formatCode="_(* #,##0_);_(* \(#,##0\);_(* \-??_);_(@_)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8312629"/>
        <c:crossesAt val="1"/>
        <c:crossBetween val="midCat"/>
        <c:majorUnit val="25000"/>
        <c:minorUnit val="25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0.954072216175288"/>
          <c:y val="0.350058042048239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ELWOOD BANK BALANCE</a:t>
            </a:r>
          </a:p>
        </c:rich>
      </c:tx>
      <c:layout>
        <c:manualLayout>
          <c:xMode val="edge"/>
          <c:yMode val="edge"/>
          <c:x val="0.300350985857335"/>
          <c:y val="0.0522166022017257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150717456384846"/>
          <c:y val="0.067688188039274"/>
          <c:w val="0.893310622483741"/>
          <c:h val="0.923683427551324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DAILY!$AB$2:$AB$32</c:f>
              <c:strCache>
                <c:ptCount val="31"/>
                <c:pt idx="0">
                  <c:v>11/1/2000</c:v>
                </c:pt>
                <c:pt idx="1">
                  <c:v>11/2/2000</c:v>
                </c:pt>
                <c:pt idx="2">
                  <c:v>11/3/2000</c:v>
                </c:pt>
                <c:pt idx="3">
                  <c:v>11/4/2000</c:v>
                </c:pt>
                <c:pt idx="4">
                  <c:v>11/5/2000</c:v>
                </c:pt>
                <c:pt idx="5">
                  <c:v>11/6/2000</c:v>
                </c:pt>
                <c:pt idx="6">
                  <c:v>11/7/2000</c:v>
                </c:pt>
                <c:pt idx="7">
                  <c:v>11/8/2000</c:v>
                </c:pt>
                <c:pt idx="8">
                  <c:v>11/9/2000</c:v>
                </c:pt>
                <c:pt idx="9">
                  <c:v>11/10/2000</c:v>
                </c:pt>
                <c:pt idx="10">
                  <c:v>11/11/2000</c:v>
                </c:pt>
                <c:pt idx="11">
                  <c:v>11/12/2000</c:v>
                </c:pt>
                <c:pt idx="12">
                  <c:v>11/13/2000</c:v>
                </c:pt>
                <c:pt idx="13">
                  <c:v>11/14/2000</c:v>
                </c:pt>
                <c:pt idx="14">
                  <c:v>11/15/2000</c:v>
                </c:pt>
                <c:pt idx="15">
                  <c:v>11/16/2000</c:v>
                </c:pt>
                <c:pt idx="16">
                  <c:v>11/17/2000</c:v>
                </c:pt>
                <c:pt idx="17">
                  <c:v>11/18/2000</c:v>
                </c:pt>
                <c:pt idx="18">
                  <c:v>11/19/2000</c:v>
                </c:pt>
                <c:pt idx="19">
                  <c:v>11/20/2000</c:v>
                </c:pt>
                <c:pt idx="20">
                  <c:v>11/21/2000</c:v>
                </c:pt>
                <c:pt idx="21">
                  <c:v>11/22/2000</c:v>
                </c:pt>
                <c:pt idx="22">
                  <c:v>11/23/2000</c:v>
                </c:pt>
                <c:pt idx="23">
                  <c:v>11/24/2000</c:v>
                </c:pt>
                <c:pt idx="24">
                  <c:v>11/25/2000</c:v>
                </c:pt>
                <c:pt idx="25">
                  <c:v>11/26/2000</c:v>
                </c:pt>
                <c:pt idx="26">
                  <c:v>11/27/2000</c:v>
                </c:pt>
                <c:pt idx="27">
                  <c:v>11/28/2000</c:v>
                </c:pt>
                <c:pt idx="28">
                  <c:v>11/29/2000</c:v>
                </c:pt>
                <c:pt idx="29">
                  <c:v>11/30/2000</c:v>
                </c:pt>
                <c:pt idx="30">
                  <c:v/>
                </c:pt>
              </c:strCache>
            </c:strRef>
          </c:cat>
          <c:val>
            <c:numRef>
              <c:f>DAILY!$AE$2:$AE$32</c:f>
              <c:numCache>
                <c:formatCode>0</c:formatCode>
                <c:ptCount val="31"/>
                <c:pt idx="0">
                  <c:v>495450.4192</c:v>
                </c:pt>
                <c:pt idx="1">
                  <c:v>495450.4192</c:v>
                </c:pt>
                <c:pt idx="2">
                  <c:v>495450.4192</c:v>
                </c:pt>
                <c:pt idx="3">
                  <c:v>495450.4192</c:v>
                </c:pt>
                <c:pt idx="4">
                  <c:v>495450.4192</c:v>
                </c:pt>
                <c:pt idx="5">
                  <c:v>495450.4192</c:v>
                </c:pt>
                <c:pt idx="6">
                  <c:v>495450.4192</c:v>
                </c:pt>
                <c:pt idx="7">
                  <c:v>495450.4192</c:v>
                </c:pt>
                <c:pt idx="8">
                  <c:v>480170.4192</c:v>
                </c:pt>
                <c:pt idx="9">
                  <c:v>480170.4192</c:v>
                </c:pt>
                <c:pt idx="10">
                  <c:v>480170.4192</c:v>
                </c:pt>
                <c:pt idx="11">
                  <c:v>480170.4192</c:v>
                </c:pt>
                <c:pt idx="12">
                  <c:v>480170.4192</c:v>
                </c:pt>
                <c:pt idx="13">
                  <c:v>480170.4192</c:v>
                </c:pt>
                <c:pt idx="14">
                  <c:v>480170.4192</c:v>
                </c:pt>
                <c:pt idx="15">
                  <c:v>480170.4192</c:v>
                </c:pt>
                <c:pt idx="16">
                  <c:v>480170.4192</c:v>
                </c:pt>
                <c:pt idx="17">
                  <c:v>470120.4192</c:v>
                </c:pt>
                <c:pt idx="18">
                  <c:v>467370.4192</c:v>
                </c:pt>
                <c:pt idx="19">
                  <c:v>430770.4192</c:v>
                </c:pt>
                <c:pt idx="20">
                  <c:v>397570.4192</c:v>
                </c:pt>
                <c:pt idx="21">
                  <c:v>397570.4192</c:v>
                </c:pt>
                <c:pt idx="22">
                  <c:v>397570.4192</c:v>
                </c:pt>
                <c:pt idx="23">
                  <c:v>397570.4192</c:v>
                </c:pt>
                <c:pt idx="24">
                  <c:v>397570.4192</c:v>
                </c:pt>
                <c:pt idx="25">
                  <c:v>397570.4192</c:v>
                </c:pt>
                <c:pt idx="26">
                  <c:v>397570.4192</c:v>
                </c:pt>
                <c:pt idx="27">
                  <c:v>397570.4192</c:v>
                </c:pt>
                <c:pt idx="28">
                  <c:v>397570.4192</c:v>
                </c:pt>
                <c:pt idx="29">
                  <c:v>397570.4192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9911393"/>
        <c:axId val="42008196"/>
      </c:lineChart>
      <c:catAx>
        <c:axId val="9911393"/>
        <c:scaling>
          <c:orientation val="minMax"/>
        </c:scaling>
        <c:delete val="0"/>
        <c:axPos val="b"/>
        <c:numFmt formatCode="[$-409]m/d/yy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27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2008196"/>
        <c:crossesAt val="0"/>
        <c:auto val="1"/>
        <c:lblAlgn val="ctr"/>
        <c:lblOffset val="100"/>
        <c:noMultiLvlLbl val="0"/>
      </c:catAx>
      <c:valAx>
        <c:axId val="42008196"/>
        <c:scaling>
          <c:orientation val="minMax"/>
          <c:min val="50000"/>
        </c:scaling>
        <c:delete val="0"/>
        <c:axPos val="l"/>
        <c:numFmt formatCode="0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911393"/>
        <c:crossesAt val="1"/>
        <c:crossBetween val="midCat"/>
        <c:majorUnit val="5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955662227727883"/>
          <c:y val="0.617078250520678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BURN</a:t>
            </a:r>
          </a:p>
        </c:rich>
      </c:tx>
      <c:layout>
        <c:manualLayout>
          <c:xMode val="edge"/>
          <c:yMode val="edge"/>
          <c:x val="0.410721123165284"/>
          <c:y val="0.0447415329768271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223782174005531"/>
          <c:y val="0.0732620320855615"/>
          <c:w val="0.956817698362051"/>
          <c:h val="0.906238859180036"/>
        </c:manualLayout>
      </c:layout>
      <c:lineChart>
        <c:grouping val="standard"/>
        <c:varyColors val="0"/>
        <c:ser>
          <c:idx val="0"/>
          <c:order val="0"/>
          <c:tx>
            <c:strRef>
              <c:f>"Burn"</c:f>
              <c:strCache>
                <c:ptCount val="1"/>
                <c:pt idx="0">
                  <c:v>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DAILY!$AB$2:$AB$32</c:f>
              <c:strCache>
                <c:ptCount val="31"/>
                <c:pt idx="0">
                  <c:v>11/1/2000</c:v>
                </c:pt>
                <c:pt idx="1">
                  <c:v>11/2/2000</c:v>
                </c:pt>
                <c:pt idx="2">
                  <c:v>11/3/2000</c:v>
                </c:pt>
                <c:pt idx="3">
                  <c:v>11/4/2000</c:v>
                </c:pt>
                <c:pt idx="4">
                  <c:v>11/5/2000</c:v>
                </c:pt>
                <c:pt idx="5">
                  <c:v>11/6/2000</c:v>
                </c:pt>
                <c:pt idx="6">
                  <c:v>11/7/2000</c:v>
                </c:pt>
                <c:pt idx="7">
                  <c:v>11/8/2000</c:v>
                </c:pt>
                <c:pt idx="8">
                  <c:v>11/9/2000</c:v>
                </c:pt>
                <c:pt idx="9">
                  <c:v>11/10/2000</c:v>
                </c:pt>
                <c:pt idx="10">
                  <c:v>11/11/2000</c:v>
                </c:pt>
                <c:pt idx="11">
                  <c:v>11/12/2000</c:v>
                </c:pt>
                <c:pt idx="12">
                  <c:v>11/13/2000</c:v>
                </c:pt>
                <c:pt idx="13">
                  <c:v>11/14/2000</c:v>
                </c:pt>
                <c:pt idx="14">
                  <c:v>11/15/2000</c:v>
                </c:pt>
                <c:pt idx="15">
                  <c:v>11/16/2000</c:v>
                </c:pt>
                <c:pt idx="16">
                  <c:v>11/17/2000</c:v>
                </c:pt>
                <c:pt idx="17">
                  <c:v>11/18/2000</c:v>
                </c:pt>
                <c:pt idx="18">
                  <c:v>11/19/2000</c:v>
                </c:pt>
                <c:pt idx="19">
                  <c:v>11/20/2000</c:v>
                </c:pt>
                <c:pt idx="20">
                  <c:v>11/21/2000</c:v>
                </c:pt>
                <c:pt idx="21">
                  <c:v>11/22/2000</c:v>
                </c:pt>
                <c:pt idx="22">
                  <c:v>11/23/2000</c:v>
                </c:pt>
                <c:pt idx="23">
                  <c:v>11/24/2000</c:v>
                </c:pt>
                <c:pt idx="24">
                  <c:v>11/25/2000</c:v>
                </c:pt>
                <c:pt idx="25">
                  <c:v>11/26/2000</c:v>
                </c:pt>
                <c:pt idx="26">
                  <c:v>11/27/2000</c:v>
                </c:pt>
                <c:pt idx="27">
                  <c:v>11/28/2000</c:v>
                </c:pt>
                <c:pt idx="28">
                  <c:v>11/29/2000</c:v>
                </c:pt>
                <c:pt idx="29">
                  <c:v>11/30/2000</c:v>
                </c:pt>
                <c:pt idx="30">
                  <c:v/>
                </c:pt>
              </c:strCache>
            </c:strRef>
          </c:cat>
          <c:val>
            <c:numRef>
              <c:f>DAILY!$AG$2:$AG$32</c:f>
              <c:numCache>
                <c:formatCode>_(* #,##0_);_(* \(#,##0\);_(* \-??_);_(@_)</c:formatCode>
                <c:ptCount val="31"/>
                <c:pt idx="0">
                  <c:v>10</c:v>
                </c:pt>
                <c:pt idx="1">
                  <c:v>10</c:v>
                </c:pt>
                <c:pt idx="2">
                  <c:v>10</c:v>
                </c:pt>
                <c:pt idx="3">
                  <c:v>10</c:v>
                </c:pt>
                <c:pt idx="4">
                  <c:v>10</c:v>
                </c:pt>
                <c:pt idx="5">
                  <c:v>200</c:v>
                </c:pt>
                <c:pt idx="6">
                  <c:v>10</c:v>
                </c:pt>
                <c:pt idx="7">
                  <c:v>10</c:v>
                </c:pt>
                <c:pt idx="8">
                  <c:v>10</c:v>
                </c:pt>
                <c:pt idx="9">
                  <c:v>10</c:v>
                </c:pt>
                <c:pt idx="10">
                  <c:v>10</c:v>
                </c:pt>
                <c:pt idx="11">
                  <c:v>10</c:v>
                </c:pt>
                <c:pt idx="12">
                  <c:v>10</c:v>
                </c:pt>
                <c:pt idx="13">
                  <c:v>10</c:v>
                </c:pt>
                <c:pt idx="14">
                  <c:v>10</c:v>
                </c:pt>
                <c:pt idx="15">
                  <c:v>10</c:v>
                </c:pt>
                <c:pt idx="16">
                  <c:v>10</c:v>
                </c:pt>
                <c:pt idx="17">
                  <c:v>10</c:v>
                </c:pt>
                <c:pt idx="18">
                  <c:v>10</c:v>
                </c:pt>
                <c:pt idx="19">
                  <c:v>10</c:v>
                </c:pt>
                <c:pt idx="20">
                  <c:v>10</c:v>
                </c:pt>
                <c:pt idx="21">
                  <c:v>10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80787018"/>
        <c:axId val="18162965"/>
      </c:lineChart>
      <c:catAx>
        <c:axId val="80787018"/>
        <c:scaling>
          <c:orientation val="minMax"/>
        </c:scaling>
        <c:delete val="0"/>
        <c:axPos val="b"/>
        <c:numFmt formatCode="[$-409]m/d/yy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27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8162965"/>
        <c:crossesAt val="0"/>
        <c:auto val="1"/>
        <c:lblAlgn val="ctr"/>
        <c:lblOffset val="100"/>
        <c:noMultiLvlLbl val="0"/>
      </c:catAx>
      <c:valAx>
        <c:axId val="18162965"/>
        <c:scaling>
          <c:orientation val="minMax"/>
          <c:max val="100000"/>
          <c:min val="0"/>
        </c:scaling>
        <c:delete val="0"/>
        <c:axPos val="l"/>
        <c:numFmt formatCode="_(* #,##0_);_(* \(#,##0\);_(* \-??_);_(@_)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0787018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969283131248671"/>
          <c:y val="0.472192513368984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OBA</a:t>
            </a:r>
          </a:p>
        </c:rich>
      </c:tx>
      <c:layout>
        <c:manualLayout>
          <c:xMode val="edge"/>
          <c:yMode val="edge"/>
          <c:x val="0.436738519212746"/>
          <c:y val="0.0449579079348021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149432469020098"/>
          <c:y val="0.0720042987641053"/>
          <c:w val="0.900812246173071"/>
          <c:h val="0.927995701235895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DAILY!$AB$2:$AB$32</c:f>
              <c:strCache>
                <c:ptCount val="31"/>
                <c:pt idx="0">
                  <c:v>11/1/2000</c:v>
                </c:pt>
                <c:pt idx="1">
                  <c:v>11/2/2000</c:v>
                </c:pt>
                <c:pt idx="2">
                  <c:v>11/3/2000</c:v>
                </c:pt>
                <c:pt idx="3">
                  <c:v>11/4/2000</c:v>
                </c:pt>
                <c:pt idx="4">
                  <c:v>11/5/2000</c:v>
                </c:pt>
                <c:pt idx="5">
                  <c:v>11/6/2000</c:v>
                </c:pt>
                <c:pt idx="6">
                  <c:v>11/7/2000</c:v>
                </c:pt>
                <c:pt idx="7">
                  <c:v>11/8/2000</c:v>
                </c:pt>
                <c:pt idx="8">
                  <c:v>11/9/2000</c:v>
                </c:pt>
                <c:pt idx="9">
                  <c:v>11/10/2000</c:v>
                </c:pt>
                <c:pt idx="10">
                  <c:v>11/11/2000</c:v>
                </c:pt>
                <c:pt idx="11">
                  <c:v>11/12/2000</c:v>
                </c:pt>
                <c:pt idx="12">
                  <c:v>11/13/2000</c:v>
                </c:pt>
                <c:pt idx="13">
                  <c:v>11/14/2000</c:v>
                </c:pt>
                <c:pt idx="14">
                  <c:v>11/15/2000</c:v>
                </c:pt>
                <c:pt idx="15">
                  <c:v>11/16/2000</c:v>
                </c:pt>
                <c:pt idx="16">
                  <c:v>11/17/2000</c:v>
                </c:pt>
                <c:pt idx="17">
                  <c:v>11/18/2000</c:v>
                </c:pt>
                <c:pt idx="18">
                  <c:v>11/19/2000</c:v>
                </c:pt>
                <c:pt idx="19">
                  <c:v>11/20/2000</c:v>
                </c:pt>
                <c:pt idx="20">
                  <c:v>11/21/2000</c:v>
                </c:pt>
                <c:pt idx="21">
                  <c:v>11/22/2000</c:v>
                </c:pt>
                <c:pt idx="22">
                  <c:v>11/23/2000</c:v>
                </c:pt>
                <c:pt idx="23">
                  <c:v>11/24/2000</c:v>
                </c:pt>
                <c:pt idx="24">
                  <c:v>11/25/2000</c:v>
                </c:pt>
                <c:pt idx="25">
                  <c:v>11/26/2000</c:v>
                </c:pt>
                <c:pt idx="26">
                  <c:v>11/27/2000</c:v>
                </c:pt>
                <c:pt idx="27">
                  <c:v>11/28/2000</c:v>
                </c:pt>
                <c:pt idx="28">
                  <c:v>11/29/2000</c:v>
                </c:pt>
                <c:pt idx="29">
                  <c:v>11/30/2000</c:v>
                </c:pt>
                <c:pt idx="30">
                  <c:v/>
                </c:pt>
              </c:strCache>
            </c:strRef>
          </c:cat>
          <c:val>
            <c:numRef>
              <c:f>DAILY!$AI$2:$AI$32</c:f>
              <c:numCache>
                <c:formatCode>_(* #,##0_);_(* \(#,##0\);_(* \-??_);_(@_)</c:formatCode>
                <c:ptCount val="31"/>
                <c:pt idx="0">
                  <c:v>230</c:v>
                </c:pt>
                <c:pt idx="1">
                  <c:v>220</c:v>
                </c:pt>
                <c:pt idx="2">
                  <c:v>210</c:v>
                </c:pt>
                <c:pt idx="3">
                  <c:v>200</c:v>
                </c:pt>
                <c:pt idx="4">
                  <c:v>190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76344803"/>
        <c:axId val="56706207"/>
      </c:lineChart>
      <c:catAx>
        <c:axId val="76344803"/>
        <c:scaling>
          <c:orientation val="minMax"/>
        </c:scaling>
        <c:delete val="0"/>
        <c:axPos val="b"/>
        <c:numFmt formatCode="[$-409]m/d/yy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27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6706207"/>
        <c:crossesAt val="-40000"/>
        <c:auto val="1"/>
        <c:lblAlgn val="ctr"/>
        <c:lblOffset val="100"/>
        <c:noMultiLvlLbl val="0"/>
      </c:catAx>
      <c:valAx>
        <c:axId val="56706207"/>
        <c:scaling>
          <c:orientation val="minMax"/>
          <c:max val="80000"/>
          <c:min val="-40000"/>
        </c:scaling>
        <c:delete val="0"/>
        <c:axPos val="l"/>
        <c:numFmt formatCode="_(* #,##0_);_(* \(#,##0\);_(* \-??_);_(@_)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6344803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964594397584088"/>
          <c:y val="0.492029374888053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ELWOOD BANK BALANCE</a:t>
            </a:r>
          </a:p>
        </c:rich>
      </c:tx>
      <c:layout>
        <c:manualLayout>
          <c:xMode val="edge"/>
          <c:yMode val="edge"/>
          <c:x val="42.1428571428571"/>
          <c:y val="0.0542065663474692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30300957592339"/>
          <c:w val="1"/>
          <c:h val="0.859781121751026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[1]SENDOUT!$AD$2:$AD$32</c:f>
              <c:numCache>
                <c:formatCode>General</c:formatCode>
                <c:ptCount val="31"/>
                <c:pt idx="0">
                  <c:v>190431</c:v>
                </c:pt>
                <c:pt idx="1">
                  <c:v>188696</c:v>
                </c:pt>
                <c:pt idx="2">
                  <c:v>208354</c:v>
                </c:pt>
                <c:pt idx="3">
                  <c:v>228012</c:v>
                </c:pt>
                <c:pt idx="4">
                  <c:v>247670</c:v>
                </c:pt>
                <c:pt idx="5">
                  <c:v>267328</c:v>
                </c:pt>
                <c:pt idx="6">
                  <c:v>226879</c:v>
                </c:pt>
                <c:pt idx="7">
                  <c:v>166911</c:v>
                </c:pt>
                <c:pt idx="8">
                  <c:v>190255.8579</c:v>
                </c:pt>
                <c:pt idx="9">
                  <c:v>236235.9199</c:v>
                </c:pt>
                <c:pt idx="10">
                  <c:v>251980.0121</c:v>
                </c:pt>
                <c:pt idx="11">
                  <c:v>277254.3027</c:v>
                </c:pt>
                <c:pt idx="12">
                  <c:v>298455.4557</c:v>
                </c:pt>
                <c:pt idx="13">
                  <c:v>276768.4557</c:v>
                </c:pt>
                <c:pt idx="14">
                  <c:v>296426.4557</c:v>
                </c:pt>
                <c:pt idx="15">
                  <c:v>316084.4557</c:v>
                </c:pt>
                <c:pt idx="16">
                  <c:v>335742.4557</c:v>
                </c:pt>
                <c:pt idx="17">
                  <c:v>274084.4557</c:v>
                </c:pt>
                <c:pt idx="18">
                  <c:v>255684.4557</c:v>
                </c:pt>
                <c:pt idx="19">
                  <c:v>305684.4557</c:v>
                </c:pt>
                <c:pt idx="20">
                  <c:v>305684.4557</c:v>
                </c:pt>
                <c:pt idx="21">
                  <c:v>305684.4557</c:v>
                </c:pt>
                <c:pt idx="22">
                  <c:v>305684.4557</c:v>
                </c:pt>
                <c:pt idx="23">
                  <c:v>305684.4557</c:v>
                </c:pt>
                <c:pt idx="24">
                  <c:v>305684.4557</c:v>
                </c:pt>
                <c:pt idx="25">
                  <c:v>305684.4557</c:v>
                </c:pt>
                <c:pt idx="26">
                  <c:v>305684.4557</c:v>
                </c:pt>
                <c:pt idx="27">
                  <c:v>305684.4557</c:v>
                </c:pt>
                <c:pt idx="28">
                  <c:v>305684.4557</c:v>
                </c:pt>
                <c:pt idx="29">
                  <c:v>305684.4557</c:v>
                </c:pt>
                <c:pt idx="30">
                  <c:v>305684.4557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94193809"/>
        <c:axId val="16822775"/>
      </c:lineChart>
      <c:catAx>
        <c:axId val="9419380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6822775"/>
        <c:crossesAt val="0"/>
        <c:auto val="1"/>
        <c:lblAlgn val="ctr"/>
        <c:lblOffset val="100"/>
        <c:noMultiLvlLbl val="0"/>
      </c:catAx>
      <c:valAx>
        <c:axId val="16822775"/>
        <c:scaling>
          <c:orientation val="minMax"/>
          <c:min val="5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4193809"/>
        <c:crossesAt val="1"/>
        <c:crossBetween val="midCat"/>
        <c:majorUnit val="5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0.8571428571429"/>
          <c:y val="0.566005471956224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BURN</a:t>
            </a:r>
          </a:p>
        </c:rich>
      </c:tx>
      <c:layout>
        <c:manualLayout>
          <c:xMode val="edge"/>
          <c:yMode val="edge"/>
          <c:x val="39.2857142857143"/>
          <c:y val="0.0438068795310813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02730217491902"/>
          <c:w val="1"/>
          <c:h val="0.879839580441154"/>
        </c:manualLayout>
      </c:layout>
      <c:lineChart>
        <c:grouping val="standard"/>
        <c:varyColors val="0"/>
        <c:ser>
          <c:idx val="0"/>
          <c:order val="0"/>
          <c:tx>
            <c:strRef>
              <c:f>"Burn"</c:f>
              <c:strCache>
                <c:ptCount val="1"/>
                <c:pt idx="0">
                  <c:v>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[1]SENDOUT!$AE$2:$AE$32</c:f>
              <c:numCache>
                <c:formatCode>General</c:formatCode>
                <c:ptCount val="31"/>
                <c:pt idx="0">
                  <c:v>70212</c:v>
                </c:pt>
                <c:pt idx="1">
                  <c:v>10</c:v>
                </c:pt>
                <c:pt idx="2">
                  <c:v>10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  <c:pt idx="6">
                  <c:v>10</c:v>
                </c:pt>
                <c:pt idx="7">
                  <c:v>10</c:v>
                </c:pt>
                <c:pt idx="8">
                  <c:v>10</c:v>
                </c:pt>
                <c:pt idx="9">
                  <c:v>10</c:v>
                </c:pt>
                <c:pt idx="10">
                  <c:v>17041</c:v>
                </c:pt>
                <c:pt idx="11">
                  <c:v>10</c:v>
                </c:pt>
                <c:pt idx="12">
                  <c:v>10</c:v>
                </c:pt>
                <c:pt idx="13">
                  <c:v>10</c:v>
                </c:pt>
                <c:pt idx="14">
                  <c:v>498</c:v>
                </c:pt>
                <c:pt idx="15">
                  <c:v>10</c:v>
                </c:pt>
                <c:pt idx="16">
                  <c:v>10</c:v>
                </c:pt>
                <c:pt idx="17">
                  <c:v>10</c:v>
                </c:pt>
                <c:pt idx="18">
                  <c:v>10</c:v>
                </c:pt>
                <c:pt idx="19">
                  <c:v>10</c:v>
                </c:pt>
                <c:pt idx="20">
                  <c:v>10</c:v>
                </c:pt>
                <c:pt idx="21">
                  <c:v>10</c:v>
                </c:pt>
                <c:pt idx="22">
                  <c:v>10</c:v>
                </c:pt>
                <c:pt idx="23">
                  <c:v>10</c:v>
                </c:pt>
                <c:pt idx="24">
                  <c:v>10</c:v>
                </c:pt>
                <c:pt idx="25">
                  <c:v>10</c:v>
                </c:pt>
                <c:pt idx="26">
                  <c:v>10</c:v>
                </c:pt>
                <c:pt idx="27">
                  <c:v>10</c:v>
                </c:pt>
                <c:pt idx="28">
                  <c:v>10</c:v>
                </c:pt>
                <c:pt idx="29">
                  <c:v>10</c:v>
                </c:pt>
                <c:pt idx="30">
                  <c:v>10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58265705"/>
        <c:axId val="64465178"/>
      </c:lineChart>
      <c:catAx>
        <c:axId val="5826570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4465178"/>
        <c:crossesAt val="0"/>
        <c:auto val="1"/>
        <c:lblAlgn val="ctr"/>
        <c:lblOffset val="100"/>
        <c:noMultiLvlLbl val="0"/>
      </c:catAx>
      <c:valAx>
        <c:axId val="64465178"/>
        <c:scaling>
          <c:orientation val="minMax"/>
          <c:max val="100000"/>
          <c:min val="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8265705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80.2857142857143"/>
          <c:y val="0.519204072188802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OBA</a:t>
            </a:r>
          </a:p>
        </c:rich>
      </c:tx>
      <c:layout>
        <c:manualLayout>
          <c:xMode val="edge"/>
          <c:yMode val="edge"/>
          <c:x val="40.7142857142857"/>
          <c:y val="0.0438284032832585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859532290537401"/>
          <c:w val="1"/>
          <c:h val="0.91404677094626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[1]SENDOUT!$AF$2:$AF$32</c:f>
              <c:numCache>
                <c:formatCode>General</c:formatCode>
                <c:ptCount val="31"/>
                <c:pt idx="0">
                  <c:v>-66665</c:v>
                </c:pt>
                <c:pt idx="1">
                  <c:v>-51703</c:v>
                </c:pt>
                <c:pt idx="2">
                  <c:v>-26758</c:v>
                </c:pt>
                <c:pt idx="3">
                  <c:v>-6768</c:v>
                </c:pt>
                <c:pt idx="4">
                  <c:v>-6778</c:v>
                </c:pt>
                <c:pt idx="5">
                  <c:v>-6788</c:v>
                </c:pt>
                <c:pt idx="6">
                  <c:v>-6798</c:v>
                </c:pt>
                <c:pt idx="7">
                  <c:v>-6808</c:v>
                </c:pt>
                <c:pt idx="8">
                  <c:v>-4568</c:v>
                </c:pt>
                <c:pt idx="9">
                  <c:v>-2328</c:v>
                </c:pt>
                <c:pt idx="10">
                  <c:v>2881</c:v>
                </c:pt>
                <c:pt idx="11">
                  <c:v>2871</c:v>
                </c:pt>
                <c:pt idx="12">
                  <c:v>2861</c:v>
                </c:pt>
                <c:pt idx="13">
                  <c:v>2851</c:v>
                </c:pt>
                <c:pt idx="14">
                  <c:v>2353</c:v>
                </c:pt>
                <c:pt idx="15">
                  <c:v>2343</c:v>
                </c:pt>
                <c:pt idx="16">
                  <c:v>2333</c:v>
                </c:pt>
                <c:pt idx="17">
                  <c:v>2323</c:v>
                </c:pt>
                <c:pt idx="18">
                  <c:v>2313</c:v>
                </c:pt>
                <c:pt idx="19">
                  <c:v>2303</c:v>
                </c:pt>
                <c:pt idx="20">
                  <c:v>2293</c:v>
                </c:pt>
                <c:pt idx="21">
                  <c:v>2283</c:v>
                </c:pt>
                <c:pt idx="22">
                  <c:v>2273</c:v>
                </c:pt>
                <c:pt idx="23">
                  <c:v>2263</c:v>
                </c:pt>
                <c:pt idx="24">
                  <c:v>2253</c:v>
                </c:pt>
                <c:pt idx="25">
                  <c:v>2243</c:v>
                </c:pt>
                <c:pt idx="26">
                  <c:v>2233</c:v>
                </c:pt>
                <c:pt idx="27">
                  <c:v>2223</c:v>
                </c:pt>
                <c:pt idx="28">
                  <c:v>2213</c:v>
                </c:pt>
                <c:pt idx="29">
                  <c:v>2203</c:v>
                </c:pt>
                <c:pt idx="30">
                  <c:v>2193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77266374"/>
        <c:axId val="2166182"/>
      </c:lineChart>
      <c:catAx>
        <c:axId val="7726637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166182"/>
        <c:crossesAt val="-40000"/>
        <c:auto val="1"/>
        <c:lblAlgn val="ctr"/>
        <c:lblOffset val="100"/>
        <c:noMultiLvlLbl val="0"/>
      </c:catAx>
      <c:valAx>
        <c:axId val="2166182"/>
        <c:scaling>
          <c:orientation val="minMax"/>
          <c:max val="80000"/>
          <c:min val="-4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7266374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2.5714285714286"/>
          <c:y val="0.567755923803624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PGL &amp; NS SENDOUT</a:t>
            </a:r>
          </a:p>
        </c:rich>
      </c:tx>
      <c:layout>
        <c:manualLayout>
          <c:xMode val="edge"/>
          <c:yMode val="edge"/>
          <c:x val="40"/>
          <c:y val="0.0374830648803252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989010989010989"/>
          <c:w val="1"/>
          <c:h val="0.856691253951528"/>
        </c:manualLayout>
      </c:layout>
      <c:lineChart>
        <c:grouping val="standard"/>
        <c:varyColors val="0"/>
        <c:ser>
          <c:idx val="0"/>
          <c:order val="0"/>
          <c:tx>
            <c:strRef>
              <c:f>"Estimate"</c:f>
              <c:strCache>
                <c:ptCount val="1"/>
                <c:pt idx="0">
                  <c:v>Estimate</c:v>
                </c:pt>
              </c:strCache>
            </c:strRef>
          </c:tx>
          <c:spPr>
            <a:solidFill>
              <a:srgbClr val="ff00ff"/>
            </a:solidFill>
            <a:ln w="25200">
              <a:solidFill>
                <a:srgbClr val="ff00ff"/>
              </a:solidFill>
              <a:round/>
            </a:ln>
          </c:spPr>
          <c:marker>
            <c:symbol val="square"/>
            <c:size val="7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[1]SENDOUT!$AI$2:$AI$36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250000</c:v>
                </c:pt>
                <c:pt idx="18">
                  <c:v>252000</c:v>
                </c:pt>
                <c:pt idx="19">
                  <c:v>258000</c:v>
                </c:pt>
                <c:pt idx="20">
                  <c:v>305000</c:v>
                </c:pt>
                <c:pt idx="21">
                  <c:v>279000</c:v>
                </c:pt>
                <c:pt idx="22">
                  <c:v>250000</c:v>
                </c:pt>
                <c:pt idx="23">
                  <c:v>463000</c:v>
                </c:pt>
                <c:pt idx="24">
                  <c:v>476000</c:v>
                </c:pt>
                <c:pt idx="25">
                  <c:v>376000</c:v>
                </c:pt>
                <c:pt idx="26">
                  <c:v>388000</c:v>
                </c:pt>
                <c:pt idx="27">
                  <c:v>372000</c:v>
                </c:pt>
                <c:pt idx="28">
                  <c:v>292000</c:v>
                </c:pt>
                <c:pt idx="29">
                  <c:v>233000</c:v>
                </c:pt>
                <c:pt idx="30">
                  <c:v>258000</c:v>
                </c:pt>
                <c:pt idx="31">
                  <c:v>282000</c:v>
                </c:pt>
                <c:pt idx="32">
                  <c:v>266000</c:v>
                </c:pt>
                <c:pt idx="33">
                  <c:v>352000</c:v>
                </c:pt>
                <c:pt idx="34">
                  <c:v>517000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[1]SENDOUT!$AJ$2:$AJ$36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251462</c:v>
                </c:pt>
                <c:pt idx="18">
                  <c:v>238627</c:v>
                </c:pt>
                <c:pt idx="19">
                  <c:v>293010</c:v>
                </c:pt>
                <c:pt idx="20">
                  <c:v>297613</c:v>
                </c:pt>
                <c:pt idx="21">
                  <c:v>279524</c:v>
                </c:pt>
                <c:pt idx="22">
                  <c:v>259718</c:v>
                </c:pt>
                <c:pt idx="23">
                  <c:v>361520</c:v>
                </c:pt>
                <c:pt idx="24">
                  <c:v>474825</c:v>
                </c:pt>
                <c:pt idx="25">
                  <c:v>364951</c:v>
                </c:pt>
                <c:pt idx="26">
                  <c:v>365702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95779579"/>
        <c:axId val="7757740"/>
      </c:lineChart>
      <c:catAx>
        <c:axId val="95779579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757740"/>
        <c:crossesAt val="0"/>
        <c:auto val="1"/>
        <c:lblAlgn val="ctr"/>
        <c:lblOffset val="100"/>
        <c:noMultiLvlLbl val="0"/>
      </c:catAx>
      <c:valAx>
        <c:axId val="7757740"/>
        <c:scaling>
          <c:orientation val="minMax"/>
          <c:min val="2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5779579"/>
        <c:crossesAt val="1"/>
        <c:crossBetween val="midCat"/>
        <c:majorUnit val="50000"/>
        <c:minorUnit val="50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42.5714285714286"/>
          <c:y val="0.882583170254403"/>
          <c:w val="332.571428571429"/>
          <c:h val="0.180490742134578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50" strike="noStrike" u="none">
                <a:solidFill>
                  <a:srgbClr val="000000"/>
                </a:solidFill>
                <a:uFillTx/>
                <a:latin typeface="Arial"/>
              </a:rPr>
              <a:t>ELWOOD BURN</a:t>
            </a:r>
          </a:p>
        </c:rich>
      </c:tx>
      <c:layout>
        <c:manualLayout>
          <c:xMode val="edge"/>
          <c:yMode val="edge"/>
          <c:x val="41.4285714285714"/>
          <c:y val="0.0435008665511265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722703639514731"/>
          <c:w val="1"/>
          <c:h val="0.922010398613518"/>
        </c:manualLayout>
      </c:layout>
      <c:lineChart>
        <c:grouping val="standard"/>
        <c:varyColors val="0"/>
        <c:ser>
          <c:idx val="0"/>
          <c:order val="0"/>
          <c:tx>
            <c:strRef>
              <c:f>"TOTAL BURN"</c:f>
              <c:strCache>
                <c:ptCount val="1"/>
                <c:pt idx="0">
                  <c:v>TOTAL 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[1]SENDOUT!$AC$2:$AC$32</c:f>
              <c:numCache>
                <c:formatCode>General</c:formatCode>
                <c:ptCount val="31"/>
                <c:pt idx="0">
                  <c:v>66453</c:v>
                </c:pt>
                <c:pt idx="1">
                  <c:v>21735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60449</c:v>
                </c:pt>
                <c:pt idx="7">
                  <c:v>59968</c:v>
                </c:pt>
                <c:pt idx="8">
                  <c:v>26249</c:v>
                </c:pt>
                <c:pt idx="9">
                  <c:v>3220</c:v>
                </c:pt>
                <c:pt idx="10">
                  <c:v>33982</c:v>
                </c:pt>
                <c:pt idx="11">
                  <c:v>24286</c:v>
                </c:pt>
                <c:pt idx="12">
                  <c:v>28430</c:v>
                </c:pt>
                <c:pt idx="13">
                  <c:v>21687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81658</c:v>
                </c:pt>
                <c:pt idx="18">
                  <c:v>38400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66615472"/>
        <c:axId val="32561096"/>
      </c:lineChart>
      <c:catAx>
        <c:axId val="6661547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2561096"/>
        <c:crossesAt val="0"/>
        <c:auto val="1"/>
        <c:lblAlgn val="ctr"/>
        <c:lblOffset val="100"/>
        <c:noMultiLvlLbl val="0"/>
      </c:catAx>
      <c:valAx>
        <c:axId val="3256109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6615472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32.2857142857143"/>
          <c:y val="0.0538994800693241"/>
          <c:w val="383"/>
          <c:h val="0.25684575389948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175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RIDER GAS - PGLC &amp; NS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21818181818182"/>
          <c:w val="1"/>
          <c:h val="0.871688311688312"/>
        </c:manualLayout>
      </c:layout>
      <c:lineChart>
        <c:grouping val="standard"/>
        <c:varyColors val="0"/>
        <c:ser>
          <c:idx val="0"/>
          <c:order val="0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[1]SENDOUT!$AL$2:$AL$36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[1]SENDOUT!$AM$2:$AM$36</c:f>
              <c:numCache>
                <c:formatCode>General</c:formatCode>
                <c:ptCount val="35"/>
                <c:pt idx="0">
                  <c:v>145517</c:v>
                </c:pt>
                <c:pt idx="1">
                  <c:v>175311</c:v>
                </c:pt>
                <c:pt idx="2">
                  <c:v>169521</c:v>
                </c:pt>
                <c:pt idx="3">
                  <c:v>175636</c:v>
                </c:pt>
                <c:pt idx="4">
                  <c:v>174951</c:v>
                </c:pt>
                <c:pt idx="5">
                  <c:v>151882</c:v>
                </c:pt>
                <c:pt idx="6">
                  <c:v>149644</c:v>
                </c:pt>
                <c:pt idx="7">
                  <c:v>141843</c:v>
                </c:pt>
                <c:pt idx="8">
                  <c:v>152372</c:v>
                </c:pt>
                <c:pt idx="9">
                  <c:v>152322</c:v>
                </c:pt>
                <c:pt idx="10">
                  <c:v>151972</c:v>
                </c:pt>
                <c:pt idx="11">
                  <c:v>154619</c:v>
                </c:pt>
                <c:pt idx="12">
                  <c:v>138783</c:v>
                </c:pt>
                <c:pt idx="13">
                  <c:v>151157</c:v>
                </c:pt>
                <c:pt idx="14">
                  <c:v>150550</c:v>
                </c:pt>
                <c:pt idx="15">
                  <c:v>147765</c:v>
                </c:pt>
                <c:pt idx="16">
                  <c:v>147792</c:v>
                </c:pt>
                <c:pt idx="17">
                  <c:v>147092</c:v>
                </c:pt>
                <c:pt idx="18">
                  <c:v>172170</c:v>
                </c:pt>
                <c:pt idx="19">
                  <c:v>150209</c:v>
                </c:pt>
                <c:pt idx="20">
                  <c:v>157505</c:v>
                </c:pt>
                <c:pt idx="21">
                  <c:v>160398</c:v>
                </c:pt>
                <c:pt idx="22">
                  <c:v>149216</c:v>
                </c:pt>
                <c:pt idx="23">
                  <c:v>149106</c:v>
                </c:pt>
                <c:pt idx="24">
                  <c:v>148256</c:v>
                </c:pt>
                <c:pt idx="25">
                  <c:v>154560</c:v>
                </c:pt>
                <c:pt idx="26">
                  <c:v>148298</c:v>
                </c:pt>
                <c:pt idx="27">
                  <c:v>152983</c:v>
                </c:pt>
                <c:pt idx="28">
                  <c:v>180458</c:v>
                </c:pt>
                <c:pt idx="29">
                  <c:v>180458</c:v>
                </c:pt>
                <c:pt idx="30">
                  <c:v>218710</c:v>
                </c:pt>
                <c:pt idx="31">
                  <c:v>218240</c:v>
                </c:pt>
                <c:pt idx="32">
                  <c:v>218240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41827369"/>
        <c:axId val="31194462"/>
      </c:lineChart>
      <c:catAx>
        <c:axId val="41827369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1194462"/>
        <c:crossesAt val="0"/>
        <c:auto val="1"/>
        <c:lblAlgn val="ctr"/>
        <c:lblOffset val="100"/>
        <c:noMultiLvlLbl val="0"/>
      </c:catAx>
      <c:valAx>
        <c:axId val="31194462"/>
        <c:scaling>
          <c:orientation val="minMax"/>
          <c:min val="1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1827369"/>
        <c:crossesAt val="1"/>
        <c:crossBetween val="midCat"/>
        <c:majorUnit val="25000"/>
        <c:minorUnit val="25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61.7142857142857"/>
          <c:y val="0.271168831168831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<Relationship Id="rId3" Type="http://schemas.openxmlformats.org/officeDocument/2006/relationships/chart" Target="../charts/chart3.xml"/><Relationship Id="rId4" Type="http://schemas.openxmlformats.org/officeDocument/2006/relationships/chart" Target="../charts/chart4.xml"/><Relationship Id="rId5" Type="http://schemas.openxmlformats.org/officeDocument/2006/relationships/chart" Target="../charts/chart5.xml"/><Relationship Id="rId6" Type="http://schemas.openxmlformats.org/officeDocument/2006/relationships/chart" Target="../charts/chart6.xml"/><Relationship Id="rId7" Type="http://schemas.openxmlformats.org/officeDocument/2006/relationships/chart" Target="../charts/chart7.xml"/><Relationship Id="rId8" Type="http://schemas.openxmlformats.org/officeDocument/2006/relationships/chart" Target="../charts/chart8.xml"/><Relationship Id="rId9" Type="http://schemas.openxmlformats.org/officeDocument/2006/relationships/chart" Target="../charts/chart9.xml"/><Relationship Id="rId10" Type="http://schemas.openxmlformats.org/officeDocument/2006/relationships/chart" Target="../charts/chart10.xml"/><Relationship Id="rId11" Type="http://schemas.openxmlformats.org/officeDocument/2006/relationships/chart" Target="../charts/chart11.xml"/><Relationship Id="rId12" Type="http://schemas.openxmlformats.org/officeDocument/2006/relationships/chart" Target="../charts/chart12.xml"/><Relationship Id="rId13" Type="http://schemas.openxmlformats.org/officeDocument/2006/relationships/chart" Target="../charts/chart13.xml"/><Relationship Id="rId14" Type="http://schemas.openxmlformats.org/officeDocument/2006/relationships/chart" Target="../charts/chart14.xml"/><Relationship Id="rId15" Type="http://schemas.openxmlformats.org/officeDocument/2006/relationships/chart" Target="../charts/chart15.xml"/><Relationship Id="rId16" Type="http://schemas.openxmlformats.org/officeDocument/2006/relationships/chart" Target="../charts/chart16.xml"/><Relationship Id="rId17" Type="http://schemas.openxmlformats.org/officeDocument/2006/relationships/chart" Target="../charts/chart17.xml"/><Relationship Id="rId18" Type="http://schemas.openxmlformats.org/officeDocument/2006/relationships/chart" Target="../charts/chart18.xml"/><Relationship Id="rId19" Type="http://schemas.openxmlformats.org/officeDocument/2006/relationships/chart" Target="../charts/chart19.xml"/><Relationship Id="rId20" Type="http://schemas.openxmlformats.org/officeDocument/2006/relationships/chart" Target="../charts/chart20.xml"/><Relationship Id="rId21" Type="http://schemas.openxmlformats.org/officeDocument/2006/relationships/chart" Target="../charts/chart21.xml"/><Relationship Id="rId22" Type="http://schemas.openxmlformats.org/officeDocument/2006/relationships/chart" Target="../charts/chart22.xml"/><Relationship Id="rId23" Type="http://schemas.openxmlformats.org/officeDocument/2006/relationships/chart" Target="../charts/chart23.xml"/><Relationship Id="rId24" Type="http://schemas.openxmlformats.org/officeDocument/2006/relationships/chart" Target="../charts/chart24.xml"/><Relationship Id="rId25" Type="http://schemas.openxmlformats.org/officeDocument/2006/relationships/chart" Target="../charts/chart25.xml"/><Relationship Id="rId26" Type="http://schemas.openxmlformats.org/officeDocument/2006/relationships/chart" Target="../charts/chart26.xml"/><Relationship Id="rId27" Type="http://schemas.openxmlformats.org/officeDocument/2006/relationships/chart" Target="../charts/chart27.xml"/><Relationship Id="rId28" Type="http://schemas.openxmlformats.org/officeDocument/2006/relationships/chart" Target="../charts/chart28.xml"/><Relationship Id="rId29" Type="http://schemas.openxmlformats.org/officeDocument/2006/relationships/chart" Target="../charts/chart29.xml"/><Relationship Id="rId30" Type="http://schemas.openxmlformats.org/officeDocument/2006/relationships/chart" Target="../charts/chart30.xml"/><Relationship Id="rId31" Type="http://schemas.openxmlformats.org/officeDocument/2006/relationships/chart" Target="../charts/chart31.xml"/><Relationship Id="rId32" Type="http://schemas.openxmlformats.org/officeDocument/2006/relationships/chart" Target="../charts/chart32.xml"/><Relationship Id="rId33" Type="http://schemas.openxmlformats.org/officeDocument/2006/relationships/chart" Target="../charts/chart33.xml"/><Relationship Id="rId34" Type="http://schemas.openxmlformats.org/officeDocument/2006/relationships/chart" Target="../charts/chart34.xml"/><Relationship Id="rId35" Type="http://schemas.openxmlformats.org/officeDocument/2006/relationships/chart" Target="../charts/chart35.xml"/><Relationship Id="rId36" Type="http://schemas.openxmlformats.org/officeDocument/2006/relationships/chart" Target="../charts/chart36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41</xdr:row>
      <xdr:rowOff>0</xdr:rowOff>
    </xdr:from>
    <xdr:to>
      <xdr:col>0</xdr:col>
      <xdr:colOff>2160</xdr:colOff>
      <xdr:row>55</xdr:row>
      <xdr:rowOff>95400</xdr:rowOff>
    </xdr:to>
    <xdr:graphicFrame>
      <xdr:nvGraphicFramePr>
        <xdr:cNvPr id="0" name="Chart 1"/>
        <xdr:cNvGraphicFramePr/>
      </xdr:nvGraphicFramePr>
      <xdr:xfrm>
        <a:off x="0" y="7362720"/>
        <a:ext cx="2160" cy="23911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0</xdr:colOff>
      <xdr:row>12</xdr:row>
      <xdr:rowOff>56880</xdr:rowOff>
    </xdr:from>
    <xdr:to>
      <xdr:col>0</xdr:col>
      <xdr:colOff>2160</xdr:colOff>
      <xdr:row>24</xdr:row>
      <xdr:rowOff>171360</xdr:rowOff>
    </xdr:to>
    <xdr:graphicFrame>
      <xdr:nvGraphicFramePr>
        <xdr:cNvPr id="1" name="Chart 2"/>
        <xdr:cNvGraphicFramePr/>
      </xdr:nvGraphicFramePr>
      <xdr:xfrm>
        <a:off x="0" y="2657160"/>
        <a:ext cx="2160" cy="20768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56</xdr:row>
      <xdr:rowOff>28440</xdr:rowOff>
    </xdr:from>
    <xdr:to>
      <xdr:col>0</xdr:col>
      <xdr:colOff>2160</xdr:colOff>
      <xdr:row>73</xdr:row>
      <xdr:rowOff>47520</xdr:rowOff>
    </xdr:to>
    <xdr:graphicFrame>
      <xdr:nvGraphicFramePr>
        <xdr:cNvPr id="2" name="Chart 3"/>
        <xdr:cNvGraphicFramePr/>
      </xdr:nvGraphicFramePr>
      <xdr:xfrm>
        <a:off x="0" y="9848880"/>
        <a:ext cx="2160" cy="27716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0</xdr:col>
      <xdr:colOff>0</xdr:colOff>
      <xdr:row>12</xdr:row>
      <xdr:rowOff>28800</xdr:rowOff>
    </xdr:from>
    <xdr:to>
      <xdr:col>0</xdr:col>
      <xdr:colOff>2160</xdr:colOff>
      <xdr:row>24</xdr:row>
      <xdr:rowOff>171360</xdr:rowOff>
    </xdr:to>
    <xdr:graphicFrame>
      <xdr:nvGraphicFramePr>
        <xdr:cNvPr id="3" name="Chart 4"/>
        <xdr:cNvGraphicFramePr/>
      </xdr:nvGraphicFramePr>
      <xdr:xfrm>
        <a:off x="0" y="2629080"/>
        <a:ext cx="2160" cy="21049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2160</xdr:colOff>
      <xdr:row>40</xdr:row>
      <xdr:rowOff>37800</xdr:rowOff>
    </xdr:to>
    <xdr:graphicFrame>
      <xdr:nvGraphicFramePr>
        <xdr:cNvPr id="4" name="Chart 5"/>
        <xdr:cNvGraphicFramePr/>
      </xdr:nvGraphicFramePr>
      <xdr:xfrm>
        <a:off x="0" y="4905360"/>
        <a:ext cx="2160" cy="23335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2160</xdr:colOff>
      <xdr:row>40</xdr:row>
      <xdr:rowOff>28440</xdr:rowOff>
    </xdr:to>
    <xdr:graphicFrame>
      <xdr:nvGraphicFramePr>
        <xdr:cNvPr id="5" name="Chart 6"/>
        <xdr:cNvGraphicFramePr/>
      </xdr:nvGraphicFramePr>
      <xdr:xfrm>
        <a:off x="0" y="4905360"/>
        <a:ext cx="2160" cy="23241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 editAs="oneCell">
    <xdr:from>
      <xdr:col>0</xdr:col>
      <xdr:colOff>0</xdr:colOff>
      <xdr:row>41</xdr:row>
      <xdr:rowOff>0</xdr:rowOff>
    </xdr:from>
    <xdr:to>
      <xdr:col>0</xdr:col>
      <xdr:colOff>2160</xdr:colOff>
      <xdr:row>55</xdr:row>
      <xdr:rowOff>95400</xdr:rowOff>
    </xdr:to>
    <xdr:graphicFrame>
      <xdr:nvGraphicFramePr>
        <xdr:cNvPr id="6" name="Chart 7"/>
        <xdr:cNvGraphicFramePr/>
      </xdr:nvGraphicFramePr>
      <xdr:xfrm>
        <a:off x="0" y="7362720"/>
        <a:ext cx="2160" cy="23911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0</xdr:col>
      <xdr:colOff>0</xdr:colOff>
      <xdr:row>12</xdr:row>
      <xdr:rowOff>56880</xdr:rowOff>
    </xdr:from>
    <xdr:to>
      <xdr:col>0</xdr:col>
      <xdr:colOff>2160</xdr:colOff>
      <xdr:row>24</xdr:row>
      <xdr:rowOff>171360</xdr:rowOff>
    </xdr:to>
    <xdr:graphicFrame>
      <xdr:nvGraphicFramePr>
        <xdr:cNvPr id="7" name="Chart 8"/>
        <xdr:cNvGraphicFramePr/>
      </xdr:nvGraphicFramePr>
      <xdr:xfrm>
        <a:off x="0" y="2657160"/>
        <a:ext cx="2160" cy="20768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 editAs="oneCell">
    <xdr:from>
      <xdr:col>0</xdr:col>
      <xdr:colOff>0</xdr:colOff>
      <xdr:row>56</xdr:row>
      <xdr:rowOff>28440</xdr:rowOff>
    </xdr:from>
    <xdr:to>
      <xdr:col>0</xdr:col>
      <xdr:colOff>2160</xdr:colOff>
      <xdr:row>73</xdr:row>
      <xdr:rowOff>47520</xdr:rowOff>
    </xdr:to>
    <xdr:graphicFrame>
      <xdr:nvGraphicFramePr>
        <xdr:cNvPr id="8" name="Chart 9"/>
        <xdr:cNvGraphicFramePr/>
      </xdr:nvGraphicFramePr>
      <xdr:xfrm>
        <a:off x="0" y="9848880"/>
        <a:ext cx="2160" cy="27716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 editAs="oneCell">
    <xdr:from>
      <xdr:col>0</xdr:col>
      <xdr:colOff>0</xdr:colOff>
      <xdr:row>12</xdr:row>
      <xdr:rowOff>28800</xdr:rowOff>
    </xdr:from>
    <xdr:to>
      <xdr:col>0</xdr:col>
      <xdr:colOff>2160</xdr:colOff>
      <xdr:row>24</xdr:row>
      <xdr:rowOff>171360</xdr:rowOff>
    </xdr:to>
    <xdr:graphicFrame>
      <xdr:nvGraphicFramePr>
        <xdr:cNvPr id="9" name="Chart 10"/>
        <xdr:cNvGraphicFramePr/>
      </xdr:nvGraphicFramePr>
      <xdr:xfrm>
        <a:off x="0" y="2629080"/>
        <a:ext cx="2160" cy="21049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2160</xdr:colOff>
      <xdr:row>40</xdr:row>
      <xdr:rowOff>37800</xdr:rowOff>
    </xdr:to>
    <xdr:graphicFrame>
      <xdr:nvGraphicFramePr>
        <xdr:cNvPr id="10" name="Chart 11"/>
        <xdr:cNvGraphicFramePr/>
      </xdr:nvGraphicFramePr>
      <xdr:xfrm>
        <a:off x="0" y="4905360"/>
        <a:ext cx="2160" cy="23335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2160</xdr:colOff>
      <xdr:row>40</xdr:row>
      <xdr:rowOff>28440</xdr:rowOff>
    </xdr:to>
    <xdr:graphicFrame>
      <xdr:nvGraphicFramePr>
        <xdr:cNvPr id="11" name="Chart 12"/>
        <xdr:cNvGraphicFramePr/>
      </xdr:nvGraphicFramePr>
      <xdr:xfrm>
        <a:off x="0" y="4905360"/>
        <a:ext cx="2160" cy="23241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 editAs="oneCell">
    <xdr:from>
      <xdr:col>0</xdr:col>
      <xdr:colOff>0</xdr:colOff>
      <xdr:row>41</xdr:row>
      <xdr:rowOff>0</xdr:rowOff>
    </xdr:from>
    <xdr:to>
      <xdr:col>0</xdr:col>
      <xdr:colOff>2160</xdr:colOff>
      <xdr:row>55</xdr:row>
      <xdr:rowOff>95400</xdr:rowOff>
    </xdr:to>
    <xdr:graphicFrame>
      <xdr:nvGraphicFramePr>
        <xdr:cNvPr id="12" name="Chart 13"/>
        <xdr:cNvGraphicFramePr/>
      </xdr:nvGraphicFramePr>
      <xdr:xfrm>
        <a:off x="0" y="7362720"/>
        <a:ext cx="2160" cy="23911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 editAs="oneCell">
    <xdr:from>
      <xdr:col>0</xdr:col>
      <xdr:colOff>0</xdr:colOff>
      <xdr:row>12</xdr:row>
      <xdr:rowOff>56880</xdr:rowOff>
    </xdr:from>
    <xdr:to>
      <xdr:col>0</xdr:col>
      <xdr:colOff>2160</xdr:colOff>
      <xdr:row>24</xdr:row>
      <xdr:rowOff>171360</xdr:rowOff>
    </xdr:to>
    <xdr:graphicFrame>
      <xdr:nvGraphicFramePr>
        <xdr:cNvPr id="13" name="Chart 14"/>
        <xdr:cNvGraphicFramePr/>
      </xdr:nvGraphicFramePr>
      <xdr:xfrm>
        <a:off x="0" y="2657160"/>
        <a:ext cx="2160" cy="20768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 editAs="oneCell">
    <xdr:from>
      <xdr:col>0</xdr:col>
      <xdr:colOff>0</xdr:colOff>
      <xdr:row>56</xdr:row>
      <xdr:rowOff>28440</xdr:rowOff>
    </xdr:from>
    <xdr:to>
      <xdr:col>0</xdr:col>
      <xdr:colOff>2160</xdr:colOff>
      <xdr:row>73</xdr:row>
      <xdr:rowOff>47520</xdr:rowOff>
    </xdr:to>
    <xdr:graphicFrame>
      <xdr:nvGraphicFramePr>
        <xdr:cNvPr id="14" name="Chart 15"/>
        <xdr:cNvGraphicFramePr/>
      </xdr:nvGraphicFramePr>
      <xdr:xfrm>
        <a:off x="0" y="9848880"/>
        <a:ext cx="2160" cy="27716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 editAs="oneCell">
    <xdr:from>
      <xdr:col>0</xdr:col>
      <xdr:colOff>0</xdr:colOff>
      <xdr:row>12</xdr:row>
      <xdr:rowOff>28800</xdr:rowOff>
    </xdr:from>
    <xdr:to>
      <xdr:col>0</xdr:col>
      <xdr:colOff>2160</xdr:colOff>
      <xdr:row>24</xdr:row>
      <xdr:rowOff>171360</xdr:rowOff>
    </xdr:to>
    <xdr:graphicFrame>
      <xdr:nvGraphicFramePr>
        <xdr:cNvPr id="15" name="Chart 16"/>
        <xdr:cNvGraphicFramePr/>
      </xdr:nvGraphicFramePr>
      <xdr:xfrm>
        <a:off x="0" y="2629080"/>
        <a:ext cx="2160" cy="21049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2160</xdr:colOff>
      <xdr:row>40</xdr:row>
      <xdr:rowOff>37800</xdr:rowOff>
    </xdr:to>
    <xdr:graphicFrame>
      <xdr:nvGraphicFramePr>
        <xdr:cNvPr id="16" name="Chart 17"/>
        <xdr:cNvGraphicFramePr/>
      </xdr:nvGraphicFramePr>
      <xdr:xfrm>
        <a:off x="0" y="4905360"/>
        <a:ext cx="2160" cy="23335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2160</xdr:colOff>
      <xdr:row>40</xdr:row>
      <xdr:rowOff>28440</xdr:rowOff>
    </xdr:to>
    <xdr:graphicFrame>
      <xdr:nvGraphicFramePr>
        <xdr:cNvPr id="17" name="Chart 18"/>
        <xdr:cNvGraphicFramePr/>
      </xdr:nvGraphicFramePr>
      <xdr:xfrm>
        <a:off x="0" y="4905360"/>
        <a:ext cx="2160" cy="23241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0</xdr:col>
      <xdr:colOff>0</xdr:colOff>
      <xdr:row>41</xdr:row>
      <xdr:rowOff>0</xdr:rowOff>
    </xdr:from>
    <xdr:to>
      <xdr:col>0</xdr:col>
      <xdr:colOff>2160</xdr:colOff>
      <xdr:row>55</xdr:row>
      <xdr:rowOff>95400</xdr:rowOff>
    </xdr:to>
    <xdr:graphicFrame>
      <xdr:nvGraphicFramePr>
        <xdr:cNvPr id="18" name="Chart 19"/>
        <xdr:cNvGraphicFramePr/>
      </xdr:nvGraphicFramePr>
      <xdr:xfrm>
        <a:off x="0" y="7362720"/>
        <a:ext cx="2160" cy="23911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 editAs="oneCell">
    <xdr:from>
      <xdr:col>0</xdr:col>
      <xdr:colOff>0</xdr:colOff>
      <xdr:row>12</xdr:row>
      <xdr:rowOff>56880</xdr:rowOff>
    </xdr:from>
    <xdr:to>
      <xdr:col>0</xdr:col>
      <xdr:colOff>2160</xdr:colOff>
      <xdr:row>24</xdr:row>
      <xdr:rowOff>171360</xdr:rowOff>
    </xdr:to>
    <xdr:graphicFrame>
      <xdr:nvGraphicFramePr>
        <xdr:cNvPr id="19" name="Chart 20"/>
        <xdr:cNvGraphicFramePr/>
      </xdr:nvGraphicFramePr>
      <xdr:xfrm>
        <a:off x="0" y="2657160"/>
        <a:ext cx="2160" cy="20768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 editAs="oneCell">
    <xdr:from>
      <xdr:col>0</xdr:col>
      <xdr:colOff>0</xdr:colOff>
      <xdr:row>56</xdr:row>
      <xdr:rowOff>28440</xdr:rowOff>
    </xdr:from>
    <xdr:to>
      <xdr:col>0</xdr:col>
      <xdr:colOff>2160</xdr:colOff>
      <xdr:row>73</xdr:row>
      <xdr:rowOff>47520</xdr:rowOff>
    </xdr:to>
    <xdr:graphicFrame>
      <xdr:nvGraphicFramePr>
        <xdr:cNvPr id="20" name="Chart 21"/>
        <xdr:cNvGraphicFramePr/>
      </xdr:nvGraphicFramePr>
      <xdr:xfrm>
        <a:off x="0" y="9848880"/>
        <a:ext cx="2160" cy="27716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 editAs="oneCell">
    <xdr:from>
      <xdr:col>0</xdr:col>
      <xdr:colOff>0</xdr:colOff>
      <xdr:row>12</xdr:row>
      <xdr:rowOff>28800</xdr:rowOff>
    </xdr:from>
    <xdr:to>
      <xdr:col>0</xdr:col>
      <xdr:colOff>2160</xdr:colOff>
      <xdr:row>24</xdr:row>
      <xdr:rowOff>171360</xdr:rowOff>
    </xdr:to>
    <xdr:graphicFrame>
      <xdr:nvGraphicFramePr>
        <xdr:cNvPr id="21" name="Chart 22"/>
        <xdr:cNvGraphicFramePr/>
      </xdr:nvGraphicFramePr>
      <xdr:xfrm>
        <a:off x="0" y="2629080"/>
        <a:ext cx="2160" cy="21049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2160</xdr:colOff>
      <xdr:row>40</xdr:row>
      <xdr:rowOff>37800</xdr:rowOff>
    </xdr:to>
    <xdr:graphicFrame>
      <xdr:nvGraphicFramePr>
        <xdr:cNvPr id="22" name="Chart 23"/>
        <xdr:cNvGraphicFramePr/>
      </xdr:nvGraphicFramePr>
      <xdr:xfrm>
        <a:off x="0" y="4905360"/>
        <a:ext cx="2160" cy="23335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2160</xdr:colOff>
      <xdr:row>40</xdr:row>
      <xdr:rowOff>28440</xdr:rowOff>
    </xdr:to>
    <xdr:graphicFrame>
      <xdr:nvGraphicFramePr>
        <xdr:cNvPr id="23" name="Chart 24"/>
        <xdr:cNvGraphicFramePr/>
      </xdr:nvGraphicFramePr>
      <xdr:xfrm>
        <a:off x="0" y="4905360"/>
        <a:ext cx="2160" cy="23241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  <xdr:twoCellAnchor editAs="oneCell">
    <xdr:from>
      <xdr:col>0</xdr:col>
      <xdr:colOff>0</xdr:colOff>
      <xdr:row>43</xdr:row>
      <xdr:rowOff>0</xdr:rowOff>
    </xdr:from>
    <xdr:to>
      <xdr:col>0</xdr:col>
      <xdr:colOff>2160</xdr:colOff>
      <xdr:row>57</xdr:row>
      <xdr:rowOff>95760</xdr:rowOff>
    </xdr:to>
    <xdr:graphicFrame>
      <xdr:nvGraphicFramePr>
        <xdr:cNvPr id="24" name="Chart 25"/>
        <xdr:cNvGraphicFramePr/>
      </xdr:nvGraphicFramePr>
      <xdr:xfrm>
        <a:off x="0" y="7686720"/>
        <a:ext cx="2160" cy="23911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5"/>
        </a:graphicData>
      </a:graphic>
    </xdr:graphicFrame>
    <xdr:clientData/>
  </xdr:twoCellAnchor>
  <xdr:twoCellAnchor editAs="oneCell">
    <xdr:from>
      <xdr:col>0</xdr:col>
      <xdr:colOff>0</xdr:colOff>
      <xdr:row>12</xdr:row>
      <xdr:rowOff>56880</xdr:rowOff>
    </xdr:from>
    <xdr:to>
      <xdr:col>0</xdr:col>
      <xdr:colOff>2160</xdr:colOff>
      <xdr:row>26</xdr:row>
      <xdr:rowOff>162000</xdr:rowOff>
    </xdr:to>
    <xdr:graphicFrame>
      <xdr:nvGraphicFramePr>
        <xdr:cNvPr id="25" name="Chart 26"/>
        <xdr:cNvGraphicFramePr/>
      </xdr:nvGraphicFramePr>
      <xdr:xfrm>
        <a:off x="0" y="2657160"/>
        <a:ext cx="2160" cy="24102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6"/>
        </a:graphicData>
      </a:graphic>
    </xdr:graphicFrame>
    <xdr:clientData/>
  </xdr:twoCellAnchor>
  <xdr:twoCellAnchor editAs="oneCell">
    <xdr:from>
      <xdr:col>0</xdr:col>
      <xdr:colOff>0</xdr:colOff>
      <xdr:row>58</xdr:row>
      <xdr:rowOff>28440</xdr:rowOff>
    </xdr:from>
    <xdr:to>
      <xdr:col>0</xdr:col>
      <xdr:colOff>2160</xdr:colOff>
      <xdr:row>75</xdr:row>
      <xdr:rowOff>47160</xdr:rowOff>
    </xdr:to>
    <xdr:graphicFrame>
      <xdr:nvGraphicFramePr>
        <xdr:cNvPr id="26" name="Chart 27"/>
        <xdr:cNvGraphicFramePr/>
      </xdr:nvGraphicFramePr>
      <xdr:xfrm>
        <a:off x="0" y="10172520"/>
        <a:ext cx="2160" cy="27716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7"/>
        </a:graphicData>
      </a:graphic>
    </xdr:graphicFrame>
    <xdr:clientData/>
  </xdr:twoCellAnchor>
  <xdr:twoCellAnchor editAs="oneCell">
    <xdr:from>
      <xdr:col>0</xdr:col>
      <xdr:colOff>0</xdr:colOff>
      <xdr:row>12</xdr:row>
      <xdr:rowOff>28800</xdr:rowOff>
    </xdr:from>
    <xdr:to>
      <xdr:col>0</xdr:col>
      <xdr:colOff>2160</xdr:colOff>
      <xdr:row>26</xdr:row>
      <xdr:rowOff>162000</xdr:rowOff>
    </xdr:to>
    <xdr:graphicFrame>
      <xdr:nvGraphicFramePr>
        <xdr:cNvPr id="27" name="Chart 28"/>
        <xdr:cNvGraphicFramePr/>
      </xdr:nvGraphicFramePr>
      <xdr:xfrm>
        <a:off x="0" y="2629080"/>
        <a:ext cx="2160" cy="24382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8"/>
        </a:graphicData>
      </a:graphic>
    </xdr:graphicFrame>
    <xdr:clientData/>
  </xdr:twoCellAnchor>
  <xdr:twoCellAnchor editAs="oneCell">
    <xdr:from>
      <xdr:col>0</xdr:col>
      <xdr:colOff>0</xdr:colOff>
      <xdr:row>28</xdr:row>
      <xdr:rowOff>0</xdr:rowOff>
    </xdr:from>
    <xdr:to>
      <xdr:col>0</xdr:col>
      <xdr:colOff>2160</xdr:colOff>
      <xdr:row>42</xdr:row>
      <xdr:rowOff>38160</xdr:rowOff>
    </xdr:to>
    <xdr:graphicFrame>
      <xdr:nvGraphicFramePr>
        <xdr:cNvPr id="28" name="Chart 29"/>
        <xdr:cNvGraphicFramePr/>
      </xdr:nvGraphicFramePr>
      <xdr:xfrm>
        <a:off x="0" y="5229360"/>
        <a:ext cx="2160" cy="23335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9"/>
        </a:graphicData>
      </a:graphic>
    </xdr:graphicFrame>
    <xdr:clientData/>
  </xdr:twoCellAnchor>
  <xdr:twoCellAnchor editAs="oneCell">
    <xdr:from>
      <xdr:col>0</xdr:col>
      <xdr:colOff>0</xdr:colOff>
      <xdr:row>28</xdr:row>
      <xdr:rowOff>0</xdr:rowOff>
    </xdr:from>
    <xdr:to>
      <xdr:col>0</xdr:col>
      <xdr:colOff>2160</xdr:colOff>
      <xdr:row>42</xdr:row>
      <xdr:rowOff>28440</xdr:rowOff>
    </xdr:to>
    <xdr:graphicFrame>
      <xdr:nvGraphicFramePr>
        <xdr:cNvPr id="29" name="Chart 30"/>
        <xdr:cNvGraphicFramePr/>
      </xdr:nvGraphicFramePr>
      <xdr:xfrm>
        <a:off x="0" y="5229360"/>
        <a:ext cx="2160" cy="23238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0"/>
        </a:graphicData>
      </a:graphic>
    </xdr:graphicFrame>
    <xdr:clientData/>
  </xdr:twoCellAnchor>
  <xdr:twoCellAnchor editAs="oneCell">
    <xdr:from>
      <xdr:col>3</xdr:col>
      <xdr:colOff>80280</xdr:colOff>
      <xdr:row>38</xdr:row>
      <xdr:rowOff>0</xdr:rowOff>
    </xdr:from>
    <xdr:to>
      <xdr:col>19</xdr:col>
      <xdr:colOff>585000</xdr:colOff>
      <xdr:row>56</xdr:row>
      <xdr:rowOff>66240</xdr:rowOff>
    </xdr:to>
    <xdr:graphicFrame>
      <xdr:nvGraphicFramePr>
        <xdr:cNvPr id="30" name="Chart 31"/>
        <xdr:cNvGraphicFramePr/>
      </xdr:nvGraphicFramePr>
      <xdr:xfrm>
        <a:off x="4619160" y="6877080"/>
        <a:ext cx="15154920" cy="30096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1"/>
        </a:graphicData>
      </a:graphic>
    </xdr:graphicFrame>
    <xdr:clientData/>
  </xdr:twoCellAnchor>
  <xdr:twoCellAnchor editAs="oneCell">
    <xdr:from>
      <xdr:col>7</xdr:col>
      <xdr:colOff>19800</xdr:colOff>
      <xdr:row>9</xdr:row>
      <xdr:rowOff>56880</xdr:rowOff>
    </xdr:from>
    <xdr:to>
      <xdr:col>16</xdr:col>
      <xdr:colOff>635040</xdr:colOff>
      <xdr:row>23</xdr:row>
      <xdr:rowOff>162000</xdr:rowOff>
    </xdr:to>
    <xdr:graphicFrame>
      <xdr:nvGraphicFramePr>
        <xdr:cNvPr id="31" name="Chart 32"/>
        <xdr:cNvGraphicFramePr/>
      </xdr:nvGraphicFramePr>
      <xdr:xfrm>
        <a:off x="8714880" y="2171520"/>
        <a:ext cx="8381880" cy="23911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2"/>
        </a:graphicData>
      </a:graphic>
    </xdr:graphicFrame>
    <xdr:clientData/>
  </xdr:twoCellAnchor>
  <xdr:twoCellAnchor editAs="oneCell">
    <xdr:from>
      <xdr:col>3</xdr:col>
      <xdr:colOff>70920</xdr:colOff>
      <xdr:row>57</xdr:row>
      <xdr:rowOff>28440</xdr:rowOff>
    </xdr:from>
    <xdr:to>
      <xdr:col>19</xdr:col>
      <xdr:colOff>634680</xdr:colOff>
      <xdr:row>74</xdr:row>
      <xdr:rowOff>66240</xdr:rowOff>
    </xdr:to>
    <xdr:graphicFrame>
      <xdr:nvGraphicFramePr>
        <xdr:cNvPr id="32" name="Chart 33"/>
        <xdr:cNvGraphicFramePr/>
      </xdr:nvGraphicFramePr>
      <xdr:xfrm>
        <a:off x="4609800" y="10010520"/>
        <a:ext cx="15213960" cy="27907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3"/>
        </a:graphicData>
      </a:graphic>
    </xdr:graphicFrame>
    <xdr:clientData/>
  </xdr:twoCellAnchor>
  <xdr:twoCellAnchor editAs="oneCell">
    <xdr:from>
      <xdr:col>16</xdr:col>
      <xdr:colOff>724320</xdr:colOff>
      <xdr:row>9</xdr:row>
      <xdr:rowOff>28440</xdr:rowOff>
    </xdr:from>
    <xdr:to>
      <xdr:col>25</xdr:col>
      <xdr:colOff>473400</xdr:colOff>
      <xdr:row>23</xdr:row>
      <xdr:rowOff>162000</xdr:rowOff>
    </xdr:to>
    <xdr:graphicFrame>
      <xdr:nvGraphicFramePr>
        <xdr:cNvPr id="33" name="Chart 34"/>
        <xdr:cNvGraphicFramePr/>
      </xdr:nvGraphicFramePr>
      <xdr:xfrm>
        <a:off x="17186040" y="2143080"/>
        <a:ext cx="6974280" cy="24195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4"/>
        </a:graphicData>
      </a:graphic>
    </xdr:graphicFrame>
    <xdr:clientData/>
  </xdr:twoCellAnchor>
  <xdr:twoCellAnchor editAs="oneCell">
    <xdr:from>
      <xdr:col>7</xdr:col>
      <xdr:colOff>0</xdr:colOff>
      <xdr:row>25</xdr:row>
      <xdr:rowOff>0</xdr:rowOff>
    </xdr:from>
    <xdr:to>
      <xdr:col>16</xdr:col>
      <xdr:colOff>694800</xdr:colOff>
      <xdr:row>37</xdr:row>
      <xdr:rowOff>38160</xdr:rowOff>
    </xdr:to>
    <xdr:graphicFrame>
      <xdr:nvGraphicFramePr>
        <xdr:cNvPr id="34" name="Chart 35"/>
        <xdr:cNvGraphicFramePr/>
      </xdr:nvGraphicFramePr>
      <xdr:xfrm>
        <a:off x="8695080" y="4734000"/>
        <a:ext cx="8461440" cy="20192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5"/>
        </a:graphicData>
      </a:graphic>
    </xdr:graphicFrame>
    <xdr:clientData/>
  </xdr:twoCellAnchor>
  <xdr:twoCellAnchor editAs="oneCell">
    <xdr:from>
      <xdr:col>17</xdr:col>
      <xdr:colOff>0</xdr:colOff>
      <xdr:row>25</xdr:row>
      <xdr:rowOff>0</xdr:rowOff>
    </xdr:from>
    <xdr:to>
      <xdr:col>25</xdr:col>
      <xdr:colOff>483480</xdr:colOff>
      <xdr:row>37</xdr:row>
      <xdr:rowOff>28440</xdr:rowOff>
    </xdr:to>
    <xdr:graphicFrame>
      <xdr:nvGraphicFramePr>
        <xdr:cNvPr id="35" name="Chart 36"/>
        <xdr:cNvGraphicFramePr/>
      </xdr:nvGraphicFramePr>
      <xdr:xfrm>
        <a:off x="17256600" y="4734000"/>
        <a:ext cx="6913800" cy="20095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6"/>
        </a:graphicData>
      </a:graphic>
    </xdr:graphicFrame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NAES/NATTS/ARUBA/Alcatraz/quotes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3"/>
      <sheetName val="eolquote"/>
      <sheetName val="gas supply deal"/>
      <sheetName val="WKEND SENDOUT"/>
      <sheetName val="Sheet2"/>
      <sheetName val="nng ventura"/>
      <sheetName val="SENDOUT"/>
      <sheetName val="ngpl dss deal"/>
      <sheetName val="gage (sept)"/>
      <sheetName val="ANR"/>
      <sheetName val="Cary"/>
      <sheetName val="Richie"/>
      <sheetName val="CHICAGO PRICES"/>
      <sheetName val="gage gas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T65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33.41"/>
    <col collapsed="false" customWidth="true" hidden="false" outlineLevel="0" max="2" min="2" style="1" width="13.99"/>
    <col collapsed="false" customWidth="true" hidden="false" outlineLevel="0" max="3" min="3" style="1" width="15.13"/>
    <col collapsed="false" customWidth="true" hidden="false" outlineLevel="0" max="5" min="4" style="1" width="16.84"/>
    <col collapsed="false" customWidth="true" hidden="false" outlineLevel="0" max="6" min="6" style="1" width="13.14"/>
    <col collapsed="false" customWidth="true" hidden="false" outlineLevel="0" max="7" min="7" style="1" width="12.14"/>
    <col collapsed="false" customWidth="true" hidden="false" outlineLevel="0" max="8" min="8" style="1" width="33.41"/>
    <col collapsed="false" customWidth="true" hidden="false" outlineLevel="0" max="10" min="9" style="1" width="13.99"/>
    <col collapsed="false" customWidth="true" hidden="false" outlineLevel="0" max="12" min="11" style="1" width="16.84"/>
    <col collapsed="false" customWidth="true" hidden="false" outlineLevel="0" max="13" min="13" style="1" width="13.14"/>
    <col collapsed="false" customWidth="true" hidden="false" outlineLevel="0" max="14" min="14" style="1" width="12.14"/>
    <col collapsed="false" customWidth="false" hidden="false" outlineLevel="0" max="16" min="15" style="1" width="9.14"/>
    <col collapsed="false" customWidth="true" hidden="false" outlineLevel="0" max="17" min="17" style="1" width="12.42"/>
    <col collapsed="false" customWidth="true" hidden="false" outlineLevel="0" max="19" min="18" style="1" width="13.7"/>
    <col collapsed="false" customWidth="true" hidden="false" outlineLevel="0" max="20" min="20" style="1" width="12.42"/>
    <col collapsed="false" customWidth="false" hidden="false" outlineLevel="0" max="25" min="21" style="1" width="9.14"/>
    <col collapsed="false" customWidth="true" hidden="false" outlineLevel="0" max="26" min="26" style="1" width="13.7"/>
    <col collapsed="false" customWidth="true" hidden="false" outlineLevel="0" max="28" min="27" style="1" width="13.14"/>
    <col collapsed="false" customWidth="false" hidden="false" outlineLevel="0" max="257" min="29" style="1" width="9.14"/>
  </cols>
  <sheetData>
    <row r="1" customFormat="false" ht="27.75" hidden="false" customHeight="true" outlineLevel="0" collapsed="false">
      <c r="A1" s="1" t="s">
        <v>0</v>
      </c>
      <c r="B1" s="2" t="n">
        <f aca="true">TODAY()</f>
        <v>45926</v>
      </c>
      <c r="H1" s="1" t="s">
        <v>0</v>
      </c>
      <c r="I1" s="2" t="n">
        <f aca="true">TODAY()</f>
        <v>45926</v>
      </c>
    </row>
    <row r="2" customFormat="false" ht="13.5" hidden="false" customHeight="false" outlineLevel="0" collapsed="false">
      <c r="A2" s="1" t="s">
        <v>1</v>
      </c>
      <c r="B2" s="2" t="n">
        <f aca="true">TODAY()+2</f>
        <v>45928</v>
      </c>
      <c r="H2" s="1" t="s">
        <v>1</v>
      </c>
      <c r="I2" s="2" t="n">
        <f aca="true">TODAY()+3</f>
        <v>45929</v>
      </c>
    </row>
    <row r="3" customFormat="false" ht="25.5" hidden="false" customHeight="true" outlineLevel="0" collapsed="false">
      <c r="B3" s="3" t="s">
        <v>2</v>
      </c>
      <c r="C3" s="3" t="s">
        <v>3</v>
      </c>
      <c r="D3" s="3" t="s">
        <v>4</v>
      </c>
      <c r="E3" s="3"/>
      <c r="I3" s="3" t="s">
        <v>2</v>
      </c>
      <c r="J3" s="3" t="s">
        <v>3</v>
      </c>
      <c r="K3" s="3" t="s">
        <v>4</v>
      </c>
      <c r="L3" s="3"/>
    </row>
    <row r="4" customFormat="false" ht="13.5" hidden="false" customHeight="false" outlineLevel="0" collapsed="false">
      <c r="A4" s="1" t="s">
        <v>5</v>
      </c>
      <c r="B4" s="4" t="n">
        <v>27</v>
      </c>
      <c r="C4" s="5" t="n">
        <v>15</v>
      </c>
      <c r="D4" s="6" t="n">
        <f aca="false">AVERAGE(B4,C4)</f>
        <v>21</v>
      </c>
      <c r="E4" s="7"/>
      <c r="H4" s="1" t="s">
        <v>5</v>
      </c>
      <c r="I4" s="4" t="n">
        <v>32</v>
      </c>
      <c r="J4" s="5" t="n">
        <v>24</v>
      </c>
      <c r="K4" s="6" t="n">
        <f aca="false">AVERAGE(I4,J4)</f>
        <v>28</v>
      </c>
      <c r="L4" s="7"/>
    </row>
    <row r="5" customFormat="false" ht="13.5" hidden="false" customHeight="false" outlineLevel="0" collapsed="false">
      <c r="A5" s="8"/>
      <c r="B5" s="9"/>
      <c r="C5" s="3" t="s">
        <v>6</v>
      </c>
      <c r="D5" s="8"/>
      <c r="E5" s="10"/>
      <c r="F5" s="9"/>
      <c r="G5" s="3" t="s">
        <v>6</v>
      </c>
      <c r="H5" s="8"/>
      <c r="I5" s="9"/>
      <c r="J5" s="3" t="s">
        <v>6</v>
      </c>
      <c r="K5" s="8"/>
      <c r="L5" s="10"/>
      <c r="M5" s="9"/>
      <c r="N5" s="3" t="s">
        <v>6</v>
      </c>
      <c r="P5" s="11" t="s">
        <v>7</v>
      </c>
      <c r="Q5" s="12"/>
      <c r="R5" s="13" t="n">
        <f aca="true">TODAY()-1</f>
        <v>45925</v>
      </c>
      <c r="S5" s="13" t="n">
        <f aca="true">TODAY()</f>
        <v>45926</v>
      </c>
      <c r="T5" s="13" t="s">
        <v>8</v>
      </c>
    </row>
    <row r="6" customFormat="false" ht="12.75" hidden="false" customHeight="false" outlineLevel="0" collapsed="false">
      <c r="A6" s="14" t="s">
        <v>9</v>
      </c>
      <c r="B6" s="15" t="n">
        <v>-1300000</v>
      </c>
      <c r="C6" s="16" t="n">
        <v>-1270000</v>
      </c>
      <c r="D6" s="14" t="s">
        <v>10</v>
      </c>
      <c r="E6" s="17"/>
      <c r="F6" s="15" t="n">
        <v>-160000</v>
      </c>
      <c r="G6" s="16" t="n">
        <v>-176000</v>
      </c>
      <c r="H6" s="14" t="s">
        <v>9</v>
      </c>
      <c r="I6" s="15" t="n">
        <v>-1040000</v>
      </c>
      <c r="J6" s="16" t="n">
        <v>-1060000</v>
      </c>
      <c r="K6" s="14" t="s">
        <v>10</v>
      </c>
      <c r="L6" s="17"/>
      <c r="M6" s="15" t="n">
        <v>-175000</v>
      </c>
      <c r="N6" s="16" t="n">
        <v>-178000</v>
      </c>
      <c r="P6" s="14" t="s">
        <v>11</v>
      </c>
      <c r="Q6" s="17"/>
      <c r="R6" s="16" t="n">
        <f aca="false">DAILY!L6</f>
        <v>36600</v>
      </c>
      <c r="S6" s="18" t="n">
        <f aca="false">DAILY!M6</f>
        <v>33200</v>
      </c>
      <c r="T6" s="19" t="n">
        <f aca="false">+S6-R6</f>
        <v>-3400</v>
      </c>
    </row>
    <row r="7" customFormat="false" ht="12.75" hidden="false" customHeight="false" outlineLevel="0" collapsed="false">
      <c r="A7" s="14" t="s">
        <v>12</v>
      </c>
      <c r="B7" s="15"/>
      <c r="D7" s="14" t="s">
        <v>12</v>
      </c>
      <c r="E7" s="17"/>
      <c r="F7" s="15" t="n">
        <v>0</v>
      </c>
      <c r="H7" s="14" t="s">
        <v>12</v>
      </c>
      <c r="I7" s="15"/>
      <c r="K7" s="14" t="s">
        <v>12</v>
      </c>
      <c r="L7" s="17"/>
      <c r="M7" s="15" t="n">
        <v>0</v>
      </c>
      <c r="P7" s="14" t="s">
        <v>13</v>
      </c>
      <c r="Q7" s="17"/>
      <c r="R7" s="20" t="n">
        <f aca="false">DAILY!L7</f>
        <v>0</v>
      </c>
      <c r="S7" s="20" t="n">
        <f aca="false">DAILY!M7</f>
        <v>0</v>
      </c>
      <c r="T7" s="21" t="n">
        <f aca="false">+S7-R7</f>
        <v>0</v>
      </c>
    </row>
    <row r="8" customFormat="false" ht="13.5" hidden="false" customHeight="false" outlineLevel="0" collapsed="false">
      <c r="A8" s="22" t="s">
        <v>14</v>
      </c>
      <c r="B8" s="15" t="n">
        <v>-25000</v>
      </c>
      <c r="D8" s="14" t="s">
        <v>15</v>
      </c>
      <c r="E8" s="17"/>
      <c r="F8" s="15"/>
      <c r="H8" s="23" t="s">
        <v>14</v>
      </c>
      <c r="I8" s="15" t="n">
        <v>-25000</v>
      </c>
      <c r="K8" s="14" t="s">
        <v>15</v>
      </c>
      <c r="L8" s="17"/>
      <c r="M8" s="15"/>
      <c r="P8" s="24" t="s">
        <v>16</v>
      </c>
      <c r="Q8" s="25"/>
      <c r="R8" s="26" t="n">
        <f aca="false">+(R6-R7)/2</f>
        <v>18300</v>
      </c>
      <c r="S8" s="27" t="n">
        <f aca="false">+(S6-S7)/2</f>
        <v>16600</v>
      </c>
      <c r="T8" s="28" t="n">
        <f aca="false">+S8-R8</f>
        <v>-1700</v>
      </c>
    </row>
    <row r="9" customFormat="false" ht="12.75" hidden="false" customHeight="false" outlineLevel="0" collapsed="false">
      <c r="A9" s="22" t="s">
        <v>17</v>
      </c>
      <c r="B9" s="15" t="n">
        <v>0</v>
      </c>
      <c r="D9" s="14" t="s">
        <v>18</v>
      </c>
      <c r="E9" s="17"/>
      <c r="F9" s="15" t="n">
        <v>-13000</v>
      </c>
      <c r="H9" s="23" t="s">
        <v>17</v>
      </c>
      <c r="I9" s="15" t="n">
        <v>0</v>
      </c>
      <c r="K9" s="14" t="s">
        <v>18</v>
      </c>
      <c r="L9" s="17"/>
      <c r="M9" s="15" t="n">
        <v>-13000</v>
      </c>
    </row>
    <row r="10" customFormat="false" ht="12.75" hidden="false" customHeight="false" outlineLevel="0" collapsed="false">
      <c r="A10" s="22" t="s">
        <v>19</v>
      </c>
      <c r="B10" s="15" t="n">
        <v>-16667</v>
      </c>
      <c r="C10" s="29"/>
      <c r="D10" s="14" t="s">
        <v>20</v>
      </c>
      <c r="E10" s="17"/>
      <c r="F10" s="15" t="n">
        <v>0</v>
      </c>
      <c r="H10" s="23" t="s">
        <v>19</v>
      </c>
      <c r="I10" s="15" t="n">
        <v>-16667</v>
      </c>
      <c r="J10" s="29"/>
      <c r="K10" s="14" t="s">
        <v>20</v>
      </c>
      <c r="L10" s="17"/>
      <c r="M10" s="15" t="n">
        <v>0</v>
      </c>
    </row>
    <row r="11" customFormat="false" ht="12.75" hidden="false" customHeight="false" outlineLevel="0" collapsed="false">
      <c r="A11" s="14" t="s">
        <v>21</v>
      </c>
      <c r="B11" s="15" t="n">
        <v>0</v>
      </c>
      <c r="C11" s="29"/>
      <c r="D11" s="14" t="s">
        <v>22</v>
      </c>
      <c r="E11" s="17"/>
      <c r="F11" s="15" t="n">
        <v>0</v>
      </c>
      <c r="H11" s="14" t="s">
        <v>21</v>
      </c>
      <c r="I11" s="15" t="n">
        <v>0</v>
      </c>
      <c r="J11" s="29"/>
      <c r="K11" s="14" t="s">
        <v>22</v>
      </c>
      <c r="L11" s="17"/>
      <c r="M11" s="15" t="n">
        <v>0</v>
      </c>
    </row>
    <row r="12" customFormat="false" ht="12.75" hidden="false" customHeight="false" outlineLevel="0" collapsed="false">
      <c r="A12" s="14" t="s">
        <v>23</v>
      </c>
      <c r="B12" s="15" t="n">
        <v>-11757</v>
      </c>
      <c r="D12" s="23" t="s">
        <v>24</v>
      </c>
      <c r="F12" s="15" t="n">
        <v>0</v>
      </c>
      <c r="H12" s="14" t="s">
        <v>23</v>
      </c>
      <c r="I12" s="15" t="n">
        <v>-11757</v>
      </c>
      <c r="K12" s="23" t="s">
        <v>24</v>
      </c>
      <c r="M12" s="15" t="n">
        <v>0</v>
      </c>
    </row>
    <row r="13" customFormat="false" ht="13.5" hidden="false" customHeight="false" outlineLevel="0" collapsed="false">
      <c r="A13" s="14" t="s">
        <v>25</v>
      </c>
      <c r="B13" s="15" t="n">
        <v>0</v>
      </c>
      <c r="D13" s="14" t="s">
        <v>26</v>
      </c>
      <c r="E13" s="17"/>
      <c r="F13" s="15" t="n">
        <v>0</v>
      </c>
      <c r="H13" s="14" t="s">
        <v>25</v>
      </c>
      <c r="I13" s="15" t="n">
        <v>0</v>
      </c>
      <c r="K13" s="14" t="s">
        <v>26</v>
      </c>
      <c r="L13" s="17"/>
      <c r="M13" s="15" t="n">
        <v>0</v>
      </c>
    </row>
    <row r="14" customFormat="false" ht="13.5" hidden="false" customHeight="false" outlineLevel="0" collapsed="false">
      <c r="A14" s="14" t="s">
        <v>7</v>
      </c>
      <c r="B14" s="15" t="n">
        <v>0</v>
      </c>
      <c r="C14" s="1" t="s">
        <v>27</v>
      </c>
      <c r="D14" s="30" t="s">
        <v>28</v>
      </c>
      <c r="E14" s="31"/>
      <c r="F14" s="32" t="n">
        <f aca="false">SUM(F6:F13)</f>
        <v>-173000</v>
      </c>
      <c r="H14" s="14" t="s">
        <v>7</v>
      </c>
      <c r="I14" s="15" t="n">
        <v>0</v>
      </c>
      <c r="J14" s="1" t="s">
        <v>27</v>
      </c>
      <c r="K14" s="30" t="s">
        <v>28</v>
      </c>
      <c r="L14" s="31"/>
      <c r="M14" s="32" t="n">
        <f aca="false">SUM(M6:M13)</f>
        <v>-188000</v>
      </c>
    </row>
    <row r="15" customFormat="false" ht="12.75" hidden="false" customHeight="false" outlineLevel="0" collapsed="false">
      <c r="A15" s="14" t="s">
        <v>15</v>
      </c>
      <c r="B15" s="15"/>
      <c r="C15" s="29"/>
      <c r="D15" s="14"/>
      <c r="E15" s="17"/>
      <c r="F15" s="15"/>
      <c r="H15" s="14" t="s">
        <v>15</v>
      </c>
      <c r="I15" s="15"/>
      <c r="J15" s="29"/>
      <c r="K15" s="14"/>
      <c r="L15" s="17"/>
      <c r="M15" s="15"/>
    </row>
    <row r="16" customFormat="false" ht="12.75" hidden="false" customHeight="false" outlineLevel="0" collapsed="false">
      <c r="A16" s="14" t="s">
        <v>26</v>
      </c>
      <c r="B16" s="15" t="n">
        <v>0</v>
      </c>
      <c r="C16" s="29"/>
      <c r="D16" s="14"/>
      <c r="E16" s="17"/>
      <c r="F16" s="15"/>
      <c r="H16" s="14" t="s">
        <v>26</v>
      </c>
      <c r="I16" s="15" t="n">
        <v>0</v>
      </c>
      <c r="J16" s="29"/>
      <c r="K16" s="14"/>
      <c r="L16" s="17"/>
      <c r="M16" s="15"/>
    </row>
    <row r="17" customFormat="false" ht="12.75" hidden="false" customHeight="false" outlineLevel="0" collapsed="false">
      <c r="A17" s="14" t="s">
        <v>29</v>
      </c>
      <c r="B17" s="15" t="n">
        <v>0</v>
      </c>
      <c r="C17" s="29"/>
      <c r="D17" s="14"/>
      <c r="E17" s="17"/>
      <c r="F17" s="15"/>
      <c r="H17" s="14" t="s">
        <v>29</v>
      </c>
      <c r="I17" s="15" t="n">
        <v>0</v>
      </c>
      <c r="J17" s="29"/>
      <c r="K17" s="14"/>
      <c r="L17" s="17"/>
      <c r="M17" s="15"/>
    </row>
    <row r="18" customFormat="false" ht="12.75" hidden="false" customHeight="false" outlineLevel="0" collapsed="false">
      <c r="A18" s="14" t="s">
        <v>30</v>
      </c>
      <c r="B18" s="15" t="n">
        <v>0</v>
      </c>
      <c r="C18" s="1" t="s">
        <v>27</v>
      </c>
      <c r="D18" s="14"/>
      <c r="E18" s="17"/>
      <c r="F18" s="15"/>
      <c r="G18" s="29" t="s">
        <v>27</v>
      </c>
      <c r="H18" s="14" t="s">
        <v>30</v>
      </c>
      <c r="I18" s="15" t="n">
        <v>0</v>
      </c>
      <c r="J18" s="1" t="s">
        <v>27</v>
      </c>
      <c r="K18" s="14"/>
      <c r="L18" s="17"/>
      <c r="M18" s="15"/>
    </row>
    <row r="19" customFormat="false" ht="12.75" hidden="false" customHeight="false" outlineLevel="0" collapsed="false">
      <c r="A19" s="14" t="s">
        <v>31</v>
      </c>
      <c r="B19" s="15" t="n">
        <v>-10000</v>
      </c>
      <c r="D19" s="14"/>
      <c r="E19" s="17"/>
      <c r="F19" s="15"/>
      <c r="H19" s="14" t="s">
        <v>31</v>
      </c>
      <c r="I19" s="15" t="n">
        <v>-10000</v>
      </c>
      <c r="K19" s="14"/>
      <c r="L19" s="17"/>
      <c r="M19" s="15"/>
    </row>
    <row r="20" customFormat="false" ht="12.75" hidden="false" customHeight="false" outlineLevel="0" collapsed="false">
      <c r="A20" s="14" t="s">
        <v>32</v>
      </c>
      <c r="B20" s="15" t="n">
        <v>0</v>
      </c>
      <c r="C20" s="29"/>
      <c r="D20" s="14"/>
      <c r="E20" s="17"/>
      <c r="F20" s="15"/>
      <c r="H20" s="14" t="s">
        <v>32</v>
      </c>
      <c r="I20" s="15" t="n">
        <v>0</v>
      </c>
      <c r="J20" s="29"/>
      <c r="K20" s="14"/>
      <c r="L20" s="17"/>
      <c r="M20" s="15"/>
    </row>
    <row r="21" customFormat="false" ht="12.75" hidden="false" customHeight="false" outlineLevel="0" collapsed="false">
      <c r="A21" s="14" t="s">
        <v>33</v>
      </c>
      <c r="B21" s="15" t="n">
        <v>0</v>
      </c>
      <c r="C21" s="29"/>
      <c r="D21" s="14"/>
      <c r="E21" s="17"/>
      <c r="F21" s="33"/>
      <c r="H21" s="14" t="s">
        <v>33</v>
      </c>
      <c r="I21" s="15" t="n">
        <v>0</v>
      </c>
      <c r="J21" s="29"/>
      <c r="K21" s="14"/>
      <c r="L21" s="17"/>
      <c r="M21" s="33"/>
    </row>
    <row r="22" customFormat="false" ht="12.75" hidden="false" customHeight="false" outlineLevel="0" collapsed="false">
      <c r="A22" s="14" t="s">
        <v>18</v>
      </c>
      <c r="B22" s="15" t="n">
        <f aca="false">-119591-833+28424</f>
        <v>-92000</v>
      </c>
      <c r="C22" s="29"/>
      <c r="D22" s="14"/>
      <c r="E22" s="17"/>
      <c r="F22" s="33"/>
      <c r="H22" s="14" t="s">
        <v>18</v>
      </c>
      <c r="I22" s="15" t="n">
        <v>-833</v>
      </c>
      <c r="J22" s="29"/>
      <c r="K22" s="14"/>
      <c r="L22" s="17"/>
      <c r="M22" s="33"/>
    </row>
    <row r="23" customFormat="false" ht="12.75" hidden="false" customHeight="false" outlineLevel="0" collapsed="false">
      <c r="A23" s="14" t="s">
        <v>34</v>
      </c>
      <c r="B23" s="15" t="n">
        <v>-1380</v>
      </c>
      <c r="C23" s="29" t="s">
        <v>27</v>
      </c>
      <c r="D23" s="14"/>
      <c r="E23" s="17"/>
      <c r="F23" s="33"/>
      <c r="H23" s="14" t="s">
        <v>34</v>
      </c>
      <c r="I23" s="15" t="n">
        <v>414</v>
      </c>
      <c r="J23" s="29" t="s">
        <v>27</v>
      </c>
      <c r="K23" s="14"/>
      <c r="L23" s="17"/>
      <c r="M23" s="33"/>
    </row>
    <row r="24" customFormat="false" ht="12.75" hidden="false" customHeight="false" outlineLevel="0" collapsed="false">
      <c r="A24" s="14" t="s">
        <v>35</v>
      </c>
      <c r="B24" s="15" t="n">
        <v>0</v>
      </c>
      <c r="D24" s="14" t="s">
        <v>36</v>
      </c>
      <c r="E24" s="17"/>
      <c r="F24" s="15" t="n">
        <v>39111</v>
      </c>
      <c r="H24" s="14" t="s">
        <v>35</v>
      </c>
      <c r="I24" s="15" t="n">
        <v>0</v>
      </c>
      <c r="K24" s="14" t="s">
        <v>36</v>
      </c>
      <c r="L24" s="17"/>
      <c r="M24" s="15" t="n">
        <v>39111</v>
      </c>
    </row>
    <row r="25" customFormat="false" ht="13.5" hidden="false" customHeight="false" outlineLevel="0" collapsed="false">
      <c r="A25" s="14" t="s">
        <v>37</v>
      </c>
      <c r="B25" s="15" t="n">
        <v>0</v>
      </c>
      <c r="D25" s="14" t="s">
        <v>38</v>
      </c>
      <c r="E25" s="17"/>
      <c r="F25" s="15" t="n">
        <v>5000</v>
      </c>
      <c r="H25" s="14" t="s">
        <v>37</v>
      </c>
      <c r="I25" s="15" t="n">
        <v>-51565</v>
      </c>
      <c r="K25" s="14" t="s">
        <v>38</v>
      </c>
      <c r="L25" s="17"/>
      <c r="M25" s="15" t="n">
        <v>5000</v>
      </c>
    </row>
    <row r="26" customFormat="false" ht="13.5" hidden="false" customHeight="false" outlineLevel="0" collapsed="false">
      <c r="A26" s="30" t="s">
        <v>28</v>
      </c>
      <c r="B26" s="32" t="n">
        <f aca="false">SUM(B6:B25)</f>
        <v>-1456804</v>
      </c>
      <c r="C26" s="29" t="n">
        <f aca="false">SUM(B26,B54)</f>
        <v>-290000</v>
      </c>
      <c r="D26" s="14" t="s">
        <v>39</v>
      </c>
      <c r="E26" s="17"/>
      <c r="F26" s="15" t="n">
        <v>14135</v>
      </c>
      <c r="H26" s="30" t="s">
        <v>28</v>
      </c>
      <c r="I26" s="32" t="n">
        <f aca="false">SUM(I6:I25)</f>
        <v>-1155408</v>
      </c>
      <c r="J26" s="29" t="n">
        <f aca="false">SUM(I26,I53)</f>
        <v>0</v>
      </c>
      <c r="K26" s="14" t="s">
        <v>39</v>
      </c>
      <c r="L26" s="17"/>
      <c r="M26" s="15" t="n">
        <v>14135</v>
      </c>
    </row>
    <row r="27" customFormat="false" ht="12.75" hidden="false" customHeight="false" outlineLevel="0" collapsed="false">
      <c r="A27" s="14"/>
      <c r="B27" s="15"/>
      <c r="D27" s="14" t="s">
        <v>40</v>
      </c>
      <c r="E27" s="17"/>
      <c r="F27" s="15" t="n">
        <v>33302</v>
      </c>
      <c r="H27" s="14"/>
      <c r="I27" s="15"/>
      <c r="K27" s="14" t="s">
        <v>40</v>
      </c>
      <c r="L27" s="17"/>
      <c r="M27" s="15" t="n">
        <v>33302</v>
      </c>
    </row>
    <row r="28" customFormat="false" ht="12.75" hidden="false" customHeight="false" outlineLevel="0" collapsed="false">
      <c r="A28" s="14" t="s">
        <v>36</v>
      </c>
      <c r="B28" s="15" t="n">
        <v>234599</v>
      </c>
      <c r="D28" s="14" t="s">
        <v>41</v>
      </c>
      <c r="E28" s="17"/>
      <c r="F28" s="15" t="n">
        <v>6000</v>
      </c>
      <c r="H28" s="14" t="s">
        <v>36</v>
      </c>
      <c r="I28" s="15" t="n">
        <v>234599</v>
      </c>
      <c r="K28" s="14" t="s">
        <v>41</v>
      </c>
      <c r="L28" s="17"/>
      <c r="M28" s="15" t="n">
        <v>6000</v>
      </c>
    </row>
    <row r="29" customFormat="false" ht="12.75" hidden="false" customHeight="false" outlineLevel="0" collapsed="false">
      <c r="A29" s="14" t="s">
        <v>38</v>
      </c>
      <c r="B29" s="15" t="n">
        <v>45000</v>
      </c>
      <c r="C29" s="29" t="s">
        <v>27</v>
      </c>
      <c r="D29" s="14" t="s">
        <v>42</v>
      </c>
      <c r="E29" s="17"/>
      <c r="F29" s="15" t="n">
        <v>7000</v>
      </c>
      <c r="H29" s="14" t="s">
        <v>38</v>
      </c>
      <c r="I29" s="15" t="n">
        <v>45000</v>
      </c>
      <c r="J29" s="29" t="s">
        <v>27</v>
      </c>
      <c r="K29" s="14" t="s">
        <v>42</v>
      </c>
      <c r="L29" s="17"/>
      <c r="M29" s="15" t="n">
        <v>7000</v>
      </c>
    </row>
    <row r="30" customFormat="false" ht="12.75" hidden="false" customHeight="false" outlineLevel="0" collapsed="false">
      <c r="A30" s="14" t="s">
        <v>39</v>
      </c>
      <c r="B30" s="15" t="n">
        <v>88114</v>
      </c>
      <c r="D30" s="14" t="s">
        <v>43</v>
      </c>
      <c r="E30" s="17"/>
      <c r="F30" s="15" t="n">
        <v>13000</v>
      </c>
      <c r="G30" s="29"/>
      <c r="H30" s="14" t="s">
        <v>39</v>
      </c>
      <c r="I30" s="15" t="n">
        <v>88114</v>
      </c>
      <c r="K30" s="14" t="s">
        <v>43</v>
      </c>
      <c r="L30" s="17"/>
      <c r="M30" s="15" t="n">
        <v>13000</v>
      </c>
    </row>
    <row r="31" customFormat="false" ht="12.75" hidden="false" customHeight="false" outlineLevel="0" collapsed="false">
      <c r="A31" s="14" t="s">
        <v>40</v>
      </c>
      <c r="B31" s="15" t="n">
        <v>277528</v>
      </c>
      <c r="C31" s="29" t="s">
        <v>27</v>
      </c>
      <c r="D31" s="14" t="s">
        <v>44</v>
      </c>
      <c r="E31" s="17"/>
      <c r="F31" s="15" t="n">
        <v>35000</v>
      </c>
      <c r="H31" s="14" t="s">
        <v>40</v>
      </c>
      <c r="I31" s="15" t="n">
        <v>277528</v>
      </c>
      <c r="J31" s="29" t="s">
        <v>27</v>
      </c>
      <c r="K31" s="14" t="s">
        <v>44</v>
      </c>
      <c r="L31" s="17"/>
      <c r="M31" s="15" t="n">
        <v>35000</v>
      </c>
      <c r="N31" s="29" t="n">
        <f aca="false">SUM(M35,M14)</f>
        <v>0</v>
      </c>
    </row>
    <row r="32" customFormat="false" ht="12.75" hidden="false" customHeight="false" outlineLevel="0" collapsed="false">
      <c r="A32" s="14" t="s">
        <v>45</v>
      </c>
      <c r="B32" s="15" t="n">
        <v>25000</v>
      </c>
      <c r="D32" s="14" t="s">
        <v>26</v>
      </c>
      <c r="E32" s="17"/>
      <c r="F32" s="15" t="n">
        <v>0</v>
      </c>
      <c r="G32" s="29" t="n">
        <f aca="false">SUM(F35,F14)</f>
        <v>0</v>
      </c>
      <c r="H32" s="14" t="s">
        <v>45</v>
      </c>
      <c r="I32" s="15" t="n">
        <v>25000</v>
      </c>
      <c r="K32" s="14" t="s">
        <v>26</v>
      </c>
      <c r="L32" s="17"/>
      <c r="M32" s="15" t="n">
        <v>0</v>
      </c>
    </row>
    <row r="33" customFormat="false" ht="12.75" hidden="false" customHeight="false" outlineLevel="0" collapsed="false">
      <c r="A33" s="14" t="s">
        <v>46</v>
      </c>
      <c r="B33" s="15" t="n">
        <v>57377</v>
      </c>
      <c r="D33" s="14" t="s">
        <v>24</v>
      </c>
      <c r="E33" s="17"/>
      <c r="F33" s="15" t="n">
        <v>20000</v>
      </c>
      <c r="H33" s="14" t="s">
        <v>46</v>
      </c>
      <c r="I33" s="15" t="n">
        <v>57377</v>
      </c>
      <c r="K33" s="14" t="s">
        <v>24</v>
      </c>
      <c r="L33" s="17"/>
      <c r="M33" s="15" t="n">
        <v>20000</v>
      </c>
    </row>
    <row r="34" customFormat="false" ht="13.5" hidden="false" customHeight="false" outlineLevel="0" collapsed="false">
      <c r="A34" s="14" t="s">
        <v>43</v>
      </c>
      <c r="B34" s="15" t="n">
        <v>330000</v>
      </c>
      <c r="D34" s="14" t="s">
        <v>47</v>
      </c>
      <c r="E34" s="17"/>
      <c r="F34" s="15" t="n">
        <v>452</v>
      </c>
      <c r="H34" s="14" t="s">
        <v>43</v>
      </c>
      <c r="I34" s="15" t="n">
        <f aca="false">80000+250000</f>
        <v>330000</v>
      </c>
      <c r="K34" s="14" t="s">
        <v>47</v>
      </c>
      <c r="L34" s="17"/>
      <c r="M34" s="15" t="n">
        <v>15452</v>
      </c>
    </row>
    <row r="35" customFormat="false" ht="13.5" hidden="false" customHeight="false" outlineLevel="0" collapsed="false">
      <c r="A35" s="14" t="s">
        <v>7</v>
      </c>
      <c r="B35" s="15" t="n">
        <v>0</v>
      </c>
      <c r="D35" s="30" t="s">
        <v>48</v>
      </c>
      <c r="E35" s="31"/>
      <c r="F35" s="32" t="n">
        <f aca="false">SUM(F24:F34)</f>
        <v>173000</v>
      </c>
      <c r="H35" s="14" t="s">
        <v>7</v>
      </c>
      <c r="I35" s="15" t="n">
        <v>0</v>
      </c>
      <c r="K35" s="30" t="s">
        <v>48</v>
      </c>
      <c r="L35" s="31"/>
      <c r="M35" s="32" t="n">
        <f aca="false">SUM(M24:M34)</f>
        <v>188000</v>
      </c>
    </row>
    <row r="36" customFormat="false" ht="13.5" hidden="false" customHeight="false" outlineLevel="0" collapsed="false">
      <c r="A36" s="14" t="s">
        <v>49</v>
      </c>
      <c r="B36" s="15" t="n">
        <v>0</v>
      </c>
      <c r="D36" s="24"/>
      <c r="E36" s="25"/>
      <c r="F36" s="34"/>
      <c r="H36" s="14" t="s">
        <v>49</v>
      </c>
      <c r="I36" s="15" t="n">
        <v>0</v>
      </c>
      <c r="K36" s="24"/>
      <c r="L36" s="25"/>
      <c r="M36" s="34"/>
    </row>
    <row r="37" customFormat="false" ht="12.75" hidden="false" customHeight="false" outlineLevel="0" collapsed="false">
      <c r="A37" s="14" t="s">
        <v>50</v>
      </c>
      <c r="B37" s="15" t="n">
        <v>0</v>
      </c>
      <c r="D37" s="0"/>
      <c r="E37" s="0"/>
      <c r="F37" s="0"/>
      <c r="H37" s="14" t="s">
        <v>50</v>
      </c>
      <c r="I37" s="15" t="n">
        <v>0</v>
      </c>
      <c r="K37" s="0"/>
      <c r="L37" s="0"/>
      <c r="M37" s="0"/>
    </row>
    <row r="38" customFormat="false" ht="12.75" hidden="false" customHeight="false" outlineLevel="0" collapsed="false">
      <c r="A38" s="14" t="s">
        <v>51</v>
      </c>
      <c r="B38" s="15" t="n">
        <v>0</v>
      </c>
      <c r="F38" s="16"/>
      <c r="H38" s="14" t="s">
        <v>51</v>
      </c>
      <c r="I38" s="15" t="n">
        <v>0</v>
      </c>
      <c r="M38" s="16"/>
    </row>
    <row r="39" customFormat="false" ht="12.75" hidden="false" customHeight="false" outlineLevel="0" collapsed="false">
      <c r="A39" s="14" t="s">
        <v>21</v>
      </c>
      <c r="B39" s="33"/>
      <c r="F39" s="16"/>
      <c r="H39" s="14" t="s">
        <v>21</v>
      </c>
      <c r="I39" s="33"/>
      <c r="M39" s="16"/>
    </row>
    <row r="40" customFormat="false" ht="12.75" hidden="false" customHeight="false" outlineLevel="0" collapsed="false">
      <c r="A40" s="14" t="s">
        <v>52</v>
      </c>
      <c r="B40" s="15" t="n">
        <v>833</v>
      </c>
      <c r="H40" s="14" t="s">
        <v>52</v>
      </c>
      <c r="I40" s="15" t="n">
        <v>833</v>
      </c>
    </row>
    <row r="41" customFormat="false" ht="12.75" hidden="false" customHeight="false" outlineLevel="0" collapsed="false">
      <c r="A41" s="14" t="s">
        <v>23</v>
      </c>
      <c r="B41" s="15" t="n">
        <v>0</v>
      </c>
      <c r="H41" s="14" t="s">
        <v>23</v>
      </c>
      <c r="I41" s="15" t="n">
        <v>28424</v>
      </c>
    </row>
    <row r="42" customFormat="false" ht="12.75" hidden="false" customHeight="false" outlineLevel="0" collapsed="false">
      <c r="A42" s="14" t="s">
        <v>53</v>
      </c>
      <c r="B42" s="15" t="n">
        <f aca="false">1500+1033</f>
        <v>2533</v>
      </c>
      <c r="H42" s="14" t="s">
        <v>53</v>
      </c>
      <c r="I42" s="15" t="n">
        <f aca="false">1500+1033</f>
        <v>2533</v>
      </c>
    </row>
    <row r="43" customFormat="false" ht="12.75" hidden="false" customHeight="false" outlineLevel="0" collapsed="false">
      <c r="A43" s="14" t="s">
        <v>54</v>
      </c>
      <c r="B43" s="15" t="n">
        <v>1000</v>
      </c>
      <c r="H43" s="14" t="s">
        <v>54</v>
      </c>
      <c r="I43" s="15" t="n">
        <v>1000</v>
      </c>
    </row>
    <row r="44" customFormat="false" ht="12.75" hidden="false" customHeight="false" outlineLevel="0" collapsed="false">
      <c r="A44" s="14" t="s">
        <v>55</v>
      </c>
      <c r="B44" s="15"/>
      <c r="H44" s="14" t="s">
        <v>55</v>
      </c>
      <c r="I44" s="15"/>
    </row>
    <row r="45" customFormat="false" ht="12.75" hidden="false" customHeight="false" outlineLevel="0" collapsed="false">
      <c r="A45" s="14" t="s">
        <v>56</v>
      </c>
      <c r="B45" s="15" t="n">
        <v>0</v>
      </c>
      <c r="H45" s="14" t="s">
        <v>56</v>
      </c>
      <c r="I45" s="15" t="n">
        <v>0</v>
      </c>
    </row>
    <row r="46" customFormat="false" ht="12.75" hidden="false" customHeight="false" outlineLevel="0" collapsed="false">
      <c r="A46" s="14" t="s">
        <v>26</v>
      </c>
      <c r="B46" s="15" t="n">
        <v>0</v>
      </c>
      <c r="H46" s="14" t="s">
        <v>26</v>
      </c>
      <c r="I46" s="15" t="n">
        <v>0</v>
      </c>
    </row>
    <row r="47" customFormat="false" ht="12.75" hidden="false" customHeight="false" outlineLevel="0" collapsed="false">
      <c r="A47" s="14" t="s">
        <v>29</v>
      </c>
      <c r="B47" s="15" t="n">
        <v>0</v>
      </c>
      <c r="H47" s="14" t="s">
        <v>29</v>
      </c>
      <c r="I47" s="15" t="n">
        <v>0</v>
      </c>
    </row>
    <row r="48" customFormat="false" ht="12.75" hidden="false" customHeight="false" outlineLevel="0" collapsed="false">
      <c r="A48" s="14" t="s">
        <v>57</v>
      </c>
      <c r="B48" s="15" t="n">
        <v>0</v>
      </c>
      <c r="H48" s="14" t="s">
        <v>57</v>
      </c>
      <c r="I48" s="15" t="n">
        <v>0</v>
      </c>
    </row>
    <row r="49" customFormat="false" ht="12.75" hidden="false" customHeight="false" outlineLevel="0" collapsed="false">
      <c r="A49" s="14" t="s">
        <v>58</v>
      </c>
      <c r="B49" s="15" t="n">
        <v>65000</v>
      </c>
      <c r="C49" s="29" t="n">
        <f aca="false">SUM(B54,B26)</f>
        <v>-290000</v>
      </c>
      <c r="H49" s="14" t="s">
        <v>58</v>
      </c>
      <c r="I49" s="15" t="n">
        <v>65000</v>
      </c>
      <c r="J49" s="29" t="n">
        <f aca="false">SUM(I53,I26)</f>
        <v>0</v>
      </c>
    </row>
    <row r="50" customFormat="false" ht="12.75" hidden="false" customHeight="false" outlineLevel="0" collapsed="false">
      <c r="A50" s="14" t="s">
        <v>59</v>
      </c>
      <c r="B50" s="15" t="n">
        <v>0</v>
      </c>
      <c r="F50" s="16"/>
      <c r="H50" s="14" t="s">
        <v>59</v>
      </c>
      <c r="I50" s="15" t="n">
        <v>0</v>
      </c>
      <c r="M50" s="16"/>
    </row>
    <row r="51" customFormat="false" ht="12.75" hidden="false" customHeight="false" outlineLevel="0" collapsed="false">
      <c r="A51" s="14" t="s">
        <v>33</v>
      </c>
      <c r="B51" s="15" t="n">
        <v>0</v>
      </c>
      <c r="F51" s="16"/>
      <c r="H51" s="14" t="s">
        <v>33</v>
      </c>
      <c r="I51" s="15" t="n">
        <v>0</v>
      </c>
      <c r="M51" s="16"/>
    </row>
    <row r="52" customFormat="false" ht="13.5" hidden="false" customHeight="false" outlineLevel="0" collapsed="false">
      <c r="A52" s="14" t="s">
        <v>18</v>
      </c>
      <c r="B52" s="15" t="n">
        <v>0</v>
      </c>
      <c r="C52" s="0"/>
      <c r="F52" s="16"/>
      <c r="H52" s="14" t="s">
        <v>18</v>
      </c>
      <c r="I52" s="15" t="n">
        <v>0</v>
      </c>
      <c r="J52" s="0"/>
      <c r="M52" s="16"/>
    </row>
    <row r="53" customFormat="false" ht="13.5" hidden="false" customHeight="false" outlineLevel="0" collapsed="false">
      <c r="A53" s="14" t="s">
        <v>47</v>
      </c>
      <c r="B53" s="15" t="n">
        <v>39820</v>
      </c>
      <c r="C53" s="0"/>
      <c r="F53" s="16"/>
      <c r="H53" s="30" t="s">
        <v>48</v>
      </c>
      <c r="I53" s="32" t="n">
        <f aca="false">SUM(I28:I52)</f>
        <v>1155408</v>
      </c>
      <c r="J53" s="0"/>
      <c r="M53" s="16"/>
    </row>
    <row r="54" customFormat="false" ht="13.5" hidden="false" customHeight="false" outlineLevel="0" collapsed="false">
      <c r="A54" s="30" t="s">
        <v>48</v>
      </c>
      <c r="B54" s="32" t="n">
        <f aca="false">SUM(B28:B53)</f>
        <v>1166804</v>
      </c>
      <c r="F54" s="16"/>
      <c r="H54" s="24"/>
      <c r="I54" s="35"/>
      <c r="M54" s="16"/>
    </row>
    <row r="55" customFormat="false" ht="13.5" hidden="false" customHeight="false" outlineLevel="0" collapsed="false">
      <c r="A55" s="24"/>
      <c r="B55" s="35"/>
    </row>
    <row r="56" customFormat="false" ht="12.75" hidden="false" customHeight="false" outlineLevel="0" collapsed="false">
      <c r="F56" s="16"/>
      <c r="M56" s="16"/>
    </row>
    <row r="57" customFormat="false" ht="12.75" hidden="false" customHeight="false" outlineLevel="0" collapsed="false">
      <c r="F57" s="16"/>
      <c r="M57" s="16"/>
    </row>
    <row r="58" customFormat="false" ht="12.75" hidden="false" customHeight="false" outlineLevel="0" collapsed="false">
      <c r="F58" s="16"/>
      <c r="M58" s="16"/>
    </row>
    <row r="59" customFormat="false" ht="12.75" hidden="false" customHeight="false" outlineLevel="0" collapsed="false">
      <c r="F59" s="16"/>
      <c r="M59" s="16"/>
    </row>
    <row r="60" customFormat="false" ht="12.75" hidden="false" customHeight="false" outlineLevel="0" collapsed="false">
      <c r="F60" s="16"/>
      <c r="M60" s="16"/>
    </row>
    <row r="61" customFormat="false" ht="12.75" hidden="false" customHeight="false" outlineLevel="0" collapsed="false">
      <c r="F61" s="16"/>
      <c r="M61" s="16"/>
    </row>
    <row r="62" customFormat="false" ht="12.75" hidden="false" customHeight="false" outlineLevel="0" collapsed="false">
      <c r="F62" s="16"/>
      <c r="M62" s="16"/>
    </row>
    <row r="63" customFormat="false" ht="12.75" hidden="false" customHeight="false" outlineLevel="0" collapsed="false">
      <c r="F63" s="16"/>
      <c r="M63" s="16"/>
    </row>
    <row r="64" customFormat="false" ht="12.75" hidden="false" customHeight="false" outlineLevel="0" collapsed="false">
      <c r="F64" s="16"/>
      <c r="M64" s="16"/>
    </row>
    <row r="65" customFormat="false" ht="12.75" hidden="false" customHeight="false" outlineLevel="0" collapsed="false">
      <c r="F65" s="16"/>
      <c r="M65" s="16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R61"/>
  <sheetViews>
    <sheetView showFormulas="false" showGridLines="true" showRowColHeaders="true" showZeros="true" rightToLeft="false" tabSelected="true" showOutlineSymbols="true" defaultGridColor="true" view="normal" topLeftCell="A1" colorId="64" zoomScale="75" zoomScaleNormal="75" zoomScalePageLayoutView="100" workbookViewId="0">
      <selection pane="topLeft" activeCell="B1" activeCellId="0" sqref="B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33.41"/>
    <col collapsed="false" customWidth="true" hidden="false" outlineLevel="0" max="2" min="2" style="1" width="16.99"/>
    <col collapsed="false" customWidth="true" hidden="false" outlineLevel="0" max="3" min="3" style="1" width="13.99"/>
    <col collapsed="false" customWidth="true" hidden="false" outlineLevel="0" max="5" min="4" style="1" width="16.84"/>
    <col collapsed="false" customWidth="true" hidden="false" outlineLevel="0" max="6" min="6" style="1" width="13.14"/>
    <col collapsed="false" customWidth="true" hidden="false" outlineLevel="0" max="7" min="7" style="1" width="12.14"/>
    <col collapsed="false" customWidth="true" hidden="false" outlineLevel="0" max="8" min="8" style="1" width="13.7"/>
    <col collapsed="false" customWidth="true" hidden="false" outlineLevel="0" max="9" min="9" style="1" width="11.56"/>
    <col collapsed="false" customWidth="true" hidden="false" outlineLevel="0" max="10" min="10" style="1" width="13.7"/>
    <col collapsed="false" customWidth="true" hidden="false" outlineLevel="0" max="11" min="11" style="1" width="13.14"/>
    <col collapsed="false" customWidth="true" hidden="false" outlineLevel="0" max="13" min="12" style="1" width="13.7"/>
    <col collapsed="false" customWidth="true" hidden="false" outlineLevel="0" max="14" min="14" style="1" width="12.42"/>
    <col collapsed="false" customWidth="false" hidden="false" outlineLevel="0" max="16" min="15" style="1" width="9.14"/>
    <col collapsed="false" customWidth="true" hidden="false" outlineLevel="0" max="17" min="17" style="1" width="11.28"/>
    <col collapsed="false" customWidth="true" hidden="false" outlineLevel="0" max="18" min="18" style="1" width="14.28"/>
    <col collapsed="false" customWidth="true" hidden="false" outlineLevel="0" max="20" min="19" style="1" width="13.14"/>
    <col collapsed="false" customWidth="false" hidden="false" outlineLevel="0" max="21" min="21" style="1" width="9.14"/>
    <col collapsed="false" customWidth="true" hidden="false" outlineLevel="0" max="22" min="22" style="1" width="12.99"/>
    <col collapsed="false" customWidth="true" hidden="false" outlineLevel="0" max="23" min="23" style="1" width="10.28"/>
    <col collapsed="false" customWidth="false" hidden="false" outlineLevel="0" max="27" min="24" style="1" width="9.14"/>
    <col collapsed="false" customWidth="true" hidden="false" outlineLevel="0" max="30" min="28" style="1" width="10.28"/>
    <col collapsed="false" customWidth="false" hidden="false" outlineLevel="0" max="31" min="31" style="1" width="9.14"/>
    <col collapsed="false" customWidth="true" hidden="false" outlineLevel="0" max="32" min="32" style="1" width="1.7"/>
    <col collapsed="false" customWidth="false" hidden="false" outlineLevel="0" max="36" min="33" style="1" width="9.14"/>
    <col collapsed="false" customWidth="true" hidden="false" outlineLevel="0" max="37" min="37" style="1" width="13.7"/>
    <col collapsed="false" customWidth="true" hidden="false" outlineLevel="0" max="38" min="38" style="1" width="16.99"/>
    <col collapsed="false" customWidth="true" hidden="false" outlineLevel="0" max="39" min="39" style="1" width="20.13"/>
    <col collapsed="false" customWidth="false" hidden="false" outlineLevel="0" max="40" min="40" style="1" width="9.14"/>
    <col collapsed="false" customWidth="true" hidden="false" outlineLevel="0" max="41" min="41" style="1" width="15.41"/>
    <col collapsed="false" customWidth="true" hidden="false" outlineLevel="0" max="42" min="42" style="1" width="14.7"/>
    <col collapsed="false" customWidth="true" hidden="false" outlineLevel="0" max="43" min="43" style="1" width="16.56"/>
    <col collapsed="false" customWidth="false" hidden="false" outlineLevel="0" max="257" min="44" style="1" width="9.14"/>
  </cols>
  <sheetData>
    <row r="1" customFormat="false" ht="48.75" hidden="false" customHeight="true" outlineLevel="0" collapsed="false">
      <c r="A1" s="1" t="s">
        <v>0</v>
      </c>
      <c r="B1" s="2" t="n">
        <f aca="true">TODAY()</f>
        <v>45926</v>
      </c>
      <c r="E1" s="36" t="s">
        <v>60</v>
      </c>
      <c r="F1" s="37" t="n">
        <v>1300000</v>
      </c>
      <c r="G1" s="12"/>
      <c r="H1" s="38" t="s">
        <v>61</v>
      </c>
      <c r="I1" s="39" t="n">
        <v>213000</v>
      </c>
      <c r="K1" s="16"/>
      <c r="R1" s="40" t="s">
        <v>62</v>
      </c>
      <c r="S1" s="41" t="n">
        <f aca="true">TODAY()+2</f>
        <v>45928</v>
      </c>
      <c r="T1" s="16" t="n">
        <v>985000</v>
      </c>
      <c r="V1" s="40" t="s">
        <v>63</v>
      </c>
      <c r="W1" s="41" t="n">
        <f aca="true">TODAY()+2</f>
        <v>45928</v>
      </c>
      <c r="X1" s="16" t="n">
        <v>149000</v>
      </c>
      <c r="AC1" s="40" t="s">
        <v>64</v>
      </c>
      <c r="AD1" s="40" t="s">
        <v>65</v>
      </c>
      <c r="AE1" s="40" t="s">
        <v>66</v>
      </c>
      <c r="AF1" s="40"/>
      <c r="AG1" s="40" t="s">
        <v>67</v>
      </c>
      <c r="AH1" s="40" t="s">
        <v>68</v>
      </c>
      <c r="AI1" s="40" t="s">
        <v>69</v>
      </c>
      <c r="AL1" s="40" t="s">
        <v>70</v>
      </c>
      <c r="AM1" s="40" t="s">
        <v>71</v>
      </c>
      <c r="AP1" s="3" t="s">
        <v>72</v>
      </c>
    </row>
    <row r="2" customFormat="false" ht="13.5" hidden="false" customHeight="false" outlineLevel="0" collapsed="false">
      <c r="A2" s="1" t="s">
        <v>1</v>
      </c>
      <c r="B2" s="2" t="n">
        <f aca="true">TODAY()+1</f>
        <v>45927</v>
      </c>
      <c r="D2" s="29"/>
      <c r="S2" s="41" t="n">
        <f aca="true">TODAY()+3</f>
        <v>45929</v>
      </c>
      <c r="T2" s="16" t="n">
        <v>910000</v>
      </c>
      <c r="W2" s="41" t="n">
        <f aca="true">TODAY()+3</f>
        <v>45929</v>
      </c>
      <c r="X2" s="16" t="n">
        <v>135000</v>
      </c>
      <c r="AB2" s="41" t="n">
        <v>36831</v>
      </c>
      <c r="AC2" s="29" t="n">
        <v>0</v>
      </c>
      <c r="AD2" s="29" t="n">
        <v>0</v>
      </c>
      <c r="AE2" s="42" t="n">
        <v>495450.4192</v>
      </c>
      <c r="AF2" s="42"/>
      <c r="AG2" s="29" t="n">
        <v>10</v>
      </c>
      <c r="AH2" s="29" t="n">
        <v>0</v>
      </c>
      <c r="AI2" s="29" t="n">
        <v>230</v>
      </c>
      <c r="AK2" s="41" t="n">
        <f aca="false">+AB2</f>
        <v>36831</v>
      </c>
      <c r="AL2" s="16" t="n">
        <f aca="false">290000+44000</f>
        <v>334000</v>
      </c>
      <c r="AM2" s="16" t="n">
        <f aca="false">286192+40846</f>
        <v>327038</v>
      </c>
      <c r="AO2" s="43" t="n">
        <f aca="false">+AK2</f>
        <v>36831</v>
      </c>
      <c r="AP2" s="16" t="n">
        <f aca="false">32467+246394</f>
        <v>278861</v>
      </c>
      <c r="AQ2" s="16"/>
      <c r="AR2" s="16"/>
    </row>
    <row r="3" customFormat="false" ht="25.5" hidden="false" customHeight="true" outlineLevel="0" collapsed="false">
      <c r="B3" s="3" t="s">
        <v>2</v>
      </c>
      <c r="C3" s="3" t="s">
        <v>3</v>
      </c>
      <c r="D3" s="3" t="s">
        <v>4</v>
      </c>
      <c r="E3" s="3"/>
      <c r="S3" s="41" t="n">
        <f aca="true">TODAY()+4</f>
        <v>45930</v>
      </c>
      <c r="T3" s="16" t="n">
        <v>880000</v>
      </c>
      <c r="W3" s="41" t="n">
        <f aca="true">TODAY()+4</f>
        <v>45930</v>
      </c>
      <c r="X3" s="16" t="n">
        <v>130000</v>
      </c>
      <c r="AB3" s="41" t="n">
        <v>36832</v>
      </c>
      <c r="AC3" s="29" t="n">
        <v>0</v>
      </c>
      <c r="AD3" s="29" t="n">
        <v>0</v>
      </c>
      <c r="AE3" s="42" t="n">
        <f aca="false">AE2-AC3+AD3</f>
        <v>495450.4192</v>
      </c>
      <c r="AF3" s="42"/>
      <c r="AG3" s="29" t="n">
        <v>10</v>
      </c>
      <c r="AH3" s="29" t="n">
        <v>0</v>
      </c>
      <c r="AI3" s="29" t="n">
        <f aca="false">AI2-AG3+AH3</f>
        <v>220</v>
      </c>
      <c r="AK3" s="41" t="n">
        <f aca="false">+AB3</f>
        <v>36832</v>
      </c>
      <c r="AL3" s="16" t="n">
        <f aca="false">330000+53000</f>
        <v>383000</v>
      </c>
      <c r="AM3" s="16" t="n">
        <f aca="false">352480+59358</f>
        <v>411838</v>
      </c>
      <c r="AO3" s="43" t="n">
        <f aca="false">+AK3</f>
        <v>36832</v>
      </c>
      <c r="AP3" s="16" t="n">
        <f aca="false">34446+237540</f>
        <v>271986</v>
      </c>
      <c r="AQ3" s="16"/>
      <c r="AR3" s="16"/>
    </row>
    <row r="4" customFormat="false" ht="13.5" hidden="false" customHeight="false" outlineLevel="0" collapsed="false">
      <c r="A4" s="1" t="s">
        <v>5</v>
      </c>
      <c r="B4" s="4" t="n">
        <v>27</v>
      </c>
      <c r="C4" s="5" t="n">
        <v>15</v>
      </c>
      <c r="D4" s="6" t="n">
        <f aca="false">AVERAGE(B4,C4)</f>
        <v>21</v>
      </c>
      <c r="E4" s="7"/>
      <c r="S4" s="41" t="s">
        <v>27</v>
      </c>
      <c r="AB4" s="41" t="n">
        <v>36833</v>
      </c>
      <c r="AC4" s="29" t="n">
        <v>0</v>
      </c>
      <c r="AD4" s="29" t="n">
        <v>0</v>
      </c>
      <c r="AE4" s="42" t="n">
        <f aca="false">AE3-AC4+AD4</f>
        <v>495450.4192</v>
      </c>
      <c r="AF4" s="42"/>
      <c r="AG4" s="29" t="n">
        <v>10</v>
      </c>
      <c r="AH4" s="29" t="n">
        <v>0</v>
      </c>
      <c r="AI4" s="29" t="n">
        <f aca="false">AI3-AG4+AH4</f>
        <v>210</v>
      </c>
      <c r="AK4" s="41" t="n">
        <f aca="false">+AB4</f>
        <v>36833</v>
      </c>
      <c r="AL4" s="16" t="n">
        <f aca="false">480000+81000</f>
        <v>561000</v>
      </c>
      <c r="AM4" s="16" t="n">
        <f aca="false">454135+80335</f>
        <v>534470</v>
      </c>
      <c r="AO4" s="43" t="n">
        <f aca="false">+AK4</f>
        <v>36833</v>
      </c>
      <c r="AP4" s="16" t="n">
        <f aca="false">235605+32871</f>
        <v>268476</v>
      </c>
      <c r="AQ4" s="16"/>
      <c r="AR4" s="16"/>
    </row>
    <row r="5" customFormat="false" ht="13.5" hidden="false" customHeight="false" outlineLevel="0" collapsed="false">
      <c r="A5" s="8"/>
      <c r="B5" s="9"/>
      <c r="C5" s="3" t="s">
        <v>6</v>
      </c>
      <c r="D5" s="8"/>
      <c r="E5" s="10"/>
      <c r="F5" s="9"/>
      <c r="G5" s="3" t="s">
        <v>6</v>
      </c>
      <c r="I5" s="3"/>
      <c r="J5" s="11" t="s">
        <v>7</v>
      </c>
      <c r="K5" s="12"/>
      <c r="L5" s="13" t="n">
        <f aca="true">TODAY()-1</f>
        <v>45925</v>
      </c>
      <c r="M5" s="44" t="n">
        <f aca="true">TODAY()</f>
        <v>45926</v>
      </c>
      <c r="N5" s="45" t="s">
        <v>73</v>
      </c>
      <c r="AB5" s="41" t="n">
        <v>36834</v>
      </c>
      <c r="AC5" s="29" t="n">
        <v>0</v>
      </c>
      <c r="AD5" s="29" t="n">
        <v>0</v>
      </c>
      <c r="AE5" s="42" t="n">
        <f aca="false">AE4-AC5+AD5</f>
        <v>495450.4192</v>
      </c>
      <c r="AF5" s="42"/>
      <c r="AG5" s="29" t="n">
        <v>10</v>
      </c>
      <c r="AH5" s="29" t="n">
        <v>0</v>
      </c>
      <c r="AI5" s="29" t="n">
        <f aca="false">AI4-AG5+AH5</f>
        <v>200</v>
      </c>
      <c r="AK5" s="41" t="n">
        <f aca="false">+AB5</f>
        <v>36834</v>
      </c>
      <c r="AL5" s="16" t="n">
        <f aca="false">480000+78000</f>
        <v>558000</v>
      </c>
      <c r="AM5" s="16" t="n">
        <f aca="false">488357+86492</f>
        <v>574849</v>
      </c>
      <c r="AO5" s="43" t="n">
        <f aca="false">+AK5</f>
        <v>36834</v>
      </c>
      <c r="AP5" s="16" t="n">
        <f aca="false">232006+34239</f>
        <v>266245</v>
      </c>
      <c r="AQ5" s="16"/>
      <c r="AR5" s="16"/>
    </row>
    <row r="6" customFormat="false" ht="12.75" hidden="false" customHeight="false" outlineLevel="0" collapsed="false">
      <c r="A6" s="14" t="s">
        <v>9</v>
      </c>
      <c r="B6" s="15" t="n">
        <v>-1240000</v>
      </c>
      <c r="C6" s="16" t="n">
        <v>-1240000</v>
      </c>
      <c r="D6" s="14" t="s">
        <v>10</v>
      </c>
      <c r="E6" s="17"/>
      <c r="F6" s="15" t="n">
        <v>-203000</v>
      </c>
      <c r="G6" s="16" t="n">
        <v>-203000</v>
      </c>
      <c r="I6" s="16"/>
      <c r="J6" s="14" t="s">
        <v>11</v>
      </c>
      <c r="K6" s="17"/>
      <c r="L6" s="46" t="n">
        <f aca="false">18300*2</f>
        <v>36600</v>
      </c>
      <c r="M6" s="16" t="n">
        <f aca="false">16600*2</f>
        <v>33200</v>
      </c>
      <c r="N6" s="47" t="n">
        <f aca="false">+M6-L6</f>
        <v>-3400</v>
      </c>
      <c r="AB6" s="41" t="n">
        <v>36835</v>
      </c>
      <c r="AC6" s="29" t="n">
        <v>0</v>
      </c>
      <c r="AD6" s="29" t="n">
        <v>0</v>
      </c>
      <c r="AE6" s="42" t="n">
        <f aca="false">AE5-AC6+AD6</f>
        <v>495450.4192</v>
      </c>
      <c r="AF6" s="42"/>
      <c r="AG6" s="29" t="n">
        <v>10</v>
      </c>
      <c r="AH6" s="29" t="n">
        <v>0</v>
      </c>
      <c r="AI6" s="29" t="n">
        <f aca="false">AI5-AG6+AH6</f>
        <v>190</v>
      </c>
      <c r="AK6" s="41" t="n">
        <f aca="false">+AB6</f>
        <v>36835</v>
      </c>
      <c r="AL6" s="16" t="n">
        <f aca="false">480000+76000</f>
        <v>556000</v>
      </c>
      <c r="AM6" s="16" t="n">
        <f aca="false">462731+72910</f>
        <v>535641</v>
      </c>
      <c r="AO6" s="43" t="n">
        <f aca="false">+AK6</f>
        <v>36835</v>
      </c>
      <c r="AP6" s="16" t="n">
        <f aca="false">34239+232006</f>
        <v>266245</v>
      </c>
      <c r="AQ6" s="16"/>
      <c r="AR6" s="16"/>
    </row>
    <row r="7" customFormat="false" ht="12.75" hidden="false" customHeight="false" outlineLevel="0" collapsed="false">
      <c r="A7" s="14" t="s">
        <v>12</v>
      </c>
      <c r="B7" s="15"/>
      <c r="D7" s="14" t="s">
        <v>12</v>
      </c>
      <c r="E7" s="17"/>
      <c r="F7" s="15" t="n">
        <v>0</v>
      </c>
      <c r="H7" s="16"/>
      <c r="I7" s="16"/>
      <c r="J7" s="14" t="s">
        <v>13</v>
      </c>
      <c r="K7" s="17"/>
      <c r="L7" s="20" t="n">
        <v>0</v>
      </c>
      <c r="M7" s="16" t="n">
        <v>0</v>
      </c>
      <c r="N7" s="48" t="n">
        <f aca="false">+M7-L7</f>
        <v>0</v>
      </c>
      <c r="AB7" s="41" t="n">
        <v>36836</v>
      </c>
      <c r="AC7" s="29" t="n">
        <v>0</v>
      </c>
      <c r="AD7" s="29" t="n">
        <v>0</v>
      </c>
      <c r="AE7" s="42" t="n">
        <f aca="false">AE6-AC7+AD7</f>
        <v>495450.4192</v>
      </c>
      <c r="AF7" s="42"/>
      <c r="AG7" s="29" t="n">
        <v>200</v>
      </c>
      <c r="AH7" s="29" t="n">
        <v>10</v>
      </c>
      <c r="AI7" s="29" t="n">
        <f aca="false">AI6-AG7+AH7</f>
        <v>0</v>
      </c>
      <c r="AK7" s="41" t="n">
        <f aca="false">+AB7</f>
        <v>36836</v>
      </c>
      <c r="AL7" s="16" t="n">
        <f aca="false">445000+69000</f>
        <v>514000</v>
      </c>
      <c r="AM7" s="16" t="n">
        <f aca="false">556513+87755</f>
        <v>644268</v>
      </c>
      <c r="AO7" s="43" t="n">
        <f aca="false">+AK7</f>
        <v>36836</v>
      </c>
      <c r="AP7" s="16" t="n">
        <f aca="false">34239+232006</f>
        <v>266245</v>
      </c>
      <c r="AQ7" s="16"/>
      <c r="AR7" s="16"/>
    </row>
    <row r="8" customFormat="false" ht="13.5" hidden="false" customHeight="false" outlineLevel="0" collapsed="false">
      <c r="A8" s="22" t="s">
        <v>14</v>
      </c>
      <c r="B8" s="15" t="n">
        <v>-25000</v>
      </c>
      <c r="D8" s="14" t="s">
        <v>15</v>
      </c>
      <c r="E8" s="17"/>
      <c r="F8" s="15"/>
      <c r="H8" s="16"/>
      <c r="I8" s="16"/>
      <c r="J8" s="24" t="s">
        <v>16</v>
      </c>
      <c r="K8" s="25"/>
      <c r="L8" s="26" t="n">
        <f aca="false">(+L6-L7)/2</f>
        <v>18300</v>
      </c>
      <c r="M8" s="26" t="n">
        <f aca="false">(+M6-M7)/2</f>
        <v>16600</v>
      </c>
      <c r="N8" s="49" t="n">
        <f aca="false">+M8-L8</f>
        <v>-1700</v>
      </c>
      <c r="AB8" s="41" t="n">
        <v>36837</v>
      </c>
      <c r="AC8" s="29" t="n">
        <v>0</v>
      </c>
      <c r="AD8" s="29" t="n">
        <v>0</v>
      </c>
      <c r="AE8" s="42" t="n">
        <f aca="false">AE7-AC8+AD8</f>
        <v>495450.4192</v>
      </c>
      <c r="AF8" s="42"/>
      <c r="AG8" s="29" t="n">
        <v>10</v>
      </c>
      <c r="AH8" s="29" t="n">
        <v>10</v>
      </c>
      <c r="AI8" s="29" t="n">
        <f aca="false">AI7-AG8+AH8</f>
        <v>0</v>
      </c>
      <c r="AK8" s="41" t="n">
        <f aca="false">+AB8</f>
        <v>36837</v>
      </c>
      <c r="AL8" s="16" t="n">
        <f aca="false">530000+87000</f>
        <v>617000</v>
      </c>
      <c r="AM8" s="16" t="n">
        <f aca="false">108959+600348</f>
        <v>709307</v>
      </c>
      <c r="AO8" s="43" t="n">
        <f aca="false">+AK8</f>
        <v>36837</v>
      </c>
      <c r="AP8" s="16" t="n">
        <f aca="false">231393+32609</f>
        <v>264002</v>
      </c>
      <c r="AQ8" s="16"/>
      <c r="AR8" s="16"/>
    </row>
    <row r="9" customFormat="false" ht="12.75" hidden="false" customHeight="false" outlineLevel="0" collapsed="false">
      <c r="A9" s="22" t="s">
        <v>17</v>
      </c>
      <c r="B9" s="15" t="n">
        <v>0</v>
      </c>
      <c r="D9" s="14" t="s">
        <v>18</v>
      </c>
      <c r="E9" s="17"/>
      <c r="F9" s="15" t="n">
        <v>-13000</v>
      </c>
      <c r="H9" s="16"/>
      <c r="I9" s="16"/>
      <c r="M9" s="16"/>
      <c r="AB9" s="41" t="n">
        <v>36838</v>
      </c>
      <c r="AC9" s="29" t="n">
        <v>0</v>
      </c>
      <c r="AD9" s="29" t="n">
        <v>0</v>
      </c>
      <c r="AE9" s="42" t="n">
        <f aca="false">AE8-AC9+AD9</f>
        <v>495450.4192</v>
      </c>
      <c r="AF9" s="42"/>
      <c r="AG9" s="29" t="n">
        <v>10</v>
      </c>
      <c r="AH9" s="29" t="n">
        <v>10</v>
      </c>
      <c r="AI9" s="29" t="n">
        <f aca="false">AI8-AG9+AH9</f>
        <v>0</v>
      </c>
      <c r="AK9" s="41" t="n">
        <f aca="false">+AB9</f>
        <v>36838</v>
      </c>
      <c r="AL9" s="16" t="n">
        <f aca="false">660000+111000</f>
        <v>771000</v>
      </c>
      <c r="AM9" s="16" t="n">
        <f aca="false">106254+624431</f>
        <v>730685</v>
      </c>
      <c r="AO9" s="43" t="n">
        <f aca="false">+AK9</f>
        <v>36838</v>
      </c>
      <c r="AP9" s="16" t="n">
        <f aca="false">223066+32561</f>
        <v>255627</v>
      </c>
      <c r="AQ9" s="16"/>
      <c r="AR9" s="16"/>
    </row>
    <row r="10" customFormat="false" ht="12.75" hidden="false" customHeight="false" outlineLevel="0" collapsed="false">
      <c r="A10" s="22" t="s">
        <v>19</v>
      </c>
      <c r="B10" s="15" t="n">
        <f aca="false">-16667-110000</f>
        <v>-126667</v>
      </c>
      <c r="C10" s="29"/>
      <c r="D10" s="14" t="s">
        <v>20</v>
      </c>
      <c r="E10" s="17"/>
      <c r="F10" s="15" t="n">
        <v>0</v>
      </c>
      <c r="H10" s="16"/>
      <c r="I10" s="16"/>
      <c r="AB10" s="41" t="n">
        <v>36839</v>
      </c>
      <c r="AC10" s="29" t="n">
        <f aca="false">7640*2</f>
        <v>15280</v>
      </c>
      <c r="AD10" s="29" t="n">
        <v>0</v>
      </c>
      <c r="AE10" s="42" t="n">
        <f aca="false">AE9-AC10+AD10</f>
        <v>480170.4192</v>
      </c>
      <c r="AF10" s="42"/>
      <c r="AG10" s="29" t="n">
        <v>10</v>
      </c>
      <c r="AH10" s="29" t="n">
        <v>10</v>
      </c>
      <c r="AI10" s="29" t="n">
        <f aca="false">AI9-AG10+AH10</f>
        <v>0</v>
      </c>
      <c r="AK10" s="41" t="n">
        <f aca="false">+AB10</f>
        <v>36839</v>
      </c>
      <c r="AL10" s="16" t="n">
        <f aca="false">720000+124000</f>
        <v>844000</v>
      </c>
      <c r="AM10" s="16" t="n">
        <f aca="false">141779+812358</f>
        <v>954137</v>
      </c>
      <c r="AO10" s="43" t="n">
        <f aca="false">+AK10</f>
        <v>36839</v>
      </c>
      <c r="AP10" s="16" t="n">
        <f aca="false">232855+32711</f>
        <v>265566</v>
      </c>
      <c r="AQ10" s="16"/>
      <c r="AR10" s="16"/>
    </row>
    <row r="11" customFormat="false" ht="12.75" hidden="false" customHeight="false" outlineLevel="0" collapsed="false">
      <c r="A11" s="14" t="s">
        <v>21</v>
      </c>
      <c r="B11" s="15" t="n">
        <v>0</v>
      </c>
      <c r="C11" s="29"/>
      <c r="D11" s="14" t="s">
        <v>22</v>
      </c>
      <c r="E11" s="17"/>
      <c r="F11" s="15" t="n">
        <v>0</v>
      </c>
      <c r="H11" s="16"/>
      <c r="I11" s="16"/>
      <c r="S11" s="42"/>
      <c r="AB11" s="41" t="n">
        <v>36840</v>
      </c>
      <c r="AC11" s="29" t="n">
        <v>0</v>
      </c>
      <c r="AD11" s="29" t="n">
        <v>0</v>
      </c>
      <c r="AE11" s="42" t="n">
        <f aca="false">AE10-AC11+AD11</f>
        <v>480170.4192</v>
      </c>
      <c r="AF11" s="42"/>
      <c r="AG11" s="29" t="n">
        <v>10</v>
      </c>
      <c r="AH11" s="29" t="n">
        <v>10</v>
      </c>
      <c r="AI11" s="29" t="n">
        <f aca="false">AI10-AG11+AH11</f>
        <v>0</v>
      </c>
      <c r="AK11" s="41" t="n">
        <f aca="false">+AB11</f>
        <v>36840</v>
      </c>
      <c r="AL11" s="16" t="n">
        <f aca="false">800000+140000</f>
        <v>940000</v>
      </c>
      <c r="AM11" s="16" t="n">
        <f aca="false">138497+783803</f>
        <v>922300</v>
      </c>
      <c r="AO11" s="43" t="n">
        <f aca="false">+AK11</f>
        <v>36840</v>
      </c>
      <c r="AP11" s="16" t="n">
        <f aca="false">214247+32711</f>
        <v>246958</v>
      </c>
      <c r="AQ11" s="16"/>
      <c r="AR11" s="16"/>
    </row>
    <row r="12" customFormat="false" ht="12.75" hidden="false" customHeight="false" outlineLevel="0" collapsed="false">
      <c r="A12" s="14" t="s">
        <v>23</v>
      </c>
      <c r="B12" s="15" t="n">
        <f aca="false">-11757</f>
        <v>-11757</v>
      </c>
      <c r="D12" s="23" t="s">
        <v>74</v>
      </c>
      <c r="F12" s="15" t="n">
        <v>0</v>
      </c>
      <c r="H12" s="16" t="s">
        <v>27</v>
      </c>
      <c r="I12" s="16"/>
      <c r="S12" s="42"/>
      <c r="AB12" s="41" t="n">
        <v>36841</v>
      </c>
      <c r="AC12" s="29" t="n">
        <v>0</v>
      </c>
      <c r="AD12" s="29" t="n">
        <v>0</v>
      </c>
      <c r="AE12" s="42" t="n">
        <f aca="false">AE11-AC12+AD12</f>
        <v>480170.4192</v>
      </c>
      <c r="AF12" s="42"/>
      <c r="AG12" s="29" t="n">
        <v>10</v>
      </c>
      <c r="AH12" s="29" t="n">
        <v>10</v>
      </c>
      <c r="AI12" s="29" t="n">
        <f aca="false">AI11-AG12+AH12</f>
        <v>0</v>
      </c>
      <c r="AK12" s="41" t="n">
        <f aca="false">+AB12</f>
        <v>36841</v>
      </c>
      <c r="AL12" s="16" t="n">
        <f aca="false">670000+125000</f>
        <v>795000</v>
      </c>
      <c r="AM12" s="16" t="n">
        <f aca="false">103844+661468</f>
        <v>765312</v>
      </c>
      <c r="AO12" s="43" t="n">
        <f aca="false">+AK12</f>
        <v>36841</v>
      </c>
      <c r="AP12" s="16" t="n">
        <f aca="false">254628+32303</f>
        <v>286931</v>
      </c>
      <c r="AQ12" s="16"/>
      <c r="AR12" s="16"/>
    </row>
    <row r="13" customFormat="false" ht="13.5" hidden="false" customHeight="false" outlineLevel="0" collapsed="false">
      <c r="A13" s="14" t="s">
        <v>25</v>
      </c>
      <c r="B13" s="15" t="n">
        <v>0</v>
      </c>
      <c r="D13" s="14" t="s">
        <v>26</v>
      </c>
      <c r="E13" s="17"/>
      <c r="F13" s="15" t="n">
        <v>0</v>
      </c>
      <c r="H13" s="16"/>
      <c r="I13" s="16"/>
      <c r="S13" s="42"/>
      <c r="AB13" s="41" t="n">
        <v>36842</v>
      </c>
      <c r="AC13" s="29" t="n">
        <v>0</v>
      </c>
      <c r="AD13" s="29" t="n">
        <v>0</v>
      </c>
      <c r="AE13" s="42" t="n">
        <f aca="false">AE12-AC13+AD13</f>
        <v>480170.4192</v>
      </c>
      <c r="AF13" s="42"/>
      <c r="AG13" s="29" t="n">
        <v>10</v>
      </c>
      <c r="AH13" s="29" t="n">
        <v>10</v>
      </c>
      <c r="AI13" s="29" t="n">
        <f aca="false">AI12-AG13+AH13</f>
        <v>0</v>
      </c>
      <c r="AK13" s="41" t="n">
        <f aca="false">+AB13</f>
        <v>36842</v>
      </c>
      <c r="AL13" s="16" t="n">
        <f aca="false">770000+140000</f>
        <v>910000</v>
      </c>
      <c r="AM13" s="16" t="n">
        <f aca="false">646820+102834</f>
        <v>749654</v>
      </c>
      <c r="AO13" s="43" t="n">
        <f aca="false">+AK13</f>
        <v>36842</v>
      </c>
      <c r="AP13" s="16" t="n">
        <f aca="false">254628+32303</f>
        <v>286931</v>
      </c>
      <c r="AQ13" s="16"/>
      <c r="AR13" s="16"/>
    </row>
    <row r="14" customFormat="false" ht="13.5" hidden="false" customHeight="false" outlineLevel="0" collapsed="false">
      <c r="A14" s="14" t="s">
        <v>7</v>
      </c>
      <c r="B14" s="15" t="n">
        <v>0</v>
      </c>
      <c r="C14" s="1" t="s">
        <v>27</v>
      </c>
      <c r="D14" s="30" t="s">
        <v>28</v>
      </c>
      <c r="E14" s="31"/>
      <c r="F14" s="32" t="n">
        <f aca="false">SUM(F6:F13)</f>
        <v>-216000</v>
      </c>
      <c r="H14" s="16"/>
      <c r="I14" s="16"/>
      <c r="M14" s="16"/>
      <c r="S14" s="42"/>
      <c r="AB14" s="41" t="n">
        <v>36843</v>
      </c>
      <c r="AC14" s="29" t="n">
        <v>0</v>
      </c>
      <c r="AD14" s="29" t="n">
        <v>0</v>
      </c>
      <c r="AE14" s="42" t="n">
        <f aca="false">AE13-AC14+AD14</f>
        <v>480170.4192</v>
      </c>
      <c r="AF14" s="42"/>
      <c r="AG14" s="29" t="n">
        <v>10</v>
      </c>
      <c r="AH14" s="29" t="n">
        <v>10</v>
      </c>
      <c r="AI14" s="29" t="n">
        <f aca="false">AI13-AG14+AH14</f>
        <v>0</v>
      </c>
      <c r="AK14" s="41" t="n">
        <f aca="false">+AB14</f>
        <v>36843</v>
      </c>
      <c r="AL14" s="16" t="n">
        <f aca="false">895000+160000</f>
        <v>1055000</v>
      </c>
      <c r="AM14" s="16" t="n">
        <f aca="false">946013+161155</f>
        <v>1107168</v>
      </c>
      <c r="AO14" s="43" t="n">
        <f aca="false">+AK14</f>
        <v>36843</v>
      </c>
      <c r="AP14" s="16" t="n">
        <f aca="false">233733+32303</f>
        <v>266036</v>
      </c>
      <c r="AQ14" s="16"/>
      <c r="AR14" s="16"/>
    </row>
    <row r="15" customFormat="false" ht="12.75" hidden="false" customHeight="false" outlineLevel="0" collapsed="false">
      <c r="A15" s="14" t="s">
        <v>15</v>
      </c>
      <c r="B15" s="15"/>
      <c r="C15" s="29"/>
      <c r="D15" s="14"/>
      <c r="E15" s="17"/>
      <c r="F15" s="15"/>
      <c r="H15" s="16"/>
      <c r="I15" s="16"/>
      <c r="M15" s="16"/>
      <c r="S15" s="42"/>
      <c r="AB15" s="41" t="n">
        <v>36844</v>
      </c>
      <c r="AC15" s="29" t="n">
        <v>0</v>
      </c>
      <c r="AD15" s="29" t="n">
        <v>0</v>
      </c>
      <c r="AE15" s="42" t="n">
        <f aca="false">AE14-AC15+AD15</f>
        <v>480170.4192</v>
      </c>
      <c r="AF15" s="42"/>
      <c r="AG15" s="29" t="n">
        <v>10</v>
      </c>
      <c r="AH15" s="29" t="n">
        <v>10</v>
      </c>
      <c r="AI15" s="29" t="n">
        <f aca="false">AI14-AG15+AH15</f>
        <v>0</v>
      </c>
      <c r="AK15" s="41" t="n">
        <f aca="false">+AB15</f>
        <v>36844</v>
      </c>
      <c r="AL15" s="16" t="n">
        <f aca="false">855000+145000</f>
        <v>1000000</v>
      </c>
      <c r="AM15" s="16" t="n">
        <f aca="false">172328+1036569</f>
        <v>1208897</v>
      </c>
      <c r="AO15" s="43" t="n">
        <f aca="false">+AK15</f>
        <v>36844</v>
      </c>
      <c r="AP15" s="16" t="n">
        <f aca="false">32811+222219</f>
        <v>255030</v>
      </c>
      <c r="AQ15" s="16"/>
      <c r="AR15" s="16"/>
    </row>
    <row r="16" customFormat="false" ht="12.75" hidden="false" customHeight="false" outlineLevel="0" collapsed="false">
      <c r="A16" s="14" t="s">
        <v>26</v>
      </c>
      <c r="B16" s="15" t="n">
        <v>0</v>
      </c>
      <c r="C16" s="29"/>
      <c r="D16" s="14"/>
      <c r="E16" s="17"/>
      <c r="F16" s="15"/>
      <c r="H16" s="16"/>
      <c r="I16" s="16"/>
      <c r="M16" s="16"/>
      <c r="S16" s="42"/>
      <c r="AB16" s="41" t="n">
        <v>36845</v>
      </c>
      <c r="AC16" s="29" t="n">
        <v>0</v>
      </c>
      <c r="AD16" s="29" t="n">
        <v>0</v>
      </c>
      <c r="AE16" s="42" t="n">
        <f aca="false">AE15-AC16+AD16</f>
        <v>480170.4192</v>
      </c>
      <c r="AF16" s="42"/>
      <c r="AG16" s="29" t="n">
        <v>10</v>
      </c>
      <c r="AH16" s="29" t="n">
        <v>10</v>
      </c>
      <c r="AI16" s="29" t="n">
        <f aca="false">AI15-AG16+AH16</f>
        <v>0</v>
      </c>
      <c r="AK16" s="41" t="n">
        <f aca="false">+AB16</f>
        <v>36845</v>
      </c>
      <c r="AL16" s="16" t="n">
        <f aca="false">820000+137000</f>
        <v>957000</v>
      </c>
      <c r="AM16" s="16" t="n">
        <f aca="false">145306+921361</f>
        <v>1066667</v>
      </c>
      <c r="AO16" s="43" t="n">
        <f aca="false">+AK16</f>
        <v>36845</v>
      </c>
      <c r="AP16" s="16" t="n">
        <f aca="false">32862+271097</f>
        <v>303959</v>
      </c>
      <c r="AQ16" s="16"/>
      <c r="AR16" s="16"/>
    </row>
    <row r="17" customFormat="false" ht="12.75" hidden="false" customHeight="false" outlineLevel="0" collapsed="false">
      <c r="A17" s="14" t="s">
        <v>29</v>
      </c>
      <c r="B17" s="15" t="n">
        <v>0</v>
      </c>
      <c r="C17" s="29"/>
      <c r="D17" s="14"/>
      <c r="E17" s="17"/>
      <c r="F17" s="15"/>
      <c r="H17" s="16"/>
      <c r="I17" s="16"/>
      <c r="M17" s="16"/>
      <c r="S17" s="42"/>
      <c r="AB17" s="41" t="n">
        <v>36846</v>
      </c>
      <c r="AC17" s="29" t="n">
        <v>0</v>
      </c>
      <c r="AD17" s="29" t="n">
        <v>0</v>
      </c>
      <c r="AE17" s="42" t="n">
        <f aca="false">AE16-AC17+AD17</f>
        <v>480170.4192</v>
      </c>
      <c r="AF17" s="42"/>
      <c r="AG17" s="29" t="n">
        <v>10</v>
      </c>
      <c r="AH17" s="29" t="n">
        <v>10</v>
      </c>
      <c r="AI17" s="29" t="n">
        <f aca="false">AI16-AG17+AH17</f>
        <v>0</v>
      </c>
      <c r="AK17" s="41" t="n">
        <f aca="false">+AB17</f>
        <v>36846</v>
      </c>
      <c r="AL17" s="16" t="n">
        <f aca="false">1100000+175000</f>
        <v>1275000</v>
      </c>
      <c r="AM17" s="16" t="n">
        <f aca="false">158809+1015867</f>
        <v>1174676</v>
      </c>
      <c r="AO17" s="43" t="n">
        <f aca="false">+AK17</f>
        <v>36846</v>
      </c>
      <c r="AP17" s="16" t="n">
        <f aca="false">242072+32862</f>
        <v>274934</v>
      </c>
      <c r="AQ17" s="16"/>
      <c r="AR17" s="16"/>
    </row>
    <row r="18" customFormat="false" ht="12.75" hidden="false" customHeight="false" outlineLevel="0" collapsed="false">
      <c r="A18" s="14" t="s">
        <v>30</v>
      </c>
      <c r="B18" s="15" t="n">
        <v>0</v>
      </c>
      <c r="C18" s="1" t="s">
        <v>27</v>
      </c>
      <c r="D18" s="14"/>
      <c r="E18" s="17"/>
      <c r="F18" s="15"/>
      <c r="G18" s="29" t="s">
        <v>27</v>
      </c>
      <c r="H18" s="16"/>
      <c r="I18" s="16"/>
      <c r="M18" s="16"/>
      <c r="S18" s="42"/>
      <c r="AB18" s="41" t="n">
        <v>36847</v>
      </c>
      <c r="AC18" s="29" t="n">
        <v>0</v>
      </c>
      <c r="AD18" s="29" t="n">
        <v>0</v>
      </c>
      <c r="AE18" s="42" t="n">
        <f aca="false">AE17-AC18+AD18</f>
        <v>480170.4192</v>
      </c>
      <c r="AF18" s="42"/>
      <c r="AG18" s="29" t="n">
        <v>10</v>
      </c>
      <c r="AH18" s="29" t="n">
        <v>10</v>
      </c>
      <c r="AI18" s="29" t="n">
        <f aca="false">AI17-AG18+AH18</f>
        <v>0</v>
      </c>
      <c r="AK18" s="41" t="n">
        <f aca="false">+AB18</f>
        <v>36847</v>
      </c>
      <c r="AL18" s="16" t="n">
        <f aca="false">1075000+175000</f>
        <v>1250000</v>
      </c>
      <c r="AM18" s="16" t="n">
        <f aca="false">1064797+174419</f>
        <v>1239216</v>
      </c>
      <c r="AO18" s="43" t="n">
        <f aca="false">+AK18</f>
        <v>36847</v>
      </c>
      <c r="AP18" s="16" t="n">
        <f aca="false">277528+33302</f>
        <v>310830</v>
      </c>
      <c r="AQ18" s="16"/>
      <c r="AR18" s="16"/>
    </row>
    <row r="19" customFormat="false" ht="12.75" hidden="false" customHeight="false" outlineLevel="0" collapsed="false">
      <c r="A19" s="14" t="s">
        <v>31</v>
      </c>
      <c r="B19" s="15" t="n">
        <v>-10000</v>
      </c>
      <c r="D19" s="14"/>
      <c r="E19" s="17"/>
      <c r="F19" s="15"/>
      <c r="H19" s="16"/>
      <c r="I19" s="16"/>
      <c r="M19" s="16"/>
      <c r="S19" s="42"/>
      <c r="AB19" s="41" t="n">
        <v>36848</v>
      </c>
      <c r="AC19" s="29" t="n">
        <f aca="false">5025*2</f>
        <v>10050</v>
      </c>
      <c r="AD19" s="29" t="n">
        <v>0</v>
      </c>
      <c r="AE19" s="42" t="n">
        <f aca="false">AE18-AC19+AD19</f>
        <v>470120.4192</v>
      </c>
      <c r="AF19" s="42"/>
      <c r="AG19" s="29" t="n">
        <v>10</v>
      </c>
      <c r="AH19" s="29" t="n">
        <v>10</v>
      </c>
      <c r="AI19" s="29" t="n">
        <f aca="false">AI18-AG19+AH19</f>
        <v>0</v>
      </c>
      <c r="AK19" s="41" t="n">
        <f aca="false">+AB19</f>
        <v>36848</v>
      </c>
      <c r="AL19" s="16" t="n">
        <f aca="false">990000+155000</f>
        <v>1145000</v>
      </c>
      <c r="AM19" s="16" t="n">
        <f aca="false">1084182+180268</f>
        <v>1264450</v>
      </c>
      <c r="AO19" s="43" t="n">
        <f aca="false">+AK19</f>
        <v>36848</v>
      </c>
      <c r="AP19" s="16" t="n">
        <f aca="false">280122+33056</f>
        <v>313178</v>
      </c>
      <c r="AQ19" s="16"/>
      <c r="AR19" s="16"/>
    </row>
    <row r="20" customFormat="false" ht="12.75" hidden="false" customHeight="false" outlineLevel="0" collapsed="false">
      <c r="A20" s="14" t="s">
        <v>32</v>
      </c>
      <c r="B20" s="15" t="n">
        <v>0</v>
      </c>
      <c r="C20" s="29"/>
      <c r="D20" s="14"/>
      <c r="E20" s="17"/>
      <c r="F20" s="15"/>
      <c r="H20" s="16"/>
      <c r="I20" s="16"/>
      <c r="S20" s="42"/>
      <c r="AB20" s="41" t="n">
        <v>36849</v>
      </c>
      <c r="AC20" s="29" t="n">
        <f aca="false">1375*2</f>
        <v>2750</v>
      </c>
      <c r="AD20" s="29" t="n">
        <v>0</v>
      </c>
      <c r="AE20" s="42" t="n">
        <f aca="false">AE19-AC20+AD20</f>
        <v>467370.4192</v>
      </c>
      <c r="AF20" s="42"/>
      <c r="AG20" s="29" t="n">
        <v>10</v>
      </c>
      <c r="AH20" s="29" t="n">
        <v>10</v>
      </c>
      <c r="AI20" s="29" t="n">
        <f aca="false">AI19-AG20+AH20</f>
        <v>0</v>
      </c>
      <c r="AK20" s="41" t="n">
        <f aca="false">+AB20</f>
        <v>36849</v>
      </c>
      <c r="AL20" s="16" t="n">
        <f aca="false">1010000+160000</f>
        <v>1170000</v>
      </c>
      <c r="AM20" s="16" t="n">
        <f aca="false">1070824+170271</f>
        <v>1241095</v>
      </c>
      <c r="AO20" s="43" t="n">
        <f aca="false">+AK20</f>
        <v>36849</v>
      </c>
      <c r="AP20" s="16" t="n">
        <f aca="false">280122+33056</f>
        <v>313178</v>
      </c>
      <c r="AQ20" s="16"/>
      <c r="AR20" s="16"/>
    </row>
    <row r="21" customFormat="false" ht="12.75" hidden="false" customHeight="false" outlineLevel="0" collapsed="false">
      <c r="A21" s="14" t="s">
        <v>33</v>
      </c>
      <c r="B21" s="15" t="n">
        <v>0</v>
      </c>
      <c r="C21" s="29"/>
      <c r="D21" s="14"/>
      <c r="E21" s="17"/>
      <c r="F21" s="33"/>
      <c r="H21" s="16"/>
      <c r="I21" s="16"/>
      <c r="S21" s="42"/>
      <c r="AB21" s="41" t="n">
        <v>36850</v>
      </c>
      <c r="AC21" s="29" t="n">
        <f aca="false">18300*2</f>
        <v>36600</v>
      </c>
      <c r="AD21" s="29" t="n">
        <v>0</v>
      </c>
      <c r="AE21" s="42" t="n">
        <f aca="false">AE20-AC21+AD21</f>
        <v>430770.4192</v>
      </c>
      <c r="AF21" s="42"/>
      <c r="AG21" s="29" t="n">
        <v>10</v>
      </c>
      <c r="AH21" s="29" t="n">
        <v>10</v>
      </c>
      <c r="AI21" s="29" t="n">
        <f aca="false">AI20-AG21+AH21</f>
        <v>0</v>
      </c>
      <c r="AK21" s="41" t="n">
        <f aca="false">+AB21</f>
        <v>36850</v>
      </c>
      <c r="AL21" s="16" t="n">
        <f aca="false">1300000+210000</f>
        <v>1510000</v>
      </c>
      <c r="AM21" s="16"/>
      <c r="AO21" s="43" t="n">
        <f aca="false">+AK21</f>
        <v>36850</v>
      </c>
      <c r="AP21" s="16" t="n">
        <f aca="false">299777+33056</f>
        <v>332833</v>
      </c>
      <c r="AQ21" s="16"/>
      <c r="AR21" s="16"/>
    </row>
    <row r="22" customFormat="false" ht="12.75" hidden="false" customHeight="false" outlineLevel="0" collapsed="false">
      <c r="A22" s="14" t="s">
        <v>18</v>
      </c>
      <c r="B22" s="15" t="n">
        <v>-833</v>
      </c>
      <c r="C22" s="29" t="n">
        <f aca="false">+B26+B54</f>
        <v>0</v>
      </c>
      <c r="D22" s="14"/>
      <c r="E22" s="17"/>
      <c r="F22" s="33"/>
      <c r="H22" s="16"/>
      <c r="I22" s="16"/>
      <c r="S22" s="42"/>
      <c r="AB22" s="41" t="n">
        <v>36851</v>
      </c>
      <c r="AC22" s="29" t="n">
        <f aca="false">16600*2</f>
        <v>33200</v>
      </c>
      <c r="AD22" s="29" t="n">
        <v>0</v>
      </c>
      <c r="AE22" s="42" t="n">
        <f aca="false">AE21-AC22+AD22</f>
        <v>397570.4192</v>
      </c>
      <c r="AF22" s="42"/>
      <c r="AG22" s="29" t="n">
        <v>10</v>
      </c>
      <c r="AH22" s="29" t="n">
        <v>10</v>
      </c>
      <c r="AI22" s="29" t="n">
        <f aca="false">AI21-AG22+AH22</f>
        <v>0</v>
      </c>
      <c r="AK22" s="41" t="n">
        <f aca="false">+AB22</f>
        <v>36851</v>
      </c>
      <c r="AL22" s="16" t="n">
        <f aca="false">1300000+205000</f>
        <v>1505000</v>
      </c>
      <c r="AM22" s="16"/>
      <c r="AO22" s="43" t="n">
        <f aca="false">+AK22</f>
        <v>36851</v>
      </c>
      <c r="AP22" s="16" t="n">
        <f aca="false">305514+33280</f>
        <v>338794</v>
      </c>
      <c r="AQ22" s="16"/>
      <c r="AR22" s="16"/>
    </row>
    <row r="23" customFormat="false" ht="12.75" hidden="false" customHeight="false" outlineLevel="0" collapsed="false">
      <c r="A23" s="14" t="s">
        <v>34</v>
      </c>
      <c r="B23" s="15" t="n">
        <v>414</v>
      </c>
      <c r="C23" s="29" t="s">
        <v>27</v>
      </c>
      <c r="D23" s="14" t="s">
        <v>36</v>
      </c>
      <c r="E23" s="17"/>
      <c r="F23" s="15" t="n">
        <v>39111</v>
      </c>
      <c r="H23" s="16"/>
      <c r="I23" s="16"/>
      <c r="M23" s="1" t="n">
        <v>0.32</v>
      </c>
      <c r="S23" s="42"/>
      <c r="AB23" s="41" t="n">
        <v>36852</v>
      </c>
      <c r="AC23" s="29" t="n">
        <v>0</v>
      </c>
      <c r="AD23" s="29" t="n">
        <v>0</v>
      </c>
      <c r="AE23" s="42" t="n">
        <f aca="false">AE22-AC23+AD23</f>
        <v>397570.4192</v>
      </c>
      <c r="AF23" s="42"/>
      <c r="AG23" s="29" t="n">
        <v>10</v>
      </c>
      <c r="AH23" s="29" t="n">
        <v>10</v>
      </c>
      <c r="AI23" s="29" t="n">
        <f aca="false">AI22-AG23+AH23</f>
        <v>0</v>
      </c>
      <c r="AK23" s="41" t="n">
        <f aca="false">+AB23</f>
        <v>36852</v>
      </c>
      <c r="AL23" s="16" t="n">
        <f aca="false">1240000+203000</f>
        <v>1443000</v>
      </c>
      <c r="AM23" s="16"/>
      <c r="AO23" s="43" t="n">
        <f aca="false">+AK23</f>
        <v>36852</v>
      </c>
      <c r="AP23" s="16"/>
      <c r="AQ23" s="16"/>
      <c r="AR23" s="16"/>
    </row>
    <row r="24" customFormat="false" ht="12.75" hidden="false" customHeight="false" outlineLevel="0" collapsed="false">
      <c r="A24" s="14" t="s">
        <v>35</v>
      </c>
      <c r="B24" s="15" t="n">
        <v>0</v>
      </c>
      <c r="D24" s="14" t="s">
        <v>38</v>
      </c>
      <c r="E24" s="17"/>
      <c r="F24" s="15" t="n">
        <v>5000</v>
      </c>
      <c r="H24" s="16"/>
      <c r="I24" s="16"/>
      <c r="S24" s="42"/>
      <c r="AB24" s="41" t="n">
        <v>36853</v>
      </c>
      <c r="AC24" s="29" t="n">
        <v>0</v>
      </c>
      <c r="AD24" s="29" t="n">
        <v>0</v>
      </c>
      <c r="AE24" s="42" t="n">
        <f aca="false">AE23-AC24+AD24</f>
        <v>397570.4192</v>
      </c>
      <c r="AF24" s="42"/>
      <c r="AG24" s="29" t="n">
        <v>0</v>
      </c>
      <c r="AH24" s="29" t="n">
        <v>0</v>
      </c>
      <c r="AI24" s="29" t="n">
        <f aca="false">AI23-AG24+AH24</f>
        <v>0</v>
      </c>
      <c r="AK24" s="41" t="n">
        <f aca="false">+AB24</f>
        <v>36853</v>
      </c>
      <c r="AL24" s="16" t="n">
        <f aca="false">985000+149000</f>
        <v>1134000</v>
      </c>
      <c r="AM24" s="16"/>
      <c r="AO24" s="43" t="n">
        <f aca="false">+AK24</f>
        <v>36853</v>
      </c>
      <c r="AP24" s="16"/>
      <c r="AQ24" s="16"/>
      <c r="AR24" s="16"/>
    </row>
    <row r="25" customFormat="false" ht="13.5" hidden="false" customHeight="false" outlineLevel="0" collapsed="false">
      <c r="A25" s="14" t="s">
        <v>37</v>
      </c>
      <c r="B25" s="15" t="n">
        <v>0</v>
      </c>
      <c r="D25" s="14" t="s">
        <v>39</v>
      </c>
      <c r="E25" s="17"/>
      <c r="F25" s="15" t="n">
        <v>14135</v>
      </c>
      <c r="H25" s="16"/>
      <c r="I25" s="16"/>
      <c r="S25" s="42"/>
      <c r="AB25" s="41" t="n">
        <v>36854</v>
      </c>
      <c r="AC25" s="29" t="n">
        <v>0</v>
      </c>
      <c r="AD25" s="29" t="n">
        <v>0</v>
      </c>
      <c r="AE25" s="42" t="n">
        <f aca="false">AE24-AC25+AD25</f>
        <v>397570.4192</v>
      </c>
      <c r="AF25" s="42"/>
      <c r="AG25" s="29" t="n">
        <v>0</v>
      </c>
      <c r="AH25" s="29" t="n">
        <v>0</v>
      </c>
      <c r="AI25" s="29" t="n">
        <f aca="false">AI24-AG25+AH25</f>
        <v>0</v>
      </c>
      <c r="AK25" s="41" t="n">
        <f aca="false">+AB25</f>
        <v>36854</v>
      </c>
      <c r="AL25" s="16" t="n">
        <f aca="false">910000+135000</f>
        <v>1045000</v>
      </c>
      <c r="AM25" s="16"/>
      <c r="AO25" s="43" t="n">
        <f aca="false">+AK25</f>
        <v>36854</v>
      </c>
      <c r="AP25" s="16"/>
      <c r="AQ25" s="16"/>
      <c r="AR25" s="16"/>
    </row>
    <row r="26" customFormat="false" ht="13.5" hidden="false" customHeight="false" outlineLevel="0" collapsed="false">
      <c r="A26" s="30" t="s">
        <v>28</v>
      </c>
      <c r="B26" s="32" t="n">
        <f aca="false">SUM(B6:B25)</f>
        <v>-1413843</v>
      </c>
      <c r="D26" s="14" t="s">
        <v>40</v>
      </c>
      <c r="E26" s="17"/>
      <c r="F26" s="15" t="n">
        <v>33280</v>
      </c>
      <c r="H26" s="16"/>
      <c r="I26" s="16"/>
      <c r="S26" s="42"/>
      <c r="AB26" s="41" t="n">
        <v>36855</v>
      </c>
      <c r="AC26" s="29" t="n">
        <v>0</v>
      </c>
      <c r="AD26" s="29" t="n">
        <v>0</v>
      </c>
      <c r="AE26" s="42" t="n">
        <f aca="false">AE25-AC26+AD26</f>
        <v>397570.4192</v>
      </c>
      <c r="AF26" s="42"/>
      <c r="AG26" s="29" t="n">
        <v>0</v>
      </c>
      <c r="AH26" s="29" t="n">
        <v>0</v>
      </c>
      <c r="AI26" s="29" t="n">
        <f aca="false">AI25-AG26+AH26</f>
        <v>0</v>
      </c>
      <c r="AK26" s="41" t="n">
        <f aca="false">+AB26</f>
        <v>36855</v>
      </c>
      <c r="AL26" s="16" t="n">
        <f aca="false">880000+130000</f>
        <v>1010000</v>
      </c>
      <c r="AM26" s="16"/>
      <c r="AO26" s="43" t="n">
        <f aca="false">+AK26</f>
        <v>36855</v>
      </c>
      <c r="AP26" s="16"/>
      <c r="AQ26" s="16"/>
      <c r="AR26" s="16"/>
    </row>
    <row r="27" customFormat="false" ht="12.75" hidden="false" customHeight="false" outlineLevel="0" collapsed="false">
      <c r="A27" s="14"/>
      <c r="B27" s="15"/>
      <c r="D27" s="14" t="s">
        <v>41</v>
      </c>
      <c r="E27" s="17"/>
      <c r="F27" s="15" t="n">
        <v>6000</v>
      </c>
      <c r="H27" s="16"/>
      <c r="I27" s="16"/>
      <c r="S27" s="42"/>
      <c r="AB27" s="41" t="n">
        <v>36856</v>
      </c>
      <c r="AC27" s="29" t="n">
        <v>0</v>
      </c>
      <c r="AD27" s="29" t="n">
        <v>0</v>
      </c>
      <c r="AE27" s="42" t="n">
        <f aca="false">AE26-AC27+AD27</f>
        <v>397570.4192</v>
      </c>
      <c r="AF27" s="42"/>
      <c r="AG27" s="29" t="n">
        <v>0</v>
      </c>
      <c r="AH27" s="29" t="n">
        <v>0</v>
      </c>
      <c r="AI27" s="29" t="n">
        <f aca="false">AI26-AG27+AH27</f>
        <v>0</v>
      </c>
      <c r="AK27" s="41" t="n">
        <f aca="false">+AB27</f>
        <v>36856</v>
      </c>
      <c r="AL27" s="16"/>
      <c r="AM27" s="16"/>
      <c r="AO27" s="43" t="n">
        <f aca="false">+AK27</f>
        <v>36856</v>
      </c>
      <c r="AP27" s="16"/>
      <c r="AQ27" s="16"/>
      <c r="AR27" s="16"/>
    </row>
    <row r="28" customFormat="false" ht="12.75" hidden="false" customHeight="false" outlineLevel="0" collapsed="false">
      <c r="A28" s="14" t="s">
        <v>36</v>
      </c>
      <c r="B28" s="15" t="n">
        <v>234599</v>
      </c>
      <c r="D28" s="14" t="s">
        <v>75</v>
      </c>
      <c r="E28" s="17"/>
      <c r="F28" s="15" t="n">
        <v>7000</v>
      </c>
      <c r="H28" s="16"/>
      <c r="I28" s="16"/>
      <c r="S28" s="42"/>
      <c r="AB28" s="41" t="n">
        <v>36857</v>
      </c>
      <c r="AC28" s="29" t="n">
        <v>0</v>
      </c>
      <c r="AD28" s="29" t="n">
        <v>0</v>
      </c>
      <c r="AE28" s="42" t="n">
        <f aca="false">AE27-AC28+AD28</f>
        <v>397570.4192</v>
      </c>
      <c r="AF28" s="42"/>
      <c r="AG28" s="29" t="n">
        <v>0</v>
      </c>
      <c r="AH28" s="29" t="n">
        <v>0</v>
      </c>
      <c r="AI28" s="29" t="n">
        <f aca="false">AI27-AG28+AH28</f>
        <v>0</v>
      </c>
      <c r="AK28" s="41" t="n">
        <f aca="false">+AB28</f>
        <v>36857</v>
      </c>
      <c r="AL28" s="16"/>
      <c r="AM28" s="16"/>
      <c r="AO28" s="43" t="n">
        <f aca="false">+AK28</f>
        <v>36857</v>
      </c>
      <c r="AP28" s="16"/>
      <c r="AQ28" s="16"/>
      <c r="AR28" s="16"/>
    </row>
    <row r="29" customFormat="false" ht="12.75" hidden="false" customHeight="false" outlineLevel="0" collapsed="false">
      <c r="A29" s="14" t="s">
        <v>38</v>
      </c>
      <c r="B29" s="15" t="n">
        <v>45000</v>
      </c>
      <c r="C29" s="29" t="s">
        <v>27</v>
      </c>
      <c r="D29" s="14" t="s">
        <v>43</v>
      </c>
      <c r="E29" s="17"/>
      <c r="F29" s="15" t="n">
        <f aca="false">53000+13000</f>
        <v>66000</v>
      </c>
      <c r="H29" s="16"/>
      <c r="I29" s="16"/>
      <c r="S29" s="42"/>
      <c r="AB29" s="41" t="n">
        <v>36858</v>
      </c>
      <c r="AC29" s="29" t="n">
        <v>0</v>
      </c>
      <c r="AD29" s="29" t="n">
        <v>0</v>
      </c>
      <c r="AE29" s="42" t="n">
        <f aca="false">AE28-AC29+AD29</f>
        <v>397570.4192</v>
      </c>
      <c r="AF29" s="42"/>
      <c r="AG29" s="29" t="n">
        <v>0</v>
      </c>
      <c r="AH29" s="29" t="n">
        <v>0</v>
      </c>
      <c r="AI29" s="29" t="n">
        <f aca="false">AI28-AG29+AH29</f>
        <v>0</v>
      </c>
      <c r="AK29" s="41" t="n">
        <f aca="false">+AB29</f>
        <v>36858</v>
      </c>
      <c r="AL29" s="16"/>
      <c r="AM29" s="16"/>
      <c r="AO29" s="43" t="n">
        <f aca="false">+AK29</f>
        <v>36858</v>
      </c>
      <c r="AP29" s="16"/>
      <c r="AQ29" s="16"/>
      <c r="AR29" s="16"/>
    </row>
    <row r="30" customFormat="false" ht="12.75" hidden="false" customHeight="false" outlineLevel="0" collapsed="false">
      <c r="A30" s="14" t="s">
        <v>39</v>
      </c>
      <c r="B30" s="15" t="n">
        <v>88114</v>
      </c>
      <c r="D30" s="14" t="s">
        <v>44</v>
      </c>
      <c r="E30" s="17"/>
      <c r="F30" s="15" t="n">
        <v>45000</v>
      </c>
      <c r="G30" s="29"/>
      <c r="H30" s="16"/>
      <c r="I30" s="16"/>
      <c r="AB30" s="41" t="n">
        <v>36859</v>
      </c>
      <c r="AC30" s="29" t="n">
        <v>0</v>
      </c>
      <c r="AD30" s="29" t="n">
        <v>0</v>
      </c>
      <c r="AE30" s="42" t="n">
        <f aca="false">AE29-AC30+AD30</f>
        <v>397570.4192</v>
      </c>
      <c r="AF30" s="42"/>
      <c r="AG30" s="29" t="n">
        <v>0</v>
      </c>
      <c r="AH30" s="29" t="n">
        <v>0</v>
      </c>
      <c r="AI30" s="29" t="n">
        <f aca="false">AI29-AG30+AH30</f>
        <v>0</v>
      </c>
      <c r="AK30" s="41" t="n">
        <f aca="false">+AB30</f>
        <v>36859</v>
      </c>
      <c r="AL30" s="16"/>
      <c r="AM30" s="16"/>
      <c r="AO30" s="43" t="n">
        <f aca="false">+AK30</f>
        <v>36859</v>
      </c>
      <c r="AP30" s="16"/>
      <c r="AQ30" s="16"/>
      <c r="AR30" s="16"/>
    </row>
    <row r="31" customFormat="false" ht="12.75" hidden="false" customHeight="false" outlineLevel="0" collapsed="false">
      <c r="A31" s="14" t="s">
        <v>40</v>
      </c>
      <c r="B31" s="15" t="n">
        <v>305514</v>
      </c>
      <c r="C31" s="29" t="s">
        <v>27</v>
      </c>
      <c r="D31" s="14" t="s">
        <v>76</v>
      </c>
      <c r="E31" s="17"/>
      <c r="F31" s="15" t="n">
        <v>0</v>
      </c>
      <c r="H31" s="16"/>
      <c r="I31" s="16"/>
      <c r="AB31" s="41" t="n">
        <v>36860</v>
      </c>
      <c r="AC31" s="29" t="n">
        <v>0</v>
      </c>
      <c r="AD31" s="29" t="n">
        <v>0</v>
      </c>
      <c r="AE31" s="42" t="n">
        <f aca="false">AE30-AC31+AD31</f>
        <v>397570.4192</v>
      </c>
      <c r="AF31" s="42"/>
      <c r="AG31" s="29" t="n">
        <v>0</v>
      </c>
      <c r="AH31" s="29" t="n">
        <v>0</v>
      </c>
      <c r="AI31" s="29" t="n">
        <f aca="false">AI30-AG31+AH31</f>
        <v>0</v>
      </c>
      <c r="AK31" s="41" t="n">
        <f aca="false">+AB31</f>
        <v>36860</v>
      </c>
      <c r="AL31" s="16"/>
      <c r="AM31" s="16"/>
      <c r="AO31" s="43" t="n">
        <f aca="false">+AK31</f>
        <v>36860</v>
      </c>
      <c r="AP31" s="16"/>
      <c r="AQ31" s="16"/>
      <c r="AR31" s="16"/>
    </row>
    <row r="32" customFormat="false" ht="13.5" hidden="false" customHeight="false" outlineLevel="0" collapsed="false">
      <c r="A32" s="14" t="s">
        <v>45</v>
      </c>
      <c r="B32" s="15" t="n">
        <v>25000</v>
      </c>
      <c r="D32" s="14" t="s">
        <v>47</v>
      </c>
      <c r="E32" s="17"/>
      <c r="F32" s="15" t="n">
        <v>474</v>
      </c>
      <c r="G32" s="29" t="n">
        <f aca="false">+F14+F33</f>
        <v>0</v>
      </c>
      <c r="H32" s="16"/>
      <c r="I32" s="16"/>
      <c r="AB32" s="41"/>
      <c r="AC32" s="29"/>
      <c r="AD32" s="29"/>
      <c r="AE32" s="42"/>
      <c r="AF32" s="42"/>
      <c r="AG32" s="29"/>
      <c r="AH32" s="29"/>
      <c r="AI32" s="29"/>
      <c r="AK32" s="41"/>
      <c r="AL32" s="16"/>
      <c r="AM32" s="16"/>
      <c r="AO32" s="43"/>
      <c r="AP32" s="16"/>
      <c r="AQ32" s="16"/>
      <c r="AR32" s="16"/>
    </row>
    <row r="33" customFormat="false" ht="13.5" hidden="false" customHeight="false" outlineLevel="0" collapsed="false">
      <c r="A33" s="14" t="s">
        <v>46</v>
      </c>
      <c r="B33" s="15" t="n">
        <v>57377</v>
      </c>
      <c r="D33" s="30" t="s">
        <v>48</v>
      </c>
      <c r="E33" s="31"/>
      <c r="F33" s="32" t="n">
        <f aca="false">SUM(F23:F32)</f>
        <v>216000</v>
      </c>
      <c r="H33" s="16"/>
      <c r="I33" s="16"/>
      <c r="AK33" s="41"/>
      <c r="AL33" s="16"/>
      <c r="AO33" s="43"/>
      <c r="AP33" s="16"/>
      <c r="AQ33" s="16"/>
      <c r="AR33" s="16"/>
    </row>
    <row r="34" customFormat="false" ht="13.5" hidden="false" customHeight="false" outlineLevel="0" collapsed="false">
      <c r="A34" s="14" t="s">
        <v>77</v>
      </c>
      <c r="B34" s="15" t="n">
        <v>5000</v>
      </c>
      <c r="C34" s="29"/>
      <c r="D34" s="24"/>
      <c r="E34" s="25"/>
      <c r="F34" s="34"/>
      <c r="H34" s="16"/>
      <c r="I34" s="16"/>
      <c r="AK34" s="41"/>
      <c r="AL34" s="16"/>
      <c r="AO34" s="43"/>
      <c r="AP34" s="16"/>
      <c r="AQ34" s="16"/>
      <c r="AR34" s="16"/>
    </row>
    <row r="35" customFormat="false" ht="12.75" hidden="false" customHeight="false" outlineLevel="0" collapsed="false">
      <c r="A35" s="14" t="s">
        <v>43</v>
      </c>
      <c r="B35" s="15" t="n">
        <v>180000</v>
      </c>
      <c r="F35" s="16"/>
      <c r="H35" s="16"/>
      <c r="I35" s="16"/>
      <c r="AK35" s="41"/>
      <c r="AO35" s="43"/>
      <c r="AP35" s="16"/>
      <c r="AQ35" s="16"/>
      <c r="AR35" s="16"/>
    </row>
    <row r="36" customFormat="false" ht="12.75" hidden="false" customHeight="false" outlineLevel="0" collapsed="false">
      <c r="A36" s="14" t="s">
        <v>7</v>
      </c>
      <c r="B36" s="15" t="n">
        <v>0</v>
      </c>
      <c r="F36" s="16"/>
      <c r="H36" s="16"/>
      <c r="I36" s="16"/>
      <c r="AK36" s="41"/>
      <c r="AO36" s="43"/>
      <c r="AP36" s="16"/>
      <c r="AQ36" s="16"/>
      <c r="AR36" s="16"/>
    </row>
    <row r="37" customFormat="false" ht="12.75" hidden="false" customHeight="false" outlineLevel="0" collapsed="false">
      <c r="A37" s="14" t="s">
        <v>49</v>
      </c>
      <c r="B37" s="15" t="n">
        <v>0</v>
      </c>
      <c r="C37" s="1" t="s">
        <v>27</v>
      </c>
      <c r="H37" s="16"/>
      <c r="I37" s="16"/>
      <c r="AQ37" s="16"/>
      <c r="AR37" s="16"/>
    </row>
    <row r="38" customFormat="false" ht="12.75" hidden="false" customHeight="false" outlineLevel="0" collapsed="false">
      <c r="A38" s="14" t="s">
        <v>50</v>
      </c>
      <c r="B38" s="15" t="n">
        <v>0</v>
      </c>
      <c r="H38" s="16"/>
      <c r="I38" s="16"/>
      <c r="AQ38" s="16"/>
      <c r="AR38" s="16"/>
    </row>
    <row r="39" customFormat="false" ht="12.75" hidden="false" customHeight="false" outlineLevel="0" collapsed="false">
      <c r="A39" s="14" t="s">
        <v>51</v>
      </c>
      <c r="B39" s="15" t="n">
        <v>0</v>
      </c>
      <c r="H39" s="16"/>
      <c r="I39" s="16"/>
      <c r="AO39" s="16"/>
      <c r="AP39" s="16"/>
      <c r="AQ39" s="16"/>
      <c r="AR39" s="16"/>
    </row>
    <row r="40" customFormat="false" ht="12.75" hidden="false" customHeight="false" outlineLevel="0" collapsed="false">
      <c r="A40" s="14" t="s">
        <v>21</v>
      </c>
      <c r="B40" s="33"/>
      <c r="H40" s="16"/>
      <c r="I40" s="16"/>
      <c r="AO40" s="16"/>
      <c r="AP40" s="16"/>
      <c r="AQ40" s="16"/>
      <c r="AR40" s="16"/>
    </row>
    <row r="41" customFormat="false" ht="12.75" hidden="false" customHeight="false" outlineLevel="0" collapsed="false">
      <c r="A41" s="14" t="s">
        <v>52</v>
      </c>
      <c r="B41" s="15" t="n">
        <v>833</v>
      </c>
      <c r="H41" s="16"/>
      <c r="I41" s="16"/>
      <c r="AO41" s="16"/>
      <c r="AP41" s="16"/>
      <c r="AQ41" s="16"/>
      <c r="AR41" s="16"/>
    </row>
    <row r="42" customFormat="false" ht="12.75" hidden="false" customHeight="false" outlineLevel="0" collapsed="false">
      <c r="A42" s="14" t="s">
        <v>23</v>
      </c>
      <c r="B42" s="15" t="n">
        <v>0</v>
      </c>
      <c r="AO42" s="16"/>
      <c r="AP42" s="16"/>
      <c r="AQ42" s="16"/>
      <c r="AR42" s="16"/>
    </row>
    <row r="43" customFormat="false" ht="12.75" hidden="false" customHeight="false" outlineLevel="0" collapsed="false">
      <c r="A43" s="14" t="s">
        <v>53</v>
      </c>
      <c r="B43" s="15" t="n">
        <f aca="false">1500</f>
        <v>1500</v>
      </c>
      <c r="AO43" s="16"/>
      <c r="AP43" s="16"/>
      <c r="AQ43" s="16"/>
      <c r="AR43" s="16"/>
    </row>
    <row r="44" customFormat="false" ht="12.75" hidden="false" customHeight="false" outlineLevel="0" collapsed="false">
      <c r="A44" s="14" t="s">
        <v>54</v>
      </c>
      <c r="B44" s="15" t="n">
        <v>1000</v>
      </c>
      <c r="C44" s="29" t="n">
        <f aca="false">+B54+B26</f>
        <v>0</v>
      </c>
    </row>
    <row r="45" customFormat="false" ht="12.75" hidden="false" customHeight="false" outlineLevel="0" collapsed="false">
      <c r="A45" s="14" t="s">
        <v>55</v>
      </c>
      <c r="B45" s="15"/>
    </row>
    <row r="46" customFormat="false" ht="12.75" hidden="false" customHeight="false" outlineLevel="0" collapsed="false">
      <c r="A46" s="14" t="s">
        <v>26</v>
      </c>
      <c r="B46" s="15" t="n">
        <v>0</v>
      </c>
    </row>
    <row r="47" customFormat="false" ht="12.75" hidden="false" customHeight="false" outlineLevel="0" collapsed="false">
      <c r="A47" s="14" t="s">
        <v>29</v>
      </c>
      <c r="B47" s="15" t="n">
        <v>0</v>
      </c>
      <c r="F47" s="16"/>
    </row>
    <row r="48" customFormat="false" ht="12.75" hidden="false" customHeight="false" outlineLevel="0" collapsed="false">
      <c r="A48" s="14" t="s">
        <v>57</v>
      </c>
      <c r="B48" s="15" t="n">
        <v>0</v>
      </c>
      <c r="C48" s="1" t="s">
        <v>27</v>
      </c>
      <c r="F48" s="16"/>
    </row>
    <row r="49" customFormat="false" ht="12.75" hidden="false" customHeight="false" outlineLevel="0" collapsed="false">
      <c r="A49" s="14" t="s">
        <v>58</v>
      </c>
      <c r="B49" s="15" t="n">
        <v>0</v>
      </c>
      <c r="C49" s="29" t="s">
        <v>27</v>
      </c>
      <c r="F49" s="16"/>
    </row>
    <row r="50" customFormat="false" ht="12.75" hidden="false" customHeight="false" outlineLevel="0" collapsed="false">
      <c r="A50" s="14" t="s">
        <v>59</v>
      </c>
      <c r="B50" s="15" t="n">
        <v>0</v>
      </c>
      <c r="F50" s="16"/>
    </row>
    <row r="51" customFormat="false" ht="12.75" hidden="false" customHeight="false" outlineLevel="0" collapsed="false">
      <c r="A51" s="14" t="s">
        <v>33</v>
      </c>
      <c r="B51" s="15" t="n">
        <v>0</v>
      </c>
    </row>
    <row r="52" customFormat="false" ht="12.75" hidden="false" customHeight="false" outlineLevel="0" collapsed="false">
      <c r="A52" s="14" t="s">
        <v>18</v>
      </c>
      <c r="B52" s="15" t="n">
        <f aca="false">285409+28424+155957</f>
        <v>469790</v>
      </c>
      <c r="F52" s="16"/>
    </row>
    <row r="53" customFormat="false" ht="13.5" hidden="false" customHeight="false" outlineLevel="0" collapsed="false">
      <c r="A53" s="14" t="s">
        <v>47</v>
      </c>
      <c r="B53" s="15" t="n">
        <v>116</v>
      </c>
      <c r="F53" s="16"/>
    </row>
    <row r="54" customFormat="false" ht="13.5" hidden="false" customHeight="false" outlineLevel="0" collapsed="false">
      <c r="A54" s="30" t="s">
        <v>48</v>
      </c>
      <c r="B54" s="32" t="n">
        <f aca="false">SUM(B28:B53)</f>
        <v>1413843</v>
      </c>
      <c r="F54" s="16"/>
    </row>
    <row r="55" customFormat="false" ht="13.5" hidden="false" customHeight="false" outlineLevel="0" collapsed="false">
      <c r="A55" s="24"/>
      <c r="B55" s="35"/>
      <c r="F55" s="16"/>
    </row>
    <row r="56" customFormat="false" ht="12.75" hidden="false" customHeight="false" outlineLevel="0" collapsed="false">
      <c r="A56" s="17"/>
      <c r="B56" s="17"/>
      <c r="F56" s="16"/>
    </row>
    <row r="57" customFormat="false" ht="12.75" hidden="false" customHeight="false" outlineLevel="0" collapsed="false">
      <c r="F57" s="16"/>
    </row>
    <row r="58" customFormat="false" ht="12.75" hidden="false" customHeight="false" outlineLevel="0" collapsed="false">
      <c r="F58" s="16"/>
    </row>
    <row r="59" customFormat="false" ht="12.75" hidden="false" customHeight="false" outlineLevel="0" collapsed="false">
      <c r="F59" s="16"/>
    </row>
    <row r="60" customFormat="false" ht="12.75" hidden="false" customHeight="false" outlineLevel="0" collapsed="false">
      <c r="F60" s="16"/>
    </row>
    <row r="61" customFormat="false" ht="12.75" hidden="false" customHeight="false" outlineLevel="0" collapsed="false">
      <c r="F61" s="16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2000-09-26T10:56:15Z</dcterms:created>
  <dc:creator>bdillar</dc:creator>
  <dc:description/>
  <dc:language>en-US</dc:language>
  <cp:lastModifiedBy>bdillar</cp:lastModifiedBy>
  <cp:lastPrinted>2000-10-31T12:35:26Z</cp:lastPrinted>
  <dcterms:modified xsi:type="dcterms:W3CDTF">2000-11-21T12:30:25Z</dcterms:modified>
  <cp:revision>0</cp:revision>
  <dc:subject/>
  <dc:title/>
</cp:coreProperties>
</file>