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<sst xmlns="http://schemas.openxmlformats.org/spreadsheetml/2006/main" count="278" uniqueCount="74">
  <si>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</si>
  <si>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</si>
  <si>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</si>
  <si>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</si>
  <si>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</si>
  <si>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</si>
  <si>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</si>
  <si>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</si>
  <si>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</si>
  <si>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</si>
  <si>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</si>
  <si>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</si>
  <si>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</si>
  <si>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</si>
  <si>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</si>
  <si>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</si>
  <si>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</si>
  <si>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</si>
  <si>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</si>
  <si>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</si>
  <si>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</si>
  <si>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</si>
  <si>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</si>
  <si>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</si>
  <si>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TOTAL REQUIREMENTS</t>
  </si>
  <si>
    <t xml:space="preserve">     ANR</t>
  </si>
  <si>
    <t xml:space="preserve">ENA BASELOAD</t>
  </si>
  <si>
    <t xml:space="preserve">ENA SIQ</t>
  </si>
  <si>
    <t xml:space="preserve">     NGPL (NO-NOTICE)</t>
  </si>
  <si>
    <t xml:space="preserve">ENA DIQ</t>
  </si>
  <si>
    <t xml:space="preserve">     NGPL</t>
  </si>
  <si>
    <t xml:space="preserve">RIDER GAS</t>
  </si>
  <si>
    <t xml:space="preserve">     COENERGY</t>
  </si>
  <si>
    <t xml:space="preserve">WITHDRAWALS:</t>
  </si>
  <si>
    <t xml:space="preserve">     ENGAGE</t>
  </si>
  <si>
    <t xml:space="preserve">     NGPL DSS</t>
  </si>
  <si>
    <t xml:space="preserve">     PANHANDLE</t>
  </si>
  <si>
    <t xml:space="preserve">     NGPL FT - AMR</t>
  </si>
  <si>
    <t xml:space="preserve">     ALLIANCE UNDER DELIVERY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</si>
  <si>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</si>
  <si>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</si>
  <si>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</si>
  <si>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</si>
  <si>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</si>
  <si>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</si>
  <si>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SOUTH TX (REFILL)</t>
  </si>
  <si>
    <t xml:space="preserve">ENOVATE</t>
  </si>
  <si>
    <t xml:space="preserve">ANR IMBALANCE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</si>
  <si>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</si>
  <si>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</si>
  <si>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</si>
  <si>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</si>
  <si>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</si>
  <si>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</si>
  <si>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</si>
  <si>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     NGPL AM (DSS REFILL)</t>
  </si>
  <si>
    <t xml:space="preserve">     NGPL GS (DSS REFILL)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</si>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</sst>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2666743"/>
        <c:axId val="21884253"/>
      </c:lineChart>
      <c:catAx>
        <c:axId val="9266674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884253"/>
        <c:crossesAt val="0"/>
        <c:auto val="1"/>
        <c:lblAlgn val="ctr"/>
        <c:lblOffset val="100"/>
        <c:noMultiLvlLbl val="0"/>
      </c:catAx>
      <c:valAx>
        <c:axId val="2188425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66674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5906636"/>
        <c:axId val="19616762"/>
      </c:lineChart>
      <c:catAx>
        <c:axId val="159066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616762"/>
        <c:crossesAt val="0"/>
        <c:auto val="1"/>
        <c:lblAlgn val="ctr"/>
        <c:lblOffset val="100"/>
        <c:noMultiLvlLbl val="0"/>
      </c:catAx>
      <c:valAx>
        <c:axId val="1961676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906636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9671184"/>
        <c:axId val="40441046"/>
      </c:lineChart>
      <c:catAx>
        <c:axId val="79671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441046"/>
        <c:crossesAt val="0"/>
        <c:auto val="1"/>
        <c:lblAlgn val="ctr"/>
        <c:lblOffset val="100"/>
        <c:noMultiLvlLbl val="0"/>
      </c:catAx>
      <c:valAx>
        <c:axId val="4044104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67118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9469026"/>
        <c:axId val="98601312"/>
      </c:lineChart>
      <c:catAx>
        <c:axId val="2946902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601312"/>
        <c:crossesAt val="-40000"/>
        <c:auto val="1"/>
        <c:lblAlgn val="ctr"/>
        <c:lblOffset val="100"/>
        <c:noMultiLvlLbl val="0"/>
      </c:catAx>
      <c:valAx>
        <c:axId val="9860131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46902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3720673"/>
        <c:axId val="84243380"/>
      </c:lineChart>
      <c:catAx>
        <c:axId val="6372067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243380"/>
        <c:crossesAt val="0"/>
        <c:auto val="1"/>
        <c:lblAlgn val="ctr"/>
        <c:lblOffset val="100"/>
        <c:noMultiLvlLbl val="0"/>
      </c:catAx>
      <c:valAx>
        <c:axId val="84243380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72067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1790508"/>
        <c:axId val="88111269"/>
      </c:lineChart>
      <c:catAx>
        <c:axId val="417905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111269"/>
        <c:crossesAt val="0"/>
        <c:auto val="1"/>
        <c:lblAlgn val="ctr"/>
        <c:lblOffset val="100"/>
        <c:noMultiLvlLbl val="0"/>
      </c:catAx>
      <c:valAx>
        <c:axId val="8811126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79050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270942"/>
        <c:axId val="23844757"/>
      </c:lineChart>
      <c:catAx>
        <c:axId val="627094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844757"/>
        <c:crossesAt val="0"/>
        <c:auto val="1"/>
        <c:lblAlgn val="ctr"/>
        <c:lblOffset val="100"/>
        <c:noMultiLvlLbl val="0"/>
      </c:catAx>
      <c:valAx>
        <c:axId val="2384475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7094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815857"/>
        <c:axId val="41986987"/>
      </c:lineChart>
      <c:catAx>
        <c:axId val="181585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986987"/>
        <c:crossesAt val="0"/>
        <c:auto val="1"/>
        <c:lblAlgn val="ctr"/>
        <c:lblOffset val="100"/>
        <c:noMultiLvlLbl val="0"/>
      </c:catAx>
      <c:valAx>
        <c:axId val="4198698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1585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8279759"/>
        <c:axId val="19511910"/>
      </c:lineChart>
      <c:catAx>
        <c:axId val="682797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511910"/>
        <c:crossesAt val="0"/>
        <c:auto val="1"/>
        <c:lblAlgn val="ctr"/>
        <c:lblOffset val="100"/>
        <c:noMultiLvlLbl val="0"/>
      </c:catAx>
      <c:valAx>
        <c:axId val="19511910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27975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9743983"/>
        <c:axId val="30989578"/>
      </c:lineChart>
      <c:catAx>
        <c:axId val="797439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989578"/>
        <c:crossesAt val="-40000"/>
        <c:auto val="1"/>
        <c:lblAlgn val="ctr"/>
        <c:lblOffset val="100"/>
        <c:noMultiLvlLbl val="0"/>
      </c:catAx>
      <c:valAx>
        <c:axId val="3098957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74398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821404"/>
        <c:axId val="45155484"/>
      </c:lineChart>
      <c:catAx>
        <c:axId val="498214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155484"/>
        <c:crossesAt val="0"/>
        <c:auto val="1"/>
        <c:lblAlgn val="ctr"/>
        <c:lblOffset val="100"/>
        <c:noMultiLvlLbl val="0"/>
      </c:catAx>
      <c:valAx>
        <c:axId val="4515548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82140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9507"/>
        <c:axId val="86431361"/>
      </c:lineChart>
      <c:catAx>
        <c:axId val="995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431361"/>
        <c:crossesAt val="0"/>
        <c:auto val="1"/>
        <c:lblAlgn val="ctr"/>
        <c:lblOffset val="100"/>
        <c:noMultiLvlLbl val="0"/>
      </c:catAx>
      <c:valAx>
        <c:axId val="8643136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50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878651"/>
        <c:axId val="17464351"/>
      </c:lineChart>
      <c:catAx>
        <c:axId val="228786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464351"/>
        <c:crossesAt val="0"/>
        <c:auto val="1"/>
        <c:lblAlgn val="ctr"/>
        <c:lblOffset val="100"/>
        <c:noMultiLvlLbl val="0"/>
      </c:catAx>
      <c:valAx>
        <c:axId val="1746435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87865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849004"/>
        <c:axId val="16804388"/>
      </c:lineChart>
      <c:catAx>
        <c:axId val="878490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804388"/>
        <c:crossesAt val="0"/>
        <c:auto val="1"/>
        <c:lblAlgn val="ctr"/>
        <c:lblOffset val="100"/>
        <c:noMultiLvlLbl val="0"/>
      </c:catAx>
      <c:valAx>
        <c:axId val="16804388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84900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0802063"/>
        <c:axId val="38866252"/>
      </c:lineChart>
      <c:catAx>
        <c:axId val="1080206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866252"/>
        <c:crossesAt val="0"/>
        <c:auto val="1"/>
        <c:lblAlgn val="ctr"/>
        <c:lblOffset val="100"/>
        <c:noMultiLvlLbl val="0"/>
      </c:catAx>
      <c:valAx>
        <c:axId val="3886625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80206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0524152"/>
        <c:axId val="86122297"/>
      </c:lineChart>
      <c:catAx>
        <c:axId val="80524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122297"/>
        <c:crossesAt val="0"/>
        <c:auto val="1"/>
        <c:lblAlgn val="ctr"/>
        <c:lblOffset val="100"/>
        <c:noMultiLvlLbl val="0"/>
      </c:catAx>
      <c:valAx>
        <c:axId val="8612229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52415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2631739"/>
        <c:axId val="34047885"/>
      </c:lineChart>
      <c:catAx>
        <c:axId val="426317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047885"/>
        <c:crossesAt val="-40000"/>
        <c:auto val="1"/>
        <c:lblAlgn val="ctr"/>
        <c:lblOffset val="100"/>
        <c:noMultiLvlLbl val="0"/>
      </c:catAx>
      <c:valAx>
        <c:axId val="3404788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63173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6652721"/>
        <c:axId val="44272097"/>
      </c:lineChart>
      <c:catAx>
        <c:axId val="5665272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272097"/>
        <c:crossesAt val="0"/>
        <c:auto val="1"/>
        <c:lblAlgn val="ctr"/>
        <c:lblOffset val="100"/>
        <c:noMultiLvlLbl val="0"/>
      </c:catAx>
      <c:valAx>
        <c:axId val="4427209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65272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808205"/>
        <c:axId val="80082428"/>
      </c:lineChart>
      <c:catAx>
        <c:axId val="4280820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082428"/>
        <c:crossesAt val="0"/>
        <c:auto val="1"/>
        <c:lblAlgn val="ctr"/>
        <c:lblOffset val="100"/>
        <c:noMultiLvlLbl val="0"/>
      </c:catAx>
      <c:valAx>
        <c:axId val="800824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80820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4102019"/>
        <c:axId val="24324794"/>
      </c:lineChart>
      <c:catAx>
        <c:axId val="9410201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324794"/>
        <c:crossesAt val="0"/>
        <c:auto val="1"/>
        <c:lblAlgn val="ctr"/>
        <c:lblOffset val="100"/>
        <c:noMultiLvlLbl val="0"/>
      </c:catAx>
      <c:valAx>
        <c:axId val="2432479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10201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4804018"/>
        <c:axId val="45726098"/>
      </c:lineChart>
      <c:catAx>
        <c:axId val="8480401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726098"/>
        <c:crossesAt val="0"/>
        <c:auto val="1"/>
        <c:lblAlgn val="ctr"/>
        <c:lblOffset val="100"/>
        <c:noMultiLvlLbl val="0"/>
      </c:catAx>
      <c:valAx>
        <c:axId val="4572609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80401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1416785"/>
        <c:axId val="71927702"/>
      </c:lineChart>
      <c:catAx>
        <c:axId val="314167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927702"/>
        <c:crossesAt val="0"/>
        <c:auto val="1"/>
        <c:lblAlgn val="ctr"/>
        <c:lblOffset val="100"/>
        <c:noMultiLvlLbl val="0"/>
      </c:catAx>
      <c:valAx>
        <c:axId val="71927702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41678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1780963"/>
        <c:axId val="51285199"/>
      </c:lineChart>
      <c:catAx>
        <c:axId val="3178096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285199"/>
        <c:crossesAt val="0"/>
        <c:auto val="1"/>
        <c:lblAlgn val="ctr"/>
        <c:lblOffset val="100"/>
        <c:noMultiLvlLbl val="0"/>
      </c:catAx>
      <c:valAx>
        <c:axId val="51285199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78096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4712409"/>
        <c:axId val="93351741"/>
      </c:lineChart>
      <c:catAx>
        <c:axId val="2471240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351741"/>
        <c:crossesAt val="-40000"/>
        <c:auto val="1"/>
        <c:lblAlgn val="ctr"/>
        <c:lblOffset val="100"/>
        <c:noMultiLvlLbl val="0"/>
      </c:catAx>
      <c:valAx>
        <c:axId val="9335174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71240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0293129707288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669107675617"/>
          <c:y val="0.0620953189682624"/>
          <c:w val="0.980930921533037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250000</c:v>
                </c:pt>
                <c:pt idx="1">
                  <c:v>250000</c:v>
                </c:pt>
                <c:pt idx="2">
                  <c:v>268000</c:v>
                </c:pt>
                <c:pt idx="3">
                  <c:v>264000</c:v>
                </c:pt>
                <c:pt idx="4">
                  <c:v>262000</c:v>
                </c:pt>
                <c:pt idx="5">
                  <c:v>262000</c:v>
                </c:pt>
                <c:pt idx="6">
                  <c:v>282000</c:v>
                </c:pt>
                <c:pt idx="7">
                  <c:v>283700</c:v>
                </c:pt>
                <c:pt idx="8">
                  <c:v>278000</c:v>
                </c:pt>
                <c:pt idx="9">
                  <c:v>278000</c:v>
                </c:pt>
                <c:pt idx="10">
                  <c:v>252000</c:v>
                </c:pt>
                <c:pt idx="11">
                  <c:v>246000</c:v>
                </c:pt>
                <c:pt idx="12">
                  <c:v>252000</c:v>
                </c:pt>
                <c:pt idx="13">
                  <c:v>258000</c:v>
                </c:pt>
                <c:pt idx="14">
                  <c:v>279000</c:v>
                </c:pt>
                <c:pt idx="15">
                  <c:v>273000</c:v>
                </c:pt>
                <c:pt idx="16">
                  <c:v>268000</c:v>
                </c:pt>
                <c:pt idx="17">
                  <c:v>262000</c:v>
                </c:pt>
                <c:pt idx="18">
                  <c:v>255000</c:v>
                </c:pt>
                <c:pt idx="19">
                  <c:v>262000</c:v>
                </c:pt>
                <c:pt idx="20">
                  <c:v>268000</c:v>
                </c:pt>
                <c:pt idx="21">
                  <c:v>398000</c:v>
                </c:pt>
                <c:pt idx="22">
                  <c:v>426000</c:v>
                </c:pt>
                <c:pt idx="23">
                  <c:v>445000</c:v>
                </c:pt>
                <c:pt idx="24">
                  <c:v>372000</c:v>
                </c:pt>
                <c:pt idx="25">
                  <c:v>330000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264954</c:v>
                </c:pt>
                <c:pt idx="1">
                  <c:v>273967</c:v>
                </c:pt>
                <c:pt idx="2">
                  <c:v>278797</c:v>
                </c:pt>
                <c:pt idx="3">
                  <c:v>316170</c:v>
                </c:pt>
                <c:pt idx="4">
                  <c:v>303968</c:v>
                </c:pt>
                <c:pt idx="5">
                  <c:v>275357</c:v>
                </c:pt>
                <c:pt idx="6">
                  <c:v>309413</c:v>
                </c:pt>
                <c:pt idx="7">
                  <c:v>282740</c:v>
                </c:pt>
                <c:pt idx="8">
                  <c:v>259341</c:v>
                </c:pt>
                <c:pt idx="9">
                  <c:v>260992</c:v>
                </c:pt>
                <c:pt idx="10">
                  <c:v>347490</c:v>
                </c:pt>
                <c:pt idx="11">
                  <c:v>379302</c:v>
                </c:pt>
                <c:pt idx="12">
                  <c:v>317757</c:v>
                </c:pt>
                <c:pt idx="13">
                  <c:v>330375</c:v>
                </c:pt>
                <c:pt idx="14">
                  <c:v>266783</c:v>
                </c:pt>
                <c:pt idx="15">
                  <c:v>270154</c:v>
                </c:pt>
                <c:pt idx="16">
                  <c:v>260948</c:v>
                </c:pt>
                <c:pt idx="17">
                  <c:v>253968</c:v>
                </c:pt>
                <c:pt idx="18">
                  <c:v>251475</c:v>
                </c:pt>
                <c:pt idx="19">
                  <c:v>238352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8497912"/>
        <c:axId val="1713175"/>
      </c:lineChart>
      <c:catAx>
        <c:axId val="68497912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13175"/>
        <c:crossesAt val="0"/>
        <c:auto val="1"/>
        <c:lblAlgn val="ctr"/>
        <c:lblOffset val="100"/>
        <c:noMultiLvlLbl val="0"/>
      </c:catAx>
      <c:valAx>
        <c:axId val="1713175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497912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20834115708"/>
          <c:y val="0.871245090754697"/>
          <c:w val="0.0493208987920135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02282704126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1738366989"/>
          <c:y val="0.0622216873269948"/>
          <c:w val="0.950285338015803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33400</c:v>
                </c:pt>
                <c:pt idx="1">
                  <c:v>39504</c:v>
                </c:pt>
                <c:pt idx="2">
                  <c:v>11100</c:v>
                </c:pt>
                <c:pt idx="3">
                  <c:v>8500</c:v>
                </c:pt>
                <c:pt idx="4">
                  <c:v>5700</c:v>
                </c:pt>
                <c:pt idx="5">
                  <c:v>12400</c:v>
                </c:pt>
                <c:pt idx="6">
                  <c:v>11820</c:v>
                </c:pt>
                <c:pt idx="7">
                  <c:v>21290</c:v>
                </c:pt>
                <c:pt idx="8">
                  <c:v>0</c:v>
                </c:pt>
                <c:pt idx="9">
                  <c:v>9863</c:v>
                </c:pt>
                <c:pt idx="10">
                  <c:v>4190</c:v>
                </c:pt>
                <c:pt idx="11">
                  <c:v>0</c:v>
                </c:pt>
                <c:pt idx="12">
                  <c:v>197</c:v>
                </c:pt>
                <c:pt idx="13">
                  <c:v>36700</c:v>
                </c:pt>
                <c:pt idx="14">
                  <c:v>7000</c:v>
                </c:pt>
                <c:pt idx="15">
                  <c:v>67495</c:v>
                </c:pt>
                <c:pt idx="16">
                  <c:v>2277</c:v>
                </c:pt>
                <c:pt idx="17">
                  <c:v>13719</c:v>
                </c:pt>
                <c:pt idx="18">
                  <c:v>20000</c:v>
                </c:pt>
                <c:pt idx="19">
                  <c:v>17908</c:v>
                </c:pt>
                <c:pt idx="20">
                  <c:v>11400</c:v>
                </c:pt>
                <c:pt idx="21">
                  <c:v>24700</c:v>
                </c:pt>
                <c:pt idx="22">
                  <c:v>20000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468583"/>
        <c:axId val="65517372"/>
      </c:lineChart>
      <c:catAx>
        <c:axId val="28468583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517372"/>
        <c:crossesAt val="0"/>
        <c:auto val="1"/>
        <c:lblAlgn val="ctr"/>
        <c:lblOffset val="100"/>
        <c:noMultiLvlLbl val="0"/>
      </c:catAx>
      <c:valAx>
        <c:axId val="65517372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46858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51097453907"/>
          <c:y val="0.92177157299314"/>
          <c:w val="0.176141352063213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3089155315632"/>
          <c:y val="0.0782013685239492"/>
          <c:w val="0.98660891762392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199681</c:v>
                </c:pt>
                <c:pt idx="1">
                  <c:v>194490</c:v>
                </c:pt>
                <c:pt idx="2">
                  <c:v>194490</c:v>
                </c:pt>
                <c:pt idx="3">
                  <c:v>198035</c:v>
                </c:pt>
                <c:pt idx="4">
                  <c:v>201435</c:v>
                </c:pt>
                <c:pt idx="5">
                  <c:v>201435</c:v>
                </c:pt>
                <c:pt idx="6">
                  <c:v>201435</c:v>
                </c:pt>
                <c:pt idx="7">
                  <c:v>198400</c:v>
                </c:pt>
                <c:pt idx="8">
                  <c:v>195640</c:v>
                </c:pt>
                <c:pt idx="9">
                  <c:v>197140</c:v>
                </c:pt>
                <c:pt idx="10">
                  <c:v>197635</c:v>
                </c:pt>
                <c:pt idx="11">
                  <c:v>197535</c:v>
                </c:pt>
                <c:pt idx="12">
                  <c:v>197535</c:v>
                </c:pt>
                <c:pt idx="13">
                  <c:v>197535</c:v>
                </c:pt>
                <c:pt idx="14">
                  <c:v>191278</c:v>
                </c:pt>
                <c:pt idx="15">
                  <c:v>190861</c:v>
                </c:pt>
                <c:pt idx="16">
                  <c:v>188648</c:v>
                </c:pt>
                <c:pt idx="17">
                  <c:v>197648</c:v>
                </c:pt>
                <c:pt idx="18">
                  <c:v>187668</c:v>
                </c:pt>
                <c:pt idx="19">
                  <c:v>187668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6185336"/>
        <c:axId val="41467324"/>
      </c:lineChart>
      <c:catAx>
        <c:axId val="16185336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467324"/>
        <c:crossesAt val="0"/>
        <c:auto val="1"/>
        <c:lblAlgn val="ctr"/>
        <c:lblOffset val="100"/>
        <c:noMultiLvlLbl val="0"/>
      </c:catAx>
      <c:valAx>
        <c:axId val="41467324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185336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9992676751826"/>
          <c:y val="0.919409145215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252500.4192</c:v>
                </c:pt>
                <c:pt idx="1">
                  <c:v>225496.4192</c:v>
                </c:pt>
                <c:pt idx="2">
                  <c:v>231896.4192</c:v>
                </c:pt>
                <c:pt idx="3">
                  <c:v>235218.4192</c:v>
                </c:pt>
                <c:pt idx="4">
                  <c:v>241340.4192</c:v>
                </c:pt>
                <c:pt idx="5">
                  <c:v>238940.4192</c:v>
                </c:pt>
                <c:pt idx="6">
                  <c:v>227120.4192</c:v>
                </c:pt>
                <c:pt idx="7">
                  <c:v>216430.4192</c:v>
                </c:pt>
                <c:pt idx="8">
                  <c:v>216430.4192</c:v>
                </c:pt>
                <c:pt idx="9">
                  <c:v>216567.4192</c:v>
                </c:pt>
                <c:pt idx="10">
                  <c:v>222377.4192</c:v>
                </c:pt>
                <c:pt idx="11">
                  <c:v>232377.4192</c:v>
                </c:pt>
                <c:pt idx="12">
                  <c:v>242180.4192</c:v>
                </c:pt>
                <c:pt idx="13">
                  <c:v>225480.4192</c:v>
                </c:pt>
                <c:pt idx="14">
                  <c:v>219162.4192</c:v>
                </c:pt>
                <c:pt idx="15">
                  <c:v>158667.4192</c:v>
                </c:pt>
                <c:pt idx="16">
                  <c:v>158390.4192</c:v>
                </c:pt>
                <c:pt idx="17">
                  <c:v>144671.4192</c:v>
                </c:pt>
                <c:pt idx="18">
                  <c:v>131671.4192</c:v>
                </c:pt>
                <c:pt idx="19">
                  <c:v>120763.4192</c:v>
                </c:pt>
                <c:pt idx="20">
                  <c:v>116863.4192</c:v>
                </c:pt>
                <c:pt idx="21">
                  <c:v>99663.4192</c:v>
                </c:pt>
                <c:pt idx="22">
                  <c:v>87163.4192</c:v>
                </c:pt>
                <c:pt idx="23">
                  <c:v>87163.4192</c:v>
                </c:pt>
                <c:pt idx="24">
                  <c:v>87163.4192</c:v>
                </c:pt>
                <c:pt idx="25">
                  <c:v>87163.4192</c:v>
                </c:pt>
                <c:pt idx="26">
                  <c:v>87163.4192</c:v>
                </c:pt>
                <c:pt idx="27">
                  <c:v>87163.4192</c:v>
                </c:pt>
                <c:pt idx="28">
                  <c:v>87163.4192</c:v>
                </c:pt>
                <c:pt idx="29">
                  <c:v>87163.4192</c:v>
                </c:pt>
                <c:pt idx="30">
                  <c:v>87163.4192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5850035"/>
        <c:axId val="92939231"/>
      </c:lineChart>
      <c:catAx>
        <c:axId val="25850035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939231"/>
        <c:crossesAt val="0"/>
        <c:auto val="1"/>
        <c:lblAlgn val="ctr"/>
        <c:lblOffset val="100"/>
        <c:noMultiLvlLbl val="0"/>
      </c:catAx>
      <c:valAx>
        <c:axId val="92939231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85003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86433260394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1487964989"/>
          <c:y val="0.0701943844492441"/>
          <c:w val="0.954212253829322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20</c:v>
                </c:pt>
                <c:pt idx="6">
                  <c:v>15739</c:v>
                </c:pt>
                <c:pt idx="7">
                  <c:v>15275</c:v>
                </c:pt>
                <c:pt idx="8">
                  <c:v>13183</c:v>
                </c:pt>
                <c:pt idx="9">
                  <c:v>9859</c:v>
                </c:pt>
                <c:pt idx="10">
                  <c:v>12790</c:v>
                </c:pt>
                <c:pt idx="11">
                  <c:v>4</c:v>
                </c:pt>
                <c:pt idx="12">
                  <c:v>937</c:v>
                </c:pt>
                <c:pt idx="13">
                  <c:v>7817</c:v>
                </c:pt>
                <c:pt idx="14">
                  <c:v>9622</c:v>
                </c:pt>
                <c:pt idx="15">
                  <c:v>6967</c:v>
                </c:pt>
                <c:pt idx="16">
                  <c:v>20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8003469"/>
        <c:axId val="80218038"/>
      </c:lineChart>
      <c:catAx>
        <c:axId val="78003469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218038"/>
        <c:crossesAt val="0"/>
        <c:auto val="1"/>
        <c:lblAlgn val="ctr"/>
        <c:lblOffset val="100"/>
        <c:noMultiLvlLbl val="0"/>
      </c:catAx>
      <c:valAx>
        <c:axId val="80218038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00346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63894967177"/>
          <c:y val="0.919006479481642"/>
          <c:w val="0.0964989059080963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5112945941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22921535026"/>
          <c:y val="0.06949576826797"/>
          <c:w val="0.956846860881757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5700</c:v>
                </c:pt>
                <c:pt idx="5">
                  <c:v>11380</c:v>
                </c:pt>
                <c:pt idx="6">
                  <c:v>1341</c:v>
                </c:pt>
                <c:pt idx="7">
                  <c:v>3066</c:v>
                </c:pt>
                <c:pt idx="8">
                  <c:v>10383</c:v>
                </c:pt>
                <c:pt idx="9">
                  <c:v>11024</c:v>
                </c:pt>
                <c:pt idx="10">
                  <c:v>-1766</c:v>
                </c:pt>
                <c:pt idx="11">
                  <c:v>-1770</c:v>
                </c:pt>
                <c:pt idx="12">
                  <c:v>-2707</c:v>
                </c:pt>
                <c:pt idx="13">
                  <c:v>-10524</c:v>
                </c:pt>
                <c:pt idx="14">
                  <c:v>-9646</c:v>
                </c:pt>
                <c:pt idx="15">
                  <c:v>-6113</c:v>
                </c:pt>
                <c:pt idx="16">
                  <c:v>-6133</c:v>
                </c:pt>
                <c:pt idx="17">
                  <c:v>-6138</c:v>
                </c:pt>
                <c:pt idx="18">
                  <c:v>-6138</c:v>
                </c:pt>
                <c:pt idx="19">
                  <c:v>-6138</c:v>
                </c:pt>
                <c:pt idx="20">
                  <c:v>-6138</c:v>
                </c:pt>
                <c:pt idx="21">
                  <c:v>-6138</c:v>
                </c:pt>
                <c:pt idx="22">
                  <c:v>-6138</c:v>
                </c:pt>
                <c:pt idx="23">
                  <c:v>-6138</c:v>
                </c:pt>
                <c:pt idx="24">
                  <c:v>-6138</c:v>
                </c:pt>
                <c:pt idx="25">
                  <c:v>-6138</c:v>
                </c:pt>
                <c:pt idx="26">
                  <c:v>-6138</c:v>
                </c:pt>
                <c:pt idx="27">
                  <c:v>-6138</c:v>
                </c:pt>
                <c:pt idx="28">
                  <c:v>-6138</c:v>
                </c:pt>
                <c:pt idx="29">
                  <c:v>-6138</c:v>
                </c:pt>
                <c:pt idx="30">
                  <c:v>-6138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321545"/>
        <c:axId val="53702196"/>
      </c:lineChart>
      <c:catAx>
        <c:axId val="8321545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702196"/>
        <c:crossesAt val="-40000"/>
        <c:auto val="1"/>
        <c:lblAlgn val="ctr"/>
        <c:lblOffset val="100"/>
        <c:noMultiLvlLbl val="0"/>
      </c:catAx>
      <c:valAx>
        <c:axId val="53702196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2154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6416368074"/>
          <c:y val="0.923232804863512"/>
          <c:w val="0.128213117307992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4912948"/>
        <c:axId val="12684024"/>
      </c:lineChart>
      <c:catAx>
        <c:axId val="949129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684024"/>
        <c:crossesAt val="0"/>
        <c:auto val="1"/>
        <c:lblAlgn val="ctr"/>
        <c:lblOffset val="100"/>
        <c:noMultiLvlLbl val="0"/>
      </c:catAx>
      <c:valAx>
        <c:axId val="12684024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91294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7494902"/>
        <c:axId val="52543332"/>
      </c:lineChart>
      <c:catAx>
        <c:axId val="2749490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543332"/>
        <c:crossesAt val="0"/>
        <c:auto val="1"/>
        <c:lblAlgn val="ctr"/>
        <c:lblOffset val="100"/>
        <c:noMultiLvlLbl val="0"/>
      </c:catAx>
      <c:valAx>
        <c:axId val="52543332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49490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5325873"/>
        <c:axId val="9425018"/>
      </c:lineChart>
      <c:catAx>
        <c:axId val="7532587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25018"/>
        <c:crossesAt val="-40000"/>
        <c:auto val="1"/>
        <c:lblAlgn val="ctr"/>
        <c:lblOffset val="100"/>
        <c:noMultiLvlLbl val="0"/>
      </c:catAx>
      <c:valAx>
        <c:axId val="942501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32587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3603970"/>
        <c:axId val="40764114"/>
      </c:lineChart>
      <c:catAx>
        <c:axId val="2360397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764114"/>
        <c:crossesAt val="0"/>
        <c:auto val="1"/>
        <c:lblAlgn val="ctr"/>
        <c:lblOffset val="100"/>
        <c:noMultiLvlLbl val="0"/>
      </c:catAx>
      <c:valAx>
        <c:axId val="4076411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60397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947897"/>
        <c:axId val="34697583"/>
      </c:lineChart>
      <c:catAx>
        <c:axId val="5994789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697583"/>
        <c:crossesAt val="0"/>
        <c:auto val="1"/>
        <c:lblAlgn val="ctr"/>
        <c:lblOffset val="100"/>
        <c:noMultiLvlLbl val="0"/>
      </c:catAx>
      <c:valAx>
        <c:axId val="3469758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94789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3715558"/>
        <c:axId val="34236036"/>
      </c:lineChart>
      <c:catAx>
        <c:axId val="6371555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236036"/>
        <c:crossesAt val="0"/>
        <c:auto val="1"/>
        <c:lblAlgn val="ctr"/>
        <c:lblOffset val="100"/>
        <c:noMultiLvlLbl val="0"/>
      </c:catAx>
      <c:valAx>
        <c:axId val="34236036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71555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0" name="Text 4"/>
        <xdr:cNvSpPr/>
      </xdr:nvSpPr>
      <xdr:spPr>
        <a:xfrm>
          <a:off x="33210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1" name="Text 5"/>
        <xdr:cNvSpPr/>
      </xdr:nvSpPr>
      <xdr:spPr>
        <a:xfrm>
          <a:off x="1030464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2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4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5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6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7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8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0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1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2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3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4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6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7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8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9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20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2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3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4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5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6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8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9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30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31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10080</xdr:colOff>
      <xdr:row>65</xdr:row>
      <xdr:rowOff>142920</xdr:rowOff>
    </xdr:to>
    <xdr:graphicFrame>
      <xdr:nvGraphicFramePr>
        <xdr:cNvPr id="32" name="Chart 31"/>
        <xdr:cNvGraphicFramePr/>
      </xdr:nvGraphicFramePr>
      <xdr:xfrm>
        <a:off x="3693240" y="7886520"/>
        <a:ext cx="1725480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3" name="Chart 32"/>
        <xdr:cNvGraphicFramePr/>
      </xdr:nvGraphicFramePr>
      <xdr:xfrm>
        <a:off x="7305480" y="1676160"/>
        <a:ext cx="656028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684360</xdr:colOff>
      <xdr:row>87</xdr:row>
      <xdr:rowOff>28440</xdr:rowOff>
    </xdr:to>
    <xdr:graphicFrame>
      <xdr:nvGraphicFramePr>
        <xdr:cNvPr id="34" name="Chart 33"/>
        <xdr:cNvGraphicFramePr/>
      </xdr:nvGraphicFramePr>
      <xdr:xfrm>
        <a:off x="3683160" y="11411280"/>
        <a:ext cx="1720512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291600</xdr:colOff>
      <xdr:row>7</xdr:row>
      <xdr:rowOff>18720</xdr:rowOff>
    </xdr:from>
    <xdr:to>
      <xdr:col>21</xdr:col>
      <xdr:colOff>10080</xdr:colOff>
      <xdr:row>25</xdr:row>
      <xdr:rowOff>47520</xdr:rowOff>
    </xdr:to>
    <xdr:graphicFrame>
      <xdr:nvGraphicFramePr>
        <xdr:cNvPr id="35" name="Chart 34"/>
        <xdr:cNvGraphicFramePr/>
      </xdr:nvGraphicFramePr>
      <xdr:xfrm>
        <a:off x="1400580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6" name="Chart 35"/>
        <xdr:cNvGraphicFramePr/>
      </xdr:nvGraphicFramePr>
      <xdr:xfrm>
        <a:off x="7285320" y="4696200"/>
        <a:ext cx="658044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37" name="Chart 36"/>
        <xdr:cNvGraphicFramePr/>
      </xdr:nvGraphicFramePr>
      <xdr:xfrm>
        <a:off x="14036040" y="4667040"/>
        <a:ext cx="693216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75600</xdr:rowOff>
    </xdr:to>
    <xdr:sp>
      <xdr:nvSpPr>
        <xdr:cNvPr id="38" name="Text 37"/>
        <xdr:cNvSpPr/>
      </xdr:nvSpPr>
      <xdr:spPr>
        <a:xfrm>
          <a:off x="3321000" y="547668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2" t="s">
        <v>5</v>
      </c>
      <c r="B4" s="7" t="n">
        <v>74</v>
      </c>
      <c r="C4" s="8" t="n">
        <v>52</v>
      </c>
      <c r="D4" s="9" t="n">
        <f aca="false">AVERAGE(B4,C4)</f>
        <v>63</v>
      </c>
      <c r="G4" s="2" t="s">
        <v>5</v>
      </c>
      <c r="H4" s="7" t="n">
        <v>77</v>
      </c>
      <c r="I4" s="8" t="n">
        <v>56</v>
      </c>
      <c r="J4" s="9" t="n">
        <f aca="false">AVERAGE(H4,I4)</f>
        <v>66.5</v>
      </c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G5" s="10"/>
      <c r="H5" s="11"/>
      <c r="I5" s="6" t="s">
        <v>6</v>
      </c>
      <c r="J5" s="10"/>
      <c r="K5" s="11"/>
      <c r="L5" s="6" t="s">
        <v>6</v>
      </c>
    </row>
    <row r="6" customFormat="false" ht="12.75" hidden="false" customHeight="false" outlineLevel="0" collapsed="false">
      <c r="A6" s="12" t="s">
        <v>7</v>
      </c>
      <c r="B6" s="13" t="n">
        <v>-215000</v>
      </c>
      <c r="C6" s="14" t="n">
        <v>-233000</v>
      </c>
      <c r="D6" s="12" t="s">
        <v>8</v>
      </c>
      <c r="E6" s="13" t="n">
        <v>-36000</v>
      </c>
      <c r="F6" s="14" t="n">
        <v>-39000</v>
      </c>
      <c r="G6" s="12" t="s">
        <v>7</v>
      </c>
      <c r="H6" s="13" t="n">
        <v>-220000</v>
      </c>
      <c r="I6" s="14" t="n">
        <v>-231000</v>
      </c>
      <c r="J6" s="12" t="s">
        <v>8</v>
      </c>
      <c r="K6" s="13" t="n">
        <v>-37000</v>
      </c>
      <c r="L6" s="14" t="n">
        <v>-41000</v>
      </c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2" t="s">
        <v>9</v>
      </c>
      <c r="H7" s="13"/>
      <c r="J7" s="12" t="s">
        <v>10</v>
      </c>
      <c r="K7" s="13" t="n">
        <v>0</v>
      </c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2" t="s">
        <v>11</v>
      </c>
      <c r="H8" s="13" t="n">
        <v>0</v>
      </c>
      <c r="J8" s="12" t="s">
        <v>12</v>
      </c>
      <c r="K8" s="13"/>
    </row>
    <row r="9" customFormat="false" ht="12.75" hidden="false" customHeight="false" outlineLevel="0" collapsed="false">
      <c r="A9" s="12" t="s">
        <v>13</v>
      </c>
      <c r="B9" s="13" t="n">
        <v>-50000</v>
      </c>
      <c r="D9" s="12" t="s">
        <v>14</v>
      </c>
      <c r="E9" s="13" t="n">
        <v>0</v>
      </c>
      <c r="G9" s="12" t="s">
        <v>13</v>
      </c>
      <c r="H9" s="13" t="n">
        <v>-50000</v>
      </c>
      <c r="J9" s="12" t="s">
        <v>14</v>
      </c>
      <c r="K9" s="13" t="n">
        <v>0</v>
      </c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5" t="s">
        <v>15</v>
      </c>
      <c r="H10" s="13" t="n">
        <v>0</v>
      </c>
      <c r="I10" s="16" t="s">
        <v>16</v>
      </c>
      <c r="J10" s="12" t="s">
        <v>17</v>
      </c>
      <c r="K10" s="13" t="n">
        <v>-8340</v>
      </c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2" t="s">
        <v>18</v>
      </c>
      <c r="H11" s="13" t="n">
        <v>0</v>
      </c>
      <c r="I11" s="16"/>
      <c r="J11" s="12" t="s">
        <v>19</v>
      </c>
      <c r="K11" s="13" t="n">
        <v>-20000</v>
      </c>
    </row>
    <row r="12" customFormat="false" ht="12.75" hidden="false" customHeight="false" outlineLevel="0" collapsed="false">
      <c r="A12" s="12" t="s">
        <v>14</v>
      </c>
      <c r="B12" s="13" t="n">
        <v>-170000</v>
      </c>
      <c r="C12" s="16"/>
      <c r="D12" s="15" t="s">
        <v>20</v>
      </c>
      <c r="E12" s="13" t="n">
        <v>0</v>
      </c>
      <c r="G12" s="12" t="s">
        <v>14</v>
      </c>
      <c r="H12" s="13" t="n">
        <v>-170000</v>
      </c>
      <c r="I12" s="16"/>
      <c r="J12" s="15" t="s">
        <v>20</v>
      </c>
      <c r="K12" s="13" t="n">
        <v>0</v>
      </c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-16254</v>
      </c>
      <c r="G13" s="12" t="s">
        <v>21</v>
      </c>
      <c r="H13" s="13" t="n">
        <v>0</v>
      </c>
      <c r="I13" s="6"/>
      <c r="J13" s="12" t="s">
        <v>22</v>
      </c>
      <c r="K13" s="13" t="n">
        <v>-15254</v>
      </c>
    </row>
    <row r="14" customFormat="false" ht="13.5" hidden="false" customHeight="false" outlineLevel="0" collapsed="false">
      <c r="A14" s="12" t="s">
        <v>23</v>
      </c>
      <c r="B14" s="13" t="n">
        <v>-7000</v>
      </c>
      <c r="C14" s="16"/>
      <c r="D14" s="17" t="s">
        <v>24</v>
      </c>
      <c r="E14" s="18" t="n">
        <f aca="false">SUM(E6:E13)</f>
        <v>-80594</v>
      </c>
      <c r="G14" s="12" t="s">
        <v>23</v>
      </c>
      <c r="H14" s="13" t="n">
        <v>-7000</v>
      </c>
      <c r="I14" s="16"/>
      <c r="J14" s="17" t="s">
        <v>24</v>
      </c>
      <c r="K14" s="18" t="n">
        <f aca="false">SUM(K6:K13)</f>
        <v>-80594</v>
      </c>
    </row>
    <row r="15" customFormat="false" ht="12.75" hidden="false" customHeight="false" outlineLevel="0" collapsed="false">
      <c r="A15" s="12" t="s">
        <v>12</v>
      </c>
      <c r="B15" s="13"/>
      <c r="C15" s="16"/>
      <c r="D15" s="12"/>
      <c r="E15" s="13"/>
      <c r="F15" s="16" t="n">
        <f aca="false">+E14+E29</f>
        <v>0</v>
      </c>
      <c r="G15" s="12" t="s">
        <v>12</v>
      </c>
      <c r="H15" s="13"/>
      <c r="I15" s="16"/>
      <c r="J15" s="12"/>
      <c r="K15" s="13"/>
      <c r="L15" s="16" t="n">
        <f aca="false">+K14+K29</f>
        <v>0</v>
      </c>
    </row>
    <row r="16" customFormat="false" ht="12.75" hidden="false" customHeight="false" outlineLevel="0" collapsed="false">
      <c r="A16" s="12" t="s">
        <v>25</v>
      </c>
      <c r="B16" s="13" t="n">
        <v>-40000</v>
      </c>
      <c r="C16" s="16"/>
      <c r="D16" s="12" t="s">
        <v>26</v>
      </c>
      <c r="E16" s="13" t="n">
        <v>22875</v>
      </c>
      <c r="G16" s="12" t="s">
        <v>25</v>
      </c>
      <c r="H16" s="13" t="n">
        <v>-40000</v>
      </c>
      <c r="I16" s="16"/>
      <c r="J16" s="12" t="s">
        <v>26</v>
      </c>
      <c r="K16" s="13" t="n">
        <v>22875</v>
      </c>
    </row>
    <row r="17" customFormat="false" ht="12.75" hidden="false" customHeight="false" outlineLevel="0" collapsed="false">
      <c r="A17" s="12" t="s">
        <v>22</v>
      </c>
      <c r="B17" s="13" t="n">
        <v>0</v>
      </c>
      <c r="C17" s="16"/>
      <c r="D17" s="12" t="s">
        <v>27</v>
      </c>
      <c r="E17" s="13" t="n">
        <v>10000</v>
      </c>
      <c r="G17" s="12" t="s">
        <v>22</v>
      </c>
      <c r="H17" s="13" t="n">
        <v>0</v>
      </c>
      <c r="I17" s="16"/>
      <c r="J17" s="12" t="s">
        <v>27</v>
      </c>
      <c r="K17" s="13" t="n">
        <v>10000</v>
      </c>
    </row>
    <row r="18" customFormat="false" ht="12.75" hidden="false" customHeight="false" outlineLevel="0" collapsed="false">
      <c r="A18" s="12" t="s">
        <v>28</v>
      </c>
      <c r="B18" s="13" t="n">
        <v>0</v>
      </c>
      <c r="D18" s="12" t="s">
        <v>29</v>
      </c>
      <c r="E18" s="13" t="n">
        <v>7603</v>
      </c>
      <c r="F18" s="16" t="s">
        <v>16</v>
      </c>
      <c r="G18" s="12" t="s">
        <v>28</v>
      </c>
      <c r="H18" s="13" t="n">
        <v>0</v>
      </c>
      <c r="J18" s="12" t="s">
        <v>29</v>
      </c>
      <c r="K18" s="13" t="n">
        <v>7603</v>
      </c>
      <c r="L18" s="16" t="s">
        <v>16</v>
      </c>
    </row>
    <row r="19" customFormat="false" ht="12.75" hidden="false" customHeight="false" outlineLevel="0" collapsed="false">
      <c r="A19" s="12" t="s">
        <v>30</v>
      </c>
      <c r="B19" s="13" t="n">
        <v>-70000</v>
      </c>
      <c r="D19" s="12" t="s">
        <v>31</v>
      </c>
      <c r="E19" s="13" t="n">
        <v>20831</v>
      </c>
      <c r="G19" s="12" t="s">
        <v>30</v>
      </c>
      <c r="H19" s="13" t="n">
        <v>-70000</v>
      </c>
      <c r="J19" s="12" t="s">
        <v>31</v>
      </c>
      <c r="K19" s="13" t="n">
        <v>20831</v>
      </c>
    </row>
    <row r="20" customFormat="false" ht="12.75" hidden="false" customHeight="false" outlineLevel="0" collapsed="false">
      <c r="A20" s="12" t="s">
        <v>32</v>
      </c>
      <c r="B20" s="13" t="n">
        <v>0</v>
      </c>
      <c r="C20" s="16"/>
      <c r="D20" s="12" t="s">
        <v>33</v>
      </c>
      <c r="E20" s="13" t="n">
        <v>0</v>
      </c>
      <c r="G20" s="12" t="s">
        <v>32</v>
      </c>
      <c r="H20" s="13" t="n">
        <v>0</v>
      </c>
      <c r="I20" s="16"/>
      <c r="J20" s="12" t="s">
        <v>33</v>
      </c>
      <c r="K20" s="13" t="n">
        <v>0</v>
      </c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2" t="s">
        <v>34</v>
      </c>
      <c r="H21" s="13" t="n">
        <v>0</v>
      </c>
      <c r="I21" s="16"/>
      <c r="J21" s="12" t="s">
        <v>35</v>
      </c>
      <c r="K21" s="13" t="n">
        <v>4340</v>
      </c>
    </row>
    <row r="22" customFormat="false" ht="12.75" hidden="false" customHeight="false" outlineLevel="0" collapsed="false">
      <c r="A22" s="12" t="s">
        <v>36</v>
      </c>
      <c r="B22" s="13" t="n">
        <v>-29198</v>
      </c>
      <c r="D22" s="12" t="s">
        <v>37</v>
      </c>
      <c r="E22" s="13" t="n">
        <v>6945</v>
      </c>
      <c r="G22" s="12" t="s">
        <v>36</v>
      </c>
      <c r="H22" s="13" t="n">
        <v>-29198</v>
      </c>
      <c r="J22" s="12" t="s">
        <v>37</v>
      </c>
      <c r="K22" s="13" t="n">
        <v>6945</v>
      </c>
    </row>
    <row r="23" customFormat="false" ht="12.75" hidden="false" customHeight="false" outlineLevel="0" collapsed="false">
      <c r="A23" s="12" t="s">
        <v>14</v>
      </c>
      <c r="B23" s="13" t="n">
        <v>0</v>
      </c>
      <c r="C23" s="16" t="s">
        <v>16</v>
      </c>
      <c r="D23" s="12" t="s">
        <v>25</v>
      </c>
      <c r="E23" s="13" t="n">
        <v>0</v>
      </c>
      <c r="F23" s="16"/>
      <c r="G23" s="12" t="s">
        <v>14</v>
      </c>
      <c r="H23" s="13" t="n">
        <v>0</v>
      </c>
      <c r="I23" s="16" t="s">
        <v>16</v>
      </c>
      <c r="J23" s="12" t="s">
        <v>25</v>
      </c>
      <c r="K23" s="13" t="n">
        <v>0</v>
      </c>
      <c r="L23" s="16"/>
    </row>
    <row r="24" customFormat="false" ht="12.75" hidden="false" customHeight="false" outlineLevel="0" collapsed="false">
      <c r="A24" s="12" t="s">
        <v>38</v>
      </c>
      <c r="B24" s="13" t="n">
        <v>0</v>
      </c>
      <c r="D24" s="12" t="s">
        <v>22</v>
      </c>
      <c r="E24" s="13" t="n">
        <v>0</v>
      </c>
      <c r="G24" s="12" t="s">
        <v>38</v>
      </c>
      <c r="H24" s="13" t="n">
        <v>0</v>
      </c>
      <c r="J24" s="12" t="s">
        <v>22</v>
      </c>
      <c r="K24" s="13" t="n">
        <v>0</v>
      </c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8000</v>
      </c>
      <c r="G25" s="12" t="s">
        <v>39</v>
      </c>
      <c r="H25" s="13" t="n">
        <v>0</v>
      </c>
      <c r="J25" s="12" t="s">
        <v>14</v>
      </c>
      <c r="K25" s="13" t="n">
        <v>8000</v>
      </c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2" t="s">
        <v>40</v>
      </c>
      <c r="H26" s="13" t="n">
        <v>0</v>
      </c>
      <c r="J26" s="12" t="s">
        <v>20</v>
      </c>
      <c r="K26" s="13" t="n">
        <v>0</v>
      </c>
    </row>
    <row r="27" customFormat="false" ht="13.5" hidden="false" customHeight="false" outlineLevel="0" collapsed="false">
      <c r="A27" s="12" t="s">
        <v>41</v>
      </c>
      <c r="B27" s="13" t="n">
        <v>-20929</v>
      </c>
      <c r="C27" s="16"/>
      <c r="D27" s="12" t="s">
        <v>42</v>
      </c>
      <c r="E27" s="13" t="n">
        <v>0</v>
      </c>
      <c r="G27" s="12" t="s">
        <v>41</v>
      </c>
      <c r="H27" s="13" t="n">
        <v>-15929</v>
      </c>
      <c r="I27" s="16"/>
      <c r="J27" s="12" t="s">
        <v>42</v>
      </c>
      <c r="K27" s="13" t="n">
        <v>0</v>
      </c>
    </row>
    <row r="28" customFormat="false" ht="13.5" hidden="false" customHeight="false" outlineLevel="0" collapsed="false">
      <c r="A28" s="17" t="s">
        <v>24</v>
      </c>
      <c r="B28" s="18" t="n">
        <f aca="false">SUM(B6:B27)</f>
        <v>-602127</v>
      </c>
      <c r="C28" s="16" t="n">
        <f aca="false">SUM(B28,B57)</f>
        <v>0</v>
      </c>
      <c r="D28" s="12" t="s">
        <v>43</v>
      </c>
      <c r="E28" s="13" t="n">
        <v>0</v>
      </c>
      <c r="G28" s="17" t="s">
        <v>24</v>
      </c>
      <c r="H28" s="18" t="n">
        <f aca="false">SUM(H6:H27)</f>
        <v>-602127</v>
      </c>
      <c r="I28" s="16" t="n">
        <f aca="false">SUM(H28,H57)</f>
        <v>0</v>
      </c>
      <c r="J28" s="12" t="s">
        <v>43</v>
      </c>
      <c r="K28" s="13" t="n">
        <v>0</v>
      </c>
    </row>
    <row r="29" customFormat="false" ht="13.5" hidden="false" customHeight="false" outlineLevel="0" collapsed="false">
      <c r="A29" s="12"/>
      <c r="B29" s="13"/>
      <c r="C29" s="16"/>
      <c r="D29" s="17" t="s">
        <v>44</v>
      </c>
      <c r="E29" s="18" t="n">
        <f aca="false">SUM(E16:E28)</f>
        <v>80594</v>
      </c>
      <c r="G29" s="12"/>
      <c r="H29" s="13"/>
      <c r="I29" s="16"/>
      <c r="J29" s="17" t="s">
        <v>44</v>
      </c>
      <c r="K29" s="18" t="n">
        <f aca="false">SUM(K16:K28)</f>
        <v>80594</v>
      </c>
    </row>
    <row r="30" customFormat="false" ht="13.5" hidden="false" customHeight="false" outlineLevel="0" collapsed="false">
      <c r="A30" s="12" t="s">
        <v>26</v>
      </c>
      <c r="B30" s="13" t="n">
        <v>103081</v>
      </c>
      <c r="C30" s="16"/>
      <c r="D30" s="19"/>
      <c r="E30" s="20"/>
      <c r="F30" s="16"/>
      <c r="G30" s="12" t="s">
        <v>26</v>
      </c>
      <c r="H30" s="13" t="n">
        <v>103081</v>
      </c>
      <c r="I30" s="16"/>
      <c r="J30" s="19"/>
      <c r="K30" s="20"/>
      <c r="L30" s="16"/>
    </row>
    <row r="31" customFormat="false" ht="12.75" hidden="false" customHeight="false" outlineLevel="0" collapsed="false">
      <c r="A31" s="12" t="s">
        <v>27</v>
      </c>
      <c r="B31" s="13" t="n">
        <v>125000</v>
      </c>
      <c r="C31" s="16"/>
      <c r="E31" s="14"/>
      <c r="G31" s="12" t="s">
        <v>27</v>
      </c>
      <c r="H31" s="13" t="n">
        <v>125000</v>
      </c>
      <c r="I31" s="16"/>
      <c r="K31" s="14"/>
    </row>
    <row r="32" customFormat="false" ht="12.75" hidden="false" customHeight="false" outlineLevel="0" collapsed="false">
      <c r="A32" s="12" t="s">
        <v>29</v>
      </c>
      <c r="B32" s="13" t="n">
        <v>0</v>
      </c>
      <c r="E32" s="14"/>
      <c r="G32" s="12" t="s">
        <v>29</v>
      </c>
      <c r="H32" s="13" t="n">
        <v>0</v>
      </c>
      <c r="K32" s="14"/>
    </row>
    <row r="33" customFormat="false" ht="12.75" hidden="false" customHeight="false" outlineLevel="0" collapsed="false">
      <c r="A33" s="12" t="s">
        <v>31</v>
      </c>
      <c r="B33" s="13" t="n">
        <v>176804</v>
      </c>
      <c r="D33" s="21"/>
      <c r="G33" s="12" t="s">
        <v>31</v>
      </c>
      <c r="H33" s="13" t="n">
        <v>176804</v>
      </c>
      <c r="J33" s="21"/>
    </row>
    <row r="34" customFormat="false" ht="12.75" hidden="false" customHeight="false" outlineLevel="0" collapsed="false">
      <c r="A34" s="12" t="s">
        <v>45</v>
      </c>
      <c r="B34" s="13" t="n">
        <v>29198</v>
      </c>
      <c r="C34" s="16"/>
      <c r="G34" s="12" t="s">
        <v>45</v>
      </c>
      <c r="H34" s="13" t="n">
        <v>29198</v>
      </c>
      <c r="I34" s="16"/>
    </row>
    <row r="35" customFormat="false" ht="12.75" hidden="false" customHeight="false" outlineLevel="0" collapsed="false">
      <c r="A35" s="12" t="s">
        <v>46</v>
      </c>
      <c r="B35" s="13" t="n">
        <v>0</v>
      </c>
      <c r="G35" s="12" t="s">
        <v>46</v>
      </c>
      <c r="H35" s="13" t="n">
        <v>0</v>
      </c>
    </row>
    <row r="36" customFormat="false" ht="12.75" hidden="false" customHeight="false" outlineLevel="0" collapsed="false">
      <c r="A36" s="12" t="s">
        <v>47</v>
      </c>
      <c r="B36" s="13" t="n">
        <v>0</v>
      </c>
      <c r="G36" s="12" t="s">
        <v>47</v>
      </c>
      <c r="H36" s="13" t="n">
        <v>0</v>
      </c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2" t="s">
        <v>48</v>
      </c>
      <c r="H37" s="13" t="n">
        <v>0</v>
      </c>
      <c r="J37" s="22"/>
    </row>
    <row r="38" customFormat="false" ht="12.75" hidden="false" customHeight="false" outlineLevel="0" collapsed="false">
      <c r="A38" s="12" t="s">
        <v>42</v>
      </c>
      <c r="B38" s="13" t="n">
        <v>20838</v>
      </c>
      <c r="D38" s="23"/>
      <c r="E38" s="16"/>
      <c r="G38" s="12" t="s">
        <v>42</v>
      </c>
      <c r="H38" s="13" t="n">
        <v>20838</v>
      </c>
      <c r="J38" s="23"/>
      <c r="K38" s="16"/>
    </row>
    <row r="39" customFormat="false" ht="12.75" hidden="false" customHeight="false" outlineLevel="0" collapsed="false">
      <c r="A39" s="12" t="s">
        <v>23</v>
      </c>
      <c r="B39" s="13" t="n">
        <v>0</v>
      </c>
      <c r="G39" s="12" t="s">
        <v>23</v>
      </c>
      <c r="H39" s="13" t="n">
        <v>0</v>
      </c>
    </row>
    <row r="40" customFormat="false" ht="12.75" hidden="false" customHeight="false" outlineLevel="0" collapsed="false">
      <c r="A40" s="12" t="s">
        <v>18</v>
      </c>
      <c r="B40" s="24"/>
      <c r="G40" s="12" t="s">
        <v>18</v>
      </c>
      <c r="H40" s="24"/>
    </row>
    <row r="41" customFormat="false" ht="12.75" hidden="false" customHeight="false" outlineLevel="0" collapsed="false">
      <c r="A41" s="12" t="s">
        <v>49</v>
      </c>
      <c r="B41" s="13" t="n">
        <v>0</v>
      </c>
      <c r="G41" s="12" t="s">
        <v>49</v>
      </c>
      <c r="H41" s="13" t="n">
        <v>0</v>
      </c>
    </row>
    <row r="42" customFormat="false" ht="12.75" hidden="false" customHeight="false" outlineLevel="0" collapsed="false">
      <c r="A42" s="12" t="s">
        <v>14</v>
      </c>
      <c r="B42" s="13" t="n">
        <v>54918</v>
      </c>
      <c r="G42" s="12" t="s">
        <v>14</v>
      </c>
      <c r="H42" s="13" t="n">
        <v>54918</v>
      </c>
    </row>
    <row r="43" customFormat="false" ht="12.75" hidden="false" customHeight="false" outlineLevel="0" collapsed="false">
      <c r="A43" s="12" t="s">
        <v>50</v>
      </c>
      <c r="B43" s="13" t="n">
        <v>13950</v>
      </c>
      <c r="E43" s="14"/>
      <c r="G43" s="12" t="s">
        <v>50</v>
      </c>
      <c r="H43" s="13" t="n">
        <v>13950</v>
      </c>
      <c r="K43" s="14"/>
    </row>
    <row r="44" customFormat="false" ht="12.75" hidden="false" customHeight="false" outlineLevel="0" collapsed="false">
      <c r="A44" s="12" t="s">
        <v>51</v>
      </c>
      <c r="B44" s="13" t="n">
        <v>1000</v>
      </c>
      <c r="C44" s="16"/>
      <c r="E44" s="14"/>
      <c r="G44" s="12" t="s">
        <v>51</v>
      </c>
      <c r="H44" s="13" t="n">
        <v>1000</v>
      </c>
      <c r="I44" s="16"/>
      <c r="K44" s="14"/>
    </row>
    <row r="45" customFormat="false" ht="12.75" hidden="false" customHeight="false" outlineLevel="0" collapsed="false">
      <c r="A45" s="12" t="s">
        <v>33</v>
      </c>
      <c r="B45" s="13"/>
      <c r="E45" s="14"/>
      <c r="G45" s="12" t="s">
        <v>33</v>
      </c>
      <c r="H45" s="13"/>
      <c r="K45" s="14"/>
    </row>
    <row r="46" customFormat="false" ht="12.75" hidden="false" customHeight="false" outlineLevel="0" collapsed="false">
      <c r="A46" s="12" t="s">
        <v>25</v>
      </c>
      <c r="B46" s="13" t="n">
        <v>0</v>
      </c>
      <c r="C46" s="16"/>
      <c r="E46" s="14"/>
      <c r="G46" s="12" t="s">
        <v>25</v>
      </c>
      <c r="H46" s="13" t="n">
        <v>0</v>
      </c>
      <c r="I46" s="16"/>
      <c r="K46" s="14"/>
    </row>
    <row r="47" customFormat="false" ht="12.75" hidden="false" customHeight="false" outlineLevel="0" collapsed="false">
      <c r="A47" s="12" t="s">
        <v>22</v>
      </c>
      <c r="B47" s="13" t="n">
        <v>0</v>
      </c>
      <c r="G47" s="12" t="s">
        <v>22</v>
      </c>
      <c r="H47" s="13" t="n">
        <v>0</v>
      </c>
    </row>
    <row r="48" customFormat="false" ht="12.75" hidden="false" customHeight="false" outlineLevel="0" collapsed="false">
      <c r="A48" s="12" t="s">
        <v>28</v>
      </c>
      <c r="B48" s="13" t="n">
        <v>0</v>
      </c>
      <c r="E48" s="14"/>
      <c r="G48" s="12" t="s">
        <v>28</v>
      </c>
      <c r="H48" s="13" t="n">
        <v>0</v>
      </c>
      <c r="K48" s="14"/>
    </row>
    <row r="49" customFormat="false" ht="12.75" hidden="false" customHeight="false" outlineLevel="0" collapsed="false">
      <c r="A49" s="12" t="s">
        <v>52</v>
      </c>
      <c r="B49" s="13" t="n">
        <v>0</v>
      </c>
      <c r="C49" s="16" t="s">
        <v>16</v>
      </c>
      <c r="E49" s="14"/>
      <c r="G49" s="12" t="s">
        <v>52</v>
      </c>
      <c r="H49" s="13" t="n">
        <v>0</v>
      </c>
      <c r="I49" s="16" t="s">
        <v>16</v>
      </c>
      <c r="K49" s="14"/>
    </row>
    <row r="50" customFormat="false" ht="12.75" hidden="false" customHeight="false" outlineLevel="0" collapsed="false">
      <c r="A50" s="12" t="s">
        <v>53</v>
      </c>
      <c r="B50" s="13" t="n">
        <v>0</v>
      </c>
      <c r="E50" s="14"/>
      <c r="G50" s="12" t="s">
        <v>53</v>
      </c>
      <c r="H50" s="13" t="n">
        <v>0</v>
      </c>
      <c r="K50" s="14"/>
    </row>
    <row r="51" customFormat="false" ht="12.75" hidden="false" customHeight="false" outlineLevel="0" collapsed="false">
      <c r="A51" s="12" t="s">
        <v>54</v>
      </c>
      <c r="B51" s="13" t="n">
        <v>0</v>
      </c>
      <c r="E51" s="14"/>
      <c r="G51" s="12" t="s">
        <v>54</v>
      </c>
      <c r="H51" s="13" t="n">
        <v>0</v>
      </c>
      <c r="K51" s="14"/>
    </row>
    <row r="52" customFormat="false" ht="12.75" hidden="false" customHeight="false" outlineLevel="0" collapsed="false">
      <c r="A52" s="12" t="s">
        <v>36</v>
      </c>
      <c r="B52" s="13" t="n">
        <v>0</v>
      </c>
      <c r="C52" s="16"/>
      <c r="E52" s="14"/>
      <c r="G52" s="12" t="s">
        <v>36</v>
      </c>
      <c r="H52" s="13" t="n">
        <v>0</v>
      </c>
      <c r="I52" s="16"/>
      <c r="K52" s="14"/>
    </row>
    <row r="53" customFormat="false" ht="12.75" hidden="false" customHeight="false" outlineLevel="0" collapsed="false">
      <c r="A53" s="12" t="s">
        <v>55</v>
      </c>
      <c r="B53" s="13" t="n">
        <v>35000</v>
      </c>
      <c r="E53" s="14"/>
      <c r="G53" s="12" t="s">
        <v>55</v>
      </c>
      <c r="H53" s="13" t="n">
        <v>35000</v>
      </c>
      <c r="K53" s="14"/>
    </row>
    <row r="54" customFormat="false" ht="12.75" hidden="false" customHeight="false" outlineLevel="0" collapsed="false">
      <c r="A54" s="12" t="s">
        <v>56</v>
      </c>
      <c r="B54" s="13" t="n">
        <v>42338</v>
      </c>
      <c r="C54" s="16"/>
      <c r="E54" s="14"/>
      <c r="G54" s="12" t="s">
        <v>56</v>
      </c>
      <c r="H54" s="13" t="n">
        <v>42338</v>
      </c>
      <c r="I54" s="16"/>
      <c r="K54" s="14"/>
    </row>
    <row r="55" customFormat="false" ht="12.75" hidden="false" customHeight="false" outlineLevel="0" collapsed="false">
      <c r="A55" s="12" t="s">
        <v>14</v>
      </c>
      <c r="B55" s="13" t="n">
        <v>0</v>
      </c>
      <c r="C55" s="16"/>
      <c r="E55" s="14"/>
      <c r="G55" s="12" t="s">
        <v>14</v>
      </c>
      <c r="H55" s="13" t="n">
        <v>0</v>
      </c>
      <c r="I55" s="16"/>
      <c r="K55" s="14"/>
    </row>
    <row r="56" customFormat="false" ht="13.5" hidden="false" customHeight="false" outlineLevel="0" collapsed="false">
      <c r="A56" s="12" t="s">
        <v>43</v>
      </c>
      <c r="B56" s="13" t="n">
        <v>0</v>
      </c>
      <c r="C56" s="16"/>
      <c r="E56" s="14"/>
      <c r="G56" s="12" t="s">
        <v>43</v>
      </c>
      <c r="H56" s="13" t="n">
        <v>0</v>
      </c>
      <c r="I56" s="16"/>
      <c r="K56" s="14"/>
    </row>
    <row r="57" customFormat="false" ht="13.5" hidden="false" customHeight="false" outlineLevel="0" collapsed="false">
      <c r="A57" s="17" t="s">
        <v>44</v>
      </c>
      <c r="B57" s="18" t="n">
        <f aca="false">SUM(B30:B56)</f>
        <v>602127</v>
      </c>
      <c r="C57" s="16"/>
      <c r="E57" s="14"/>
      <c r="G57" s="17" t="s">
        <v>44</v>
      </c>
      <c r="H57" s="18" t="n">
        <f aca="false">SUM(H30:H56)</f>
        <v>602127</v>
      </c>
      <c r="I57" s="16"/>
      <c r="K57" s="14"/>
    </row>
    <row r="58" customFormat="false" ht="13.5" hidden="false" customHeight="false" outlineLevel="0" collapsed="false">
      <c r="A58" s="19"/>
      <c r="B58" s="25"/>
      <c r="G58" s="19"/>
      <c r="H58" s="25"/>
    </row>
    <row r="59" customFormat="false" ht="12.75" hidden="false" customHeight="false" outlineLevel="0" collapsed="false">
      <c r="E59" s="14"/>
      <c r="K59" s="14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2.42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26" t="s">
        <v>57</v>
      </c>
      <c r="G1" s="27" t="n">
        <v>315000</v>
      </c>
      <c r="H1" s="28"/>
      <c r="I1" s="29" t="s">
        <v>58</v>
      </c>
      <c r="J1" s="30" t="n">
        <v>65000</v>
      </c>
      <c r="O1" s="31" t="s">
        <v>59</v>
      </c>
      <c r="P1" s="32" t="n">
        <f aca="true">TODAY()+2</f>
        <v>45928</v>
      </c>
      <c r="Q1" s="14" t="n">
        <v>370000</v>
      </c>
      <c r="S1" s="31" t="s">
        <v>60</v>
      </c>
      <c r="T1" s="32" t="n">
        <f aca="true">TODAY()+2</f>
        <v>45928</v>
      </c>
      <c r="U1" s="14" t="n">
        <v>75000</v>
      </c>
      <c r="X1" s="33" t="s">
        <v>61</v>
      </c>
      <c r="Y1" s="33" t="s">
        <v>62</v>
      </c>
      <c r="Z1" s="33" t="s">
        <v>63</v>
      </c>
      <c r="AA1" s="33"/>
      <c r="AB1" s="33" t="s">
        <v>64</v>
      </c>
      <c r="AC1" s="33" t="s">
        <v>65</v>
      </c>
      <c r="AD1" s="33" t="s">
        <v>66</v>
      </c>
      <c r="AG1" s="33" t="s">
        <v>67</v>
      </c>
      <c r="AH1" s="33" t="s">
        <v>68</v>
      </c>
      <c r="AK1" s="6" t="s">
        <v>69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16"/>
      <c r="P2" s="32" t="n">
        <f aca="true">TODAY()+3</f>
        <v>45929</v>
      </c>
      <c r="Q2" s="14" t="n">
        <v>310000</v>
      </c>
      <c r="T2" s="32" t="n">
        <f aca="true">TODAY()+3</f>
        <v>45929</v>
      </c>
      <c r="U2" s="14" t="n">
        <v>62000</v>
      </c>
      <c r="W2" s="32" t="n">
        <v>37012</v>
      </c>
      <c r="X2" s="16" t="n">
        <v>33400</v>
      </c>
      <c r="Y2" s="16" t="n">
        <v>18258</v>
      </c>
      <c r="Z2" s="34" t="n">
        <v>252500.4192</v>
      </c>
      <c r="AA2" s="34"/>
      <c r="AB2" s="16" t="n">
        <v>0</v>
      </c>
      <c r="AC2" s="16" t="n">
        <v>0</v>
      </c>
      <c r="AD2" s="16" t="n">
        <v>0</v>
      </c>
      <c r="AF2" s="32" t="n">
        <v>37012</v>
      </c>
      <c r="AG2" s="14" t="n">
        <v>250000</v>
      </c>
      <c r="AH2" s="14" t="n">
        <f aca="false">228194+36760</f>
        <v>264954</v>
      </c>
      <c r="AI2" s="16"/>
      <c r="AJ2" s="35" t="n">
        <f aca="false">+AF2</f>
        <v>37012</v>
      </c>
      <c r="AK2" s="14" t="n">
        <f aca="false">179124+20557</f>
        <v>199681</v>
      </c>
      <c r="AL2" s="14"/>
      <c r="AM2" s="14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36" t="s">
        <v>23</v>
      </c>
      <c r="K3" s="37" t="n">
        <f aca="true">TODAY()-1</f>
        <v>45925</v>
      </c>
      <c r="L3" s="38" t="n">
        <f aca="true">TODAY()</f>
        <v>45926</v>
      </c>
      <c r="M3" s="39" t="s">
        <v>70</v>
      </c>
      <c r="P3" s="32" t="n">
        <f aca="true">TODAY()+4</f>
        <v>45930</v>
      </c>
      <c r="Q3" s="14" t="n">
        <v>280000</v>
      </c>
      <c r="T3" s="32" t="n">
        <f aca="true">TODAY()+4</f>
        <v>45930</v>
      </c>
      <c r="U3" s="14" t="n">
        <v>50000</v>
      </c>
      <c r="W3" s="32" t="n">
        <v>37013</v>
      </c>
      <c r="X3" s="16" t="n">
        <v>39504</v>
      </c>
      <c r="Y3" s="16" t="n">
        <v>12500</v>
      </c>
      <c r="Z3" s="34" t="n">
        <f aca="false">Z2-X3+Y3</f>
        <v>225496.4192</v>
      </c>
      <c r="AA3" s="34"/>
      <c r="AB3" s="16" t="n">
        <v>0</v>
      </c>
      <c r="AC3" s="16" t="n">
        <v>0</v>
      </c>
      <c r="AD3" s="16" t="n">
        <f aca="false">AD2-AB3+AC3</f>
        <v>0</v>
      </c>
      <c r="AF3" s="32" t="n">
        <v>37013</v>
      </c>
      <c r="AG3" s="14" t="n">
        <v>250000</v>
      </c>
      <c r="AH3" s="14" t="n">
        <f aca="false">236301+37666</f>
        <v>273967</v>
      </c>
      <c r="AI3" s="16"/>
      <c r="AJ3" s="35" t="n">
        <f aca="false">+AF3</f>
        <v>37013</v>
      </c>
      <c r="AK3" s="14" t="n">
        <f aca="false">173899+20591</f>
        <v>194490</v>
      </c>
      <c r="AL3" s="14"/>
      <c r="AM3" s="14"/>
    </row>
    <row r="4" customFormat="false" ht="13.5" hidden="false" customHeight="false" outlineLevel="0" collapsed="false">
      <c r="A4" s="2" t="s">
        <v>5</v>
      </c>
      <c r="B4" s="7" t="n">
        <v>55</v>
      </c>
      <c r="C4" s="8" t="n">
        <v>41</v>
      </c>
      <c r="D4" s="9" t="n">
        <f aca="false">AVERAGE(B4,C4)</f>
        <v>48</v>
      </c>
      <c r="J4" s="12" t="s">
        <v>71</v>
      </c>
      <c r="K4" s="40" t="n">
        <v>11400</v>
      </c>
      <c r="L4" s="14" t="n">
        <v>24700</v>
      </c>
      <c r="M4" s="41" t="n">
        <f aca="false">+L4-K4</f>
        <v>13300</v>
      </c>
      <c r="Q4" s="14"/>
      <c r="R4" s="32" t="s">
        <v>16</v>
      </c>
      <c r="W4" s="32" t="n">
        <v>37014</v>
      </c>
      <c r="X4" s="16" t="n">
        <v>11100</v>
      </c>
      <c r="Y4" s="16" t="n">
        <v>17500</v>
      </c>
      <c r="Z4" s="34" t="n">
        <f aca="false">Z3-X4+Y4</f>
        <v>231896.4192</v>
      </c>
      <c r="AA4" s="34"/>
      <c r="AB4" s="16" t="n">
        <v>0</v>
      </c>
      <c r="AC4" s="16" t="n">
        <v>0</v>
      </c>
      <c r="AD4" s="16" t="n">
        <f aca="false">AD3-AB4+AC4</f>
        <v>0</v>
      </c>
      <c r="AF4" s="32" t="n">
        <v>37014</v>
      </c>
      <c r="AG4" s="14" t="n">
        <f aca="false">230000+38000</f>
        <v>268000</v>
      </c>
      <c r="AH4" s="14" t="n">
        <f aca="false">240298+38499</f>
        <v>278797</v>
      </c>
      <c r="AI4" s="16"/>
      <c r="AJ4" s="35" t="n">
        <f aca="false">+AF4</f>
        <v>37014</v>
      </c>
      <c r="AK4" s="14" t="n">
        <f aca="false">173899+20591</f>
        <v>194490</v>
      </c>
      <c r="AL4" s="14"/>
      <c r="AM4" s="14"/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H5" s="6"/>
      <c r="J5" s="12" t="s">
        <v>72</v>
      </c>
      <c r="K5" s="42" t="n">
        <v>7500</v>
      </c>
      <c r="L5" s="14" t="n">
        <v>7500</v>
      </c>
      <c r="M5" s="43" t="n">
        <f aca="false">+L5-K5</f>
        <v>0</v>
      </c>
      <c r="W5" s="32" t="n">
        <v>37015</v>
      </c>
      <c r="X5" s="16" t="n">
        <v>8500</v>
      </c>
      <c r="Y5" s="16" t="n">
        <v>11822</v>
      </c>
      <c r="Z5" s="34" t="n">
        <f aca="false">Z4-X5+Y5</f>
        <v>235218.4192</v>
      </c>
      <c r="AA5" s="34"/>
      <c r="AB5" s="16" t="n">
        <v>0</v>
      </c>
      <c r="AC5" s="16" t="n">
        <v>0</v>
      </c>
      <c r="AD5" s="16" t="n">
        <f aca="false">AD4-AB5+AC5</f>
        <v>0</v>
      </c>
      <c r="AF5" s="32" t="n">
        <v>37015</v>
      </c>
      <c r="AG5" s="14" t="n">
        <f aca="false">220000+44000</f>
        <v>264000</v>
      </c>
      <c r="AH5" s="14" t="n">
        <f aca="false">262301+53869</f>
        <v>316170</v>
      </c>
      <c r="AI5" s="16"/>
      <c r="AJ5" s="35" t="n">
        <f aca="false">+AF5</f>
        <v>37015</v>
      </c>
      <c r="AK5" s="14" t="n">
        <f aca="false">177444+20591</f>
        <v>198035</v>
      </c>
      <c r="AL5" s="14"/>
      <c r="AM5" s="14"/>
    </row>
    <row r="6" customFormat="false" ht="13.5" hidden="false" customHeight="false" outlineLevel="0" collapsed="false">
      <c r="A6" s="12" t="s">
        <v>7</v>
      </c>
      <c r="B6" s="13" t="n">
        <v>-355000</v>
      </c>
      <c r="C6" s="14" t="n">
        <v>334000</v>
      </c>
      <c r="D6" s="12" t="s">
        <v>8</v>
      </c>
      <c r="E6" s="13" t="n">
        <v>-71000</v>
      </c>
      <c r="F6" s="14" t="n">
        <v>-76000</v>
      </c>
      <c r="H6" s="14"/>
      <c r="J6" s="19" t="s">
        <v>73</v>
      </c>
      <c r="K6" s="44" t="n">
        <f aca="false">(+K4-K5)/2</f>
        <v>1950</v>
      </c>
      <c r="L6" s="45" t="n">
        <f aca="false">(+L4-L5)/2</f>
        <v>8600</v>
      </c>
      <c r="M6" s="46" t="n">
        <f aca="false">+L6-K6</f>
        <v>6650</v>
      </c>
      <c r="W6" s="32" t="n">
        <v>37016</v>
      </c>
      <c r="X6" s="16" t="n">
        <v>5700</v>
      </c>
      <c r="Y6" s="16" t="n">
        <v>11822</v>
      </c>
      <c r="Z6" s="34" t="n">
        <f aca="false">Z5-X6+Y6</f>
        <v>241340.4192</v>
      </c>
      <c r="AA6" s="34"/>
      <c r="AB6" s="16" t="n">
        <v>0</v>
      </c>
      <c r="AC6" s="16" t="n">
        <v>5700</v>
      </c>
      <c r="AD6" s="16" t="n">
        <f aca="false">AD5-AB6+AC6</f>
        <v>5700</v>
      </c>
      <c r="AF6" s="32" t="n">
        <v>37016</v>
      </c>
      <c r="AG6" s="14" t="n">
        <f aca="false">220000+42000</f>
        <v>262000</v>
      </c>
      <c r="AH6" s="14" t="n">
        <f aca="false">249943+54025</f>
        <v>303968</v>
      </c>
      <c r="AJ6" s="35" t="n">
        <f aca="false">+AF6</f>
        <v>37016</v>
      </c>
      <c r="AK6" s="14" t="n">
        <f aca="false">180844+20591</f>
        <v>201435</v>
      </c>
      <c r="AL6" s="14"/>
      <c r="AM6" s="14"/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4"/>
      <c r="H7" s="14"/>
      <c r="W7" s="32" t="n">
        <v>37017</v>
      </c>
      <c r="X7" s="16" t="n">
        <v>12400</v>
      </c>
      <c r="Y7" s="16" t="n">
        <v>10000</v>
      </c>
      <c r="Z7" s="34" t="n">
        <f aca="false">Z6-X7+Y7</f>
        <v>238940.4192</v>
      </c>
      <c r="AA7" s="34"/>
      <c r="AB7" s="16" t="n">
        <v>20</v>
      </c>
      <c r="AC7" s="16" t="n">
        <v>5700</v>
      </c>
      <c r="AD7" s="16" t="n">
        <f aca="false">AD6-AB7+AC7</f>
        <v>11380</v>
      </c>
      <c r="AF7" s="32" t="n">
        <v>37017</v>
      </c>
      <c r="AG7" s="14" t="n">
        <f aca="false">220000+42000</f>
        <v>262000</v>
      </c>
      <c r="AH7" s="47" t="n">
        <f aca="false">232606+42751</f>
        <v>275357</v>
      </c>
      <c r="AJ7" s="35" t="n">
        <f aca="false">+AF7</f>
        <v>37017</v>
      </c>
      <c r="AK7" s="14" t="n">
        <f aca="false">180844+20591</f>
        <v>201435</v>
      </c>
      <c r="AL7" s="14"/>
      <c r="AM7" s="14"/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4"/>
      <c r="H8" s="14"/>
      <c r="W8" s="32" t="n">
        <v>37018</v>
      </c>
      <c r="X8" s="16" t="n">
        <v>11820</v>
      </c>
      <c r="Y8" s="16" t="n">
        <v>0</v>
      </c>
      <c r="Z8" s="34" t="n">
        <f aca="false">Z7-X8+Y8</f>
        <v>227120.4192</v>
      </c>
      <c r="AA8" s="34"/>
      <c r="AB8" s="16" t="n">
        <v>15739</v>
      </c>
      <c r="AC8" s="16" t="n">
        <v>5700</v>
      </c>
      <c r="AD8" s="16" t="n">
        <f aca="false">AD7-AB8+AC8</f>
        <v>1341</v>
      </c>
      <c r="AF8" s="32" t="n">
        <v>37018</v>
      </c>
      <c r="AG8" s="14" t="n">
        <f aca="false">240000+42000</f>
        <v>282000</v>
      </c>
      <c r="AH8" s="14" t="n">
        <f aca="false">260414+48999</f>
        <v>309413</v>
      </c>
      <c r="AJ8" s="35" t="n">
        <f aca="false">+AF8</f>
        <v>37018</v>
      </c>
      <c r="AK8" s="14" t="n">
        <f aca="false">180844+20591</f>
        <v>201435</v>
      </c>
      <c r="AL8" s="14"/>
      <c r="AM8" s="14"/>
    </row>
    <row r="9" customFormat="false" ht="12.75" hidden="false" customHeight="false" outlineLevel="0" collapsed="false">
      <c r="A9" s="12" t="s">
        <v>13</v>
      </c>
      <c r="B9" s="13" t="n">
        <v>0</v>
      </c>
      <c r="D9" s="12" t="s">
        <v>14</v>
      </c>
      <c r="E9" s="13" t="n">
        <v>0</v>
      </c>
      <c r="G9" s="14"/>
      <c r="H9" s="14"/>
      <c r="L9" s="14"/>
      <c r="W9" s="32" t="n">
        <v>37019</v>
      </c>
      <c r="X9" s="16" t="n">
        <v>21290</v>
      </c>
      <c r="Y9" s="16" t="n">
        <v>10600</v>
      </c>
      <c r="Z9" s="34" t="n">
        <f aca="false">Z8-X9+Y9</f>
        <v>216430.4192</v>
      </c>
      <c r="AA9" s="34"/>
      <c r="AB9" s="16" t="n">
        <v>15275</v>
      </c>
      <c r="AC9" s="16" t="n">
        <v>17000</v>
      </c>
      <c r="AD9" s="16" t="n">
        <f aca="false">AD8-AB9+AC9</f>
        <v>3066</v>
      </c>
      <c r="AF9" s="32" t="n">
        <v>37019</v>
      </c>
      <c r="AG9" s="14" t="n">
        <f aca="false">240000+43700</f>
        <v>283700</v>
      </c>
      <c r="AH9" s="14" t="n">
        <f aca="false">238983+43757</f>
        <v>282740</v>
      </c>
      <c r="AJ9" s="35" t="n">
        <f aca="false">+AF9</f>
        <v>37019</v>
      </c>
      <c r="AK9" s="14" t="n">
        <f aca="false">177809+20591</f>
        <v>198400</v>
      </c>
      <c r="AL9" s="14"/>
      <c r="AM9" s="14"/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4"/>
      <c r="H10" s="14"/>
      <c r="W10" s="32" t="n">
        <v>37020</v>
      </c>
      <c r="X10" s="16" t="n">
        <v>0</v>
      </c>
      <c r="Y10" s="16" t="n">
        <v>0</v>
      </c>
      <c r="Z10" s="34" t="n">
        <f aca="false">Z9-X10+Y10</f>
        <v>216430.4192</v>
      </c>
      <c r="AA10" s="34"/>
      <c r="AB10" s="16" t="n">
        <v>13183</v>
      </c>
      <c r="AC10" s="16" t="n">
        <v>20500</v>
      </c>
      <c r="AD10" s="16" t="n">
        <f aca="false">AD9-AB10+AC10</f>
        <v>10383</v>
      </c>
      <c r="AF10" s="32" t="n">
        <v>37020</v>
      </c>
      <c r="AG10" s="14" t="n">
        <f aca="false">240000+38000</f>
        <v>278000</v>
      </c>
      <c r="AH10" s="14" t="n">
        <f aca="false">220190+39151</f>
        <v>259341</v>
      </c>
      <c r="AJ10" s="35" t="n">
        <f aca="false">+AF10</f>
        <v>37020</v>
      </c>
      <c r="AK10" s="14" t="n">
        <f aca="false">174809+20831</f>
        <v>195640</v>
      </c>
      <c r="AL10" s="14"/>
      <c r="AM10" s="14"/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4"/>
      <c r="H11" s="14"/>
      <c r="R11" s="34"/>
      <c r="W11" s="32" t="n">
        <v>37021</v>
      </c>
      <c r="X11" s="16" t="n">
        <v>9863</v>
      </c>
      <c r="Y11" s="16" t="n">
        <v>10000</v>
      </c>
      <c r="Z11" s="34" t="n">
        <f aca="false">Z10-X11+Y11</f>
        <v>216567.4192</v>
      </c>
      <c r="AA11" s="34"/>
      <c r="AB11" s="16" t="n">
        <v>9859</v>
      </c>
      <c r="AC11" s="16" t="n">
        <v>10500</v>
      </c>
      <c r="AD11" s="16" t="n">
        <f aca="false">AD10-AB11+AC11</f>
        <v>11024</v>
      </c>
      <c r="AF11" s="32" t="n">
        <v>37021</v>
      </c>
      <c r="AG11" s="14" t="n">
        <f aca="false">240000+38000</f>
        <v>278000</v>
      </c>
      <c r="AH11" s="14" t="n">
        <f aca="false">221445+39547</f>
        <v>260992</v>
      </c>
      <c r="AJ11" s="35" t="n">
        <f aca="false">+AF11</f>
        <v>37021</v>
      </c>
      <c r="AK11" s="14" t="n">
        <f aca="false">176309+20831</f>
        <v>197140</v>
      </c>
      <c r="AL11" s="14"/>
      <c r="AM11" s="14"/>
    </row>
    <row r="12" customFormat="false" ht="12.75" hidden="false" customHeight="false" outlineLevel="0" collapsed="false">
      <c r="A12" s="12" t="s">
        <v>14</v>
      </c>
      <c r="B12" s="13" t="n">
        <f aca="false">-103082-54918</f>
        <v>-158000</v>
      </c>
      <c r="C12" s="16"/>
      <c r="D12" s="15" t="s">
        <v>20</v>
      </c>
      <c r="E12" s="13" t="n">
        <v>0</v>
      </c>
      <c r="G12" s="14" t="s">
        <v>16</v>
      </c>
      <c r="H12" s="14"/>
      <c r="R12" s="34"/>
      <c r="W12" s="32" t="n">
        <v>37022</v>
      </c>
      <c r="X12" s="16" t="n">
        <v>4190</v>
      </c>
      <c r="Y12" s="16" t="n">
        <v>10000</v>
      </c>
      <c r="Z12" s="34" t="n">
        <f aca="false">Z11-X12+Y12</f>
        <v>222377.4192</v>
      </c>
      <c r="AA12" s="34"/>
      <c r="AB12" s="16" t="n">
        <v>12790</v>
      </c>
      <c r="AC12" s="16" t="n">
        <v>0</v>
      </c>
      <c r="AD12" s="16" t="n">
        <f aca="false">AD11-AB12+AC12</f>
        <v>-1766</v>
      </c>
      <c r="AF12" s="32" t="n">
        <v>37022</v>
      </c>
      <c r="AG12" s="14" t="n">
        <f aca="false">215000+37000</f>
        <v>252000</v>
      </c>
      <c r="AH12" s="14" t="n">
        <f aca="false">286991+60499</f>
        <v>347490</v>
      </c>
      <c r="AJ12" s="35" t="n">
        <f aca="false">+AF12</f>
        <v>37022</v>
      </c>
      <c r="AK12" s="14" t="n">
        <f aca="false">176804+20831</f>
        <v>197635</v>
      </c>
      <c r="AL12" s="14"/>
      <c r="AM12" s="14"/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0</v>
      </c>
      <c r="G13" s="14"/>
      <c r="H13" s="14"/>
      <c r="R13" s="34"/>
      <c r="W13" s="32" t="n">
        <v>37023</v>
      </c>
      <c r="X13" s="16" t="n">
        <v>0</v>
      </c>
      <c r="Y13" s="16" t="n">
        <v>10000</v>
      </c>
      <c r="Z13" s="34" t="n">
        <f aca="false">Z12-X13+Y13</f>
        <v>232377.4192</v>
      </c>
      <c r="AA13" s="34"/>
      <c r="AB13" s="16" t="n">
        <v>4</v>
      </c>
      <c r="AC13" s="16" t="n">
        <v>0</v>
      </c>
      <c r="AD13" s="16" t="n">
        <f aca="false">AD12-AB13+AC13</f>
        <v>-1770</v>
      </c>
      <c r="AF13" s="32" t="n">
        <v>37023</v>
      </c>
      <c r="AG13" s="14" t="n">
        <f aca="false">210000+36000</f>
        <v>246000</v>
      </c>
      <c r="AH13" s="14" t="n">
        <f aca="false">314073+65229</f>
        <v>379302</v>
      </c>
      <c r="AJ13" s="35" t="n">
        <f aca="false">+AF13</f>
        <v>37023</v>
      </c>
      <c r="AK13" s="14" t="n">
        <f aca="false">176704+20831</f>
        <v>197535</v>
      </c>
      <c r="AL13" s="14"/>
      <c r="AM13" s="14"/>
    </row>
    <row r="14" customFormat="false" ht="13.5" hidden="false" customHeight="false" outlineLevel="0" collapsed="false">
      <c r="A14" s="12" t="s">
        <v>23</v>
      </c>
      <c r="B14" s="13" t="n">
        <v>-20000</v>
      </c>
      <c r="C14" s="16"/>
      <c r="D14" s="17" t="s">
        <v>24</v>
      </c>
      <c r="E14" s="18" t="n">
        <f aca="false">SUM(E6:E13)</f>
        <v>-99340</v>
      </c>
      <c r="G14" s="14"/>
      <c r="H14" s="14"/>
      <c r="L14" s="14"/>
      <c r="R14" s="34"/>
      <c r="W14" s="32" t="n">
        <v>37024</v>
      </c>
      <c r="X14" s="16" t="n">
        <v>197</v>
      </c>
      <c r="Y14" s="16" t="n">
        <v>10000</v>
      </c>
      <c r="Z14" s="34" t="n">
        <f aca="false">Z13-X14+Y14</f>
        <v>242180.4192</v>
      </c>
      <c r="AA14" s="34"/>
      <c r="AB14" s="16" t="n">
        <v>937</v>
      </c>
      <c r="AC14" s="16" t="n">
        <v>0</v>
      </c>
      <c r="AD14" s="16" t="n">
        <f aca="false">AD13-AB14+AC14</f>
        <v>-2707</v>
      </c>
      <c r="AF14" s="32" t="n">
        <v>37024</v>
      </c>
      <c r="AG14" s="14" t="n">
        <f aca="false">215000+37000</f>
        <v>252000</v>
      </c>
      <c r="AH14" s="14" t="n">
        <f aca="false">265506+52251</f>
        <v>317757</v>
      </c>
      <c r="AJ14" s="35" t="n">
        <f aca="false">+AF14</f>
        <v>37024</v>
      </c>
      <c r="AK14" s="14" t="n">
        <f aca="false">176704+20831</f>
        <v>197535</v>
      </c>
      <c r="AL14" s="14"/>
      <c r="AM14" s="14"/>
    </row>
    <row r="15" customFormat="false" ht="12.75" hidden="false" customHeight="false" outlineLevel="0" collapsed="false">
      <c r="A15" s="12" t="s">
        <v>12</v>
      </c>
      <c r="B15" s="13"/>
      <c r="C15" s="16"/>
      <c r="D15" s="12"/>
      <c r="E15" s="13"/>
      <c r="F15" s="16" t="n">
        <f aca="false">+E14+E29</f>
        <v>0</v>
      </c>
      <c r="G15" s="14"/>
      <c r="H15" s="14"/>
      <c r="L15" s="14"/>
      <c r="R15" s="34"/>
      <c r="W15" s="32" t="n">
        <v>37025</v>
      </c>
      <c r="X15" s="16" t="n">
        <v>36700</v>
      </c>
      <c r="Y15" s="16" t="n">
        <v>20000</v>
      </c>
      <c r="Z15" s="34" t="n">
        <f aca="false">Z14-X15+Y15</f>
        <v>225480.4192</v>
      </c>
      <c r="AA15" s="34"/>
      <c r="AB15" s="16" t="n">
        <v>7817</v>
      </c>
      <c r="AC15" s="16" t="n">
        <v>0</v>
      </c>
      <c r="AD15" s="16" t="n">
        <f aca="false">AD14-AB15+AC15</f>
        <v>-10524</v>
      </c>
      <c r="AF15" s="32" t="n">
        <v>37025</v>
      </c>
      <c r="AG15" s="14" t="n">
        <f aca="false">220000+38000</f>
        <v>258000</v>
      </c>
      <c r="AH15" s="14" t="n">
        <f aca="false">275484+54891</f>
        <v>330375</v>
      </c>
      <c r="AJ15" s="35" t="n">
        <f aca="false">+AF15</f>
        <v>37025</v>
      </c>
      <c r="AK15" s="14" t="n">
        <f aca="false">176704+20831</f>
        <v>197535</v>
      </c>
      <c r="AL15" s="14"/>
      <c r="AM15" s="14"/>
    </row>
    <row r="16" customFormat="false" ht="12.75" hidden="false" customHeight="false" outlineLevel="0" collapsed="false">
      <c r="A16" s="12" t="s">
        <v>25</v>
      </c>
      <c r="B16" s="13" t="n">
        <v>-40000</v>
      </c>
      <c r="C16" s="16"/>
      <c r="D16" s="12" t="s">
        <v>26</v>
      </c>
      <c r="E16" s="13" t="n">
        <v>22875</v>
      </c>
      <c r="G16" s="14"/>
      <c r="H16" s="14"/>
      <c r="L16" s="14"/>
      <c r="R16" s="34"/>
      <c r="W16" s="32" t="n">
        <v>37026</v>
      </c>
      <c r="X16" s="16" t="n">
        <v>7000</v>
      </c>
      <c r="Y16" s="16" t="n">
        <v>682</v>
      </c>
      <c r="Z16" s="34" t="n">
        <f aca="false">Z15-X16+Y16</f>
        <v>219162.4192</v>
      </c>
      <c r="AA16" s="34"/>
      <c r="AB16" s="16" t="n">
        <v>9622</v>
      </c>
      <c r="AC16" s="16" t="n">
        <v>10500</v>
      </c>
      <c r="AD16" s="16" t="n">
        <f aca="false">AD15-AB16+AC16</f>
        <v>-9646</v>
      </c>
      <c r="AF16" s="32" t="n">
        <v>37026</v>
      </c>
      <c r="AG16" s="14" t="n">
        <f aca="false">240000+39000</f>
        <v>279000</v>
      </c>
      <c r="AH16" s="14" t="n">
        <f aca="false">228000+38783</f>
        <v>266783</v>
      </c>
      <c r="AJ16" s="35" t="n">
        <f aca="false">+AF16</f>
        <v>37026</v>
      </c>
      <c r="AK16" s="14" t="n">
        <f aca="false">170007+21271</f>
        <v>191278</v>
      </c>
      <c r="AL16" s="14"/>
      <c r="AM16" s="14"/>
    </row>
    <row r="17" customFormat="false" ht="12.75" hidden="false" customHeight="false" outlineLevel="0" collapsed="false">
      <c r="A17" s="12" t="s">
        <v>22</v>
      </c>
      <c r="B17" s="13" t="n">
        <v>0</v>
      </c>
      <c r="C17" s="16"/>
      <c r="D17" s="12" t="s">
        <v>27</v>
      </c>
      <c r="E17" s="13" t="n">
        <v>10000</v>
      </c>
      <c r="G17" s="14"/>
      <c r="H17" s="14"/>
      <c r="L17" s="14"/>
      <c r="R17" s="34"/>
      <c r="W17" s="32" t="n">
        <v>37027</v>
      </c>
      <c r="X17" s="16" t="n">
        <v>67495</v>
      </c>
      <c r="Y17" s="16" t="n">
        <v>7000</v>
      </c>
      <c r="Z17" s="34" t="n">
        <f aca="false">Z16-X17+Y17</f>
        <v>158667.4192</v>
      </c>
      <c r="AA17" s="34"/>
      <c r="AB17" s="16" t="n">
        <v>6967</v>
      </c>
      <c r="AC17" s="16" t="n">
        <v>10500</v>
      </c>
      <c r="AD17" s="16" t="n">
        <f aca="false">AD16-AB17+AC17</f>
        <v>-6113</v>
      </c>
      <c r="AF17" s="32" t="n">
        <v>37027</v>
      </c>
      <c r="AG17" s="14" t="n">
        <f aca="false">235000+38000</f>
        <v>273000</v>
      </c>
      <c r="AH17" s="14" t="n">
        <f aca="false">231219+38935</f>
        <v>270154</v>
      </c>
      <c r="AJ17" s="35" t="n">
        <f aca="false">+AF17</f>
        <v>37027</v>
      </c>
      <c r="AK17" s="14" t="n">
        <f aca="false">169851+21010</f>
        <v>190861</v>
      </c>
      <c r="AL17" s="14"/>
      <c r="AM17" s="14"/>
    </row>
    <row r="18" customFormat="false" ht="12.75" hidden="false" customHeight="false" outlineLevel="0" collapsed="false">
      <c r="A18" s="12" t="s">
        <v>28</v>
      </c>
      <c r="B18" s="13" t="n">
        <v>0</v>
      </c>
      <c r="D18" s="12" t="s">
        <v>29</v>
      </c>
      <c r="E18" s="13" t="n">
        <v>16608</v>
      </c>
      <c r="F18" s="16" t="s">
        <v>16</v>
      </c>
      <c r="G18" s="14"/>
      <c r="H18" s="14"/>
      <c r="L18" s="14"/>
      <c r="R18" s="34"/>
      <c r="W18" s="32" t="n">
        <v>37028</v>
      </c>
      <c r="X18" s="16" t="n">
        <v>2277</v>
      </c>
      <c r="Y18" s="16" t="n">
        <v>2000</v>
      </c>
      <c r="Z18" s="34" t="n">
        <f aca="false">Z17-X18+Y18</f>
        <v>158390.4192</v>
      </c>
      <c r="AA18" s="34"/>
      <c r="AB18" s="16" t="n">
        <v>20</v>
      </c>
      <c r="AC18" s="16" t="n">
        <v>0</v>
      </c>
      <c r="AD18" s="16" t="n">
        <f aca="false">AD17-AB18+AC18</f>
        <v>-6133</v>
      </c>
      <c r="AF18" s="32" t="n">
        <v>37028</v>
      </c>
      <c r="AG18" s="14" t="n">
        <f aca="false">230000+38000</f>
        <v>268000</v>
      </c>
      <c r="AH18" s="14" t="n">
        <f aca="false">221199+39749</f>
        <v>260948</v>
      </c>
      <c r="AJ18" s="35" t="n">
        <f aca="false">+AF18</f>
        <v>37028</v>
      </c>
      <c r="AK18" s="14" t="n">
        <f aca="false">169340+19308</f>
        <v>188648</v>
      </c>
      <c r="AL18" s="14"/>
      <c r="AM18" s="14"/>
    </row>
    <row r="19" customFormat="false" ht="12.75" hidden="false" customHeight="false" outlineLevel="0" collapsed="false">
      <c r="A19" s="12" t="s">
        <v>30</v>
      </c>
      <c r="B19" s="13" t="n">
        <v>-70000</v>
      </c>
      <c r="D19" s="12" t="s">
        <v>31</v>
      </c>
      <c r="E19" s="13" t="n">
        <v>19458</v>
      </c>
      <c r="G19" s="14"/>
      <c r="H19" s="14"/>
      <c r="L19" s="14"/>
      <c r="R19" s="34"/>
      <c r="W19" s="32" t="n">
        <v>37029</v>
      </c>
      <c r="X19" s="16" t="n">
        <v>13719</v>
      </c>
      <c r="Y19" s="16" t="n">
        <v>0</v>
      </c>
      <c r="Z19" s="34" t="n">
        <f aca="false">Z18-X19+Y19</f>
        <v>144671.4192</v>
      </c>
      <c r="AA19" s="34"/>
      <c r="AB19" s="16" t="n">
        <v>5</v>
      </c>
      <c r="AC19" s="16" t="n">
        <v>0</v>
      </c>
      <c r="AD19" s="16" t="n">
        <f aca="false">AD18-AB19+AC19</f>
        <v>-6138</v>
      </c>
      <c r="AF19" s="32" t="n">
        <v>37029</v>
      </c>
      <c r="AG19" s="14" t="n">
        <f aca="false">225000+37000</f>
        <v>262000</v>
      </c>
      <c r="AH19" s="14" t="n">
        <f aca="false">215517+38451</f>
        <v>253968</v>
      </c>
      <c r="AJ19" s="35" t="n">
        <f aca="false">+AF19</f>
        <v>37029</v>
      </c>
      <c r="AK19" s="14" t="n">
        <f aca="false">178340+19308</f>
        <v>197648</v>
      </c>
      <c r="AL19" s="14"/>
      <c r="AM19" s="14"/>
    </row>
    <row r="20" customFormat="false" ht="12.75" hidden="false" customHeight="false" outlineLevel="0" collapsed="false">
      <c r="A20" s="12" t="s">
        <v>32</v>
      </c>
      <c r="B20" s="13" t="n">
        <v>0</v>
      </c>
      <c r="C20" s="16"/>
      <c r="D20" s="12" t="s">
        <v>33</v>
      </c>
      <c r="E20" s="13" t="n">
        <v>0</v>
      </c>
      <c r="G20" s="14"/>
      <c r="H20" s="14"/>
      <c r="R20" s="34"/>
      <c r="W20" s="32" t="n">
        <v>37030</v>
      </c>
      <c r="X20" s="16" t="n">
        <v>20000</v>
      </c>
      <c r="Y20" s="16" t="n">
        <v>7000</v>
      </c>
      <c r="Z20" s="34" t="n">
        <f aca="false">Z19-X20+Y20</f>
        <v>131671.4192</v>
      </c>
      <c r="AA20" s="34"/>
      <c r="AB20" s="16" t="n">
        <v>0</v>
      </c>
      <c r="AC20" s="16" t="n">
        <v>0</v>
      </c>
      <c r="AD20" s="16" t="n">
        <f aca="false">AD19-AB20+AC20</f>
        <v>-6138</v>
      </c>
      <c r="AF20" s="32" t="n">
        <v>37030</v>
      </c>
      <c r="AG20" s="14" t="n">
        <f aca="false">220000+35000</f>
        <v>255000</v>
      </c>
      <c r="AH20" s="14" t="n">
        <f aca="false">214650+36825</f>
        <v>251475</v>
      </c>
      <c r="AJ20" s="35" t="n">
        <f aca="false">+AF20</f>
        <v>37030</v>
      </c>
      <c r="AK20" s="14" t="n">
        <f aca="false">168360+19308</f>
        <v>187668</v>
      </c>
      <c r="AL20" s="14"/>
      <c r="AM20" s="14"/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4"/>
      <c r="H21" s="14"/>
      <c r="R21" s="34"/>
      <c r="W21" s="32" t="n">
        <v>37031</v>
      </c>
      <c r="X21" s="16" t="n">
        <v>17908</v>
      </c>
      <c r="Y21" s="16" t="n">
        <v>7000</v>
      </c>
      <c r="Z21" s="34" t="n">
        <f aca="false">Z20-X21+Y21</f>
        <v>120763.4192</v>
      </c>
      <c r="AA21" s="34"/>
      <c r="AB21" s="16" t="n">
        <v>0</v>
      </c>
      <c r="AC21" s="16" t="n">
        <v>0</v>
      </c>
      <c r="AD21" s="16" t="n">
        <f aca="false">AD20-AB21+AC21</f>
        <v>-6138</v>
      </c>
      <c r="AF21" s="32" t="n">
        <v>37031</v>
      </c>
      <c r="AG21" s="14" t="n">
        <f aca="false">225000+37000</f>
        <v>262000</v>
      </c>
      <c r="AH21" s="14" t="n">
        <f aca="false">201157+37195</f>
        <v>238352</v>
      </c>
      <c r="AJ21" s="35" t="n">
        <f aca="false">+AF21</f>
        <v>37031</v>
      </c>
      <c r="AK21" s="14" t="n">
        <f aca="false">168360+19308</f>
        <v>187668</v>
      </c>
      <c r="AL21" s="14"/>
      <c r="AM21" s="14"/>
    </row>
    <row r="22" customFormat="false" ht="12.75" hidden="false" customHeight="false" outlineLevel="0" collapsed="false">
      <c r="A22" s="12" t="s">
        <v>36</v>
      </c>
      <c r="B22" s="13" t="n">
        <v>-29198</v>
      </c>
      <c r="D22" s="12" t="s">
        <v>37</v>
      </c>
      <c r="E22" s="13" t="n">
        <v>6945</v>
      </c>
      <c r="G22" s="14"/>
      <c r="H22" s="14"/>
      <c r="R22" s="34"/>
      <c r="W22" s="32" t="n">
        <v>37032</v>
      </c>
      <c r="X22" s="16" t="n">
        <v>11400</v>
      </c>
      <c r="Y22" s="16" t="n">
        <v>7500</v>
      </c>
      <c r="Z22" s="34" t="n">
        <f aca="false">Z21-X22+Y22</f>
        <v>116863.4192</v>
      </c>
      <c r="AA22" s="34"/>
      <c r="AB22" s="16" t="n">
        <v>0</v>
      </c>
      <c r="AC22" s="16" t="n">
        <v>0</v>
      </c>
      <c r="AD22" s="16" t="n">
        <f aca="false">AD21-AB22+AC22</f>
        <v>-6138</v>
      </c>
      <c r="AF22" s="32" t="n">
        <v>37032</v>
      </c>
      <c r="AG22" s="14" t="n">
        <f aca="false">230000+38000</f>
        <v>268000</v>
      </c>
      <c r="AH22" s="14"/>
      <c r="AJ22" s="35" t="n">
        <f aca="false">+AF22</f>
        <v>37032</v>
      </c>
      <c r="AK22" s="14"/>
      <c r="AL22" s="14"/>
      <c r="AM22" s="14"/>
    </row>
    <row r="23" customFormat="false" ht="12.75" hidden="false" customHeight="false" outlineLevel="0" collapsed="false">
      <c r="A23" s="12" t="s">
        <v>14</v>
      </c>
      <c r="B23" s="13" t="n">
        <v>0</v>
      </c>
      <c r="C23" s="16" t="s">
        <v>16</v>
      </c>
      <c r="D23" s="12" t="s">
        <v>25</v>
      </c>
      <c r="E23" s="13" t="n">
        <v>0</v>
      </c>
      <c r="F23" s="16"/>
      <c r="G23" s="14"/>
      <c r="H23" s="14"/>
      <c r="L23" s="2" t="n">
        <v>0.32</v>
      </c>
      <c r="R23" s="34"/>
      <c r="W23" s="32" t="n">
        <v>37033</v>
      </c>
      <c r="X23" s="16" t="n">
        <v>24700</v>
      </c>
      <c r="Y23" s="16" t="n">
        <v>7500</v>
      </c>
      <c r="Z23" s="34" t="n">
        <f aca="false">Z22-X23+Y23</f>
        <v>99663.4192</v>
      </c>
      <c r="AA23" s="34"/>
      <c r="AB23" s="16" t="n">
        <v>0</v>
      </c>
      <c r="AC23" s="16" t="n">
        <v>0</v>
      </c>
      <c r="AD23" s="16" t="n">
        <f aca="false">AD22-AB23+AC23</f>
        <v>-6138</v>
      </c>
      <c r="AF23" s="32" t="n">
        <v>37033</v>
      </c>
      <c r="AG23" s="14" t="n">
        <f aca="false">330000+68000</f>
        <v>398000</v>
      </c>
      <c r="AH23" s="14"/>
      <c r="AJ23" s="35" t="n">
        <f aca="false">+AF23</f>
        <v>37033</v>
      </c>
      <c r="AK23" s="14"/>
      <c r="AL23" s="14"/>
      <c r="AM23" s="14"/>
    </row>
    <row r="24" customFormat="false" ht="12.75" hidden="false" customHeight="false" outlineLevel="0" collapsed="false">
      <c r="A24" s="12" t="s">
        <v>38</v>
      </c>
      <c r="B24" s="13" t="n">
        <v>0</v>
      </c>
      <c r="D24" s="12" t="s">
        <v>22</v>
      </c>
      <c r="E24" s="13" t="n">
        <v>11114</v>
      </c>
      <c r="G24" s="14"/>
      <c r="H24" s="14"/>
      <c r="R24" s="34"/>
      <c r="W24" s="32" t="n">
        <v>37034</v>
      </c>
      <c r="X24" s="16" t="n">
        <v>20000</v>
      </c>
      <c r="Y24" s="16" t="n">
        <v>7500</v>
      </c>
      <c r="Z24" s="34" t="n">
        <f aca="false">Z23-X24+Y24</f>
        <v>87163.4192</v>
      </c>
      <c r="AA24" s="34"/>
      <c r="AB24" s="16" t="n">
        <v>0</v>
      </c>
      <c r="AC24" s="16" t="n">
        <v>0</v>
      </c>
      <c r="AD24" s="16" t="n">
        <f aca="false">AD23-AB24+AC24</f>
        <v>-6138</v>
      </c>
      <c r="AF24" s="32" t="n">
        <v>37034</v>
      </c>
      <c r="AG24" s="14" t="n">
        <f aca="false">355000+71000</f>
        <v>426000</v>
      </c>
      <c r="AH24" s="14"/>
      <c r="AJ24" s="35" t="n">
        <f aca="false">+AF24</f>
        <v>37034</v>
      </c>
      <c r="AK24" s="14"/>
      <c r="AL24" s="14"/>
      <c r="AM24" s="14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8000</v>
      </c>
      <c r="G25" s="14"/>
      <c r="H25" s="14"/>
      <c r="R25" s="34"/>
      <c r="W25" s="32" t="n">
        <v>37035</v>
      </c>
      <c r="X25" s="16" t="n">
        <v>0</v>
      </c>
      <c r="Y25" s="16" t="n">
        <v>0</v>
      </c>
      <c r="Z25" s="34" t="n">
        <f aca="false">Z24-X25+Y25</f>
        <v>87163.4192</v>
      </c>
      <c r="AA25" s="34"/>
      <c r="AB25" s="16" t="n">
        <v>0</v>
      </c>
      <c r="AC25" s="16" t="n">
        <v>0</v>
      </c>
      <c r="AD25" s="16" t="n">
        <f aca="false">AD24-AB25+AC25</f>
        <v>-6138</v>
      </c>
      <c r="AF25" s="32" t="n">
        <v>37035</v>
      </c>
      <c r="AG25" s="14" t="n">
        <f aca="false">370000+75000</f>
        <v>445000</v>
      </c>
      <c r="AH25" s="14"/>
      <c r="AJ25" s="35" t="n">
        <f aca="false">+AF25</f>
        <v>37035</v>
      </c>
      <c r="AK25" s="14"/>
      <c r="AL25" s="14"/>
      <c r="AM25" s="14"/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4"/>
      <c r="H26" s="14"/>
      <c r="R26" s="34"/>
      <c r="W26" s="32" t="n">
        <v>37036</v>
      </c>
      <c r="X26" s="16" t="n">
        <v>0</v>
      </c>
      <c r="Y26" s="16" t="n">
        <v>0</v>
      </c>
      <c r="Z26" s="34" t="n">
        <f aca="false">Z25-X26+Y26</f>
        <v>87163.4192</v>
      </c>
      <c r="AA26" s="34"/>
      <c r="AB26" s="16" t="n">
        <v>0</v>
      </c>
      <c r="AC26" s="16" t="n">
        <v>0</v>
      </c>
      <c r="AD26" s="16" t="n">
        <f aca="false">AD25-AB26+AC26</f>
        <v>-6138</v>
      </c>
      <c r="AF26" s="32" t="n">
        <v>37036</v>
      </c>
      <c r="AG26" s="14" t="n">
        <f aca="false">310000+62000</f>
        <v>372000</v>
      </c>
      <c r="AH26" s="14"/>
      <c r="AJ26" s="35" t="n">
        <f aca="false">+AF26</f>
        <v>37036</v>
      </c>
      <c r="AK26" s="14"/>
      <c r="AL26" s="14"/>
      <c r="AM26" s="14"/>
    </row>
    <row r="27" customFormat="false" ht="13.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4"/>
      <c r="H27" s="14"/>
      <c r="R27" s="34"/>
      <c r="W27" s="32" t="n">
        <v>37037</v>
      </c>
      <c r="X27" s="16" t="n">
        <v>0</v>
      </c>
      <c r="Y27" s="16" t="n">
        <v>0</v>
      </c>
      <c r="Z27" s="34" t="n">
        <f aca="false">Z26-X27+Y27</f>
        <v>87163.4192</v>
      </c>
      <c r="AA27" s="34"/>
      <c r="AB27" s="16" t="n">
        <v>0</v>
      </c>
      <c r="AC27" s="16" t="n">
        <v>0</v>
      </c>
      <c r="AD27" s="16" t="n">
        <f aca="false">AD26-AB27+AC27</f>
        <v>-6138</v>
      </c>
      <c r="AF27" s="32" t="n">
        <v>37037</v>
      </c>
      <c r="AG27" s="14" t="n">
        <f aca="false">280000+50000</f>
        <v>330000</v>
      </c>
      <c r="AH27" s="14"/>
      <c r="AJ27" s="35" t="n">
        <f aca="false">+AF27</f>
        <v>37037</v>
      </c>
      <c r="AK27" s="14"/>
      <c r="AL27" s="14"/>
      <c r="AM27" s="14"/>
    </row>
    <row r="28" customFormat="false" ht="13.5" hidden="false" customHeight="false" outlineLevel="0" collapsed="false">
      <c r="A28" s="17" t="s">
        <v>24</v>
      </c>
      <c r="B28" s="18" t="n">
        <f aca="false">SUM(B6:B27)</f>
        <v>-672198</v>
      </c>
      <c r="C28" s="16" t="n">
        <f aca="false">SUM(B28,B57)</f>
        <v>0</v>
      </c>
      <c r="D28" s="12" t="s">
        <v>43</v>
      </c>
      <c r="E28" s="13" t="n">
        <v>0</v>
      </c>
      <c r="G28" s="14"/>
      <c r="H28" s="14"/>
      <c r="R28" s="34"/>
      <c r="W28" s="32" t="n">
        <v>37038</v>
      </c>
      <c r="X28" s="16" t="n">
        <v>0</v>
      </c>
      <c r="Y28" s="16" t="n">
        <v>0</v>
      </c>
      <c r="Z28" s="34" t="n">
        <f aca="false">Z27-X28+Y28</f>
        <v>87163.4192</v>
      </c>
      <c r="AA28" s="34"/>
      <c r="AB28" s="16" t="n">
        <v>0</v>
      </c>
      <c r="AC28" s="16" t="n">
        <v>0</v>
      </c>
      <c r="AD28" s="16" t="n">
        <f aca="false">AD27-AB28+AC28</f>
        <v>-6138</v>
      </c>
      <c r="AF28" s="32" t="n">
        <v>37038</v>
      </c>
      <c r="AG28" s="14"/>
      <c r="AH28" s="14"/>
      <c r="AJ28" s="35" t="n">
        <f aca="false">+AF28</f>
        <v>37038</v>
      </c>
      <c r="AK28" s="14"/>
      <c r="AL28" s="14"/>
      <c r="AM28" s="14"/>
    </row>
    <row r="29" customFormat="false" ht="13.5" hidden="false" customHeight="false" outlineLevel="0" collapsed="false">
      <c r="A29" s="12"/>
      <c r="B29" s="13"/>
      <c r="C29" s="16"/>
      <c r="D29" s="17" t="s">
        <v>44</v>
      </c>
      <c r="E29" s="18" t="n">
        <f aca="false">SUM(E16:E28)</f>
        <v>99340</v>
      </c>
      <c r="G29" s="14"/>
      <c r="H29" s="14"/>
      <c r="R29" s="34"/>
      <c r="W29" s="32" t="n">
        <v>37039</v>
      </c>
      <c r="X29" s="16" t="n">
        <v>0</v>
      </c>
      <c r="Y29" s="16" t="n">
        <v>0</v>
      </c>
      <c r="Z29" s="34" t="n">
        <f aca="false">Z28-X29+Y29</f>
        <v>87163.4192</v>
      </c>
      <c r="AA29" s="34"/>
      <c r="AB29" s="16" t="n">
        <v>0</v>
      </c>
      <c r="AC29" s="16" t="n">
        <v>0</v>
      </c>
      <c r="AD29" s="16" t="n">
        <f aca="false">AD28-AB29+AC29</f>
        <v>-6138</v>
      </c>
      <c r="AF29" s="32" t="n">
        <v>37039</v>
      </c>
      <c r="AG29" s="14"/>
      <c r="AH29" s="14"/>
      <c r="AJ29" s="35" t="n">
        <f aca="false">+AF29</f>
        <v>37039</v>
      </c>
      <c r="AK29" s="14"/>
      <c r="AL29" s="14"/>
      <c r="AM29" s="14"/>
    </row>
    <row r="30" customFormat="false" ht="13.5" hidden="false" customHeight="false" outlineLevel="0" collapsed="false">
      <c r="A30" s="12" t="s">
        <v>26</v>
      </c>
      <c r="B30" s="13" t="n">
        <v>103081</v>
      </c>
      <c r="C30" s="16"/>
      <c r="D30" s="19"/>
      <c r="E30" s="20"/>
      <c r="F30" s="16"/>
      <c r="G30" s="14"/>
      <c r="H30" s="14"/>
      <c r="W30" s="32" t="n">
        <v>37040</v>
      </c>
      <c r="X30" s="16" t="n">
        <v>0</v>
      </c>
      <c r="Y30" s="16" t="n">
        <v>0</v>
      </c>
      <c r="Z30" s="34" t="n">
        <f aca="false">Z29-X30+Y30</f>
        <v>87163.4192</v>
      </c>
      <c r="AA30" s="34"/>
      <c r="AB30" s="16" t="n">
        <v>0</v>
      </c>
      <c r="AC30" s="16" t="n">
        <v>0</v>
      </c>
      <c r="AD30" s="16" t="n">
        <f aca="false">AD29-AB30+AC30</f>
        <v>-6138</v>
      </c>
      <c r="AF30" s="32" t="n">
        <v>37040</v>
      </c>
      <c r="AG30" s="14"/>
      <c r="AH30" s="14"/>
      <c r="AJ30" s="35" t="n">
        <f aca="false">+AF30</f>
        <v>37040</v>
      </c>
      <c r="AK30" s="14"/>
      <c r="AL30" s="14"/>
      <c r="AM30" s="14"/>
    </row>
    <row r="31" customFormat="false" ht="12.75" hidden="false" customHeight="false" outlineLevel="0" collapsed="false">
      <c r="A31" s="12" t="s">
        <v>27</v>
      </c>
      <c r="B31" s="13" t="n">
        <v>125000</v>
      </c>
      <c r="C31" s="16"/>
      <c r="E31" s="14"/>
      <c r="G31" s="14"/>
      <c r="H31" s="14"/>
      <c r="W31" s="32" t="n">
        <v>37041</v>
      </c>
      <c r="X31" s="16" t="n">
        <v>0</v>
      </c>
      <c r="Y31" s="16" t="n">
        <v>0</v>
      </c>
      <c r="Z31" s="34" t="n">
        <f aca="false">Z30-X31+Y31</f>
        <v>87163.4192</v>
      </c>
      <c r="AA31" s="34"/>
      <c r="AB31" s="16" t="n">
        <v>0</v>
      </c>
      <c r="AC31" s="16" t="n">
        <v>0</v>
      </c>
      <c r="AD31" s="16" t="n">
        <f aca="false">AD30-AB31+AC31</f>
        <v>-6138</v>
      </c>
      <c r="AF31" s="32" t="n">
        <v>37041</v>
      </c>
      <c r="AG31" s="14"/>
      <c r="AH31" s="48"/>
      <c r="AJ31" s="35" t="n">
        <f aca="false">+AF31</f>
        <v>37041</v>
      </c>
      <c r="AK31" s="14"/>
      <c r="AL31" s="14"/>
      <c r="AM31" s="14"/>
    </row>
    <row r="32" customFormat="false" ht="12.75" hidden="false" customHeight="false" outlineLevel="0" collapsed="false">
      <c r="A32" s="12" t="s">
        <v>29</v>
      </c>
      <c r="B32" s="13" t="n">
        <v>0</v>
      </c>
      <c r="E32" s="14"/>
      <c r="G32" s="14"/>
      <c r="H32" s="14"/>
      <c r="W32" s="32" t="n">
        <v>37042</v>
      </c>
      <c r="X32" s="16" t="n">
        <v>0</v>
      </c>
      <c r="Y32" s="16" t="n">
        <v>0</v>
      </c>
      <c r="Z32" s="34" t="n">
        <f aca="false">Z31-X32+Y32</f>
        <v>87163.4192</v>
      </c>
      <c r="AA32" s="34"/>
      <c r="AB32" s="16" t="n">
        <v>0</v>
      </c>
      <c r="AC32" s="16" t="n">
        <v>0</v>
      </c>
      <c r="AD32" s="16" t="n">
        <f aca="false">AD31-AB32+AC32</f>
        <v>-6138</v>
      </c>
      <c r="AF32" s="32" t="n">
        <v>37042</v>
      </c>
      <c r="AG32" s="14"/>
      <c r="AH32" s="14"/>
      <c r="AJ32" s="35" t="n">
        <f aca="false">+AF32</f>
        <v>37042</v>
      </c>
      <c r="AK32" s="14"/>
      <c r="AL32" s="14"/>
      <c r="AM32" s="14"/>
    </row>
    <row r="33" customFormat="false" ht="12.75" hidden="false" customHeight="false" outlineLevel="0" collapsed="false">
      <c r="A33" s="12" t="s">
        <v>31</v>
      </c>
      <c r="B33" s="13" t="n">
        <v>178360</v>
      </c>
      <c r="D33" s="21"/>
      <c r="G33" s="14"/>
      <c r="H33" s="14"/>
      <c r="AF33" s="32"/>
      <c r="AG33" s="14"/>
      <c r="AJ33" s="35"/>
      <c r="AK33" s="14"/>
      <c r="AL33" s="14"/>
      <c r="AM33" s="14"/>
    </row>
    <row r="34" customFormat="false" ht="12.75" hidden="false" customHeight="false" outlineLevel="0" collapsed="false">
      <c r="A34" s="12" t="s">
        <v>45</v>
      </c>
      <c r="B34" s="13" t="n">
        <v>29198</v>
      </c>
      <c r="C34" s="16"/>
      <c r="G34" s="14"/>
      <c r="H34" s="14"/>
      <c r="W34" s="32"/>
      <c r="AF34" s="32"/>
      <c r="AG34" s="14"/>
      <c r="AJ34" s="35"/>
      <c r="AK34" s="14"/>
      <c r="AL34" s="14"/>
      <c r="AM34" s="14"/>
    </row>
    <row r="35" customFormat="false" ht="12.75" hidden="false" customHeight="false" outlineLevel="0" collapsed="false">
      <c r="A35" s="12" t="s">
        <v>46</v>
      </c>
      <c r="B35" s="13" t="n">
        <v>0</v>
      </c>
      <c r="G35" s="14"/>
      <c r="H35" s="14"/>
      <c r="W35" s="32"/>
      <c r="AF35" s="32"/>
      <c r="AJ35" s="35"/>
      <c r="AK35" s="14"/>
      <c r="AL35" s="14"/>
      <c r="AM35" s="14"/>
    </row>
    <row r="36" customFormat="false" ht="12.75" hidden="false" customHeight="false" outlineLevel="0" collapsed="false">
      <c r="A36" s="12" t="s">
        <v>47</v>
      </c>
      <c r="B36" s="13" t="n">
        <v>0</v>
      </c>
      <c r="G36" s="14"/>
      <c r="H36" s="14"/>
      <c r="W36" s="32"/>
      <c r="AF36" s="32"/>
      <c r="AJ36" s="35"/>
      <c r="AK36" s="14"/>
      <c r="AL36" s="14"/>
      <c r="AM36" s="14"/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4"/>
      <c r="H37" s="14"/>
      <c r="W37" s="32"/>
      <c r="AL37" s="14"/>
      <c r="AM37" s="14"/>
    </row>
    <row r="38" customFormat="false" ht="12.75" hidden="false" customHeight="false" outlineLevel="0" collapsed="false">
      <c r="A38" s="12" t="s">
        <v>42</v>
      </c>
      <c r="B38" s="13" t="n">
        <v>15838</v>
      </c>
      <c r="D38" s="23"/>
      <c r="E38" s="16"/>
      <c r="G38" s="14"/>
      <c r="H38" s="14"/>
      <c r="AL38" s="14"/>
      <c r="AM38" s="14"/>
    </row>
    <row r="39" customFormat="false" ht="12.75" hidden="false" customHeight="false" outlineLevel="0" collapsed="false">
      <c r="A39" s="12" t="s">
        <v>23</v>
      </c>
      <c r="B39" s="13" t="n">
        <v>7500</v>
      </c>
      <c r="G39" s="14"/>
      <c r="H39" s="14"/>
      <c r="AJ39" s="14"/>
      <c r="AK39" s="14"/>
      <c r="AL39" s="14"/>
      <c r="AM39" s="14"/>
    </row>
    <row r="40" customFormat="false" ht="12.75" hidden="false" customHeight="false" outlineLevel="0" collapsed="false">
      <c r="A40" s="12" t="s">
        <v>18</v>
      </c>
      <c r="B40" s="24"/>
      <c r="G40" s="14"/>
      <c r="H40" s="14"/>
      <c r="AJ40" s="14"/>
      <c r="AK40" s="14"/>
      <c r="AL40" s="14"/>
      <c r="AM40" s="14"/>
    </row>
    <row r="41" customFormat="false" ht="12.75" hidden="false" customHeight="false" outlineLevel="0" collapsed="false">
      <c r="A41" s="12" t="s">
        <v>49</v>
      </c>
      <c r="B41" s="13" t="n">
        <v>0</v>
      </c>
      <c r="G41" s="14"/>
      <c r="H41" s="14"/>
      <c r="AJ41" s="14"/>
      <c r="AK41" s="14"/>
      <c r="AL41" s="14"/>
      <c r="AM41" s="14"/>
    </row>
    <row r="42" customFormat="false" ht="12.75" hidden="false" customHeight="false" outlineLevel="0" collapsed="false">
      <c r="A42" s="12" t="s">
        <v>14</v>
      </c>
      <c r="B42" s="13" t="n">
        <v>54918</v>
      </c>
      <c r="AJ42" s="14"/>
      <c r="AK42" s="14"/>
      <c r="AL42" s="14"/>
      <c r="AM42" s="14"/>
    </row>
    <row r="43" customFormat="false" ht="12.75" hidden="false" customHeight="false" outlineLevel="0" collapsed="false">
      <c r="A43" s="12" t="s">
        <v>50</v>
      </c>
      <c r="B43" s="13" t="n">
        <v>13950</v>
      </c>
      <c r="E43" s="14"/>
      <c r="AJ43" s="14"/>
      <c r="AK43" s="14"/>
      <c r="AL43" s="14"/>
      <c r="AM43" s="14"/>
    </row>
    <row r="44" customFormat="false" ht="12.75" hidden="false" customHeight="false" outlineLevel="0" collapsed="false">
      <c r="A44" s="12" t="s">
        <v>51</v>
      </c>
      <c r="B44" s="13" t="n">
        <v>1000</v>
      </c>
      <c r="C44" s="16"/>
      <c r="E44" s="14"/>
    </row>
    <row r="45" customFormat="false" ht="12.75" hidden="false" customHeight="false" outlineLevel="0" collapsed="false">
      <c r="A45" s="12" t="s">
        <v>33</v>
      </c>
      <c r="B45" s="13"/>
      <c r="E45" s="14"/>
    </row>
    <row r="46" customFormat="false" ht="12.75" hidden="false" customHeight="false" outlineLevel="0" collapsed="false">
      <c r="A46" s="12" t="s">
        <v>25</v>
      </c>
      <c r="B46" s="13" t="n">
        <v>0</v>
      </c>
      <c r="C46" s="16"/>
      <c r="E46" s="14"/>
    </row>
    <row r="47" customFormat="false" ht="12.75" hidden="false" customHeight="false" outlineLevel="0" collapsed="false">
      <c r="A47" s="12" t="s">
        <v>22</v>
      </c>
      <c r="B47" s="13" t="n">
        <v>0</v>
      </c>
    </row>
    <row r="48" customFormat="false" ht="12.75" hidden="false" customHeight="false" outlineLevel="0" collapsed="false">
      <c r="A48" s="12" t="s">
        <v>28</v>
      </c>
      <c r="B48" s="13" t="n">
        <v>66015</v>
      </c>
      <c r="E48" s="14"/>
    </row>
    <row r="49" customFormat="false" ht="12.75" hidden="false" customHeight="false" outlineLevel="0" collapsed="false">
      <c r="A49" s="12" t="s">
        <v>52</v>
      </c>
      <c r="B49" s="13" t="n">
        <v>0</v>
      </c>
      <c r="C49" s="16" t="s">
        <v>16</v>
      </c>
      <c r="E49" s="14"/>
    </row>
    <row r="50" customFormat="false" ht="12.75" hidden="false" customHeight="false" outlineLevel="0" collapsed="false">
      <c r="A50" s="12" t="s">
        <v>53</v>
      </c>
      <c r="B50" s="13" t="n">
        <v>0</v>
      </c>
      <c r="E50" s="14"/>
    </row>
    <row r="51" customFormat="false" ht="12.75" hidden="false" customHeight="false" outlineLevel="0" collapsed="false">
      <c r="A51" s="12" t="s">
        <v>54</v>
      </c>
      <c r="B51" s="13" t="n">
        <v>0</v>
      </c>
      <c r="E51" s="14"/>
    </row>
    <row r="52" customFormat="false" ht="12.75" hidden="false" customHeight="false" outlineLevel="0" collapsed="false">
      <c r="A52" s="12" t="s">
        <v>36</v>
      </c>
      <c r="B52" s="13" t="n">
        <v>0</v>
      </c>
      <c r="C52" s="16"/>
      <c r="E52" s="14"/>
    </row>
    <row r="53" customFormat="false" ht="12.75" hidden="false" customHeight="false" outlineLevel="0" collapsed="false">
      <c r="A53" s="12" t="s">
        <v>55</v>
      </c>
      <c r="B53" s="13" t="n">
        <v>35000</v>
      </c>
      <c r="E53" s="14"/>
    </row>
    <row r="54" customFormat="false" ht="12.75" hidden="false" customHeight="false" outlineLevel="0" collapsed="false">
      <c r="A54" s="12" t="s">
        <v>56</v>
      </c>
      <c r="B54" s="13" t="n">
        <v>42338</v>
      </c>
      <c r="C54" s="16"/>
      <c r="E54" s="14"/>
    </row>
    <row r="55" customFormat="false" ht="12.75" hidden="false" customHeight="false" outlineLevel="0" collapsed="false">
      <c r="A55" s="12" t="s">
        <v>14</v>
      </c>
      <c r="B55" s="13" t="n">
        <v>0</v>
      </c>
      <c r="C55" s="16"/>
      <c r="E55" s="14"/>
    </row>
    <row r="56" customFormat="false" ht="13.5" hidden="false" customHeight="false" outlineLevel="0" collapsed="false">
      <c r="A56" s="12" t="s">
        <v>43</v>
      </c>
      <c r="B56" s="13" t="n">
        <v>0</v>
      </c>
      <c r="C56" s="16"/>
      <c r="E56" s="14"/>
    </row>
    <row r="57" customFormat="false" ht="13.5" hidden="false" customHeight="false" outlineLevel="0" collapsed="false">
      <c r="A57" s="17" t="s">
        <v>44</v>
      </c>
      <c r="B57" s="18" t="n">
        <f aca="false">SUM(B30:B56)</f>
        <v>672198</v>
      </c>
      <c r="C57" s="16"/>
      <c r="E57" s="14"/>
    </row>
    <row r="58" customFormat="false" ht="13.5" hidden="false" customHeight="false" outlineLevel="0" collapsed="false">
      <c r="A58" s="19"/>
      <c r="B58" s="25"/>
    </row>
    <row r="59" customFormat="false" ht="12.75" hidden="false" customHeight="false" outlineLevel="0" collapsed="false">
      <c r="A59" s="49"/>
      <c r="B59" s="4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lfascett</cp:lastModifiedBy>
  <cp:lastPrinted>2000-11-30T21:29:26Z</cp:lastPrinted>
  <dcterms:modified xsi:type="dcterms:W3CDTF">2001-05-22T11:07:07Z</dcterms:modified>
  <cp:revision>0</cp:revision>
  <dc:subject/>
  <dc:title/>
</cp:coreProperties>
</file>